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2.xml"/>
  <Override ContentType="application/vnd.openxmlformats-officedocument.spreadsheetml.table+xml" PartName="/xl/tables/table41.xml"/>
  <Override ContentType="application/vnd.openxmlformats-officedocument.spreadsheetml.table+xml" PartName="/xl/tables/table15.xml"/>
  <Override ContentType="application/vnd.openxmlformats-officedocument.spreadsheetml.table+xml" PartName="/xl/tables/table24.xml"/>
  <Override ContentType="application/vnd.openxmlformats-officedocument.spreadsheetml.table+xml" PartName="/xl/tables/table50.xml"/>
  <Override ContentType="application/vnd.openxmlformats-officedocument.spreadsheetml.table+xml" PartName="/xl/tables/table31.xml"/>
  <Override ContentType="application/vnd.openxmlformats-officedocument.spreadsheetml.table+xml" PartName="/xl/tables/table5.xml"/>
  <Override ContentType="application/vnd.openxmlformats-officedocument.spreadsheetml.table+xml" PartName="/xl/tables/table49.xml"/>
  <Override ContentType="application/vnd.openxmlformats-officedocument.spreadsheetml.table+xml" PartName="/xl/tables/table40.xml"/>
  <Override ContentType="application/vnd.openxmlformats-officedocument.spreadsheetml.table+xml" PartName="/xl/tables/table14.xml"/>
  <Override ContentType="application/vnd.openxmlformats-officedocument.spreadsheetml.table+xml" PartName="/xl/tables/table23.xml"/>
  <Override ContentType="application/vnd.openxmlformats-officedocument.spreadsheetml.table+xml" PartName="/xl/tables/table18.xml"/>
  <Override ContentType="application/vnd.openxmlformats-officedocument.spreadsheetml.table+xml" PartName="/xl/tables/table48.xml"/>
  <Override ContentType="application/vnd.openxmlformats-officedocument.spreadsheetml.table+xml" PartName="/xl/tables/table22.xml"/>
  <Override ContentType="application/vnd.openxmlformats-officedocument.spreadsheetml.table+xml" PartName="/xl/tables/table35.xml"/>
  <Override ContentType="application/vnd.openxmlformats-officedocument.spreadsheetml.table+xml" PartName="/xl/tables/table6.xml"/>
  <Override ContentType="application/vnd.openxmlformats-officedocument.spreadsheetml.table+xml" PartName="/xl/tables/table20.xml"/>
  <Override ContentType="application/vnd.openxmlformats-officedocument.spreadsheetml.table+xml" PartName="/xl/tables/table17.xml"/>
  <Override ContentType="application/vnd.openxmlformats-officedocument.spreadsheetml.table+xml" PartName="/xl/tables/table33.xml"/>
  <Override ContentType="application/vnd.openxmlformats-officedocument.spreadsheetml.table+xml" PartName="/xl/tables/table47.xml"/>
  <Override ContentType="application/vnd.openxmlformats-officedocument.spreadsheetml.table+xml" PartName="/xl/tables/table34.xml"/>
  <Override ContentType="application/vnd.openxmlformats-officedocument.spreadsheetml.table+xml" PartName="/xl/tables/table7.xml"/>
  <Override ContentType="application/vnd.openxmlformats-officedocument.spreadsheetml.table+xml" PartName="/xl/tables/table16.xml"/>
  <Override ContentType="application/vnd.openxmlformats-officedocument.spreadsheetml.table+xml" PartName="/xl/tables/table21.xml"/>
  <Override ContentType="application/vnd.openxmlformats-officedocument.spreadsheetml.table+xml" PartName="/xl/tables/table51.xml"/>
  <Override ContentType="application/vnd.openxmlformats-officedocument.spreadsheetml.table+xml" PartName="/xl/tables/table37.xml"/>
  <Override ContentType="application/vnd.openxmlformats-officedocument.spreadsheetml.table+xml" PartName="/xl/tables/table29.xml"/>
  <Override ContentType="application/vnd.openxmlformats-officedocument.spreadsheetml.table+xml" PartName="/xl/tables/table45.xml"/>
  <Override ContentType="application/vnd.openxmlformats-officedocument.spreadsheetml.table+xml" PartName="/xl/tables/table46.xml"/>
  <Override ContentType="application/vnd.openxmlformats-officedocument.spreadsheetml.table+xml" PartName="/xl/tables/table28.xml"/>
  <Override ContentType="application/vnd.openxmlformats-officedocument.spreadsheetml.table+xml" PartName="/xl/tables/table8.xml"/>
  <Override ContentType="application/vnd.openxmlformats-officedocument.spreadsheetml.table+xml" PartName="/xl/tables/table11.xml"/>
  <Override ContentType="application/vnd.openxmlformats-officedocument.spreadsheetml.table+xml" PartName="/xl/tables/table36.xml"/>
  <Override ContentType="application/vnd.openxmlformats-officedocument.spreadsheetml.table+xml" PartName="/xl/tables/table19.xml"/>
  <Override ContentType="application/vnd.openxmlformats-officedocument.spreadsheetml.table+xml" PartName="/xl/tables/table44.xml"/>
  <Override ContentType="application/vnd.openxmlformats-officedocument.spreadsheetml.table+xml" PartName="/xl/tables/table10.xml"/>
  <Override ContentType="application/vnd.openxmlformats-officedocument.spreadsheetml.table+xml" PartName="/xl/tables/table27.xml"/>
  <Override ContentType="application/vnd.openxmlformats-officedocument.spreadsheetml.table+xml" PartName="/xl/tables/table9.xml"/>
  <Override ContentType="application/vnd.openxmlformats-officedocument.spreadsheetml.table+xml" PartName="/xl/tables/table43.xml"/>
  <Override ContentType="application/vnd.openxmlformats-officedocument.spreadsheetml.table+xml" PartName="/xl/tables/table13.xml"/>
  <Override ContentType="application/vnd.openxmlformats-officedocument.spreadsheetml.table+xml" PartName="/xl/tables/table1.xml"/>
  <Override ContentType="application/vnd.openxmlformats-officedocument.spreadsheetml.table+xml" PartName="/xl/tables/table30.xml"/>
  <Override ContentType="application/vnd.openxmlformats-officedocument.spreadsheetml.table+xml" PartName="/xl/tables/table2.xml"/>
  <Override ContentType="application/vnd.openxmlformats-officedocument.spreadsheetml.table+xml" PartName="/xl/tables/table26.xml"/>
  <Override ContentType="application/vnd.openxmlformats-officedocument.spreadsheetml.table+xml" PartName="/xl/tables/table39.xml"/>
  <Override ContentType="application/vnd.openxmlformats-officedocument.spreadsheetml.table+xml" PartName="/xl/tables/table3.xml"/>
  <Override ContentType="application/vnd.openxmlformats-officedocument.spreadsheetml.table+xml" PartName="/xl/tables/table42.xml"/>
  <Override ContentType="application/vnd.openxmlformats-officedocument.spreadsheetml.table+xml" PartName="/xl/tables/table38.xml"/>
  <Override ContentType="application/vnd.openxmlformats-officedocument.spreadsheetml.table+xml" PartName="/xl/tables/table12.xml"/>
  <Override ContentType="application/vnd.openxmlformats-officedocument.spreadsheetml.table+xml" PartName="/xl/tables/table25.xml"/>
  <Override ContentType="application/vnd.openxmlformats-officedocument.spreadsheetml.worksheet+xml" PartName="/xl/worksheets/sheet28.xml"/>
  <Override ContentType="application/vnd.openxmlformats-officedocument.spreadsheetml.worksheet+xml" PartName="/xl/worksheets/sheet23.xml"/>
  <Override ContentType="application/vnd.openxmlformats-officedocument.spreadsheetml.worksheet+xml" PartName="/xl/worksheets/sheet10.xml"/>
  <Override ContentType="application/vnd.openxmlformats-officedocument.spreadsheetml.worksheet+xml" PartName="/xl/worksheets/sheet15.xml"/>
  <Override ContentType="application/vnd.openxmlformats-officedocument.spreadsheetml.worksheet+xml" PartName="/xl/worksheets/sheet19.xml"/>
  <Override ContentType="application/vnd.openxmlformats-officedocument.spreadsheetml.worksheet+xml" PartName="/xl/worksheets/sheet3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36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29.xml"/>
  <Override ContentType="application/vnd.openxmlformats-officedocument.spreadsheetml.worksheet+xml" PartName="/xl/worksheets/sheet20.xml"/>
  <Override ContentType="application/vnd.openxmlformats-officedocument.spreadsheetml.worksheet+xml" PartName="/xl/worksheets/sheet37.xml"/>
  <Override ContentType="application/vnd.openxmlformats-officedocument.spreadsheetml.worksheet+xml" PartName="/xl/worksheets/sheet1.xml"/>
  <Override ContentType="application/vnd.openxmlformats-officedocument.spreadsheetml.worksheet+xml" PartName="/xl/worksheets/sheet24.xml"/>
  <Override ContentType="application/vnd.openxmlformats-officedocument.spreadsheetml.worksheet+xml" PartName="/xl/worksheets/sheet9.xml"/>
  <Override ContentType="application/vnd.openxmlformats-officedocument.spreadsheetml.worksheet+xml" PartName="/xl/worksheets/sheet33.xml"/>
  <Override ContentType="application/vnd.openxmlformats-officedocument.spreadsheetml.worksheet+xml" PartName="/xl/worksheets/sheet4.xml"/>
  <Override ContentType="application/vnd.openxmlformats-officedocument.spreadsheetml.worksheet+xml" PartName="/xl/worksheets/sheet39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38.xml"/>
  <Override ContentType="application/vnd.openxmlformats-officedocument.spreadsheetml.worksheet+xml" PartName="/xl/worksheets/sheet25.xml"/>
  <Override ContentType="application/vnd.openxmlformats-officedocument.spreadsheetml.worksheet+xml" PartName="/xl/worksheets/sheet8.xml"/>
  <Override ContentType="application/vnd.openxmlformats-officedocument.spreadsheetml.worksheet+xml" PartName="/xl/worksheets/sheet34.xml"/>
  <Override ContentType="application/vnd.openxmlformats-officedocument.spreadsheetml.worksheet+xml" PartName="/xl/worksheets/sheet21.xml"/>
  <Override ContentType="application/vnd.openxmlformats-officedocument.spreadsheetml.worksheet+xml" PartName="/xl/worksheets/sheet30.xml"/>
  <Override ContentType="application/vnd.openxmlformats-officedocument.spreadsheetml.worksheet+xml" PartName="/xl/worksheets/sheet27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8.xml"/>
  <Override ContentType="application/vnd.openxmlformats-officedocument.spreadsheetml.worksheet+xml" PartName="/xl/worksheets/sheet26.xml"/>
  <Override ContentType="application/vnd.openxmlformats-officedocument.spreadsheetml.worksheet+xml" PartName="/xl/worksheets/sheet31.xml"/>
  <Override ContentType="application/vnd.openxmlformats-officedocument.spreadsheetml.worksheet+xml" PartName="/xl/worksheets/sheet3.xml"/>
  <Override ContentType="application/vnd.openxmlformats-officedocument.spreadsheetml.worksheet+xml" PartName="/xl/worksheets/sheet22.xml"/>
  <Override ContentType="application/vnd.openxmlformats-officedocument.spreadsheetml.worksheet+xml" PartName="/xl/worksheets/sheet7.xml"/>
  <Override ContentType="application/vnd.openxmlformats-officedocument.spreadsheetml.worksheet+xml" PartName="/xl/worksheets/sheet35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26.xml"/>
  <Override ContentType="application/vnd.openxmlformats-officedocument.drawing+xml" PartName="/xl/drawings/drawing9.xml"/>
  <Override ContentType="application/vnd.openxmlformats-officedocument.drawing+xml" PartName="/xl/drawings/drawing39.xml"/>
  <Override ContentType="application/vnd.openxmlformats-officedocument.drawing+xml" PartName="/xl/drawings/drawing13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25.xml"/>
  <Override ContentType="application/vnd.openxmlformats-officedocument.drawing+xml" PartName="/xl/drawings/drawing30.xml"/>
  <Override ContentType="application/vnd.openxmlformats-officedocument.drawing+xml" PartName="/xl/drawings/drawing34.xml"/>
  <Override ContentType="application/vnd.openxmlformats-officedocument.drawing+xml" PartName="/xl/drawings/drawing21.xml"/>
  <Override ContentType="application/vnd.openxmlformats-officedocument.drawing+xml" PartName="/xl/drawings/drawing27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31.xml"/>
  <Override ContentType="application/vnd.openxmlformats-officedocument.drawing+xml" PartName="/xl/drawings/drawing22.xml"/>
  <Override ContentType="application/vnd.openxmlformats-officedocument.drawing+xml" PartName="/xl/drawings/drawing35.xml"/>
  <Override ContentType="application/vnd.openxmlformats-officedocument.drawing+xml" PartName="/xl/drawings/drawing10.xml"/>
  <Override ContentType="application/vnd.openxmlformats-officedocument.drawing+xml" PartName="/xl/drawings/drawing28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36.xml"/>
  <Override ContentType="application/vnd.openxmlformats-officedocument.drawing+xml" PartName="/xl/drawings/drawing32.xml"/>
  <Override ContentType="application/vnd.openxmlformats-officedocument.drawing+xml" PartName="/xl/drawings/drawing23.xml"/>
  <Override ContentType="application/vnd.openxmlformats-officedocument.drawing+xml" PartName="/xl/drawings/drawing33.xml"/>
  <Override ContentType="application/vnd.openxmlformats-officedocument.drawing+xml" PartName="/xl/drawings/drawing38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19.xml"/>
  <Override ContentType="application/vnd.openxmlformats-officedocument.drawing+xml" PartName="/xl/drawings/drawing5.xml"/>
  <Override ContentType="application/vnd.openxmlformats-officedocument.drawing+xml" PartName="/xl/drawings/drawing29.xml"/>
  <Override ContentType="application/vnd.openxmlformats-officedocument.drawing+xml" PartName="/xl/drawings/drawing24.xml"/>
  <Override ContentType="application/vnd.openxmlformats-officedocument.drawing+xml" PartName="/xl/drawings/drawing11.xml"/>
  <Override ContentType="application/vnd.openxmlformats-officedocument.drawing+xml" PartName="/xl/drawings/drawing20.xml"/>
  <Override ContentType="application/vnd.openxmlformats-officedocument.drawing+xml" PartName="/xl/drawings/drawing37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assement Général" sheetId="1" r:id="rId4"/>
    <sheet state="visible" name="Classement général nom prénom" sheetId="2" r:id="rId5"/>
    <sheet state="visible" name="TOP 10" sheetId="3" r:id="rId6"/>
    <sheet state="visible" name="Classement S6" sheetId="4" r:id="rId7"/>
    <sheet state="visible" name="S6M1" sheetId="5" r:id="rId8"/>
    <sheet state="visible" name="S6M2" sheetId="6" r:id="rId9"/>
    <sheet state="visible" name="S6M3" sheetId="7" r:id="rId10"/>
    <sheet state="visible" name="S6M4" sheetId="8" r:id="rId11"/>
    <sheet state="visible" name="S6M5" sheetId="9" r:id="rId12"/>
    <sheet state="visible" name="S6M6" sheetId="10" r:id="rId13"/>
    <sheet state="visible" name="S6M7" sheetId="11" r:id="rId14"/>
    <sheet state="visible" name="S6M8" sheetId="12" r:id="rId15"/>
    <sheet state="visible" name="S6M9" sheetId="13" r:id="rId16"/>
    <sheet state="visible" name="S6M10" sheetId="14" r:id="rId17"/>
    <sheet state="visible" name="S6M11" sheetId="15" r:id="rId18"/>
    <sheet state="visible" name="Classement RoC" sheetId="16" r:id="rId19"/>
    <sheet state="visible" name="RoC1" sheetId="17" r:id="rId20"/>
    <sheet state="visible" name="RoC2" sheetId="18" r:id="rId21"/>
    <sheet state="visible" name="RoC3" sheetId="19" r:id="rId22"/>
    <sheet state="visible" name="RoC4" sheetId="20" r:id="rId23"/>
    <sheet state="visible" name="RoC5" sheetId="21" r:id="rId24"/>
    <sheet state="visible" name="RoC6" sheetId="22" r:id="rId25"/>
    <sheet state="visible" name="RoC7" sheetId="23" r:id="rId26"/>
    <sheet state="visible" name="RoC8" sheetId="24" r:id="rId27"/>
    <sheet state="visible" name="RoC9" sheetId="25" r:id="rId28"/>
    <sheet state="visible" name="RoC10" sheetId="26" r:id="rId29"/>
    <sheet state="visible" name="RoC11" sheetId="27" r:id="rId30"/>
    <sheet state="visible" name="Classement Surp" sheetId="28" r:id="rId31"/>
    <sheet state="visible" name="Surp1" sheetId="29" r:id="rId32"/>
    <sheet state="visible" name="Surp2" sheetId="30" r:id="rId33"/>
    <sheet state="visible" name="Surp3" sheetId="31" r:id="rId34"/>
    <sheet state="visible" name="Surp4" sheetId="32" r:id="rId35"/>
    <sheet state="visible" name="Surp5" sheetId="33" r:id="rId36"/>
    <sheet state="visible" name="Surp6" sheetId="34" r:id="rId37"/>
    <sheet state="visible" name="Surp7" sheetId="35" r:id="rId38"/>
    <sheet state="visible" name="Surp8" sheetId="36" r:id="rId39"/>
    <sheet state="visible" name="Surp9" sheetId="37" r:id="rId40"/>
    <sheet state="visible" name="Surp10" sheetId="38" r:id="rId41"/>
    <sheet state="visible" name="Surp11" sheetId="39" r:id="rId42"/>
  </sheets>
  <definedNames/>
  <calcPr/>
</workbook>
</file>

<file path=xl/sharedStrings.xml><?xml version="1.0" encoding="utf-8"?>
<sst xmlns="http://schemas.openxmlformats.org/spreadsheetml/2006/main" count="1034" uniqueCount="280">
  <si>
    <t>Classement</t>
  </si>
  <si>
    <t>PSEUDO</t>
  </si>
  <si>
    <t>Total</t>
  </si>
  <si>
    <t xml:space="preserve"> </t>
  </si>
  <si>
    <t>So SIX</t>
  </si>
  <si>
    <t>Roller Coaster</t>
  </si>
  <si>
    <t>Surprise</t>
  </si>
  <si>
    <t>immond</t>
  </si>
  <si>
    <t>FridAKahlo</t>
  </si>
  <si>
    <t>Dirty Bazaar</t>
  </si>
  <si>
    <t>Mako Lemore</t>
  </si>
  <si>
    <t>Patgaret</t>
  </si>
  <si>
    <t>christ86000</t>
  </si>
  <si>
    <t>Kevfurious</t>
  </si>
  <si>
    <t>8kinder6</t>
  </si>
  <si>
    <t>. BARBAPAPA66</t>
  </si>
  <si>
    <t>DonnesTchips</t>
  </si>
  <si>
    <t>Redblood92</t>
  </si>
  <si>
    <t>.choco</t>
  </si>
  <si>
    <t>Le_Pictavien</t>
  </si>
  <si>
    <t>SINGE7</t>
  </si>
  <si>
    <t>Fistipanda</t>
  </si>
  <si>
    <t>Kiki Bazaar</t>
  </si>
  <si>
    <t>gregmoore</t>
  </si>
  <si>
    <t>LEGOLEGOTE</t>
  </si>
  <si>
    <t>POMB1664</t>
  </si>
  <si>
    <t>Phil1308</t>
  </si>
  <si>
    <t>JM-Chatte</t>
  </si>
  <si>
    <t>Garou du 86</t>
  </si>
  <si>
    <t>PrendmAmAin</t>
  </si>
  <si>
    <t>fiodor86</t>
  </si>
  <si>
    <t>_Sale-Bet_</t>
  </si>
  <si>
    <t>Pachavi</t>
  </si>
  <si>
    <t>_VisMaVie_</t>
  </si>
  <si>
    <t>kiki86 x</t>
  </si>
  <si>
    <t>Like_A_Fish</t>
  </si>
  <si>
    <t>Elfy</t>
  </si>
  <si>
    <t>cassius-86</t>
  </si>
  <si>
    <t>A_iniesta</t>
  </si>
  <si>
    <t>lifeofpark</t>
  </si>
  <si>
    <t>StephBoss05</t>
  </si>
  <si>
    <t>Vaillant 86</t>
  </si>
  <si>
    <t>chatouill86</t>
  </si>
  <si>
    <t>jejehehe</t>
  </si>
  <si>
    <t>KamehamehAS</t>
  </si>
  <si>
    <t>erniedog56x</t>
  </si>
  <si>
    <t>NezuKO-demon</t>
  </si>
  <si>
    <t>Odile2Raise</t>
  </si>
  <si>
    <t>rastamokett</t>
  </si>
  <si>
    <t>Rod_John_VI</t>
  </si>
  <si>
    <t>PocketBike</t>
  </si>
  <si>
    <t>UnPetitJaune</t>
  </si>
  <si>
    <t>BBH 75</t>
  </si>
  <si>
    <t>GooodJooob</t>
  </si>
  <si>
    <t>BnHuR_MarCL.</t>
  </si>
  <si>
    <t>belussac</t>
  </si>
  <si>
    <t>hmnyocleaver</t>
  </si>
  <si>
    <t>--WondeR--</t>
  </si>
  <si>
    <t>karibette86</t>
  </si>
  <si>
    <t>AKlibur</t>
  </si>
  <si>
    <t>Tontonzgueg</t>
  </si>
  <si>
    <t>ledids</t>
  </si>
  <si>
    <t>Butterfly-as</t>
  </si>
  <si>
    <t>Mikalack</t>
  </si>
  <si>
    <t>Sab86360</t>
  </si>
  <si>
    <t>Bratake</t>
  </si>
  <si>
    <t>sonic86</t>
  </si>
  <si>
    <t>VietNems86</t>
  </si>
  <si>
    <t>pablo</t>
  </si>
  <si>
    <t>imberbe</t>
  </si>
  <si>
    <t>Mitch</t>
  </si>
  <si>
    <t>Manu8671</t>
  </si>
  <si>
    <t>KKPTETYO</t>
  </si>
  <si>
    <t>Cataleya86</t>
  </si>
  <si>
    <t>vicmackey86</t>
  </si>
  <si>
    <t>BRUNOWINNER</t>
  </si>
  <si>
    <t>Or&amp;l1</t>
  </si>
  <si>
    <t>Legabodu86</t>
  </si>
  <si>
    <t>Jennyyy8</t>
  </si>
  <si>
    <t>Steprou86</t>
  </si>
  <si>
    <t>marypops64</t>
  </si>
  <si>
    <t>-bartman-</t>
  </si>
  <si>
    <t>Titounio</t>
  </si>
  <si>
    <t>ludolab</t>
  </si>
  <si>
    <t>ariba</t>
  </si>
  <si>
    <t>COMBERS</t>
  </si>
  <si>
    <t>PSGJM</t>
  </si>
  <si>
    <t>Stross411</t>
  </si>
  <si>
    <t>Blochedu86</t>
  </si>
  <si>
    <t>riKKomaddog</t>
  </si>
  <si>
    <t>-Feline</t>
  </si>
  <si>
    <t>waasp.</t>
  </si>
  <si>
    <t>m86600b</t>
  </si>
  <si>
    <t>UniThe</t>
  </si>
  <si>
    <t>AD-ICE</t>
  </si>
  <si>
    <t>S.coco</t>
  </si>
  <si>
    <t>Chuckzim</t>
  </si>
  <si>
    <t>Modoriya</t>
  </si>
  <si>
    <t>CarlitoTwin</t>
  </si>
  <si>
    <t>kleinseb</t>
  </si>
  <si>
    <t>NOVICEMYSTIC</t>
  </si>
  <si>
    <t>mailie86</t>
  </si>
  <si>
    <t>Mar1desbois</t>
  </si>
  <si>
    <t>M2TH__off</t>
  </si>
  <si>
    <t>QQKicall</t>
  </si>
  <si>
    <t>CheckMoiCaaa</t>
  </si>
  <si>
    <t>DevilBock</t>
  </si>
  <si>
    <t>Ju</t>
  </si>
  <si>
    <t>Shrekozor</t>
  </si>
  <si>
    <t>gu3ul3Dang3</t>
  </si>
  <si>
    <t>_8-6_</t>
  </si>
  <si>
    <t>Rv86</t>
  </si>
  <si>
    <t>Forzouille57</t>
  </si>
  <si>
    <t>Dr Linebourg</t>
  </si>
  <si>
    <t>H S L G</t>
  </si>
  <si>
    <t>Kti</t>
  </si>
  <si>
    <t>x Patrick86</t>
  </si>
  <si>
    <t>KINCHUNK</t>
  </si>
  <si>
    <t>Mistral86</t>
  </si>
  <si>
    <t>botbot</t>
  </si>
  <si>
    <t>vu</t>
  </si>
  <si>
    <t>handpanistan</t>
  </si>
  <si>
    <t>Manimi67</t>
  </si>
  <si>
    <t>rivertalk</t>
  </si>
  <si>
    <t>hamsteroide</t>
  </si>
  <si>
    <t>Discobar</t>
  </si>
  <si>
    <t>chiffon</t>
  </si>
  <si>
    <t>Royo86</t>
  </si>
  <si>
    <t>Roussko</t>
  </si>
  <si>
    <t xml:space="preserve">Anais </t>
  </si>
  <si>
    <t>Manon</t>
  </si>
  <si>
    <t>Presci</t>
  </si>
  <si>
    <t>Anais</t>
  </si>
  <si>
    <t>patrick86370</t>
  </si>
  <si>
    <t>Seb-93</t>
  </si>
  <si>
    <t>Bouns</t>
  </si>
  <si>
    <t>Kinchuck</t>
  </si>
  <si>
    <t xml:space="preserve">amsteroide </t>
  </si>
  <si>
    <t>Gabus</t>
  </si>
  <si>
    <t>Jo</t>
  </si>
  <si>
    <t>LeYug</t>
  </si>
  <si>
    <t>Sylvain</t>
  </si>
  <si>
    <t>Sebos</t>
  </si>
  <si>
    <t xml:space="preserve">Marco </t>
  </si>
  <si>
    <t>Jaco</t>
  </si>
  <si>
    <t>Jul</t>
  </si>
  <si>
    <t>Crocet</t>
  </si>
  <si>
    <t>ElDaÏl</t>
  </si>
  <si>
    <t>greg869</t>
  </si>
  <si>
    <t>dent2lait</t>
  </si>
  <si>
    <t>Gabriel</t>
  </si>
  <si>
    <t>vicdolu86(!)</t>
  </si>
  <si>
    <t>Nom</t>
  </si>
  <si>
    <t>Prénom</t>
  </si>
  <si>
    <t>Bretaudeau</t>
  </si>
  <si>
    <t>Matthieu</t>
  </si>
  <si>
    <t>HEBRAS</t>
  </si>
  <si>
    <t>Jerome</t>
  </si>
  <si>
    <t>Lacombe</t>
  </si>
  <si>
    <t>Dorian</t>
  </si>
  <si>
    <t>Mickael</t>
  </si>
  <si>
    <t>Proust</t>
  </si>
  <si>
    <t>Général</t>
  </si>
  <si>
    <t>So6</t>
  </si>
  <si>
    <t>Prochains rendez-vous</t>
  </si>
  <si>
    <t>Online</t>
  </si>
  <si>
    <t>Live</t>
  </si>
  <si>
    <t>Roller</t>
  </si>
  <si>
    <t>Pseudo</t>
  </si>
  <si>
    <t>Points</t>
  </si>
  <si>
    <t>SoSix 1</t>
  </si>
  <si>
    <t>pts1</t>
  </si>
  <si>
    <t>SoSix 2</t>
  </si>
  <si>
    <t>pts2</t>
  </si>
  <si>
    <t>SoSix 3</t>
  </si>
  <si>
    <t>pts3</t>
  </si>
  <si>
    <t>SoSix 4</t>
  </si>
  <si>
    <t>pts4</t>
  </si>
  <si>
    <t>SoSix 5</t>
  </si>
  <si>
    <t>pts5</t>
  </si>
  <si>
    <t>SoSix 6</t>
  </si>
  <si>
    <t>pts6</t>
  </si>
  <si>
    <t>SoSix 7</t>
  </si>
  <si>
    <t>pts7</t>
  </si>
  <si>
    <t>SoSix 8</t>
  </si>
  <si>
    <t>pts8</t>
  </si>
  <si>
    <t>SoSix 9</t>
  </si>
  <si>
    <t>pts9</t>
  </si>
  <si>
    <t>SoSix 10</t>
  </si>
  <si>
    <t>pts10</t>
  </si>
  <si>
    <t>SoSix 11</t>
  </si>
  <si>
    <t>pts11</t>
  </si>
  <si>
    <t>Marypops64</t>
  </si>
  <si>
    <t>LaChenille86</t>
  </si>
  <si>
    <t>Devil Fish</t>
  </si>
  <si>
    <t>Divad</t>
  </si>
  <si>
    <t>sativaL</t>
  </si>
  <si>
    <t>PLACE</t>
  </si>
  <si>
    <t>Verif</t>
  </si>
  <si>
    <t>Erreurs</t>
  </si>
  <si>
    <t>Participants</t>
  </si>
  <si>
    <t>Roller Coaster 1</t>
  </si>
  <si>
    <t>pts</t>
  </si>
  <si>
    <t>Roller Coaster 2</t>
  </si>
  <si>
    <t>Roller Coaster 3</t>
  </si>
  <si>
    <t>Roller Coaster 4</t>
  </si>
  <si>
    <t>Roller Coaster 5</t>
  </si>
  <si>
    <t>Roller Coaster 6</t>
  </si>
  <si>
    <t>Roller Coaster 7</t>
  </si>
  <si>
    <t>Roller Coaster 8</t>
  </si>
  <si>
    <t>Roller Coaster 9</t>
  </si>
  <si>
    <t>Roller Coaster 10</t>
  </si>
  <si>
    <t>Roller Coaster 11</t>
  </si>
  <si>
    <t>Belussac</t>
  </si>
  <si>
    <t>Marco</t>
  </si>
  <si>
    <t>discobar2</t>
  </si>
  <si>
    <t>QQkicall</t>
  </si>
  <si>
    <t>fanny</t>
  </si>
  <si>
    <t>x calou61</t>
  </si>
  <si>
    <t>Surprise 1</t>
  </si>
  <si>
    <t>Surprise 2</t>
  </si>
  <si>
    <t>Surprise 3</t>
  </si>
  <si>
    <t>Surprise 4</t>
  </si>
  <si>
    <t>Surprise 5</t>
  </si>
  <si>
    <t>Surprise 6</t>
  </si>
  <si>
    <t>Surprise 7</t>
  </si>
  <si>
    <t>Surprise 8</t>
  </si>
  <si>
    <t>Surprise 9</t>
  </si>
  <si>
    <t>Surprise 10</t>
  </si>
  <si>
    <t>Surprise 11</t>
  </si>
  <si>
    <t>ag79</t>
  </si>
  <si>
    <t>vicdolu86</t>
  </si>
  <si>
    <t>Kantescino</t>
  </si>
  <si>
    <t>TontonZgueg</t>
  </si>
  <si>
    <t>tyman</t>
  </si>
  <si>
    <t>SIr_Tango</t>
  </si>
  <si>
    <t>currysauce23</t>
  </si>
  <si>
    <t>ceeme86</t>
  </si>
  <si>
    <t>suricatebiker</t>
  </si>
  <si>
    <t xml:space="preserve">Sylvain </t>
  </si>
  <si>
    <t>Vince</t>
  </si>
  <si>
    <t xml:space="preserve">Gabus </t>
  </si>
  <si>
    <t>titounio</t>
  </si>
  <si>
    <t>Lepetitjeton</t>
  </si>
  <si>
    <t>kingbuu</t>
  </si>
  <si>
    <t>Sixelaris</t>
  </si>
  <si>
    <t>-BartMan-</t>
  </si>
  <si>
    <t>roudoudou759</t>
  </si>
  <si>
    <t>A_Iniesta</t>
  </si>
  <si>
    <t>4-resteal-U</t>
  </si>
  <si>
    <t>Nananananar</t>
  </si>
  <si>
    <t>Thomas 86230</t>
  </si>
  <si>
    <t>Dofussina</t>
  </si>
  <si>
    <t>misterclown</t>
  </si>
  <si>
    <t>Somathlan86</t>
  </si>
  <si>
    <t>tamgram00</t>
  </si>
  <si>
    <t>GIVATORINC_b</t>
  </si>
  <si>
    <t>_Maverick86_</t>
  </si>
  <si>
    <t>Bartowski_</t>
  </si>
  <si>
    <t>siluros</t>
  </si>
  <si>
    <t>NicoB86</t>
  </si>
  <si>
    <t>Wadada410O</t>
  </si>
  <si>
    <t>DirtySanshez</t>
  </si>
  <si>
    <t>marlex86240</t>
  </si>
  <si>
    <t>Inchaloume</t>
  </si>
  <si>
    <t>-MIG-</t>
  </si>
  <si>
    <t>8InshallaH6</t>
  </si>
  <si>
    <t>Highlander79</t>
  </si>
  <si>
    <t>Miss_Prissy</t>
  </si>
  <si>
    <t>fr2d2</t>
  </si>
  <si>
    <t>lizidu98</t>
  </si>
  <si>
    <t>Laklot2Cmort</t>
  </si>
  <si>
    <t>..mamat86..</t>
  </si>
  <si>
    <t>mabouyas</t>
  </si>
  <si>
    <t>Sozenone</t>
  </si>
  <si>
    <t>sukkel</t>
  </si>
  <si>
    <t>Dug</t>
  </si>
  <si>
    <t>i K K i</t>
  </si>
  <si>
    <t>Loulou79</t>
  </si>
  <si>
    <t>bAArillAA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</si>
</sst>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dd d mmmm yyyy"/>
    <numFmt numFmtId="165" formatCode="#,##0&quot;€&quot;"/>
  </numFmts>
  <fonts count="44">
    <font>
      <sz val="11.0"/>
      <color theme="1"/>
      <name val="Calibri"/>
      <scheme val="minor"/>
    </font>
    <font>
      <b/>
      <sz val="12.0"/>
      <color rgb="FF000000"/>
      <name val="Calibri"/>
    </font>
    <font>
      <b/>
      <sz val="13.0"/>
      <color rgb="FF000000"/>
      <name val="Calibri"/>
    </font>
    <font>
      <b/>
      <sz val="13.0"/>
      <color rgb="FFFF0000"/>
      <name val="Calibri"/>
    </font>
    <font>
      <sz val="11.0"/>
      <color theme="1"/>
      <name val="Calibri"/>
    </font>
    <font>
      <sz val="11.0"/>
      <color rgb="FF000000"/>
      <name val="Calibri"/>
    </font>
    <font>
      <sz val="14.0"/>
      <color theme="1"/>
      <name val="Calibri"/>
    </font>
    <font>
      <sz val="11.0"/>
      <color rgb="FF000000"/>
      <name val="Docs-Inconsolata"/>
    </font>
    <font>
      <color theme="1"/>
      <name val="Calibri"/>
    </font>
    <font>
      <sz val="12.0"/>
      <color theme="1"/>
      <name val="Calibri"/>
    </font>
    <font>
      <color rgb="FF000000"/>
      <name val="Arial"/>
    </font>
    <font>
      <sz val="11.0"/>
      <color rgb="FF1F1F1F"/>
      <name val="Calibri"/>
    </font>
    <font>
      <sz val="10.0"/>
      <color theme="1"/>
      <name val="Calibri"/>
    </font>
    <font>
      <sz val="10.0"/>
      <color rgb="FF000000"/>
      <name val="Arial"/>
    </font>
    <font>
      <sz val="11.0"/>
      <color theme="1"/>
      <name val="&quot;Google Sans&quot;"/>
    </font>
    <font>
      <sz val="10.0"/>
      <color rgb="FF000000"/>
      <name val="Calibri"/>
    </font>
    <font/>
    <font>
      <sz val="9.0"/>
      <color theme="1"/>
      <name val="Google Sans Mono"/>
    </font>
    <font>
      <color theme="1"/>
      <name val="Calibri"/>
      <scheme val="minor"/>
    </font>
    <font>
      <sz val="9.0"/>
      <color rgb="FF000000"/>
      <name val="&quot;Google Sans Mono&quot;"/>
    </font>
    <font>
      <b/>
      <sz val="12.0"/>
      <color rgb="FFFFFFFF"/>
      <name val="Calibri"/>
    </font>
    <font>
      <b/>
      <sz val="13.0"/>
      <color rgb="FFFFFFFF"/>
      <name val="Calibri"/>
    </font>
    <font>
      <b/>
      <sz val="13.0"/>
      <color theme="0"/>
      <name val="Calibri"/>
    </font>
    <font>
      <b/>
      <sz val="10.0"/>
      <color theme="0"/>
      <name val="Calibri"/>
    </font>
    <font>
      <b/>
      <sz val="10.0"/>
      <color rgb="FFFFFFFF"/>
      <name val="Calibri"/>
    </font>
    <font>
      <b/>
      <sz val="12.0"/>
      <color theme="1"/>
      <name val="Calibri"/>
    </font>
    <font>
      <sz val="11.0"/>
      <color rgb="FF000000"/>
      <name val="Arial"/>
    </font>
    <font>
      <color theme="1"/>
      <name val="Arial"/>
    </font>
    <font>
      <sz val="10.0"/>
      <color theme="1"/>
      <name val="Arial"/>
    </font>
    <font>
      <b/>
      <sz val="11.0"/>
      <color theme="1"/>
      <name val="Calibri"/>
    </font>
    <font>
      <b/>
      <sz val="11.0"/>
      <color theme="0"/>
      <name val="Calibri"/>
    </font>
    <font>
      <b/>
      <sz val="11.0"/>
      <color rgb="FFFF0000"/>
      <name val="Calibri"/>
    </font>
    <font>
      <sz val="12.0"/>
      <color rgb="FF000118"/>
      <name val="Nunito Sans"/>
    </font>
    <font>
      <sz val="12.0"/>
      <color theme="1"/>
      <name val="Arial"/>
    </font>
    <font>
      <color rgb="FF1F1F1F"/>
      <name val="Arial"/>
    </font>
    <font>
      <sz val="12.0"/>
      <color rgb="FF0B57D0"/>
      <name val="Arial"/>
    </font>
    <font>
      <sz val="11.0"/>
      <color rgb="FF1F1F1F"/>
      <name val="&quot;Google Sans&quot;"/>
    </font>
    <font>
      <sz val="9.0"/>
      <color rgb="FF1F1F1F"/>
      <name val="&quot;Google Sans&quot;"/>
    </font>
    <font>
      <b/>
      <sz val="12.0"/>
      <color theme="0"/>
      <name val="Calibri"/>
    </font>
    <font>
      <sz val="10.0"/>
      <color rgb="FF1F1F1F"/>
      <name val="Arial"/>
    </font>
    <font>
      <sz val="11.0"/>
      <color rgb="FF000000"/>
      <name val="Inconsolata"/>
    </font>
    <font>
      <b/>
      <sz val="11.0"/>
      <color rgb="FFFFFFFF"/>
      <name val="Calibri"/>
    </font>
    <font>
      <sz val="12.0"/>
      <color rgb="FF000000"/>
      <name val="Calibri"/>
    </font>
    <font>
      <sz val="14.0"/>
      <color rgb="FF000000"/>
      <name val="Calibri"/>
    </font>
  </fonts>
  <fills count="20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  <fill>
      <patternFill patternType="solid">
        <fgColor rgb="FFC5E0B3"/>
        <bgColor rgb="FFC5E0B3"/>
      </patternFill>
    </fill>
    <fill>
      <patternFill patternType="solid">
        <fgColor rgb="FFF46524"/>
        <bgColor rgb="FFF46524"/>
      </patternFill>
    </fill>
    <fill>
      <patternFill patternType="solid">
        <fgColor rgb="FFF7CB4D"/>
        <bgColor rgb="FFF7CB4D"/>
      </patternFill>
    </fill>
    <fill>
      <patternFill patternType="solid">
        <fgColor rgb="FF4DD0E1"/>
        <bgColor rgb="FF4DD0E1"/>
      </patternFill>
    </fill>
    <fill>
      <patternFill patternType="solid">
        <fgColor rgb="FFFFFFFF"/>
        <bgColor rgb="FFFFFFFF"/>
      </patternFill>
    </fill>
    <fill>
      <patternFill patternType="solid">
        <fgColor rgb="FFFFE6DD"/>
        <bgColor rgb="FFFFE6DD"/>
      </patternFill>
    </fill>
    <fill>
      <patternFill patternType="solid">
        <fgColor rgb="FFFEF8E3"/>
        <bgColor rgb="FFFEF8E3"/>
      </patternFill>
    </fill>
    <fill>
      <patternFill patternType="solid">
        <fgColor rgb="FFE0F7FA"/>
        <bgColor rgb="FFE0F7FA"/>
      </patternFill>
    </fill>
    <fill>
      <patternFill patternType="solid">
        <fgColor theme="0"/>
        <bgColor theme="0"/>
      </patternFill>
    </fill>
    <fill>
      <patternFill patternType="solid">
        <fgColor rgb="FF8BC34A"/>
        <bgColor rgb="FF8BC34A"/>
      </patternFill>
    </fill>
    <fill>
      <patternFill patternType="solid">
        <fgColor rgb="FF5B95F9"/>
        <bgColor rgb="FF5B95F9"/>
      </patternFill>
    </fill>
    <fill>
      <patternFill patternType="solid">
        <fgColor rgb="FFEEF7E3"/>
        <bgColor rgb="FFEEF7E3"/>
      </patternFill>
    </fill>
    <fill>
      <patternFill patternType="solid">
        <fgColor rgb="FFE8F0FE"/>
        <bgColor rgb="FFE8F0FE"/>
      </patternFill>
    </fill>
    <fill>
      <patternFill patternType="solid">
        <fgColor rgb="FFFFFF00"/>
        <bgColor rgb="FFFFFF00"/>
      </patternFill>
    </fill>
    <fill>
      <patternFill patternType="solid">
        <fgColor rgb="FF4472C4"/>
        <bgColor rgb="FF4472C4"/>
      </patternFill>
    </fill>
    <fill>
      <patternFill patternType="solid">
        <fgColor rgb="FFD8D8D8"/>
        <bgColor rgb="FFD8D8D8"/>
      </patternFill>
    </fill>
    <fill>
      <patternFill patternType="solid">
        <fgColor rgb="FFD9E2F3"/>
        <bgColor rgb="FFD9E2F3"/>
      </patternFill>
    </fill>
  </fills>
  <borders count="15">
    <border/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8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0" fillId="0" fontId="2" numFmtId="0" xfId="0" applyAlignment="1" applyFont="1">
      <alignment horizontal="center" readingOrder="0" shrinkToFit="0" vertical="center" wrapText="1"/>
    </xf>
    <xf borderId="0" fillId="0" fontId="3" numFmtId="0" xfId="0" applyAlignment="1" applyFont="1">
      <alignment horizontal="center" shrinkToFit="0" vertical="center" wrapText="1"/>
    </xf>
    <xf borderId="0" fillId="0" fontId="4" numFmtId="0" xfId="0" applyAlignment="1" applyFont="1">
      <alignment horizontal="center" shrinkToFit="0" vertical="center" wrapText="1"/>
    </xf>
    <xf borderId="2" fillId="0" fontId="5" numFmtId="0" xfId="0" applyAlignment="1" applyBorder="1" applyFont="1">
      <alignment horizontal="center" readingOrder="0" shrinkToFit="0" vertical="bottom" wrapText="0"/>
    </xf>
    <xf borderId="3" fillId="0" fontId="6" numFmtId="2" xfId="0" applyAlignment="1" applyBorder="1" applyFont="1" applyNumberFormat="1">
      <alignment horizontal="center" shrinkToFit="0" vertical="center" wrapText="1"/>
    </xf>
    <xf borderId="2" fillId="0" fontId="6" numFmtId="2" xfId="0" applyAlignment="1" applyBorder="1" applyFont="1" applyNumberFormat="1">
      <alignment horizontal="center" shrinkToFit="0" vertical="center" wrapText="1"/>
    </xf>
    <xf borderId="2" fillId="0" fontId="4" numFmtId="2" xfId="0" applyAlignment="1" applyBorder="1" applyFont="1" applyNumberFormat="1">
      <alignment horizontal="center" shrinkToFit="0" vertical="center" wrapText="1"/>
    </xf>
    <xf borderId="2" fillId="0" fontId="7" numFmtId="0" xfId="0" applyAlignment="1" applyBorder="1" applyFont="1">
      <alignment horizontal="center" readingOrder="0"/>
    </xf>
    <xf borderId="2" fillId="0" fontId="6" numFmtId="2" xfId="0" applyAlignment="1" applyBorder="1" applyFont="1" applyNumberFormat="1">
      <alignment horizontal="center" shrinkToFit="0" vertical="center" wrapText="1"/>
    </xf>
    <xf borderId="2" fillId="0" fontId="4" numFmtId="2" xfId="0" applyAlignment="1" applyBorder="1" applyFont="1" applyNumberFormat="1">
      <alignment horizontal="center" shrinkToFit="0" vertical="center" wrapText="1"/>
    </xf>
    <xf borderId="2" fillId="0" fontId="8" numFmtId="0" xfId="0" applyAlignment="1" applyBorder="1" applyFont="1">
      <alignment horizontal="center" readingOrder="0"/>
    </xf>
    <xf borderId="2" fillId="0" fontId="9" numFmtId="2" xfId="0" applyAlignment="1" applyBorder="1" applyFont="1" applyNumberFormat="1">
      <alignment horizontal="center" shrinkToFit="0" vertical="center" wrapText="1"/>
    </xf>
    <xf borderId="2" fillId="0" fontId="10" numFmtId="0" xfId="0" applyAlignment="1" applyBorder="1" applyFont="1">
      <alignment horizontal="center" readingOrder="0" shrinkToFit="0" vertical="bottom" wrapText="0"/>
    </xf>
    <xf borderId="2" fillId="0" fontId="8" numFmtId="0" xfId="0" applyAlignment="1" applyBorder="1" applyFont="1">
      <alignment horizontal="center" readingOrder="0"/>
    </xf>
    <xf borderId="2" fillId="0" fontId="4" numFmtId="0" xfId="0" applyAlignment="1" applyBorder="1" applyFont="1">
      <alignment horizontal="center" readingOrder="0"/>
    </xf>
    <xf borderId="2" fillId="2" fontId="11" numFmtId="0" xfId="0" applyAlignment="1" applyBorder="1" applyFill="1" applyFont="1">
      <alignment horizontal="center" vertical="bottom"/>
    </xf>
    <xf borderId="2" fillId="0" fontId="12" numFmtId="0" xfId="0" applyAlignment="1" applyBorder="1" applyFont="1">
      <alignment horizontal="center" readingOrder="0"/>
    </xf>
    <xf borderId="0" fillId="0" fontId="4" numFmtId="0" xfId="0" applyAlignment="1" applyFont="1">
      <alignment horizontal="center" readingOrder="0"/>
    </xf>
    <xf borderId="2" fillId="0" fontId="13" numFmtId="0" xfId="0" applyAlignment="1" applyBorder="1" applyFont="1">
      <alignment horizontal="center" readingOrder="0"/>
    </xf>
    <xf borderId="0" fillId="0" fontId="13" numFmtId="0" xfId="0" applyAlignment="1" applyFont="1">
      <alignment horizontal="center" readingOrder="0"/>
    </xf>
    <xf borderId="2" fillId="3" fontId="11" numFmtId="0" xfId="0" applyAlignment="1" applyBorder="1" applyFill="1" applyFont="1">
      <alignment horizontal="center" vertical="bottom"/>
    </xf>
    <xf borderId="2" fillId="0" fontId="11" numFmtId="0" xfId="0" applyAlignment="1" applyBorder="1" applyFont="1">
      <alignment horizontal="center" readingOrder="0"/>
    </xf>
    <xf borderId="2" fillId="0" fontId="14" numFmtId="0" xfId="0" applyAlignment="1" applyBorder="1" applyFont="1">
      <alignment horizontal="center" readingOrder="0"/>
    </xf>
    <xf borderId="2" fillId="0" fontId="12" numFmtId="0" xfId="0" applyAlignment="1" applyBorder="1" applyFont="1">
      <alignment horizontal="center" readingOrder="0"/>
    </xf>
    <xf borderId="2" fillId="0" fontId="15" numFmtId="0" xfId="0" applyAlignment="1" applyBorder="1" applyFont="1">
      <alignment horizontal="center" readingOrder="0" shrinkToFit="0" vertical="bottom" wrapText="0"/>
    </xf>
    <xf borderId="2" fillId="0" fontId="8" numFmtId="0" xfId="0" applyAlignment="1" applyBorder="1" applyFont="1">
      <alignment horizontal="center"/>
    </xf>
    <xf borderId="0" fillId="0" fontId="1" numFmtId="0" xfId="0" applyAlignment="1" applyFon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bottom" wrapText="0"/>
    </xf>
    <xf borderId="0" fillId="0" fontId="5" numFmtId="0" xfId="0" applyAlignment="1" applyFont="1">
      <alignment horizontal="center" readingOrder="0" shrinkToFit="0" vertical="bottom" wrapText="0"/>
    </xf>
    <xf borderId="0" fillId="0" fontId="8" numFmtId="0" xfId="0" applyAlignment="1" applyFont="1">
      <alignment horizontal="center" readingOrder="0"/>
    </xf>
    <xf borderId="4" fillId="4" fontId="12" numFmtId="0" xfId="0" applyAlignment="1" applyBorder="1" applyFill="1" applyFont="1">
      <alignment horizontal="center" readingOrder="0"/>
    </xf>
    <xf borderId="5" fillId="4" fontId="16" numFmtId="0" xfId="0" applyBorder="1" applyFont="1"/>
    <xf borderId="3" fillId="4" fontId="16" numFmtId="0" xfId="0" applyBorder="1" applyFont="1"/>
    <xf borderId="4" fillId="5" fontId="12" numFmtId="0" xfId="0" applyAlignment="1" applyBorder="1" applyFill="1" applyFont="1">
      <alignment horizontal="center" readingOrder="0"/>
    </xf>
    <xf borderId="5" fillId="5" fontId="16" numFmtId="0" xfId="0" applyBorder="1" applyFont="1"/>
    <xf borderId="3" fillId="5" fontId="16" numFmtId="0" xfId="0" applyBorder="1" applyFont="1"/>
    <xf borderId="4" fillId="6" fontId="4" numFmtId="0" xfId="0" applyAlignment="1" applyBorder="1" applyFill="1" applyFont="1">
      <alignment horizontal="center" readingOrder="0"/>
    </xf>
    <xf borderId="5" fillId="0" fontId="16" numFmtId="0" xfId="0" applyBorder="1" applyFont="1"/>
    <xf borderId="3" fillId="0" fontId="16" numFmtId="0" xfId="0" applyBorder="1" applyFont="1"/>
    <xf borderId="0" fillId="0" fontId="12" numFmtId="0" xfId="0" applyFont="1"/>
    <xf borderId="2" fillId="7" fontId="17" numFmtId="0" xfId="0" applyAlignment="1" applyBorder="1" applyFill="1" applyFont="1">
      <alignment horizontal="center" readingOrder="0"/>
    </xf>
    <xf borderId="2" fillId="7" fontId="12" numFmtId="0" xfId="0" applyAlignment="1" applyBorder="1" applyFont="1">
      <alignment horizontal="center"/>
    </xf>
    <xf borderId="2" fillId="7" fontId="12" numFmtId="2" xfId="0" applyAlignment="1" applyBorder="1" applyFont="1" applyNumberFormat="1">
      <alignment horizontal="center"/>
    </xf>
    <xf borderId="2" fillId="7" fontId="12" numFmtId="0" xfId="0" applyAlignment="1" applyBorder="1" applyFont="1">
      <alignment horizontal="center" readingOrder="0"/>
    </xf>
    <xf borderId="2" fillId="7" fontId="12" numFmtId="1" xfId="0" applyAlignment="1" applyBorder="1" applyFont="1" applyNumberFormat="1">
      <alignment horizontal="center"/>
    </xf>
    <xf borderId="3" fillId="6" fontId="16" numFmtId="0" xfId="0" applyBorder="1" applyFont="1"/>
    <xf borderId="2" fillId="8" fontId="12" numFmtId="0" xfId="0" applyAlignment="1" applyBorder="1" applyFill="1" applyFont="1">
      <alignment horizontal="center" readingOrder="0"/>
    </xf>
    <xf borderId="2" fillId="8" fontId="12" numFmtId="0" xfId="0" applyAlignment="1" applyBorder="1" applyFont="1">
      <alignment horizontal="center"/>
    </xf>
    <xf borderId="2" fillId="8" fontId="12" numFmtId="2" xfId="0" applyAlignment="1" applyBorder="1" applyFont="1" applyNumberFormat="1">
      <alignment horizontal="center"/>
    </xf>
    <xf borderId="2" fillId="9" fontId="12" numFmtId="0" xfId="0" applyAlignment="1" applyBorder="1" applyFill="1" applyFont="1">
      <alignment horizontal="center" readingOrder="0"/>
    </xf>
    <xf borderId="2" fillId="9" fontId="12" numFmtId="0" xfId="0" applyAlignment="1" applyBorder="1" applyFont="1">
      <alignment horizontal="center"/>
    </xf>
    <xf borderId="2" fillId="9" fontId="12" numFmtId="1" xfId="0" applyAlignment="1" applyBorder="1" applyFont="1" applyNumberFormat="1">
      <alignment horizontal="center"/>
    </xf>
    <xf borderId="6" fillId="7" fontId="5" numFmtId="164" xfId="0" applyAlignment="1" applyBorder="1" applyFont="1" applyNumberFormat="1">
      <alignment horizontal="right"/>
    </xf>
    <xf borderId="7" fillId="7" fontId="4" numFmtId="0" xfId="0" applyAlignment="1" applyBorder="1" applyFont="1">
      <alignment horizontal="left"/>
    </xf>
    <xf borderId="6" fillId="7" fontId="5" numFmtId="164" xfId="0" applyAlignment="1" applyBorder="1" applyFont="1" applyNumberFormat="1">
      <alignment readingOrder="0"/>
    </xf>
    <xf borderId="7" fillId="7" fontId="4" numFmtId="0" xfId="0" applyBorder="1" applyFont="1"/>
    <xf borderId="8" fillId="10" fontId="4" numFmtId="164" xfId="0" applyAlignment="1" applyBorder="1" applyFill="1" applyFont="1" applyNumberFormat="1">
      <alignment horizontal="right"/>
    </xf>
    <xf borderId="9" fillId="10" fontId="4" numFmtId="165" xfId="0" applyAlignment="1" applyBorder="1" applyFont="1" applyNumberFormat="1">
      <alignment horizontal="left"/>
    </xf>
    <xf borderId="8" fillId="10" fontId="4" numFmtId="164" xfId="0" applyBorder="1" applyFont="1" applyNumberFormat="1"/>
    <xf borderId="9" fillId="10" fontId="4" numFmtId="0" xfId="0" applyBorder="1" applyFont="1"/>
    <xf borderId="8" fillId="7" fontId="4" numFmtId="164" xfId="0" applyAlignment="1" applyBorder="1" applyFont="1" applyNumberFormat="1">
      <alignment horizontal="right"/>
    </xf>
    <xf borderId="9" fillId="7" fontId="4" numFmtId="165" xfId="0" applyAlignment="1" applyBorder="1" applyFont="1" applyNumberFormat="1">
      <alignment horizontal="left"/>
    </xf>
    <xf borderId="8" fillId="7" fontId="4" numFmtId="164" xfId="0" applyBorder="1" applyFont="1" applyNumberFormat="1"/>
    <xf borderId="9" fillId="7" fontId="4" numFmtId="0" xfId="0" applyBorder="1" applyFont="1"/>
    <xf borderId="9" fillId="10" fontId="4" numFmtId="0" xfId="0" applyAlignment="1" applyBorder="1" applyFont="1">
      <alignment horizontal="left"/>
    </xf>
    <xf borderId="10" fillId="10" fontId="4" numFmtId="164" xfId="0" applyAlignment="1" applyBorder="1" applyFont="1" applyNumberFormat="1">
      <alignment horizontal="right"/>
    </xf>
    <xf borderId="11" fillId="10" fontId="4" numFmtId="165" xfId="0" applyAlignment="1" applyBorder="1" applyFont="1" applyNumberFormat="1">
      <alignment horizontal="left"/>
    </xf>
    <xf borderId="10" fillId="10" fontId="4" numFmtId="164" xfId="0" applyBorder="1" applyFont="1" applyNumberFormat="1"/>
    <xf borderId="11" fillId="10" fontId="4" numFmtId="0" xfId="0" applyBorder="1" applyFont="1"/>
    <xf borderId="0" fillId="11" fontId="18" numFmtId="0" xfId="0" applyFill="1" applyFont="1"/>
    <xf borderId="0" fillId="11" fontId="19" numFmtId="0" xfId="0" applyAlignment="1" applyFont="1">
      <alignment readingOrder="0"/>
    </xf>
    <xf borderId="4" fillId="12" fontId="12" numFmtId="0" xfId="0" applyAlignment="1" applyBorder="1" applyFill="1" applyFont="1">
      <alignment horizontal="center" readingOrder="0"/>
    </xf>
    <xf borderId="5" fillId="12" fontId="16" numFmtId="0" xfId="0" applyBorder="1" applyFont="1"/>
    <xf borderId="3" fillId="12" fontId="16" numFmtId="0" xfId="0" applyBorder="1" applyFont="1"/>
    <xf borderId="4" fillId="13" fontId="12" numFmtId="0" xfId="0" applyAlignment="1" applyBorder="1" applyFill="1" applyFont="1">
      <alignment horizontal="center" readingOrder="0"/>
    </xf>
    <xf borderId="5" fillId="13" fontId="16" numFmtId="0" xfId="0" applyBorder="1" applyFont="1"/>
    <xf borderId="3" fillId="13" fontId="16" numFmtId="0" xfId="0" applyBorder="1" applyFont="1"/>
    <xf borderId="2" fillId="14" fontId="12" numFmtId="0" xfId="0" applyAlignment="1" applyBorder="1" applyFill="1" applyFont="1">
      <alignment horizontal="center" readingOrder="0"/>
    </xf>
    <xf borderId="2" fillId="14" fontId="12" numFmtId="0" xfId="0" applyAlignment="1" applyBorder="1" applyFont="1">
      <alignment horizontal="center"/>
    </xf>
    <xf borderId="2" fillId="14" fontId="12" numFmtId="1" xfId="0" applyAlignment="1" applyBorder="1" applyFont="1" applyNumberFormat="1">
      <alignment horizontal="center"/>
    </xf>
    <xf borderId="2" fillId="15" fontId="12" numFmtId="0" xfId="0" applyAlignment="1" applyBorder="1" applyFill="1" applyFont="1">
      <alignment horizontal="center" readingOrder="0"/>
    </xf>
    <xf borderId="2" fillId="15" fontId="12" numFmtId="0" xfId="0" applyAlignment="1" applyBorder="1" applyFont="1">
      <alignment horizontal="center"/>
    </xf>
    <xf borderId="2" fillId="15" fontId="12" numFmtId="1" xfId="0" applyAlignment="1" applyBorder="1" applyFont="1" applyNumberFormat="1">
      <alignment horizontal="center"/>
    </xf>
    <xf borderId="0" fillId="11" fontId="12" numFmtId="0" xfId="0" applyFont="1"/>
    <xf borderId="2" fillId="0" fontId="20" numFmtId="0" xfId="0" applyAlignment="1" applyBorder="1" applyFont="1">
      <alignment horizontal="center" shrinkToFit="0" vertical="center" wrapText="1"/>
    </xf>
    <xf borderId="2" fillId="0" fontId="21" numFmtId="2" xfId="0" applyAlignment="1" applyBorder="1" applyFont="1" applyNumberFormat="1">
      <alignment horizontal="center" shrinkToFit="0" vertical="center" wrapText="1"/>
    </xf>
    <xf borderId="2" fillId="0" fontId="22" numFmtId="2" xfId="0" applyAlignment="1" applyBorder="1" applyFont="1" applyNumberFormat="1">
      <alignment horizontal="center" shrinkToFit="0" vertical="center" wrapText="1"/>
    </xf>
    <xf borderId="2" fillId="0" fontId="23" numFmtId="2" xfId="0" applyAlignment="1" applyBorder="1" applyFont="1" applyNumberFormat="1">
      <alignment horizontal="center" shrinkToFit="0" vertical="center" wrapText="1"/>
    </xf>
    <xf borderId="2" fillId="0" fontId="24" numFmtId="2" xfId="0" applyAlignment="1" applyBorder="1" applyFont="1" applyNumberFormat="1">
      <alignment horizontal="center" shrinkToFit="0" vertical="center" wrapText="1"/>
    </xf>
    <xf borderId="2" fillId="0" fontId="9" numFmtId="0" xfId="0" applyAlignment="1" applyBorder="1" applyFont="1">
      <alignment horizontal="center" readingOrder="0" shrinkToFit="0" vertical="center" wrapText="1"/>
    </xf>
    <xf borderId="2" fillId="0" fontId="6" numFmtId="1" xfId="0" applyAlignment="1" applyBorder="1" applyFont="1" applyNumberFormat="1">
      <alignment horizontal="center" shrinkToFit="0" wrapText="1"/>
    </xf>
    <xf borderId="2" fillId="0" fontId="4" numFmtId="1" xfId="0" applyAlignment="1" applyBorder="1" applyFont="1" applyNumberFormat="1">
      <alignment horizontal="center" shrinkToFit="0" wrapText="1"/>
    </xf>
    <xf borderId="2" fillId="0" fontId="25" numFmtId="1" xfId="0" applyAlignment="1" applyBorder="1" applyFont="1" applyNumberFormat="1">
      <alignment horizontal="center" shrinkToFit="0" wrapText="1"/>
    </xf>
    <xf borderId="2" fillId="0" fontId="4" numFmtId="0" xfId="0" applyAlignment="1" applyBorder="1" applyFont="1">
      <alignment horizontal="center" readingOrder="0" vertical="bottom"/>
    </xf>
    <xf borderId="2" fillId="0" fontId="25" numFmtId="1" xfId="0" applyAlignment="1" applyBorder="1" applyFont="1" applyNumberFormat="1">
      <alignment horizontal="center" shrinkToFit="0" wrapText="1"/>
    </xf>
    <xf borderId="2" fillId="0" fontId="4" numFmtId="0" xfId="0" applyAlignment="1" applyBorder="1" applyFont="1">
      <alignment horizontal="center" readingOrder="0" vertical="bottom"/>
    </xf>
    <xf borderId="2" fillId="0" fontId="11" numFmtId="0" xfId="0" applyAlignment="1" applyBorder="1" applyFont="1">
      <alignment horizontal="center" readingOrder="0"/>
    </xf>
    <xf borderId="2" fillId="0" fontId="26" numFmtId="0" xfId="0" applyAlignment="1" applyBorder="1" applyFont="1">
      <alignment horizontal="center" readingOrder="0"/>
    </xf>
    <xf borderId="2" fillId="0" fontId="4" numFmtId="0" xfId="0" applyAlignment="1" applyBorder="1" applyFont="1">
      <alignment horizontal="center" readingOrder="0"/>
    </xf>
    <xf quotePrefix="1" borderId="2" fillId="0" fontId="4" numFmtId="0" xfId="0" applyAlignment="1" applyBorder="1" applyFont="1">
      <alignment horizontal="center" readingOrder="0" vertical="bottom"/>
    </xf>
    <xf borderId="2" fillId="0" fontId="4" numFmtId="0" xfId="0" applyAlignment="1" applyBorder="1" applyFont="1">
      <alignment horizontal="center"/>
    </xf>
    <xf borderId="2" fillId="0" fontId="27" numFmtId="0" xfId="0" applyAlignment="1" applyBorder="1" applyFont="1">
      <alignment horizontal="center" readingOrder="0" vertical="bottom"/>
    </xf>
    <xf borderId="2" fillId="0" fontId="5" numFmtId="0" xfId="0" applyAlignment="1" applyBorder="1" applyFont="1">
      <alignment horizontal="center" readingOrder="0" shrinkToFit="0" vertical="bottom" wrapText="0"/>
    </xf>
    <xf borderId="2" fillId="0" fontId="4" numFmtId="0" xfId="0" applyAlignment="1" applyBorder="1" applyFont="1">
      <alignment horizontal="center" vertical="bottom"/>
    </xf>
    <xf borderId="2" fillId="0" fontId="28" numFmtId="0" xfId="0" applyAlignment="1" applyBorder="1" applyFont="1">
      <alignment horizontal="center" shrinkToFit="0" wrapText="1"/>
    </xf>
    <xf borderId="2" fillId="0" fontId="4" numFmtId="0" xfId="0" applyAlignment="1" applyBorder="1" applyFont="1">
      <alignment horizontal="center" shrinkToFit="0" wrapText="1"/>
    </xf>
    <xf borderId="2" fillId="0" fontId="9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2" fillId="0" fontId="4" numFmtId="0" xfId="0" applyAlignment="1" applyBorder="1" applyFont="1">
      <alignment horizontal="center" shrinkToFit="0" vertical="center" wrapText="1"/>
    </xf>
    <xf borderId="2" fillId="0" fontId="29" numFmtId="0" xfId="0" applyAlignment="1" applyBorder="1" applyFont="1">
      <alignment horizontal="center" shrinkToFit="0" vertical="center" wrapText="1"/>
    </xf>
    <xf borderId="2" fillId="0" fontId="25" numFmtId="2" xfId="0" applyAlignment="1" applyBorder="1" applyFont="1" applyNumberFormat="1">
      <alignment horizontal="center" shrinkToFit="0" vertical="center" wrapText="1"/>
    </xf>
    <xf borderId="2" fillId="0" fontId="18" numFmtId="0" xfId="0" applyBorder="1" applyFont="1"/>
    <xf borderId="11" fillId="0" fontId="28" numFmtId="0" xfId="0" applyAlignment="1" applyBorder="1" applyFont="1">
      <alignment horizontal="center"/>
    </xf>
    <xf borderId="12" fillId="0" fontId="28" numFmtId="0" xfId="0" applyAlignment="1" applyBorder="1" applyFont="1">
      <alignment horizontal="center"/>
    </xf>
    <xf borderId="10" fillId="0" fontId="30" numFmtId="0" xfId="0" applyAlignment="1" applyBorder="1" applyFont="1">
      <alignment horizontal="center"/>
    </xf>
    <xf borderId="3" fillId="0" fontId="4" numFmtId="0" xfId="0" applyBorder="1" applyFont="1"/>
    <xf borderId="2" fillId="0" fontId="31" numFmtId="0" xfId="0" applyAlignment="1" applyBorder="1" applyFont="1">
      <alignment horizontal="center"/>
    </xf>
    <xf borderId="2" fillId="0" fontId="4" numFmtId="0" xfId="0" applyBorder="1" applyFont="1"/>
    <xf borderId="0" fillId="16" fontId="32" numFmtId="0" xfId="0" applyFill="1" applyFont="1"/>
    <xf borderId="2" fillId="0" fontId="33" numFmtId="0" xfId="0" applyAlignment="1" applyBorder="1" applyFont="1">
      <alignment horizontal="left"/>
    </xf>
    <xf borderId="2" fillId="0" fontId="4" numFmtId="2" xfId="0" applyBorder="1" applyFont="1" applyNumberFormat="1"/>
    <xf borderId="2" fillId="0" fontId="4" numFmtId="0" xfId="0" applyBorder="1" applyFont="1"/>
    <xf borderId="2" fillId="0" fontId="29" numFmtId="0" xfId="0" applyBorder="1" applyFont="1"/>
    <xf borderId="0" fillId="7" fontId="34" numFmtId="0" xfId="0" applyAlignment="1" applyFont="1">
      <alignment horizontal="left"/>
    </xf>
    <xf borderId="2" fillId="7" fontId="35" numFmtId="0" xfId="0" applyAlignment="1" applyBorder="1" applyFont="1">
      <alignment horizontal="left"/>
    </xf>
    <xf borderId="0" fillId="0" fontId="4" numFmtId="0" xfId="0" applyAlignment="1" applyFont="1">
      <alignment horizontal="center"/>
    </xf>
    <xf borderId="0" fillId="7" fontId="36" numFmtId="0" xfId="0" applyAlignment="1" applyFont="1">
      <alignment readingOrder="0"/>
    </xf>
    <xf borderId="0" fillId="7" fontId="37" numFmtId="0" xfId="0" applyAlignment="1" applyFont="1">
      <alignment readingOrder="0"/>
    </xf>
    <xf borderId="0" fillId="0" fontId="18" numFmtId="0" xfId="0" applyAlignment="1" applyFont="1">
      <alignment readingOrder="0"/>
    </xf>
    <xf borderId="2" fillId="0" fontId="29" numFmtId="0" xfId="0" applyAlignment="1" applyBorder="1" applyFont="1">
      <alignment horizontal="center" shrinkToFit="0" vertical="center" wrapText="1"/>
    </xf>
    <xf borderId="2" fillId="0" fontId="38" numFmtId="0" xfId="0" applyAlignment="1" applyBorder="1" applyFont="1">
      <alignment horizontal="center" shrinkToFit="0" vertical="center" wrapText="1"/>
    </xf>
    <xf borderId="2" fillId="0" fontId="21" numFmtId="2" xfId="0" applyAlignment="1" applyBorder="1" applyFont="1" applyNumberFormat="1">
      <alignment horizontal="center" readingOrder="0" shrinkToFit="0" vertical="center" wrapText="1"/>
    </xf>
    <xf borderId="2" fillId="0" fontId="9" numFmtId="0" xfId="0" applyAlignment="1" applyBorder="1" applyFont="1">
      <alignment horizontal="center" readingOrder="0" shrinkToFit="0" vertical="center" wrapText="1"/>
    </xf>
    <xf borderId="2" fillId="0" fontId="6" numFmtId="1" xfId="0" applyAlignment="1" applyBorder="1" applyFont="1" applyNumberFormat="1">
      <alignment horizontal="center" shrinkToFit="0" wrapText="1"/>
    </xf>
    <xf borderId="2" fillId="0" fontId="4" numFmtId="1" xfId="0" applyAlignment="1" applyBorder="1" applyFont="1" applyNumberFormat="1">
      <alignment horizontal="center" shrinkToFit="0" wrapText="1"/>
    </xf>
    <xf borderId="2" fillId="0" fontId="39" numFmtId="0" xfId="0" applyAlignment="1" applyBorder="1" applyFont="1">
      <alignment horizontal="center" readingOrder="0"/>
    </xf>
    <xf borderId="2" fillId="0" fontId="5" numFmtId="0" xfId="0" applyAlignment="1" applyBorder="1" applyFont="1">
      <alignment horizontal="center" readingOrder="0"/>
    </xf>
    <xf borderId="2" fillId="0" fontId="40" numFmtId="0" xfId="0" applyAlignment="1" applyBorder="1" applyFont="1">
      <alignment horizontal="center" readingOrder="0"/>
    </xf>
    <xf borderId="2" fillId="0" fontId="37" numFmtId="0" xfId="0" applyAlignment="1" applyBorder="1" applyFont="1">
      <alignment horizontal="center" readingOrder="0"/>
    </xf>
    <xf borderId="2" fillId="0" fontId="4" numFmtId="0" xfId="0" applyAlignment="1" applyBorder="1" applyFont="1">
      <alignment horizontal="center" readingOrder="0" shrinkToFit="0" wrapText="1"/>
    </xf>
    <xf borderId="2" fillId="0" fontId="7" numFmtId="0" xfId="0" applyAlignment="1" applyBorder="1" applyFont="1">
      <alignment horizontal="left" readingOrder="0"/>
    </xf>
    <xf borderId="2" fillId="0" fontId="4" numFmtId="0" xfId="0" applyAlignment="1" applyBorder="1" applyFont="1">
      <alignment shrinkToFit="0" wrapText="1"/>
    </xf>
    <xf borderId="2" fillId="0" fontId="4" numFmtId="2" xfId="0" applyAlignment="1" applyBorder="1" applyFont="1" applyNumberFormat="1">
      <alignment horizontal="center" shrinkToFit="0" wrapText="1"/>
    </xf>
    <xf borderId="2" fillId="0" fontId="25" numFmtId="2" xfId="0" applyAlignment="1" applyBorder="1" applyFont="1" applyNumberFormat="1">
      <alignment horizontal="center" shrinkToFit="0" wrapText="1"/>
    </xf>
    <xf borderId="2" fillId="0" fontId="4" numFmtId="2" xfId="0" applyAlignment="1" applyBorder="1" applyFont="1" applyNumberFormat="1">
      <alignment shrinkToFit="0" wrapText="1"/>
    </xf>
    <xf borderId="11" fillId="17" fontId="27" numFmtId="0" xfId="0" applyAlignment="1" applyBorder="1" applyFill="1" applyFont="1">
      <alignment horizontal="center" readingOrder="0" vertical="bottom"/>
    </xf>
    <xf borderId="11" fillId="17" fontId="27" numFmtId="0" xfId="0" applyAlignment="1" applyBorder="1" applyFont="1">
      <alignment horizontal="center" vertical="bottom"/>
    </xf>
    <xf borderId="13" fillId="17" fontId="41" numFmtId="0" xfId="0" applyAlignment="1" applyBorder="1" applyFont="1">
      <alignment horizontal="center" vertical="bottom"/>
    </xf>
    <xf borderId="3" fillId="17" fontId="4" numFmtId="0" xfId="0" applyAlignment="1" applyBorder="1" applyFont="1">
      <alignment vertical="bottom"/>
    </xf>
    <xf borderId="3" fillId="0" fontId="31" numFmtId="0" xfId="0" applyAlignment="1" applyBorder="1" applyFont="1">
      <alignment horizontal="center" vertical="bottom"/>
    </xf>
    <xf borderId="3" fillId="0" fontId="4" numFmtId="0" xfId="0" applyAlignment="1" applyBorder="1" applyFont="1">
      <alignment vertical="bottom"/>
    </xf>
    <xf borderId="0" fillId="0" fontId="4" numFmtId="0" xfId="0" applyAlignment="1" applyFont="1">
      <alignment vertical="bottom"/>
    </xf>
    <xf borderId="2" fillId="7" fontId="40" numFmtId="0" xfId="0" applyBorder="1" applyFont="1"/>
    <xf borderId="11" fillId="18" fontId="4" numFmtId="0" xfId="0" applyAlignment="1" applyBorder="1" applyFill="1" applyFont="1">
      <alignment horizontal="center" vertical="bottom"/>
    </xf>
    <xf borderId="11" fillId="18" fontId="4" numFmtId="2" xfId="0" applyAlignment="1" applyBorder="1" applyFont="1" applyNumberFormat="1">
      <alignment horizontal="right" vertical="bottom"/>
    </xf>
    <xf borderId="11" fillId="18" fontId="4" numFmtId="0" xfId="0" applyAlignment="1" applyBorder="1" applyFont="1">
      <alignment vertical="bottom"/>
    </xf>
    <xf borderId="11" fillId="0" fontId="4" numFmtId="0" xfId="0" applyAlignment="1" applyBorder="1" applyFont="1">
      <alignment vertical="bottom"/>
    </xf>
    <xf borderId="2" fillId="7" fontId="40" numFmtId="0" xfId="0" applyAlignment="1" applyBorder="1" applyFont="1">
      <alignment horizontal="left"/>
    </xf>
    <xf borderId="11" fillId="19" fontId="4" numFmtId="0" xfId="0" applyAlignment="1" applyBorder="1" applyFill="1" applyFont="1">
      <alignment horizontal="center" vertical="bottom"/>
    </xf>
    <xf borderId="0" fillId="7" fontId="4" numFmtId="0" xfId="0" applyAlignment="1" applyFont="1">
      <alignment vertical="bottom"/>
    </xf>
    <xf borderId="11" fillId="0" fontId="29" numFmtId="0" xfId="0" applyAlignment="1" applyBorder="1" applyFont="1">
      <alignment horizontal="center" vertical="bottom"/>
    </xf>
    <xf borderId="0" fillId="7" fontId="40" numFmtId="0" xfId="0" applyAlignment="1" applyFont="1">
      <alignment horizontal="left"/>
    </xf>
    <xf borderId="0" fillId="18" fontId="4" numFmtId="0" xfId="0" applyAlignment="1" applyFont="1">
      <alignment horizontal="center" vertical="bottom"/>
    </xf>
    <xf borderId="0" fillId="18" fontId="4" numFmtId="2" xfId="0" applyAlignment="1" applyFont="1" applyNumberFormat="1">
      <alignment horizontal="right" vertical="bottom"/>
    </xf>
    <xf borderId="0" fillId="18" fontId="4" numFmtId="0" xfId="0" applyAlignment="1" applyFont="1">
      <alignment vertical="bottom"/>
    </xf>
    <xf borderId="0" fillId="0" fontId="29" numFmtId="0" xfId="0" applyAlignment="1" applyFont="1">
      <alignment horizontal="center" vertical="bottom"/>
    </xf>
    <xf borderId="13" fillId="18" fontId="4" numFmtId="2" xfId="0" applyAlignment="1" applyBorder="1" applyFont="1" applyNumberFormat="1">
      <alignment horizontal="right" vertical="bottom"/>
    </xf>
    <xf borderId="11" fillId="17" fontId="41" numFmtId="0" xfId="0" applyAlignment="1" applyBorder="1" applyFont="1">
      <alignment horizontal="center" vertical="bottom"/>
    </xf>
    <xf borderId="2" fillId="0" fontId="9" numFmtId="0" xfId="0" applyAlignment="1" applyBorder="1" applyFont="1">
      <alignment horizontal="center" shrinkToFit="0" vertical="center" wrapText="1"/>
    </xf>
    <xf borderId="2" fillId="0" fontId="42" numFmtId="0" xfId="0" applyAlignment="1" applyBorder="1" applyFont="1">
      <alignment horizontal="center" readingOrder="0" shrinkToFit="0" vertical="center" wrapText="1"/>
    </xf>
    <xf borderId="2" fillId="0" fontId="43" numFmtId="1" xfId="0" applyAlignment="1" applyBorder="1" applyFont="1" applyNumberFormat="1">
      <alignment horizontal="center" shrinkToFit="0" wrapText="1"/>
    </xf>
    <xf borderId="2" fillId="0" fontId="5" numFmtId="1" xfId="0" applyAlignment="1" applyBorder="1" applyFont="1" applyNumberFormat="1">
      <alignment horizontal="center" shrinkToFit="0" wrapText="1"/>
    </xf>
    <xf borderId="2" fillId="0" fontId="1" numFmtId="1" xfId="0" applyAlignment="1" applyBorder="1" applyFont="1" applyNumberFormat="1">
      <alignment horizontal="center" shrinkToFit="0" wrapText="1"/>
    </xf>
    <xf borderId="2" fillId="0" fontId="28" numFmtId="0" xfId="0" applyAlignment="1" applyBorder="1" applyFont="1">
      <alignment horizontal="center" readingOrder="0" shrinkToFit="0" wrapText="1"/>
    </xf>
    <xf borderId="2" fillId="0" fontId="5" numFmtId="0" xfId="0" applyAlignment="1" applyBorder="1" applyFont="1">
      <alignment horizontal="center" readingOrder="0" vertical="bottom"/>
    </xf>
    <xf borderId="2" fillId="0" fontId="4" numFmtId="0" xfId="0" applyAlignment="1" applyBorder="1" applyFont="1">
      <alignment horizontal="center" readingOrder="0" shrinkToFit="0" wrapText="1"/>
    </xf>
    <xf borderId="2" fillId="0" fontId="28" numFmtId="0" xfId="0" applyAlignment="1" applyBorder="1" applyFont="1">
      <alignment horizontal="center" readingOrder="0" shrinkToFit="0" wrapText="1"/>
    </xf>
    <xf borderId="2" fillId="0" fontId="5" numFmtId="0" xfId="0" applyAlignment="1" applyBorder="1" applyFont="1">
      <alignment horizontal="center" readingOrder="0" shrinkToFit="0" wrapText="1"/>
    </xf>
    <xf borderId="2" fillId="0" fontId="4" numFmtId="0" xfId="0" applyAlignment="1" applyBorder="1" applyFont="1">
      <alignment horizontal="center"/>
    </xf>
    <xf borderId="2" fillId="0" fontId="29" numFmtId="0" xfId="0" applyAlignment="1" applyBorder="1" applyFont="1">
      <alignment horizontal="center" shrinkToFit="0" wrapText="1"/>
    </xf>
    <xf borderId="4" fillId="0" fontId="4" numFmtId="0" xfId="0" applyBorder="1" applyFont="1"/>
    <xf borderId="7" fillId="0" fontId="4" numFmtId="0" xfId="0" applyBorder="1" applyFont="1"/>
    <xf borderId="14" fillId="0" fontId="4" numFmtId="0" xfId="0" applyAlignment="1" applyBorder="1" applyFont="1">
      <alignment horizontal="center"/>
    </xf>
    <xf borderId="6" fillId="0" fontId="4" numFmtId="0" xfId="0" applyBorder="1" applyFont="1"/>
    <xf borderId="0" fillId="0" fontId="4" numFmtId="0" xfId="0" applyFont="1"/>
  </cellXfs>
  <cellStyles count="1">
    <cellStyle xfId="0" name="Normal" builtinId="0"/>
  </cellStyles>
  <dxfs count="17">
    <dxf>
      <font/>
      <fill>
        <patternFill patternType="none"/>
      </fill>
      <border/>
    </dxf>
    <dxf>
      <font/>
      <fill>
        <patternFill patternType="none"/>
      </fill>
      <border/>
    </dxf>
    <dxf>
      <font/>
      <fill>
        <patternFill patternType="solid">
          <fgColor theme="5"/>
          <bgColor theme="5"/>
        </patternFill>
      </fill>
      <border/>
    </dxf>
    <dxf>
      <font/>
      <fill>
        <patternFill patternType="solid">
          <fgColor rgb="FFF7CAAC"/>
          <bgColor rgb="FFF7CAAC"/>
        </patternFill>
      </fill>
      <border/>
    </dxf>
    <dxf>
      <font/>
      <fill>
        <patternFill patternType="solid">
          <fgColor rgb="FFFBE4D5"/>
          <bgColor rgb="FFFBE4D5"/>
        </patternFill>
      </fill>
      <border/>
    </dxf>
    <dxf>
      <font/>
      <fill>
        <patternFill patternType="solid">
          <fgColor theme="7"/>
          <bgColor theme="7"/>
        </patternFill>
      </fill>
      <border/>
    </dxf>
    <dxf>
      <font/>
      <fill>
        <patternFill patternType="solid">
          <fgColor rgb="FFFFE598"/>
          <bgColor rgb="FFFFE598"/>
        </patternFill>
      </fill>
      <border/>
    </dxf>
    <dxf>
      <font/>
      <fill>
        <patternFill patternType="solid">
          <fgColor rgb="FFFEF2CB"/>
          <bgColor rgb="FFFEF2CB"/>
        </patternFill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8D8D8"/>
          <bgColor rgb="FFD8D8D8"/>
        </patternFill>
      </fill>
      <border/>
    </dxf>
    <dxf>
      <font/>
      <fill>
        <patternFill patternType="solid">
          <fgColor rgb="FFD9E2F3"/>
          <bgColor rgb="FFD9E2F3"/>
        </patternFill>
      </fill>
      <border/>
    </dxf>
    <dxf>
      <font/>
      <fill>
        <patternFill patternType="solid">
          <fgColor theme="9"/>
          <bgColor theme="9"/>
        </patternFill>
      </fill>
      <border/>
    </dxf>
    <dxf>
      <font/>
      <fill>
        <patternFill patternType="solid">
          <fgColor rgb="FFC5E0B3"/>
          <bgColor rgb="FFC5E0B3"/>
        </patternFill>
      </fill>
      <border/>
    </dxf>
    <dxf>
      <font/>
      <fill>
        <patternFill patternType="solid">
          <fgColor rgb="FFE2EFD9"/>
          <bgColor rgb="FFE2EFD9"/>
        </patternFill>
      </fill>
      <border/>
    </dxf>
    <dxf>
      <font/>
      <fill>
        <patternFill patternType="solid">
          <fgColor theme="8"/>
          <bgColor theme="8"/>
        </patternFill>
      </fill>
      <border/>
    </dxf>
    <dxf>
      <font/>
      <fill>
        <patternFill patternType="solid">
          <fgColor rgb="FFBDD6EE"/>
          <bgColor rgb="FFBDD6EE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</dxfs>
  <tableStyles count="51">
    <tableStyle count="3" pivot="0" name="Classement Général-style">
      <tableStyleElement dxfId="2" type="headerRow"/>
      <tableStyleElement dxfId="3" type="firstRowStripe"/>
      <tableStyleElement dxfId="4" type="secondRowStripe"/>
    </tableStyle>
    <tableStyle count="3" pivot="0" name="Classement Général-style 2">
      <tableStyleElement dxfId="2" type="headerRow"/>
      <tableStyleElement dxfId="3" type="firstRowStripe"/>
      <tableStyleElement dxfId="4" type="secondRowStripe"/>
    </tableStyle>
    <tableStyle count="2" pivot="0" name="Classement Général-style 3">
      <tableStyleElement dxfId="3" type="firstRowStripe"/>
      <tableStyleElement dxfId="4" type="secondRowStripe"/>
    </tableStyle>
    <tableStyle count="2" pivot="0" name="Classement Général-style 4">
      <tableStyleElement dxfId="3" type="firstRowStripe"/>
      <tableStyleElement dxfId="4" type="secondRowStripe"/>
    </tableStyle>
    <tableStyle count="2" pivot="0" name="Classement Général-style 5">
      <tableStyleElement dxfId="3" type="firstRowStripe"/>
      <tableStyleElement dxfId="4" type="secondRowStripe"/>
    </tableStyle>
    <tableStyle count="2" pivot="0" name="Classement Général-style 6">
      <tableStyleElement dxfId="3" type="firstRowStripe"/>
      <tableStyleElement dxfId="4" type="secondRowStripe"/>
    </tableStyle>
    <tableStyle count="2" pivot="0" name="Classement Général-style 7">
      <tableStyleElement dxfId="3" type="firstRowStripe"/>
      <tableStyleElement dxfId="4" type="secondRowStripe"/>
    </tableStyle>
    <tableStyle count="2" pivot="0" name="Classement Général-style 8">
      <tableStyleElement dxfId="3" type="firstRowStripe"/>
      <tableStyleElement dxfId="4" type="secondRowStripe"/>
    </tableStyle>
    <tableStyle count="2" pivot="0" name="Classement Général-style 9">
      <tableStyleElement dxfId="3" type="firstRowStripe"/>
      <tableStyleElement dxfId="4" type="secondRowStripe"/>
    </tableStyle>
    <tableStyle count="2" pivot="0" name="Classement Général-style 10">
      <tableStyleElement dxfId="3" type="firstRowStripe"/>
      <tableStyleElement dxfId="4" type="secondRowStripe"/>
    </tableStyle>
    <tableStyle count="3" pivot="0" name="Classement général nom prénom-style">
      <tableStyleElement dxfId="2" type="headerRow"/>
      <tableStyleElement dxfId="3" type="firstRowStripe"/>
      <tableStyleElement dxfId="4" type="secondRowStripe"/>
    </tableStyle>
    <tableStyle count="3" pivot="0" name="Classement général nom prénom-style 2">
      <tableStyleElement dxfId="2" type="headerRow"/>
      <tableStyleElement dxfId="3" type="firstRowStripe"/>
      <tableStyleElement dxfId="4" type="secondRowStripe"/>
    </tableStyle>
    <tableStyle count="3" pivot="0" name="Classement S6-style">
      <tableStyleElement dxfId="5" type="headerRow"/>
      <tableStyleElement dxfId="6" type="firstRowStripe"/>
      <tableStyleElement dxfId="7" type="secondRowStripe"/>
    </tableStyle>
    <tableStyle count="3" pivot="0" name="Classement S6-style 2">
      <tableStyleElement dxfId="5" type="headerRow"/>
      <tableStyleElement dxfId="6" type="firstRowStripe"/>
      <tableStyleElement dxfId="7" type="secondRowStripe"/>
    </tableStyle>
    <tableStyle count="3" pivot="0" name="S6M1-style">
      <tableStyleElement dxfId="8" type="headerRow"/>
      <tableStyleElement dxfId="9" type="firstRowStripe"/>
      <tableStyleElement dxfId="10" type="secondRowStripe"/>
    </tableStyle>
    <tableStyle count="3" pivot="0" name="S6M2-style">
      <tableStyleElement dxfId="8" type="headerRow"/>
      <tableStyleElement dxfId="9" type="firstRowStripe"/>
      <tableStyleElement dxfId="10" type="secondRowStripe"/>
    </tableStyle>
    <tableStyle count="3" pivot="0" name="S6M3-style">
      <tableStyleElement dxfId="8" type="headerRow"/>
      <tableStyleElement dxfId="9" type="firstRowStripe"/>
      <tableStyleElement dxfId="10" type="secondRowStripe"/>
    </tableStyle>
    <tableStyle count="3" pivot="0" name="S6M4-style">
      <tableStyleElement dxfId="8" type="headerRow"/>
      <tableStyleElement dxfId="9" type="firstRowStripe"/>
      <tableStyleElement dxfId="10" type="secondRowStripe"/>
    </tableStyle>
    <tableStyle count="3" pivot="0" name="S6M5-style">
      <tableStyleElement dxfId="8" type="headerRow"/>
      <tableStyleElement dxfId="9" type="firstRowStripe"/>
      <tableStyleElement dxfId="10" type="secondRowStripe"/>
    </tableStyle>
    <tableStyle count="3" pivot="0" name="S6M6-style">
      <tableStyleElement dxfId="8" type="headerRow"/>
      <tableStyleElement dxfId="9" type="firstRowStripe"/>
      <tableStyleElement dxfId="10" type="secondRowStripe"/>
    </tableStyle>
    <tableStyle count="3" pivot="0" name="S6M7-style">
      <tableStyleElement dxfId="8" type="headerRow"/>
      <tableStyleElement dxfId="9" type="firstRowStripe"/>
      <tableStyleElement dxfId="10" type="secondRowStripe"/>
    </tableStyle>
    <tableStyle count="3" pivot="0" name="S6M8-style">
      <tableStyleElement dxfId="8" type="headerRow"/>
      <tableStyleElement dxfId="9" type="firstRowStripe"/>
      <tableStyleElement dxfId="10" type="secondRowStripe"/>
    </tableStyle>
    <tableStyle count="3" pivot="0" name="S6M9-style">
      <tableStyleElement dxfId="8" type="headerRow"/>
      <tableStyleElement dxfId="9" type="firstRowStripe"/>
      <tableStyleElement dxfId="10" type="secondRowStripe"/>
    </tableStyle>
    <tableStyle count="3" pivot="0" name="S6M10-style">
      <tableStyleElement dxfId="8" type="headerRow"/>
      <tableStyleElement dxfId="9" type="firstRowStripe"/>
      <tableStyleElement dxfId="10" type="secondRowStripe"/>
    </tableStyle>
    <tableStyle count="3" pivot="0" name="S6M11-style">
      <tableStyleElement dxfId="8" type="headerRow"/>
      <tableStyleElement dxfId="9" type="firstRowStripe"/>
      <tableStyleElement dxfId="10" type="secondRowStripe"/>
    </tableStyle>
    <tableStyle count="3" pivot="0" name="Classement RoC-style">
      <tableStyleElement dxfId="11" type="headerRow"/>
      <tableStyleElement dxfId="12" type="firstRowStripe"/>
      <tableStyleElement dxfId="13" type="secondRowStripe"/>
    </tableStyle>
    <tableStyle count="3" pivot="0" name="Classement RoC-style 2">
      <tableStyleElement dxfId="11" type="headerRow"/>
      <tableStyleElement dxfId="12" type="firstRowStripe"/>
      <tableStyleElement dxfId="13" type="secondRowStripe"/>
    </tableStyle>
    <tableStyle count="3" pivot="0" name="RoC1-style">
      <tableStyleElement dxfId="8" type="headerRow"/>
      <tableStyleElement dxfId="9" type="firstRowStripe"/>
      <tableStyleElement dxfId="10" type="secondRowStripe"/>
    </tableStyle>
    <tableStyle count="3" pivot="0" name="RoC2-style">
      <tableStyleElement dxfId="8" type="headerRow"/>
      <tableStyleElement dxfId="9" type="firstRowStripe"/>
      <tableStyleElement dxfId="10" type="secondRowStripe"/>
    </tableStyle>
    <tableStyle count="3" pivot="0" name="RoC3-style">
      <tableStyleElement dxfId="8" type="headerRow"/>
      <tableStyleElement dxfId="9" type="firstRowStripe"/>
      <tableStyleElement dxfId="10" type="secondRowStripe"/>
    </tableStyle>
    <tableStyle count="3" pivot="0" name="RoC4-style">
      <tableStyleElement dxfId="8" type="headerRow"/>
      <tableStyleElement dxfId="9" type="firstRowStripe"/>
      <tableStyleElement dxfId="10" type="secondRowStripe"/>
    </tableStyle>
    <tableStyle count="3" pivot="0" name="RoC5-style">
      <tableStyleElement dxfId="8" type="headerRow"/>
      <tableStyleElement dxfId="9" type="firstRowStripe"/>
      <tableStyleElement dxfId="10" type="secondRowStripe"/>
    </tableStyle>
    <tableStyle count="3" pivot="0" name="RoC6-style">
      <tableStyleElement dxfId="8" type="headerRow"/>
      <tableStyleElement dxfId="9" type="firstRowStripe"/>
      <tableStyleElement dxfId="10" type="secondRowStripe"/>
    </tableStyle>
    <tableStyle count="3" pivot="0" name="RoC7-style">
      <tableStyleElement dxfId="8" type="headerRow"/>
      <tableStyleElement dxfId="9" type="firstRowStripe"/>
      <tableStyleElement dxfId="10" type="secondRowStripe"/>
    </tableStyle>
    <tableStyle count="3" pivot="0" name="RoC8-style">
      <tableStyleElement dxfId="8" type="headerRow"/>
      <tableStyleElement dxfId="9" type="firstRowStripe"/>
      <tableStyleElement dxfId="10" type="secondRowStripe"/>
    </tableStyle>
    <tableStyle count="3" pivot="0" name="RoC9-style">
      <tableStyleElement dxfId="8" type="headerRow"/>
      <tableStyleElement dxfId="9" type="firstRowStripe"/>
      <tableStyleElement dxfId="10" type="secondRowStripe"/>
    </tableStyle>
    <tableStyle count="3" pivot="0" name="RoC10-style">
      <tableStyleElement dxfId="8" type="headerRow"/>
      <tableStyleElement dxfId="9" type="firstRowStripe"/>
      <tableStyleElement dxfId="10" type="secondRowStripe"/>
    </tableStyle>
    <tableStyle count="3" pivot="0" name="RoC11-style">
      <tableStyleElement dxfId="8" type="headerRow"/>
      <tableStyleElement dxfId="9" type="firstRowStripe"/>
      <tableStyleElement dxfId="10" type="secondRowStripe"/>
    </tableStyle>
    <tableStyle count="3" pivot="0" name="Classement Surp-style">
      <tableStyleElement dxfId="14" type="headerRow"/>
      <tableStyleElement dxfId="15" type="firstRowStripe"/>
      <tableStyleElement dxfId="16" type="secondRowStripe"/>
    </tableStyle>
    <tableStyle count="3" pivot="0" name="Classement Surp-style 2">
      <tableStyleElement dxfId="14" type="headerRow"/>
      <tableStyleElement dxfId="15" type="firstRowStripe"/>
      <tableStyleElement dxfId="16" type="secondRowStripe"/>
    </tableStyle>
    <tableStyle count="3" pivot="0" name="Surp1-style">
      <tableStyleElement dxfId="8" type="headerRow"/>
      <tableStyleElement dxfId="9" type="firstRowStripe"/>
      <tableStyleElement dxfId="10" type="secondRowStripe"/>
    </tableStyle>
    <tableStyle count="3" pivot="0" name="Surp2-style">
      <tableStyleElement dxfId="8" type="headerRow"/>
      <tableStyleElement dxfId="9" type="firstRowStripe"/>
      <tableStyleElement dxfId="10" type="secondRowStripe"/>
    </tableStyle>
    <tableStyle count="3" pivot="0" name="Surp3-style">
      <tableStyleElement dxfId="8" type="headerRow"/>
      <tableStyleElement dxfId="9" type="firstRowStripe"/>
      <tableStyleElement dxfId="10" type="secondRowStripe"/>
    </tableStyle>
    <tableStyle count="3" pivot="0" name="Surp4-style">
      <tableStyleElement dxfId="8" type="headerRow"/>
      <tableStyleElement dxfId="9" type="firstRowStripe"/>
      <tableStyleElement dxfId="10" type="secondRowStripe"/>
    </tableStyle>
    <tableStyle count="3" pivot="0" name="Surp5-style">
      <tableStyleElement dxfId="8" type="headerRow"/>
      <tableStyleElement dxfId="9" type="firstRowStripe"/>
      <tableStyleElement dxfId="10" type="secondRowStripe"/>
    </tableStyle>
    <tableStyle count="3" pivot="0" name="Surp6-style">
      <tableStyleElement dxfId="8" type="headerRow"/>
      <tableStyleElement dxfId="9" type="firstRowStripe"/>
      <tableStyleElement dxfId="10" type="secondRowStripe"/>
    </tableStyle>
    <tableStyle count="3" pivot="0" name="Surp7-style">
      <tableStyleElement dxfId="8" type="headerRow"/>
      <tableStyleElement dxfId="9" type="firstRowStripe"/>
      <tableStyleElement dxfId="10" type="secondRowStripe"/>
    </tableStyle>
    <tableStyle count="3" pivot="0" name="Surp8-style">
      <tableStyleElement dxfId="8" type="headerRow"/>
      <tableStyleElement dxfId="9" type="firstRowStripe"/>
      <tableStyleElement dxfId="10" type="secondRowStripe"/>
    </tableStyle>
    <tableStyle count="3" pivot="0" name="Surp9-style">
      <tableStyleElement dxfId="8" type="headerRow"/>
      <tableStyleElement dxfId="9" type="firstRowStripe"/>
      <tableStyleElement dxfId="10" type="secondRowStripe"/>
    </tableStyle>
    <tableStyle count="3" pivot="0" name="Surp10-style">
      <tableStyleElement dxfId="8" type="headerRow"/>
      <tableStyleElement dxfId="9" type="firstRowStripe"/>
      <tableStyleElement dxfId="10" type="secondRowStripe"/>
    </tableStyle>
    <tableStyle count="3" pivot="0" name="Surp11-style">
      <tableStyleElement dxfId="8" type="headerRow"/>
      <tableStyleElement dxfId="9" type="firstRowStripe"/>
      <tableStyleElement dxfId="10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40" Type="http://schemas.openxmlformats.org/officeDocument/2006/relationships/worksheet" Target="worksheets/sheet37.xml"/><Relationship Id="rId20" Type="http://schemas.openxmlformats.org/officeDocument/2006/relationships/worksheet" Target="worksheets/sheet17.xml"/><Relationship Id="rId42" Type="http://schemas.openxmlformats.org/officeDocument/2006/relationships/worksheet" Target="worksheets/sheet39.xml"/><Relationship Id="rId41" Type="http://schemas.openxmlformats.org/officeDocument/2006/relationships/worksheet" Target="worksheets/sheet38.xml"/><Relationship Id="rId22" Type="http://schemas.openxmlformats.org/officeDocument/2006/relationships/worksheet" Target="worksheets/sheet19.xml"/><Relationship Id="rId21" Type="http://schemas.openxmlformats.org/officeDocument/2006/relationships/worksheet" Target="worksheets/sheet18.xml"/><Relationship Id="rId24" Type="http://schemas.openxmlformats.org/officeDocument/2006/relationships/worksheet" Target="worksheets/sheet21.xml"/><Relationship Id="rId23" Type="http://schemas.openxmlformats.org/officeDocument/2006/relationships/worksheet" Target="worksheets/sheet20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26" Type="http://schemas.openxmlformats.org/officeDocument/2006/relationships/worksheet" Target="worksheets/sheet23.xml"/><Relationship Id="rId25" Type="http://schemas.openxmlformats.org/officeDocument/2006/relationships/worksheet" Target="worksheets/sheet22.xml"/><Relationship Id="rId28" Type="http://schemas.openxmlformats.org/officeDocument/2006/relationships/worksheet" Target="worksheets/sheet25.xml"/><Relationship Id="rId27" Type="http://schemas.openxmlformats.org/officeDocument/2006/relationships/worksheet" Target="worksheets/sheet24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29" Type="http://schemas.openxmlformats.org/officeDocument/2006/relationships/worksheet" Target="worksheets/sheet26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31" Type="http://schemas.openxmlformats.org/officeDocument/2006/relationships/worksheet" Target="worksheets/sheet28.xml"/><Relationship Id="rId30" Type="http://schemas.openxmlformats.org/officeDocument/2006/relationships/worksheet" Target="worksheets/sheet27.xml"/><Relationship Id="rId11" Type="http://schemas.openxmlformats.org/officeDocument/2006/relationships/worksheet" Target="worksheets/sheet8.xml"/><Relationship Id="rId33" Type="http://schemas.openxmlformats.org/officeDocument/2006/relationships/worksheet" Target="worksheets/sheet30.xml"/><Relationship Id="rId10" Type="http://schemas.openxmlformats.org/officeDocument/2006/relationships/worksheet" Target="worksheets/sheet7.xml"/><Relationship Id="rId32" Type="http://schemas.openxmlformats.org/officeDocument/2006/relationships/worksheet" Target="worksheets/sheet29.xml"/><Relationship Id="rId13" Type="http://schemas.openxmlformats.org/officeDocument/2006/relationships/worksheet" Target="worksheets/sheet10.xml"/><Relationship Id="rId35" Type="http://schemas.openxmlformats.org/officeDocument/2006/relationships/worksheet" Target="worksheets/sheet32.xml"/><Relationship Id="rId12" Type="http://schemas.openxmlformats.org/officeDocument/2006/relationships/worksheet" Target="worksheets/sheet9.xml"/><Relationship Id="rId34" Type="http://schemas.openxmlformats.org/officeDocument/2006/relationships/worksheet" Target="worksheets/sheet31.xml"/><Relationship Id="rId15" Type="http://schemas.openxmlformats.org/officeDocument/2006/relationships/worksheet" Target="worksheets/sheet12.xml"/><Relationship Id="rId37" Type="http://schemas.openxmlformats.org/officeDocument/2006/relationships/worksheet" Target="worksheets/sheet34.xml"/><Relationship Id="rId14" Type="http://schemas.openxmlformats.org/officeDocument/2006/relationships/worksheet" Target="worksheets/sheet11.xml"/><Relationship Id="rId36" Type="http://schemas.openxmlformats.org/officeDocument/2006/relationships/worksheet" Target="worksheets/sheet33.xml"/><Relationship Id="rId17" Type="http://schemas.openxmlformats.org/officeDocument/2006/relationships/worksheet" Target="worksheets/sheet14.xml"/><Relationship Id="rId39" Type="http://schemas.openxmlformats.org/officeDocument/2006/relationships/worksheet" Target="worksheets/sheet36.xml"/><Relationship Id="rId16" Type="http://schemas.openxmlformats.org/officeDocument/2006/relationships/worksheet" Target="worksheets/sheet13.xml"/><Relationship Id="rId38" Type="http://schemas.openxmlformats.org/officeDocument/2006/relationships/worksheet" Target="worksheets/sheet35.xml"/><Relationship Id="rId19" Type="http://schemas.openxmlformats.org/officeDocument/2006/relationships/worksheet" Target="worksheets/sheet16.xml"/><Relationship Id="rId18" Type="http://schemas.openxmlformats.org/officeDocument/2006/relationships/worksheet" Target="worksheets/sheet15.xml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1352550</xdr:colOff>
      <xdr:row>8</xdr:row>
      <xdr:rowOff>190500</xdr:rowOff>
    </xdr:from>
    <xdr:ext cx="2486025" cy="2362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1219200</xdr:colOff>
      <xdr:row>8</xdr:row>
      <xdr:rowOff>190500</xdr:rowOff>
    </xdr:from>
    <xdr:ext cx="2752725" cy="2543175"/>
    <xdr:pic>
      <xdr:nvPicPr>
        <xdr:cNvPr id="0" name="image2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A240" displayName="Table_1" name="Table_1" id="1">
  <tableColumns count="1">
    <tableColumn name="Classement" id="1"/>
  </tableColumns>
  <tableStyleInfo name="Classement Général-style" showColumnStripes="0" showFirstColumn="1" showLastColumn="1" showRowStripes="1"/>
</table>
</file>

<file path=xl/tables/table10.xml><?xml version="1.0" encoding="utf-8"?>
<table xmlns="http://schemas.openxmlformats.org/spreadsheetml/2006/main" headerRowCount="0" ref="B247:G248" displayName="Table_10" name="Table_10" id="10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Classement Général-style 10" showColumnStripes="0" showFirstColumn="1" showLastColumn="1" showRowStripes="1"/>
</table>
</file>

<file path=xl/tables/table11.xml><?xml version="1.0" encoding="utf-8"?>
<table xmlns="http://schemas.openxmlformats.org/spreadsheetml/2006/main" ref="A1:A107" displayName="Table_11" name="Table_11" id="11">
  <tableColumns count="1">
    <tableColumn name="Classement" id="1"/>
  </tableColumns>
  <tableStyleInfo name="Classement général nom prénom-style" showColumnStripes="0" showFirstColumn="1" showLastColumn="1" showRowStripes="1"/>
</table>
</file>

<file path=xl/tables/table12.xml><?xml version="1.0" encoding="utf-8"?>
<table xmlns="http://schemas.openxmlformats.org/spreadsheetml/2006/main" ref="B1:I107" displayName="Table_12" name="Table_12" id="12">
  <tableColumns count="8">
    <tableColumn name="PSEUDO" id="1"/>
    <tableColumn name="Nom" id="2"/>
    <tableColumn name="Prénom" id="3"/>
    <tableColumn name="Total" id="4"/>
    <tableColumn name=" " id="5"/>
    <tableColumn name="So SIX" id="6"/>
    <tableColumn name="Roller Coaster" id="7"/>
    <tableColumn name="Surprise" id="8"/>
  </tableColumns>
  <tableStyleInfo name="Classement général nom prénom-style 2" showColumnStripes="0" showFirstColumn="1" showLastColumn="1" showRowStripes="1"/>
</table>
</file>

<file path=xl/tables/table13.xml><?xml version="1.0" encoding="utf-8"?>
<table xmlns="http://schemas.openxmlformats.org/spreadsheetml/2006/main" ref="A1:A251" displayName="Table_13" name="Table_13" id="13">
  <tableColumns count="1">
    <tableColumn name="Classement" id="1"/>
  </tableColumns>
  <tableStyleInfo name="Classement S6-style" showColumnStripes="0" showFirstColumn="1" showLastColumn="1" showRowStripes="1"/>
</table>
</file>

<file path=xl/tables/table14.xml><?xml version="1.0" encoding="utf-8"?>
<table xmlns="http://schemas.openxmlformats.org/spreadsheetml/2006/main" headerRowCount="0" ref="B1:AK251" displayName="Table_14" name="Table_14" id="14">
  <tableColumns count="3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</tableColumns>
  <tableStyleInfo name="Classement S6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5.xml><?xml version="1.0" encoding="utf-8"?>
<table xmlns="http://schemas.openxmlformats.org/spreadsheetml/2006/main" headerRowCount="0" ref="A1:D161" displayName="Table_15" name="Table_15" id="15">
  <tableColumns count="4">
    <tableColumn name="Column1" id="1"/>
    <tableColumn name="Column2" id="2"/>
    <tableColumn name="Column3" id="3"/>
    <tableColumn name="Column4" id="4"/>
  </tableColumns>
  <tableStyleInfo name="S6M1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16.xml><?xml version="1.0" encoding="utf-8"?>
<table xmlns="http://schemas.openxmlformats.org/spreadsheetml/2006/main" ref="A1:D1000" displayName="Table_16" name="Table_16" id="16">
  <tableColumns count="4">
    <tableColumn name="PSEUDO" id="1"/>
    <tableColumn name="PLACE" id="2"/>
    <tableColumn name="Points" id="3"/>
    <tableColumn name="Verif" id="4"/>
  </tableColumns>
  <tableStyleInfo name="S6M2-style" showColumnStripes="0" showFirstColumn="1" showLastColumn="1" showRowStripes="1"/>
</table>
</file>

<file path=xl/tables/table17.xml><?xml version="1.0" encoding="utf-8"?>
<table xmlns="http://schemas.openxmlformats.org/spreadsheetml/2006/main" ref="A1:D1000" displayName="Table_17" name="Table_17" id="17">
  <tableColumns count="4">
    <tableColumn name="PSEUDO" id="1"/>
    <tableColumn name="PLACE" id="2"/>
    <tableColumn name="Points" id="3"/>
    <tableColumn name="Verif" id="4"/>
  </tableColumns>
  <tableStyleInfo name="S6M3-style" showColumnStripes="0" showFirstColumn="1" showLastColumn="1" showRowStripes="1"/>
</table>
</file>

<file path=xl/tables/table18.xml><?xml version="1.0" encoding="utf-8"?>
<table xmlns="http://schemas.openxmlformats.org/spreadsheetml/2006/main" ref="A1:D1000" displayName="Table_18" name="Table_18" id="18">
  <tableColumns count="4">
    <tableColumn name="PSEUDO" id="1"/>
    <tableColumn name="PLACE" id="2"/>
    <tableColumn name="Points" id="3"/>
    <tableColumn name="Verif" id="4"/>
  </tableColumns>
  <tableStyleInfo name="S6M4-style" showColumnStripes="0" showFirstColumn="1" showLastColumn="1" showRowStripes="1"/>
</table>
</file>

<file path=xl/tables/table19.xml><?xml version="1.0" encoding="utf-8"?>
<table xmlns="http://schemas.openxmlformats.org/spreadsheetml/2006/main" ref="A1:D1000" displayName="Table_19" name="Table_19" id="19">
  <tableColumns count="4">
    <tableColumn name="PSEUDO" id="1"/>
    <tableColumn name="PLACE" id="2"/>
    <tableColumn name="Points" id="3"/>
    <tableColumn name="Verif" id="4"/>
  </tableColumns>
  <tableStyleInfo name="S6M5-style" showColumnStripes="0" showFirstColumn="1" showLastColumn="1" showRowStripes="1"/>
</table>
</file>

<file path=xl/tables/table2.xml><?xml version="1.0" encoding="utf-8"?>
<table xmlns="http://schemas.openxmlformats.org/spreadsheetml/2006/main" ref="B1:G240" displayName="Table_2" name="Table_2" id="2">
  <tableColumns count="6">
    <tableColumn name="PSEUDO" id="1"/>
    <tableColumn name="Total" id="2"/>
    <tableColumn name=" " id="3"/>
    <tableColumn name="So SIX" id="4"/>
    <tableColumn name="Roller Coaster" id="5"/>
    <tableColumn name="Surprise" id="6"/>
  </tableColumns>
  <tableStyleInfo name="Classement Général-style 2" showColumnStripes="0" showFirstColumn="1" showLastColumn="1" showRowStripes="1"/>
</table>
</file>

<file path=xl/tables/table20.xml><?xml version="1.0" encoding="utf-8"?>
<table xmlns="http://schemas.openxmlformats.org/spreadsheetml/2006/main" ref="A1:D1000" displayName="Table_20" name="Table_20" id="20">
  <tableColumns count="4">
    <tableColumn name="PSEUDO" id="1"/>
    <tableColumn name="PLACE" id="2"/>
    <tableColumn name="Points" id="3"/>
    <tableColumn name="Verif" id="4"/>
  </tableColumns>
  <tableStyleInfo name="S6M6-style" showColumnStripes="0" showFirstColumn="1" showLastColumn="1" showRowStripes="1"/>
</table>
</file>

<file path=xl/tables/table21.xml><?xml version="1.0" encoding="utf-8"?>
<table xmlns="http://schemas.openxmlformats.org/spreadsheetml/2006/main" ref="A1:D1000" displayName="Table_21" name="Table_21" id="21">
  <tableColumns count="4">
    <tableColumn name="PSEUDO" id="1"/>
    <tableColumn name="PLACE" id="2"/>
    <tableColumn name="Points" id="3"/>
    <tableColumn name="Verif" id="4"/>
  </tableColumns>
  <tableStyleInfo name="S6M7-style" showColumnStripes="0" showFirstColumn="1" showLastColumn="1" showRowStripes="1"/>
</table>
</file>

<file path=xl/tables/table22.xml><?xml version="1.0" encoding="utf-8"?>
<table xmlns="http://schemas.openxmlformats.org/spreadsheetml/2006/main" ref="A1:D1000" displayName="Table_22" name="Table_22" id="22">
  <tableColumns count="4">
    <tableColumn name="PSEUDO" id="1"/>
    <tableColumn name="PLACE" id="2"/>
    <tableColumn name="Points" id="3"/>
    <tableColumn name="Verif" id="4"/>
  </tableColumns>
  <tableStyleInfo name="S6M8-style" showColumnStripes="0" showFirstColumn="1" showLastColumn="1" showRowStripes="1"/>
</table>
</file>

<file path=xl/tables/table23.xml><?xml version="1.0" encoding="utf-8"?>
<table xmlns="http://schemas.openxmlformats.org/spreadsheetml/2006/main" ref="A1:D161" displayName="Table_23" name="Table_23" id="23">
  <tableColumns count="4">
    <tableColumn name="PSEUDO" id="1"/>
    <tableColumn name="PLACE" id="2"/>
    <tableColumn name="Points" id="3"/>
    <tableColumn name="Verif" id="4"/>
  </tableColumns>
  <tableStyleInfo name="S6M9-style" showColumnStripes="0" showFirstColumn="1" showLastColumn="1" showRowStripes="1"/>
</table>
</file>

<file path=xl/tables/table24.xml><?xml version="1.0" encoding="utf-8"?>
<table xmlns="http://schemas.openxmlformats.org/spreadsheetml/2006/main" ref="A1:D161" displayName="Table_24" name="Table_24" id="24">
  <tableColumns count="4">
    <tableColumn name="PSEUDO" id="1"/>
    <tableColumn name="PLACE" id="2"/>
    <tableColumn name="Points" id="3"/>
    <tableColumn name="Verif" id="4"/>
  </tableColumns>
  <tableStyleInfo name="S6M10-style" showColumnStripes="0" showFirstColumn="1" showLastColumn="1" showRowStripes="1"/>
</table>
</file>

<file path=xl/tables/table25.xml><?xml version="1.0" encoding="utf-8"?>
<table xmlns="http://schemas.openxmlformats.org/spreadsheetml/2006/main" ref="A1:D161" displayName="Table_25" name="Table_25" id="25">
  <tableColumns count="4">
    <tableColumn name="PSEUDO" id="1"/>
    <tableColumn name="PLACE" id="2"/>
    <tableColumn name="Points" id="3"/>
    <tableColumn name="Verif" id="4"/>
  </tableColumns>
  <tableStyleInfo name="S6M11-style" showColumnStripes="0" showFirstColumn="1" showLastColumn="1" showRowStripes="1"/>
</table>
</file>

<file path=xl/tables/table26.xml><?xml version="1.0" encoding="utf-8"?>
<table xmlns="http://schemas.openxmlformats.org/spreadsheetml/2006/main" ref="A1:A250" displayName="Table_26" name="Table_26" id="26">
  <tableColumns count="1">
    <tableColumn name="Classement" id="1"/>
  </tableColumns>
  <tableStyleInfo name="Classement RoC-style" showColumnStripes="0" showFirstColumn="1" showLastColumn="1" showRowStripes="1"/>
</table>
</file>

<file path=xl/tables/table27.xml><?xml version="1.0" encoding="utf-8"?>
<table xmlns="http://schemas.openxmlformats.org/spreadsheetml/2006/main" headerRowCount="0" ref="B1:AK250" displayName="Table_27" name="Table_27" id="27">
  <tableColumns count="3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</tableColumns>
  <tableStyleInfo name="Classement RoC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28.xml><?xml version="1.0" encoding="utf-8"?>
<table xmlns="http://schemas.openxmlformats.org/spreadsheetml/2006/main" ref="A1:D361" displayName="Table_28" name="Table_28" id="28">
  <tableColumns count="4">
    <tableColumn name="Pseudo" id="1"/>
    <tableColumn name="PLACE" id="2"/>
    <tableColumn name="Points" id="3"/>
    <tableColumn name="Verif" id="4"/>
  </tableColumns>
  <tableStyleInfo name="RoC1-style" showColumnStripes="0" showFirstColumn="1" showLastColumn="1" showRowStripes="1"/>
</table>
</file>

<file path=xl/tables/table29.xml><?xml version="1.0" encoding="utf-8"?>
<table xmlns="http://schemas.openxmlformats.org/spreadsheetml/2006/main" ref="A1:D1000" displayName="Table_29" name="Table_29" id="29">
  <tableColumns count="4">
    <tableColumn name="Pseudo" id="1"/>
    <tableColumn name="PLACE" id="2"/>
    <tableColumn name="Points" id="3"/>
    <tableColumn name="Verif" id="4"/>
  </tableColumns>
  <tableStyleInfo name="RoC2-style" showColumnStripes="0" showFirstColumn="1" showLastColumn="1" showRowStripes="1"/>
</table>
</file>

<file path=xl/tables/table3.xml><?xml version="1.0" encoding="utf-8"?>
<table xmlns="http://schemas.openxmlformats.org/spreadsheetml/2006/main" headerRowCount="0" ref="A241:A242" displayName="Table_3" name="Table_3" id="3">
  <tableColumns count="1">
    <tableColumn name="Column1" id="1"/>
  </tableColumns>
  <tableStyleInfo name="Classement Général-style 3" showColumnStripes="0" showFirstColumn="1" showLastColumn="1" showRowStripes="1"/>
</table>
</file>

<file path=xl/tables/table30.xml><?xml version="1.0" encoding="utf-8"?>
<table xmlns="http://schemas.openxmlformats.org/spreadsheetml/2006/main" ref="A1:D1000" displayName="Table_30" name="Table_30" id="30">
  <tableColumns count="4">
    <tableColumn name="Pseudo" id="1"/>
    <tableColumn name="PLACE" id="2"/>
    <tableColumn name="Points" id="3"/>
    <tableColumn name="Verif" id="4"/>
  </tableColumns>
  <tableStyleInfo name="RoC3-style" showColumnStripes="0" showFirstColumn="1" showLastColumn="1" showRowStripes="1"/>
</table>
</file>

<file path=xl/tables/table31.xml><?xml version="1.0" encoding="utf-8"?>
<table xmlns="http://schemas.openxmlformats.org/spreadsheetml/2006/main" ref="A1:D1000" displayName="Table_31" name="Table_31" id="31">
  <tableColumns count="4">
    <tableColumn name="Pseudo" id="1"/>
    <tableColumn name="PLACE" id="2"/>
    <tableColumn name="Points" id="3"/>
    <tableColumn name="Verif" id="4"/>
  </tableColumns>
  <tableStyleInfo name="RoC4-style" showColumnStripes="0" showFirstColumn="1" showLastColumn="1" showRowStripes="1"/>
</table>
</file>

<file path=xl/tables/table32.xml><?xml version="1.0" encoding="utf-8"?>
<table xmlns="http://schemas.openxmlformats.org/spreadsheetml/2006/main" headerRowCount="0" ref="A1:D1000" displayName="Table_32" name="Table_32" id="32">
  <tableColumns count="4">
    <tableColumn name="Column1" id="1"/>
    <tableColumn name="Column2" id="2"/>
    <tableColumn name="Column3" id="3"/>
    <tableColumn name="Column4" id="4"/>
  </tableColumns>
  <tableStyleInfo name="RoC5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3.xml><?xml version="1.0" encoding="utf-8"?>
<table xmlns="http://schemas.openxmlformats.org/spreadsheetml/2006/main" ref="A1:D1000" displayName="Table_33" name="Table_33" id="33">
  <tableColumns count="4">
    <tableColumn name="Pseudo" id="1"/>
    <tableColumn name="PLACE" id="2"/>
    <tableColumn name="Points" id="3"/>
    <tableColumn name="Verif" id="4"/>
  </tableColumns>
  <tableStyleInfo name="RoC6-style" showColumnStripes="0" showFirstColumn="1" showLastColumn="1" showRowStripes="1"/>
</table>
</file>

<file path=xl/tables/table34.xml><?xml version="1.0" encoding="utf-8"?>
<table xmlns="http://schemas.openxmlformats.org/spreadsheetml/2006/main" ref="A1:D1000" displayName="Table_34" name="Table_34" id="34">
  <tableColumns count="4">
    <tableColumn name="Pseudo" id="1"/>
    <tableColumn name="PLACE" id="2"/>
    <tableColumn name="Points" id="3"/>
    <tableColumn name="Verif" id="4"/>
  </tableColumns>
  <tableStyleInfo name="RoC7-style" showColumnStripes="0" showFirstColumn="1" showLastColumn="1" showRowStripes="1"/>
</table>
</file>

<file path=xl/tables/table35.xml><?xml version="1.0" encoding="utf-8"?>
<table xmlns="http://schemas.openxmlformats.org/spreadsheetml/2006/main" ref="A1:D1000" displayName="Table_35" name="Table_35" id="35">
  <tableColumns count="4">
    <tableColumn name="Pseudo" id="1"/>
    <tableColumn name="PLACE" id="2"/>
    <tableColumn name="Points" id="3"/>
    <tableColumn name="Verif" id="4"/>
  </tableColumns>
  <tableStyleInfo name="RoC8-style" showColumnStripes="0" showFirstColumn="1" showLastColumn="1" showRowStripes="1"/>
</table>
</file>

<file path=xl/tables/table36.xml><?xml version="1.0" encoding="utf-8"?>
<table xmlns="http://schemas.openxmlformats.org/spreadsheetml/2006/main" ref="A1:D361" displayName="Table_36" name="Table_36" id="36">
  <tableColumns count="4">
    <tableColumn name="Pseudo" id="1"/>
    <tableColumn name="PLACE" id="2"/>
    <tableColumn name="Points" id="3"/>
    <tableColumn name="Verif" id="4"/>
  </tableColumns>
  <tableStyleInfo name="RoC9-style" showColumnStripes="0" showFirstColumn="1" showLastColumn="1" showRowStripes="1"/>
</table>
</file>

<file path=xl/tables/table37.xml><?xml version="1.0" encoding="utf-8"?>
<table xmlns="http://schemas.openxmlformats.org/spreadsheetml/2006/main" ref="A1:D361" displayName="Table_37" name="Table_37" id="37">
  <tableColumns count="4">
    <tableColumn name="Pseudo" id="1"/>
    <tableColumn name="PLACE" id="2"/>
    <tableColumn name="Points" id="3"/>
    <tableColumn name="Verif" id="4"/>
  </tableColumns>
  <tableStyleInfo name="RoC10-style" showColumnStripes="0" showFirstColumn="1" showLastColumn="1" showRowStripes="1"/>
</table>
</file>

<file path=xl/tables/table38.xml><?xml version="1.0" encoding="utf-8"?>
<table xmlns="http://schemas.openxmlformats.org/spreadsheetml/2006/main" ref="A1:D361" displayName="Table_38" name="Table_38" id="38">
  <tableColumns count="4">
    <tableColumn name="Pseudo" id="1"/>
    <tableColumn name="PLACE" id="2"/>
    <tableColumn name="Points" id="3"/>
    <tableColumn name="Verif" id="4"/>
  </tableColumns>
  <tableStyleInfo name="RoC11-style" showColumnStripes="0" showFirstColumn="1" showLastColumn="1" showRowStripes="1"/>
</table>
</file>

<file path=xl/tables/table39.xml><?xml version="1.0" encoding="utf-8"?>
<table xmlns="http://schemas.openxmlformats.org/spreadsheetml/2006/main" headerRowCount="0" ref="A1:A250" displayName="Table_39" name="Table_39" id="39">
  <tableColumns count="1">
    <tableColumn name="Column1" id="1"/>
  </tableColumns>
  <tableStyleInfo name="Classement Surp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headerRowCount="0" ref="B241:G242" displayName="Table_4" name="Table_4" id="4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Classement Général-style 4" showColumnStripes="0" showFirstColumn="1" showLastColumn="1" showRowStripes="1"/>
</table>
</file>

<file path=xl/tables/table40.xml><?xml version="1.0" encoding="utf-8"?>
<table xmlns="http://schemas.openxmlformats.org/spreadsheetml/2006/main" headerRowCount="0" ref="B1:AK250" displayName="Table_40" name="Table_40" id="40">
  <tableColumns count="36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</tableColumns>
  <tableStyleInfo name="Classement Surp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41.xml><?xml version="1.0" encoding="utf-8"?>
<table xmlns="http://schemas.openxmlformats.org/spreadsheetml/2006/main" ref="A1:D161" displayName="Table_41" name="Table_41" id="41">
  <tableColumns count="4">
    <tableColumn name="PSEUDO" id="1"/>
    <tableColumn name="PLACE" id="2"/>
    <tableColumn name="Points" id="3"/>
    <tableColumn name="Verif" id="4"/>
  </tableColumns>
  <tableStyleInfo name="Surp1-style" showColumnStripes="0" showFirstColumn="1" showLastColumn="1" showRowStripes="1"/>
</table>
</file>

<file path=xl/tables/table42.xml><?xml version="1.0" encoding="utf-8"?>
<table xmlns="http://schemas.openxmlformats.org/spreadsheetml/2006/main" ref="A1:D1000" displayName="Table_42" name="Table_42" id="42">
  <tableColumns count="4">
    <tableColumn name="PSEUDO" id="1"/>
    <tableColumn name="PLACE" id="2"/>
    <tableColumn name="Points" id="3"/>
    <tableColumn name="Verif" id="4"/>
  </tableColumns>
  <tableStyleInfo name="Surp2-style" showColumnStripes="0" showFirstColumn="1" showLastColumn="1" showRowStripes="1"/>
</table>
</file>

<file path=xl/tables/table43.xml><?xml version="1.0" encoding="utf-8"?>
<table xmlns="http://schemas.openxmlformats.org/spreadsheetml/2006/main" ref="A1:D1000" displayName="Table_43" name="Table_43" id="43">
  <tableColumns count="4">
    <tableColumn name="PSEUDO" id="1"/>
    <tableColumn name="PLACE" id="2"/>
    <tableColumn name="Points" id="3"/>
    <tableColumn name="Verif" id="4"/>
  </tableColumns>
  <tableStyleInfo name="Surp3-style" showColumnStripes="0" showFirstColumn="1" showLastColumn="1" showRowStripes="1"/>
</table>
</file>

<file path=xl/tables/table44.xml><?xml version="1.0" encoding="utf-8"?>
<table xmlns="http://schemas.openxmlformats.org/spreadsheetml/2006/main" ref="A1:D1000" displayName="Table_44" name="Table_44" id="44">
  <tableColumns count="4">
    <tableColumn name="PSEUDO" id="1"/>
    <tableColumn name="PLACE" id="2"/>
    <tableColumn name="Points" id="3"/>
    <tableColumn name="Verif" id="4"/>
  </tableColumns>
  <tableStyleInfo name="Surp4-style" showColumnStripes="0" showFirstColumn="1" showLastColumn="1" showRowStripes="1"/>
</table>
</file>

<file path=xl/tables/table45.xml><?xml version="1.0" encoding="utf-8"?>
<table xmlns="http://schemas.openxmlformats.org/spreadsheetml/2006/main" ref="A1:D1000" displayName="Table_45" name="Table_45" id="45">
  <tableColumns count="4">
    <tableColumn name="PSEUDO" id="1"/>
    <tableColumn name="PLACE" id="2"/>
    <tableColumn name="Points" id="3"/>
    <tableColumn name="Verif" id="4"/>
  </tableColumns>
  <tableStyleInfo name="Surp5-style" showColumnStripes="0" showFirstColumn="1" showLastColumn="1" showRowStripes="1"/>
</table>
</file>

<file path=xl/tables/table46.xml><?xml version="1.0" encoding="utf-8"?>
<table xmlns="http://schemas.openxmlformats.org/spreadsheetml/2006/main" ref="A1:D1000" displayName="Table_46" name="Table_46" id="46">
  <tableColumns count="4">
    <tableColumn name="PSEUDO" id="1"/>
    <tableColumn name="PLACE" id="2"/>
    <tableColumn name="Points" id="3"/>
    <tableColumn name="Verif" id="4"/>
  </tableColumns>
  <tableStyleInfo name="Surp6-style" showColumnStripes="0" showFirstColumn="1" showLastColumn="1" showRowStripes="1"/>
</table>
</file>

<file path=xl/tables/table47.xml><?xml version="1.0" encoding="utf-8"?>
<table xmlns="http://schemas.openxmlformats.org/spreadsheetml/2006/main" ref="A1:D1000" displayName="Table_47" name="Table_47" id="47">
  <tableColumns count="4">
    <tableColumn name="PSEUDO" id="1"/>
    <tableColumn name="PLACE" id="2"/>
    <tableColumn name="Points" id="3"/>
    <tableColumn name="Verif" id="4"/>
  </tableColumns>
  <tableStyleInfo name="Surp7-style" showColumnStripes="0" showFirstColumn="1" showLastColumn="1" showRowStripes="1"/>
</table>
</file>

<file path=xl/tables/table48.xml><?xml version="1.0" encoding="utf-8"?>
<table xmlns="http://schemas.openxmlformats.org/spreadsheetml/2006/main" ref="A1:D1000" displayName="Table_48" name="Table_48" id="48">
  <tableColumns count="4">
    <tableColumn name="PSEUDO" id="1"/>
    <tableColumn name="PLACE" id="2"/>
    <tableColumn name="Points" id="3"/>
    <tableColumn name="Verif" id="4"/>
  </tableColumns>
  <tableStyleInfo name="Surp8-style" showColumnStripes="0" showFirstColumn="1" showLastColumn="1" showRowStripes="1"/>
</table>
</file>

<file path=xl/tables/table49.xml><?xml version="1.0" encoding="utf-8"?>
<table xmlns="http://schemas.openxmlformats.org/spreadsheetml/2006/main" ref="A1:D1000" displayName="Table_49" name="Table_49" id="49">
  <tableColumns count="4">
    <tableColumn name="PSEUDO" id="1"/>
    <tableColumn name="PLACE" id="2"/>
    <tableColumn name="Points" id="3"/>
    <tableColumn name="Verif" id="4"/>
  </tableColumns>
  <tableStyleInfo name="Surp9-style" showColumnStripes="0" showFirstColumn="1" showLastColumn="1" showRowStripes="1"/>
</table>
</file>

<file path=xl/tables/table5.xml><?xml version="1.0" encoding="utf-8"?>
<table xmlns="http://schemas.openxmlformats.org/spreadsheetml/2006/main" headerRowCount="0" ref="A243:A244" displayName="Table_5" name="Table_5" id="5">
  <tableColumns count="1">
    <tableColumn name="Column1" id="1"/>
  </tableColumns>
  <tableStyleInfo name="Classement Général-style 5" showColumnStripes="0" showFirstColumn="1" showLastColumn="1" showRowStripes="1"/>
</table>
</file>

<file path=xl/tables/table50.xml><?xml version="1.0" encoding="utf-8"?>
<table xmlns="http://schemas.openxmlformats.org/spreadsheetml/2006/main" ref="A1:D1000" displayName="Table_50" name="Table_50" id="50">
  <tableColumns count="4">
    <tableColumn name="PSEUDO" id="1"/>
    <tableColumn name="PLACE" id="2"/>
    <tableColumn name="Points" id="3"/>
    <tableColumn name="Verif" id="4"/>
  </tableColumns>
  <tableStyleInfo name="Surp10-style" showColumnStripes="0" showFirstColumn="1" showLastColumn="1" showRowStripes="1"/>
</table>
</file>

<file path=xl/tables/table51.xml><?xml version="1.0" encoding="utf-8"?>
<table xmlns="http://schemas.openxmlformats.org/spreadsheetml/2006/main" ref="A1:D1000" displayName="Table_51" name="Table_51" id="51">
  <tableColumns count="4">
    <tableColumn name="PSEUDO" id="1"/>
    <tableColumn name="PLACE" id="2"/>
    <tableColumn name="Points" id="3"/>
    <tableColumn name="Verif" id="4"/>
  </tableColumns>
  <tableStyleInfo name="Surp11-style" showColumnStripes="0" showFirstColumn="1" showLastColumn="1" showRowStripes="1"/>
</table>
</file>

<file path=xl/tables/table6.xml><?xml version="1.0" encoding="utf-8"?>
<table xmlns="http://schemas.openxmlformats.org/spreadsheetml/2006/main" headerRowCount="0" ref="B243:G244" displayName="Table_6" name="Table_6" id="6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Classement Général-style 6" showColumnStripes="0" showFirstColumn="1" showLastColumn="1" showRowStripes="1"/>
</table>
</file>

<file path=xl/tables/table7.xml><?xml version="1.0" encoding="utf-8"?>
<table xmlns="http://schemas.openxmlformats.org/spreadsheetml/2006/main" headerRowCount="0" ref="A245:A246" displayName="Table_7" name="Table_7" id="7">
  <tableColumns count="1">
    <tableColumn name="Column1" id="1"/>
  </tableColumns>
  <tableStyleInfo name="Classement Général-style 7" showColumnStripes="0" showFirstColumn="1" showLastColumn="1" showRowStripes="1"/>
</table>
</file>

<file path=xl/tables/table8.xml><?xml version="1.0" encoding="utf-8"?>
<table xmlns="http://schemas.openxmlformats.org/spreadsheetml/2006/main" headerRowCount="0" ref="B245:G246" displayName="Table_8" name="Table_8" id="8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Classement Général-style 8" showColumnStripes="0" showFirstColumn="1" showLastColumn="1" showRowStripes="1"/>
</table>
</file>

<file path=xl/tables/table9.xml><?xml version="1.0" encoding="utf-8"?>
<table xmlns="http://schemas.openxmlformats.org/spreadsheetml/2006/main" headerRowCount="0" ref="A247:A248" displayName="Table_9" name="Table_9" id="9">
  <tableColumns count="1">
    <tableColumn name="Column1" id="1"/>
  </tableColumns>
  <tableStyleInfo name="Classement Général-style 9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20" Type="http://schemas.openxmlformats.org/officeDocument/2006/relationships/table" Target="../tables/table9.xml"/><Relationship Id="rId21" Type="http://schemas.openxmlformats.org/officeDocument/2006/relationships/table" Target="../tables/table10.xml"/><Relationship Id="rId13" Type="http://schemas.openxmlformats.org/officeDocument/2006/relationships/table" Target="../tables/table2.xml"/><Relationship Id="rId12" Type="http://schemas.openxmlformats.org/officeDocument/2006/relationships/table" Target="../tables/table1.xml"/><Relationship Id="rId15" Type="http://schemas.openxmlformats.org/officeDocument/2006/relationships/table" Target="../tables/table4.xml"/><Relationship Id="rId14" Type="http://schemas.openxmlformats.org/officeDocument/2006/relationships/table" Target="../tables/table3.xml"/><Relationship Id="rId17" Type="http://schemas.openxmlformats.org/officeDocument/2006/relationships/table" Target="../tables/table6.xml"/><Relationship Id="rId16" Type="http://schemas.openxmlformats.org/officeDocument/2006/relationships/table" Target="../tables/table5.xml"/><Relationship Id="rId19" Type="http://schemas.openxmlformats.org/officeDocument/2006/relationships/table" Target="../tables/table8.xml"/><Relationship Id="rId18" Type="http://schemas.openxmlformats.org/officeDocument/2006/relationships/table" Target="../tables/table7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Relationship Id="rId3" Type="http://schemas.openxmlformats.org/officeDocument/2006/relationships/table" Target="../tables/table2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Relationship Id="rId3" Type="http://schemas.openxmlformats.org/officeDocument/2006/relationships/table" Target="../tables/table2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Relationship Id="rId3" Type="http://schemas.openxmlformats.org/officeDocument/2006/relationships/table" Target="../tables/table2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Relationship Id="rId3" Type="http://schemas.openxmlformats.org/officeDocument/2006/relationships/table" Target="../tables/table2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Relationship Id="rId3" Type="http://schemas.openxmlformats.org/officeDocument/2006/relationships/table" Target="../tables/table2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Relationship Id="rId3" Type="http://schemas.openxmlformats.org/officeDocument/2006/relationships/table" Target="../tables/table2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Relationship Id="rId4" Type="http://schemas.openxmlformats.org/officeDocument/2006/relationships/table" Target="../tables/table26.xml"/><Relationship Id="rId5" Type="http://schemas.openxmlformats.org/officeDocument/2006/relationships/table" Target="../tables/table27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Relationship Id="rId3" Type="http://schemas.openxmlformats.org/officeDocument/2006/relationships/table" Target="../tables/table28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Relationship Id="rId3" Type="http://schemas.openxmlformats.org/officeDocument/2006/relationships/table" Target="../tables/table29.xml"/></Relationships>
</file>

<file path=xl/worksheets/_rels/sheet1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9.xml"/><Relationship Id="rId3" Type="http://schemas.openxmlformats.org/officeDocument/2006/relationships/table" Target="../tables/table3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4" Type="http://schemas.openxmlformats.org/officeDocument/2006/relationships/table" Target="../tables/table11.xml"/><Relationship Id="rId5" Type="http://schemas.openxmlformats.org/officeDocument/2006/relationships/table" Target="../tables/table12.xml"/></Relationships>
</file>

<file path=xl/worksheets/_rels/sheet2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0.xml"/><Relationship Id="rId3" Type="http://schemas.openxmlformats.org/officeDocument/2006/relationships/table" Target="../tables/table31.xml"/></Relationships>
</file>

<file path=xl/worksheets/_rels/sheet2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1.xml"/><Relationship Id="rId3" Type="http://schemas.openxmlformats.org/officeDocument/2006/relationships/table" Target="../tables/table32.xml"/></Relationships>
</file>

<file path=xl/worksheets/_rels/sheet2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2.xml"/><Relationship Id="rId3" Type="http://schemas.openxmlformats.org/officeDocument/2006/relationships/table" Target="../tables/table33.xml"/></Relationships>
</file>

<file path=xl/worksheets/_rels/sheet2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3.xml"/><Relationship Id="rId3" Type="http://schemas.openxmlformats.org/officeDocument/2006/relationships/table" Target="../tables/table34.xml"/></Relationships>
</file>

<file path=xl/worksheets/_rels/sheet2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4.xml"/><Relationship Id="rId3" Type="http://schemas.openxmlformats.org/officeDocument/2006/relationships/table" Target="../tables/table35.xml"/></Relationships>
</file>

<file path=xl/worksheets/_rels/sheet2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5.xml"/><Relationship Id="rId3" Type="http://schemas.openxmlformats.org/officeDocument/2006/relationships/table" Target="../tables/table36.xml"/></Relationships>
</file>

<file path=xl/worksheets/_rels/sheet2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6.xml"/><Relationship Id="rId3" Type="http://schemas.openxmlformats.org/officeDocument/2006/relationships/table" Target="../tables/table37.xml"/></Relationships>
</file>

<file path=xl/worksheets/_rels/sheet2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7.xml"/><Relationship Id="rId3" Type="http://schemas.openxmlformats.org/officeDocument/2006/relationships/table" Target="../tables/table38.xml"/></Relationships>
</file>

<file path=xl/worksheets/_rels/sheet2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8.xml"/><Relationship Id="rId4" Type="http://schemas.openxmlformats.org/officeDocument/2006/relationships/table" Target="../tables/table39.xml"/><Relationship Id="rId5" Type="http://schemas.openxmlformats.org/officeDocument/2006/relationships/table" Target="../tables/table40.xml"/></Relationships>
</file>

<file path=xl/worksheets/_rels/sheet2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9.xml"/><Relationship Id="rId3" Type="http://schemas.openxmlformats.org/officeDocument/2006/relationships/table" Target="../tables/table4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0.xml"/><Relationship Id="rId3" Type="http://schemas.openxmlformats.org/officeDocument/2006/relationships/table" Target="../tables/table42.xml"/></Relationships>
</file>

<file path=xl/worksheets/_rels/sheet3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1.xml"/><Relationship Id="rId3" Type="http://schemas.openxmlformats.org/officeDocument/2006/relationships/table" Target="../tables/table43.xml"/></Relationships>
</file>

<file path=xl/worksheets/_rels/sheet3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2.xml"/><Relationship Id="rId3" Type="http://schemas.openxmlformats.org/officeDocument/2006/relationships/table" Target="../tables/table44.xml"/></Relationships>
</file>

<file path=xl/worksheets/_rels/sheet3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3.xml"/><Relationship Id="rId3" Type="http://schemas.openxmlformats.org/officeDocument/2006/relationships/table" Target="../tables/table45.xml"/></Relationships>
</file>

<file path=xl/worksheets/_rels/sheet3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4.xml"/><Relationship Id="rId3" Type="http://schemas.openxmlformats.org/officeDocument/2006/relationships/table" Target="../tables/table46.xml"/></Relationships>
</file>

<file path=xl/worksheets/_rels/sheet3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5.xml"/><Relationship Id="rId3" Type="http://schemas.openxmlformats.org/officeDocument/2006/relationships/table" Target="../tables/table47.xml"/></Relationships>
</file>

<file path=xl/worksheets/_rels/sheet3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6.xml"/><Relationship Id="rId3" Type="http://schemas.openxmlformats.org/officeDocument/2006/relationships/table" Target="../tables/table48.xml"/></Relationships>
</file>

<file path=xl/worksheets/_rels/sheet3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7.xml"/><Relationship Id="rId3" Type="http://schemas.openxmlformats.org/officeDocument/2006/relationships/table" Target="../tables/table49.xml"/></Relationships>
</file>

<file path=xl/worksheets/_rels/sheet3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8.xml"/><Relationship Id="rId3" Type="http://schemas.openxmlformats.org/officeDocument/2006/relationships/table" Target="../tables/table50.xml"/></Relationships>
</file>

<file path=xl/worksheets/_rels/sheet3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9.xml"/><Relationship Id="rId3" Type="http://schemas.openxmlformats.org/officeDocument/2006/relationships/table" Target="../tables/table51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4" Type="http://schemas.openxmlformats.org/officeDocument/2006/relationships/table" Target="../tables/table13.xml"/><Relationship Id="rId5" Type="http://schemas.openxmlformats.org/officeDocument/2006/relationships/table" Target="../tables/table1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1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Relationship Id="rId3" Type="http://schemas.openxmlformats.org/officeDocument/2006/relationships/table" Target="../tables/table1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Relationship Id="rId3" Type="http://schemas.openxmlformats.org/officeDocument/2006/relationships/table" Target="../tables/table1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Relationship Id="rId3" Type="http://schemas.openxmlformats.org/officeDocument/2006/relationships/table" Target="../tables/table1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Relationship Id="rId3" Type="http://schemas.openxmlformats.org/officeDocument/2006/relationships/table" Target="../tables/table1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0"/>
    <col customWidth="1" min="2" max="2" width="28.29"/>
    <col customWidth="1" min="3" max="3" width="22.86"/>
    <col customWidth="1" min="4" max="4" width="9.43"/>
    <col customWidth="1" min="5" max="5" width="20.29"/>
    <col customWidth="1" min="6" max="6" width="21.14"/>
    <col customWidth="1" min="7" max="7" width="23.29"/>
  </cols>
  <sheetData>
    <row r="1" ht="37.5" customHeight="1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F1" s="5" t="s">
        <v>5</v>
      </c>
      <c r="G1" s="5" t="s">
        <v>6</v>
      </c>
    </row>
    <row r="2" ht="14.25" customHeight="1">
      <c r="A2" s="6">
        <v>1.0</v>
      </c>
      <c r="B2" s="6" t="s">
        <v>7</v>
      </c>
      <c r="C2" s="7">
        <f>'Classement Général'!$E2+'Classement Général'!$F2+'Classement Général'!$G2</f>
        <v>19417.05954</v>
      </c>
      <c r="D2" s="8"/>
      <c r="E2" s="9">
        <f>IFERROR(VLOOKUP(B2,'Classement S6'!$B$2:$C$200,2,0),"0")</f>
        <v>9527.271752</v>
      </c>
      <c r="F2" s="9">
        <f>IFERROR(VLOOKUP(B2,'Classement RoC'!$B$2:$C$199,2,0),"0")</f>
        <v>7252.881965</v>
      </c>
      <c r="G2" s="9">
        <f>IFERROR(VLOOKUP(B2,'Classement Surp'!$B$2:$C$199,2,0),"0")</f>
        <v>2636.905822</v>
      </c>
    </row>
    <row r="3" ht="14.25" customHeight="1">
      <c r="A3" s="6">
        <v>2.0</v>
      </c>
      <c r="B3" s="6" t="s">
        <v>8</v>
      </c>
      <c r="C3" s="7">
        <f>'Classement Général'!$E3+'Classement Général'!$F3+'Classement Général'!$G3</f>
        <v>15742.07589</v>
      </c>
      <c r="D3" s="8"/>
      <c r="E3" s="9">
        <f>IFERROR(VLOOKUP(B3,'Classement S6'!$B$2:$C$200,2,0),"0")</f>
        <v>7610.317642</v>
      </c>
      <c r="F3" s="9">
        <f>IFERROR(VLOOKUP(B3,'Classement RoC'!$B$2:$C$199,2,0),"0")</f>
        <v>5870.255625</v>
      </c>
      <c r="G3" s="9">
        <f>IFERROR(VLOOKUP(B3,'Classement Surp'!$B$2:$C$199,2,0),"0")</f>
        <v>2261.502627</v>
      </c>
    </row>
    <row r="4" ht="14.25" customHeight="1">
      <c r="A4" s="6">
        <v>3.0</v>
      </c>
      <c r="B4" s="6" t="s">
        <v>9</v>
      </c>
      <c r="C4" s="7">
        <f>'Classement Général'!$E4+'Classement Général'!$F4+'Classement Général'!$G4</f>
        <v>14688.20249</v>
      </c>
      <c r="D4" s="8"/>
      <c r="E4" s="9">
        <f>IFERROR(VLOOKUP(B4,'Classement S6'!$B$2:$C$200,2,0),"0")</f>
        <v>6848.880839</v>
      </c>
      <c r="F4" s="9">
        <f>IFERROR(VLOOKUP(B4,'Classement RoC'!$B$2:$C$199,2,0),"0")</f>
        <v>4927.849388</v>
      </c>
      <c r="G4" s="9">
        <f>IFERROR(VLOOKUP(B4,'Classement Surp'!$B$2:$C$199,2,0),"0")</f>
        <v>2911.472264</v>
      </c>
    </row>
    <row r="5" ht="14.25" customHeight="1">
      <c r="A5" s="6">
        <v>4.0</v>
      </c>
      <c r="B5" s="6" t="s">
        <v>10</v>
      </c>
      <c r="C5" s="7">
        <f>'Classement Général'!$E5+'Classement Général'!$F5+'Classement Général'!$G5</f>
        <v>14512.44023</v>
      </c>
      <c r="D5" s="8"/>
      <c r="E5" s="9">
        <f>IFERROR(VLOOKUP(B5,'Classement S6'!$B$2:$C$200,2,0),"0")</f>
        <v>6322.495221</v>
      </c>
      <c r="F5" s="9">
        <f>IFERROR(VLOOKUP(B5,'Classement RoC'!$B$2:$C$199,2,0),"0")</f>
        <v>6402.909979</v>
      </c>
      <c r="G5" s="9">
        <f>IFERROR(VLOOKUP(B5,'Classement Surp'!$B$2:$C$199,2,0),"0")</f>
        <v>1787.035029</v>
      </c>
    </row>
    <row r="6" ht="14.25" customHeight="1">
      <c r="A6" s="6">
        <v>5.0</v>
      </c>
      <c r="B6" s="10" t="s">
        <v>11</v>
      </c>
      <c r="C6" s="7">
        <f>'Classement Général'!$E6+'Classement Général'!$F6+'Classement Général'!$G6</f>
        <v>12997.86889</v>
      </c>
      <c r="D6" s="11"/>
      <c r="E6" s="12">
        <f>IFERROR(VLOOKUP(B6,'Classement S6'!$B$2:$C$200,2,0),"0")</f>
        <v>7431.078619</v>
      </c>
      <c r="F6" s="12">
        <f>IFERROR(VLOOKUP(B6,'Classement RoC'!$B$2:$C$199,2,0),"0")</f>
        <v>4170.125252</v>
      </c>
      <c r="G6" s="12">
        <f>IFERROR(VLOOKUP(B6,'Classement Surp'!$B$2:$C$199,2,0),"0")</f>
        <v>1396.665022</v>
      </c>
    </row>
    <row r="7" ht="14.25" customHeight="1">
      <c r="A7" s="6">
        <v>6.0</v>
      </c>
      <c r="B7" s="6" t="s">
        <v>12</v>
      </c>
      <c r="C7" s="7">
        <f>'Classement Général'!$E7+'Classement Général'!$F7+'Classement Général'!$G7</f>
        <v>12583.24981</v>
      </c>
      <c r="D7" s="8"/>
      <c r="E7" s="9">
        <f>IFERROR(VLOOKUP(B7,'Classement S6'!$B$2:$C$200,2,0),"0")</f>
        <v>6635.743676</v>
      </c>
      <c r="F7" s="9">
        <f>IFERROR(VLOOKUP(B7,'Classement RoC'!$B$2:$C$199,2,0),"0")</f>
        <v>3348.640868</v>
      </c>
      <c r="G7" s="9">
        <f>IFERROR(VLOOKUP(B7,'Classement Surp'!$B$2:$C$199,2,0),"0")</f>
        <v>2598.86527</v>
      </c>
    </row>
    <row r="8" ht="14.25" customHeight="1">
      <c r="A8" s="6">
        <v>7.0</v>
      </c>
      <c r="B8" s="13" t="s">
        <v>13</v>
      </c>
      <c r="C8" s="7">
        <f>'Classement Général'!$E8+'Classement Général'!$F8+'Classement Général'!$G8</f>
        <v>12470.78433</v>
      </c>
      <c r="D8" s="8"/>
      <c r="E8" s="9">
        <f>IFERROR(VLOOKUP(B8,'Classement S6'!$B$2:$C$200,2,0),"0")</f>
        <v>8265.690257</v>
      </c>
      <c r="F8" s="9">
        <f>IFERROR(VLOOKUP(B8,'Classement RoC'!$B$2:$C$199,2,0),"0")</f>
        <v>3358.798542</v>
      </c>
      <c r="G8" s="9">
        <f>IFERROR(VLOOKUP(B8,'Classement Surp'!$B$2:$C$199,2,0),"0")</f>
        <v>846.2955332</v>
      </c>
    </row>
    <row r="9" ht="14.25" customHeight="1">
      <c r="A9" s="6">
        <v>8.0</v>
      </c>
      <c r="B9" s="6" t="s">
        <v>14</v>
      </c>
      <c r="C9" s="7">
        <f>'Classement Général'!$E9+'Classement Général'!$F9+'Classement Général'!$G9</f>
        <v>12321.24549</v>
      </c>
      <c r="D9" s="8"/>
      <c r="E9" s="9">
        <f>IFERROR(VLOOKUP(B9,'Classement S6'!$B$2:$C$200,2,0),"0")</f>
        <v>5766.578719</v>
      </c>
      <c r="F9" s="9">
        <f>IFERROR(VLOOKUP(B9,'Classement RoC'!$B$2:$C$199,2,0),"0")</f>
        <v>3970.536251</v>
      </c>
      <c r="G9" s="9">
        <f>IFERROR(VLOOKUP(B9,'Classement Surp'!$B$2:$C$199,2,0),"0")</f>
        <v>2584.130521</v>
      </c>
    </row>
    <row r="10" ht="14.25" customHeight="1">
      <c r="A10" s="6">
        <v>9.0</v>
      </c>
      <c r="B10" s="6" t="s">
        <v>15</v>
      </c>
      <c r="C10" s="7">
        <f>'Classement Général'!$E10+'Classement Général'!$F10+'Classement Général'!$G10</f>
        <v>12128.66692</v>
      </c>
      <c r="D10" s="8"/>
      <c r="E10" s="9">
        <f>IFERROR(VLOOKUP(B10,'Classement S6'!$B$2:$C$200,2,0),"0")</f>
        <v>5366.422196</v>
      </c>
      <c r="F10" s="9">
        <f>IFERROR(VLOOKUP(B10,'Classement RoC'!$B$2:$C$199,2,0),"0")</f>
        <v>5112.683545</v>
      </c>
      <c r="G10" s="9">
        <f>IFERROR(VLOOKUP(B10,'Classement Surp'!$B$2:$C$199,2,0),"0")</f>
        <v>1649.561183</v>
      </c>
    </row>
    <row r="11" ht="14.25" customHeight="1">
      <c r="A11" s="6">
        <v>10.0</v>
      </c>
      <c r="B11" s="6" t="s">
        <v>16</v>
      </c>
      <c r="C11" s="7">
        <f>'Classement Général'!$E11+'Classement Général'!$F11+'Classement Général'!$G11</f>
        <v>11891.01839</v>
      </c>
      <c r="D11" s="8"/>
      <c r="E11" s="9">
        <f>IFERROR(VLOOKUP(B11,'Classement S6'!$B$2:$C$200,2,0),"0")</f>
        <v>7510.864786</v>
      </c>
      <c r="F11" s="9">
        <f>IFERROR(VLOOKUP(B11,'Classement RoC'!$B$2:$C$199,2,0),"0")</f>
        <v>3832.829897</v>
      </c>
      <c r="G11" s="9">
        <f>IFERROR(VLOOKUP(B11,'Classement Surp'!$B$2:$C$199,2,0),"0")</f>
        <v>547.3237046</v>
      </c>
    </row>
    <row r="12" ht="14.25" customHeight="1">
      <c r="A12" s="6">
        <v>11.0</v>
      </c>
      <c r="B12" s="6" t="s">
        <v>17</v>
      </c>
      <c r="C12" s="7">
        <f>'Classement Général'!$E12+'Classement Général'!$F12+'Classement Général'!$G12</f>
        <v>11798.36733</v>
      </c>
      <c r="D12" s="8"/>
      <c r="E12" s="14">
        <f>IFERROR(VLOOKUP(B12,'Classement S6'!$B$2:$C$200,2,0),"0")</f>
        <v>5133.979578</v>
      </c>
      <c r="F12" s="14">
        <f>IFERROR(VLOOKUP(B12,'Classement RoC'!$B$2:$C$199,2,0),"0")</f>
        <v>5220.377133</v>
      </c>
      <c r="G12" s="9">
        <f>IFERROR(VLOOKUP(B12,'Classement Surp'!$B$2:$C$199,2,0),"0")</f>
        <v>1444.010616</v>
      </c>
    </row>
    <row r="13" ht="14.25" customHeight="1">
      <c r="A13" s="6">
        <v>12.0</v>
      </c>
      <c r="B13" s="6" t="s">
        <v>18</v>
      </c>
      <c r="C13" s="7">
        <f>'Classement Général'!$E13+'Classement Général'!$F13+'Classement Général'!$G13</f>
        <v>11528.48805</v>
      </c>
      <c r="D13" s="8"/>
      <c r="E13" s="9">
        <f>IFERROR(VLOOKUP(B13,'Classement S6'!$B$2:$C$200,2,0),"0")</f>
        <v>6112.558925</v>
      </c>
      <c r="F13" s="9">
        <f>IFERROR(VLOOKUP(B13,'Classement RoC'!$B$2:$C$199,2,0),"0")</f>
        <v>1670.789189</v>
      </c>
      <c r="G13" s="9">
        <f>IFERROR(VLOOKUP(B13,'Classement Surp'!$B$2:$C$199,2,0),"0")</f>
        <v>3745.139932</v>
      </c>
    </row>
    <row r="14" ht="14.25" customHeight="1">
      <c r="A14" s="6">
        <v>13.0</v>
      </c>
      <c r="B14" s="6" t="s">
        <v>19</v>
      </c>
      <c r="C14" s="7">
        <f>'Classement Général'!$E14+'Classement Général'!$F14+'Classement Général'!$G14</f>
        <v>11074.03547</v>
      </c>
      <c r="D14" s="8"/>
      <c r="E14" s="9">
        <f>IFERROR(VLOOKUP(B14,'Classement S6'!$B$2:$C$200,2,0),"0")</f>
        <v>6846.233397</v>
      </c>
      <c r="F14" s="9">
        <f>IFERROR(VLOOKUP(B14,'Classement RoC'!$B$2:$C$199,2,0),"0")</f>
        <v>1590.76143</v>
      </c>
      <c r="G14" s="9">
        <f>IFERROR(VLOOKUP(B14,'Classement Surp'!$B$2:$C$199,2,0),"0")</f>
        <v>2637.040647</v>
      </c>
    </row>
    <row r="15" ht="14.25" customHeight="1">
      <c r="A15" s="6">
        <v>14.0</v>
      </c>
      <c r="B15" s="6" t="s">
        <v>20</v>
      </c>
      <c r="C15" s="7">
        <f>'Classement Général'!$E15+'Classement Général'!$F15+'Classement Général'!$G15</f>
        <v>11018.25488</v>
      </c>
      <c r="D15" s="8"/>
      <c r="E15" s="9">
        <f>IFERROR(VLOOKUP(B15,'Classement S6'!$B$2:$C$200,2,0),"0")</f>
        <v>6497.153133</v>
      </c>
      <c r="F15" s="9">
        <f>IFERROR(VLOOKUP(B15,'Classement RoC'!$B$2:$C$199,2,0),"0")</f>
        <v>3798.613316</v>
      </c>
      <c r="G15" s="9">
        <f>IFERROR(VLOOKUP(B15,'Classement Surp'!$B$2:$C$199,2,0),"0")</f>
        <v>722.4884262</v>
      </c>
    </row>
    <row r="16" ht="14.25" customHeight="1">
      <c r="A16" s="6">
        <v>15.0</v>
      </c>
      <c r="B16" s="6" t="s">
        <v>21</v>
      </c>
      <c r="C16" s="7">
        <f>'Classement Général'!$E16+'Classement Général'!$F16+'Classement Général'!$G16</f>
        <v>10845.28691</v>
      </c>
      <c r="D16" s="8"/>
      <c r="E16" s="9">
        <f>IFERROR(VLOOKUP(B16,'Classement S6'!$B$2:$C$200,2,0),"0")</f>
        <v>5383.091268</v>
      </c>
      <c r="F16" s="9">
        <f>IFERROR(VLOOKUP(B16,'Classement RoC'!$B$2:$C$199,2,0),"0")</f>
        <v>4203.85425</v>
      </c>
      <c r="G16" s="9">
        <f>IFERROR(VLOOKUP(B16,'Classement Surp'!$B$2:$C$199,2,0),"0")</f>
        <v>1258.341388</v>
      </c>
    </row>
    <row r="17" ht="14.25" customHeight="1">
      <c r="A17" s="6">
        <v>16.0</v>
      </c>
      <c r="B17" s="6" t="s">
        <v>22</v>
      </c>
      <c r="C17" s="7">
        <f>'Classement Général'!$E17+'Classement Général'!$F17+'Classement Général'!$G17</f>
        <v>10659.89737</v>
      </c>
      <c r="D17" s="8"/>
      <c r="E17" s="9">
        <f>IFERROR(VLOOKUP(B17,'Classement S6'!$B$2:$C$200,2,0),"0")</f>
        <v>6671.103537</v>
      </c>
      <c r="F17" s="9">
        <f>IFERROR(VLOOKUP(B17,'Classement RoC'!$B$2:$C$199,2,0),"0")</f>
        <v>2896.70037</v>
      </c>
      <c r="G17" s="9">
        <f>IFERROR(VLOOKUP(B17,'Classement Surp'!$B$2:$C$199,2,0),"0")</f>
        <v>1092.093467</v>
      </c>
    </row>
    <row r="18" ht="14.25" customHeight="1">
      <c r="A18" s="6">
        <v>17.0</v>
      </c>
      <c r="B18" s="6" t="s">
        <v>23</v>
      </c>
      <c r="C18" s="7">
        <f>'Classement Général'!$E18+'Classement Général'!$F18+'Classement Général'!$G18</f>
        <v>10601.86332</v>
      </c>
      <c r="D18" s="8"/>
      <c r="E18" s="9">
        <f>IFERROR(VLOOKUP(B18,'Classement S6'!$B$2:$C$200,2,0),"0")</f>
        <v>7021.314147</v>
      </c>
      <c r="F18" s="9">
        <f>IFERROR(VLOOKUP(B18,'Classement RoC'!$B$2:$C$199,2,0),"0")</f>
        <v>2481.476578</v>
      </c>
      <c r="G18" s="9">
        <f>IFERROR(VLOOKUP(B18,'Classement Surp'!$B$2:$C$199,2,0),"0")</f>
        <v>1099.072593</v>
      </c>
    </row>
    <row r="19" ht="14.25" customHeight="1">
      <c r="A19" s="6">
        <v>18.0</v>
      </c>
      <c r="B19" s="6" t="s">
        <v>24</v>
      </c>
      <c r="C19" s="7">
        <f>'Classement Général'!$E19+'Classement Général'!$F19+'Classement Général'!$G19</f>
        <v>10504.13127</v>
      </c>
      <c r="D19" s="8"/>
      <c r="E19" s="9">
        <f>IFERROR(VLOOKUP(B19,'Classement S6'!$B$2:$C$200,2,0),"0")</f>
        <v>7701.578041</v>
      </c>
      <c r="F19" s="9">
        <f>IFERROR(VLOOKUP(B19,'Classement RoC'!$B$2:$C$199,2,0),"0")</f>
        <v>2031.911623</v>
      </c>
      <c r="G19" s="9">
        <f>IFERROR(VLOOKUP(B19,'Classement Surp'!$B$2:$C$199,2,0),"0")</f>
        <v>770.6416095</v>
      </c>
    </row>
    <row r="20" ht="14.25" customHeight="1">
      <c r="A20" s="6">
        <v>19.0</v>
      </c>
      <c r="B20" s="6" t="s">
        <v>25</v>
      </c>
      <c r="C20" s="7">
        <f>'Classement Général'!$E20+'Classement Général'!$F20+'Classement Général'!$G20</f>
        <v>10443.69794</v>
      </c>
      <c r="D20" s="8"/>
      <c r="E20" s="9">
        <f>IFERROR(VLOOKUP(B20,'Classement S6'!$B$2:$C$200,2,0),"0")</f>
        <v>6297.623567</v>
      </c>
      <c r="F20" s="9">
        <f>IFERROR(VLOOKUP(B20,'Classement RoC'!$B$2:$C$199,2,0),"0")</f>
        <v>3157.7589</v>
      </c>
      <c r="G20" s="9">
        <f>IFERROR(VLOOKUP(B20,'Classement Surp'!$B$2:$C$199,2,0),"0")</f>
        <v>988.3154774</v>
      </c>
    </row>
    <row r="21" ht="14.25" customHeight="1">
      <c r="A21" s="6">
        <v>20.0</v>
      </c>
      <c r="B21" s="6" t="s">
        <v>26</v>
      </c>
      <c r="C21" s="7">
        <f>'Classement Général'!$E21+'Classement Général'!$F21+'Classement Général'!$G21</f>
        <v>10163.15223</v>
      </c>
      <c r="D21" s="8"/>
      <c r="E21" s="9">
        <f>IFERROR(VLOOKUP(B21,'Classement S6'!$B$2:$C$200,2,0),"0")</f>
        <v>4510.343168</v>
      </c>
      <c r="F21" s="9">
        <f>IFERROR(VLOOKUP(B21,'Classement RoC'!$B$2:$C$199,2,0),"0")</f>
        <v>3916.46067</v>
      </c>
      <c r="G21" s="9">
        <f>IFERROR(VLOOKUP(B21,'Classement Surp'!$B$2:$C$199,2,0),"0")</f>
        <v>1736.348392</v>
      </c>
    </row>
    <row r="22" ht="14.25" customHeight="1">
      <c r="A22" s="6">
        <v>21.0</v>
      </c>
      <c r="B22" s="15" t="s">
        <v>27</v>
      </c>
      <c r="C22" s="7">
        <f>'Classement Général'!$E22+'Classement Général'!$F22+'Classement Général'!$G22</f>
        <v>9969.141276</v>
      </c>
      <c r="D22" s="8"/>
      <c r="E22" s="9">
        <f>IFERROR(VLOOKUP(B22,'Classement S6'!$B$2:$C$200,2,0),"0")</f>
        <v>9486.727833</v>
      </c>
      <c r="F22" s="9">
        <f>IFERROR(VLOOKUP(B22,'Classement RoC'!$B$2:$C$199,2,0),"0")</f>
        <v>435.4140721</v>
      </c>
      <c r="G22" s="9">
        <f>IFERROR(VLOOKUP(B22,'Classement Surp'!$B$2:$C$199,2,0),"0")</f>
        <v>46.99937075</v>
      </c>
    </row>
    <row r="23" ht="14.25" customHeight="1">
      <c r="A23" s="6">
        <v>22.0</v>
      </c>
      <c r="B23" s="6" t="s">
        <v>28</v>
      </c>
      <c r="C23" s="7">
        <f>'Classement Général'!$E23+'Classement Général'!$F23+'Classement Général'!$G23</f>
        <v>9954.662911</v>
      </c>
      <c r="D23" s="8"/>
      <c r="E23" s="9">
        <f>IFERROR(VLOOKUP(B23,'Classement S6'!$B$2:$C$200,2,0),"0")</f>
        <v>6622.934677</v>
      </c>
      <c r="F23" s="9">
        <f>IFERROR(VLOOKUP(B23,'Classement RoC'!$B$2:$C$199,2,0),"0")</f>
        <v>1753.6113</v>
      </c>
      <c r="G23" s="9">
        <f>IFERROR(VLOOKUP(B23,'Classement Surp'!$B$2:$C$199,2,0),"0")</f>
        <v>1578.116934</v>
      </c>
    </row>
    <row r="24" ht="14.25" customHeight="1">
      <c r="A24" s="6">
        <v>23.0</v>
      </c>
      <c r="B24" s="6" t="s">
        <v>29</v>
      </c>
      <c r="C24" s="7">
        <f>'Classement Général'!$E24+'Classement Général'!$F24+'Classement Général'!$G24</f>
        <v>9855.304888</v>
      </c>
      <c r="D24" s="8"/>
      <c r="E24" s="9">
        <f>IFERROR(VLOOKUP(B24,'Classement S6'!$B$2:$C$200,2,0),"0")</f>
        <v>5866.568466</v>
      </c>
      <c r="F24" s="9">
        <f>IFERROR(VLOOKUP(B24,'Classement RoC'!$B$2:$C$199,2,0),"0")</f>
        <v>2164.411984</v>
      </c>
      <c r="G24" s="9">
        <f>IFERROR(VLOOKUP(B24,'Classement Surp'!$B$2:$C$199,2,0),"0")</f>
        <v>1824.324438</v>
      </c>
    </row>
    <row r="25" ht="14.25" customHeight="1">
      <c r="A25" s="6">
        <v>24.0</v>
      </c>
      <c r="B25" s="6" t="s">
        <v>30</v>
      </c>
      <c r="C25" s="7">
        <f>'Classement Général'!$E25+'Classement Général'!$F25+'Classement Général'!$G25</f>
        <v>9692.38487</v>
      </c>
      <c r="D25" s="8"/>
      <c r="E25" s="9">
        <f>IFERROR(VLOOKUP(B25,'Classement S6'!$B$2:$C$200,2,0),"0")</f>
        <v>5752.57942</v>
      </c>
      <c r="F25" s="9">
        <f>IFERROR(VLOOKUP(B25,'Classement RoC'!$B$2:$C$199,2,0),"0")</f>
        <v>2857.482475</v>
      </c>
      <c r="G25" s="9">
        <f>IFERROR(VLOOKUP(B25,'Classement Surp'!$B$2:$C$199,2,0),"0")</f>
        <v>1082.322975</v>
      </c>
    </row>
    <row r="26" ht="14.25" customHeight="1">
      <c r="A26" s="6">
        <v>25.0</v>
      </c>
      <c r="B26" s="6" t="s">
        <v>31</v>
      </c>
      <c r="C26" s="7">
        <f>'Classement Général'!$E26+'Classement Général'!$F26+'Classement Général'!$G26</f>
        <v>9594.465442</v>
      </c>
      <c r="D26" s="8"/>
      <c r="E26" s="9">
        <f>IFERROR(VLOOKUP(B26,'Classement S6'!$B$2:$C$200,2,0),"0")</f>
        <v>4992.967609</v>
      </c>
      <c r="F26" s="9">
        <f>IFERROR(VLOOKUP(B26,'Classement RoC'!$B$2:$C$199,2,0),"0")</f>
        <v>2991.896513</v>
      </c>
      <c r="G26" s="9">
        <f>IFERROR(VLOOKUP(B26,'Classement Surp'!$B$2:$C$199,2,0),"0")</f>
        <v>1609.601321</v>
      </c>
    </row>
    <row r="27" ht="14.25" customHeight="1">
      <c r="A27" s="6">
        <v>26.0</v>
      </c>
      <c r="B27" s="13" t="s">
        <v>32</v>
      </c>
      <c r="C27" s="7">
        <f>'Classement Général'!$E27+'Classement Général'!$F27+'Classement Général'!$G27</f>
        <v>9559.62189</v>
      </c>
      <c r="D27" s="8"/>
      <c r="E27" s="9">
        <f>IFERROR(VLOOKUP(B27,'Classement S6'!$B$2:$C$200,2,0),"0")</f>
        <v>5776.833658</v>
      </c>
      <c r="F27" s="9">
        <f>IFERROR(VLOOKUP(B27,'Classement RoC'!$B$2:$C$199,2,0),"0")</f>
        <v>2724.528867</v>
      </c>
      <c r="G27" s="9">
        <f>IFERROR(VLOOKUP(B27,'Classement Surp'!$B$2:$C$199,2,0),"0")</f>
        <v>1058.259365</v>
      </c>
    </row>
    <row r="28" ht="14.25" customHeight="1">
      <c r="A28" s="6">
        <v>27.0</v>
      </c>
      <c r="B28" s="6" t="s">
        <v>33</v>
      </c>
      <c r="C28" s="7">
        <f>'Classement Général'!$E28+'Classement Général'!$F28+'Classement Général'!$G28</f>
        <v>9193.477604</v>
      </c>
      <c r="D28" s="8"/>
      <c r="E28" s="9">
        <f>IFERROR(VLOOKUP(B28,'Classement S6'!$B$2:$C$200,2,0),"0")</f>
        <v>5010.9672</v>
      </c>
      <c r="F28" s="9">
        <f>IFERROR(VLOOKUP(B28,'Classement RoC'!$B$2:$C$199,2,0),"0")</f>
        <v>3150.842756</v>
      </c>
      <c r="G28" s="9">
        <f>IFERROR(VLOOKUP(B28,'Classement Surp'!$B$2:$C$199,2,0),"0")</f>
        <v>1031.667647</v>
      </c>
    </row>
    <row r="29" ht="14.25" customHeight="1">
      <c r="A29" s="6">
        <v>28.0</v>
      </c>
      <c r="B29" s="6" t="s">
        <v>34</v>
      </c>
      <c r="C29" s="7">
        <f>'Classement Général'!$E29+'Classement Général'!$F29+'Classement Général'!$G29</f>
        <v>8903.12294</v>
      </c>
      <c r="D29" s="8"/>
      <c r="E29" s="9">
        <f>IFERROR(VLOOKUP(B29,'Classement S6'!$B$2:$C$200,2,0),"0")</f>
        <v>6078.647314</v>
      </c>
      <c r="F29" s="9">
        <f>IFERROR(VLOOKUP(B29,'Classement RoC'!$B$2:$C$199,2,0),"0")</f>
        <v>1970.239101</v>
      </c>
      <c r="G29" s="9">
        <f>IFERROR(VLOOKUP(B29,'Classement Surp'!$B$2:$C$199,2,0),"0")</f>
        <v>854.2365249</v>
      </c>
    </row>
    <row r="30" ht="14.25" customHeight="1">
      <c r="A30" s="6">
        <v>29.0</v>
      </c>
      <c r="B30" s="6" t="s">
        <v>35</v>
      </c>
      <c r="C30" s="7">
        <f>'Classement Général'!$E30+'Classement Général'!$F30+'Classement Général'!$G30</f>
        <v>8871.936114</v>
      </c>
      <c r="D30" s="8"/>
      <c r="E30" s="9">
        <f>IFERROR(VLOOKUP(B30,'Classement S6'!$B$2:$C$200,2,0),"0")</f>
        <v>7201.63488</v>
      </c>
      <c r="F30" s="9">
        <f>IFERROR(VLOOKUP(B30,'Classement RoC'!$B$2:$C$199,2,0),"0")</f>
        <v>1317.422948</v>
      </c>
      <c r="G30" s="9">
        <f>IFERROR(VLOOKUP(B30,'Classement Surp'!$B$2:$C$199,2,0),"0")</f>
        <v>352.8782865</v>
      </c>
    </row>
    <row r="31" ht="14.25" customHeight="1">
      <c r="A31" s="6">
        <v>30.0</v>
      </c>
      <c r="B31" s="6" t="s">
        <v>36</v>
      </c>
      <c r="C31" s="7">
        <f>'Classement Général'!$E31+'Classement Général'!$F31+'Classement Général'!$G31</f>
        <v>8656.373162</v>
      </c>
      <c r="D31" s="8"/>
      <c r="E31" s="9">
        <f>IFERROR(VLOOKUP(B31,'Classement S6'!$B$2:$C$200,2,0),"0")</f>
        <v>2884.821805</v>
      </c>
      <c r="F31" s="9">
        <f>IFERROR(VLOOKUP(B31,'Classement RoC'!$B$2:$C$199,2,0),"0")</f>
        <v>2784.68107</v>
      </c>
      <c r="G31" s="9">
        <f>IFERROR(VLOOKUP(B31,'Classement Surp'!$B$2:$C$199,2,0),"0")</f>
        <v>2986.870287</v>
      </c>
    </row>
    <row r="32" ht="14.25" customHeight="1">
      <c r="A32" s="6">
        <v>31.0</v>
      </c>
      <c r="B32" s="6" t="s">
        <v>37</v>
      </c>
      <c r="C32" s="7">
        <f>'Classement Général'!$E32+'Classement Général'!$F32+'Classement Général'!$G32</f>
        <v>8642.127928</v>
      </c>
      <c r="D32" s="8"/>
      <c r="E32" s="9">
        <f>IFERROR(VLOOKUP(B32,'Classement S6'!$B$2:$C$200,2,0),"0")</f>
        <v>4124.072491</v>
      </c>
      <c r="F32" s="9">
        <f>IFERROR(VLOOKUP(B32,'Classement RoC'!$B$2:$C$199,2,0),"0")</f>
        <v>2823.405802</v>
      </c>
      <c r="G32" s="9">
        <f>IFERROR(VLOOKUP(B32,'Classement Surp'!$B$2:$C$199,2,0),"0")</f>
        <v>1694.649634</v>
      </c>
    </row>
    <row r="33" ht="14.25" customHeight="1">
      <c r="A33" s="6">
        <v>32.0</v>
      </c>
      <c r="B33" s="16" t="s">
        <v>38</v>
      </c>
      <c r="C33" s="7">
        <f>'Classement Général'!$E33+'Classement Général'!$F33+'Classement Général'!$G33</f>
        <v>8620.982133</v>
      </c>
      <c r="D33" s="11"/>
      <c r="E33" s="12">
        <f>IFERROR(VLOOKUP(B33,'Classement S6'!$B$2:$C$200,2,0),"0")</f>
        <v>5049.403591</v>
      </c>
      <c r="F33" s="12">
        <f>IFERROR(VLOOKUP(B33,'Classement RoC'!$B$2:$C$199,2,0),"0")</f>
        <v>3539.65827</v>
      </c>
      <c r="G33" s="12">
        <f>IFERROR(VLOOKUP(B33,'Classement Surp'!$B$2:$C$199,2,0),"0")</f>
        <v>31.92027245</v>
      </c>
    </row>
    <row r="34" ht="14.25" customHeight="1">
      <c r="A34" s="6">
        <v>33.0</v>
      </c>
      <c r="B34" s="10" t="s">
        <v>39</v>
      </c>
      <c r="C34" s="7">
        <f>'Classement Général'!$E34+'Classement Général'!$F34+'Classement Général'!$G34</f>
        <v>8588.459902</v>
      </c>
      <c r="D34" s="11"/>
      <c r="E34" s="12">
        <f>IFERROR(VLOOKUP(B34,'Classement S6'!$B$2:$C$200,2,0),"0")</f>
        <v>6151.791383</v>
      </c>
      <c r="F34" s="12">
        <f>IFERROR(VLOOKUP(B34,'Classement RoC'!$B$2:$C$199,2,0),"0")</f>
        <v>2199.303132</v>
      </c>
      <c r="G34" s="12">
        <f>IFERROR(VLOOKUP(B34,'Classement Surp'!$B$2:$C$199,2,0),"0")</f>
        <v>237.3653869</v>
      </c>
    </row>
    <row r="35" ht="14.25" customHeight="1">
      <c r="A35" s="6">
        <v>34.0</v>
      </c>
      <c r="B35" s="16" t="s">
        <v>40</v>
      </c>
      <c r="C35" s="7">
        <f>'Classement Général'!$E35+'Classement Général'!$F35+'Classement Général'!$G35</f>
        <v>8484.867446</v>
      </c>
      <c r="D35" s="11"/>
      <c r="E35" s="12">
        <f>IFERROR(VLOOKUP(B35,'Classement S6'!$B$2:$C$200,2,0),"0")</f>
        <v>2886.995038</v>
      </c>
      <c r="F35" s="12">
        <f>IFERROR(VLOOKUP(B35,'Classement RoC'!$B$2:$C$199,2,0),"0")</f>
        <v>5188.644652</v>
      </c>
      <c r="G35" s="12">
        <f>IFERROR(VLOOKUP(B35,'Classement Surp'!$B$2:$C$199,2,0),"0")</f>
        <v>409.2277554</v>
      </c>
    </row>
    <row r="36" ht="14.25" customHeight="1">
      <c r="A36" s="6">
        <v>35.0</v>
      </c>
      <c r="B36" s="16" t="s">
        <v>41</v>
      </c>
      <c r="C36" s="7">
        <f>'Classement Général'!$E36+'Classement Général'!$F36+'Classement Général'!$G36</f>
        <v>8196.134526</v>
      </c>
      <c r="D36" s="11"/>
      <c r="E36" s="12">
        <f>IFERROR(VLOOKUP(B36,'Classement S6'!$B$2:$C$200,2,0),"0")</f>
        <v>4382.296869</v>
      </c>
      <c r="F36" s="12">
        <f>IFERROR(VLOOKUP(B36,'Classement RoC'!$B$2:$C$199,2,0),"0")</f>
        <v>2424.072629</v>
      </c>
      <c r="G36" s="12">
        <f>IFERROR(VLOOKUP(B36,'Classement Surp'!$B$2:$C$199,2,0),"0")</f>
        <v>1389.765028</v>
      </c>
    </row>
    <row r="37" ht="14.25" customHeight="1">
      <c r="A37" s="6">
        <v>36.0</v>
      </c>
      <c r="B37" s="6" t="s">
        <v>42</v>
      </c>
      <c r="C37" s="7">
        <f>'Classement Général'!$E37+'Classement Général'!$F37+'Classement Général'!$G37</f>
        <v>8148.283862</v>
      </c>
      <c r="D37" s="8"/>
      <c r="E37" s="9">
        <f>IFERROR(VLOOKUP(B37,'Classement S6'!$B$2:$C$200,2,0),"0")</f>
        <v>3913.670228</v>
      </c>
      <c r="F37" s="9">
        <f>IFERROR(VLOOKUP(B37,'Classement RoC'!$B$2:$C$199,2,0),"0")</f>
        <v>3682.939928</v>
      </c>
      <c r="G37" s="9">
        <f>IFERROR(VLOOKUP(B37,'Classement Surp'!$B$2:$C$199,2,0),"0")</f>
        <v>551.6737055</v>
      </c>
    </row>
    <row r="38" ht="14.25" customHeight="1">
      <c r="A38" s="6">
        <v>37.0</v>
      </c>
      <c r="B38" s="17" t="s">
        <v>43</v>
      </c>
      <c r="C38" s="7">
        <f>'Classement Général'!$E38+'Classement Général'!$F38+'Classement Général'!$G38</f>
        <v>7800.573268</v>
      </c>
      <c r="D38" s="11"/>
      <c r="E38" s="12">
        <f>IFERROR(VLOOKUP(B38,'Classement S6'!$B$2:$C$200,2,0),"0")</f>
        <v>3466.914748</v>
      </c>
      <c r="F38" s="12">
        <f>IFERROR(VLOOKUP(B38,'Classement RoC'!$B$2:$C$199,2,0),"0")</f>
        <v>3469.033967</v>
      </c>
      <c r="G38" s="12">
        <f>IFERROR(VLOOKUP(B38,'Classement Surp'!$B$2:$C$199,2,0),"0")</f>
        <v>864.6245525</v>
      </c>
    </row>
    <row r="39" ht="14.25" customHeight="1">
      <c r="A39" s="6">
        <v>38.0</v>
      </c>
      <c r="B39" s="6" t="s">
        <v>44</v>
      </c>
      <c r="C39" s="7">
        <f>'Classement Général'!$E39+'Classement Général'!$F39+'Classement Général'!$G39</f>
        <v>7689.310103</v>
      </c>
      <c r="D39" s="8"/>
      <c r="E39" s="9">
        <f>IFERROR(VLOOKUP(B39,'Classement S6'!$B$2:$C$200,2,0),"0")</f>
        <v>3493.515074</v>
      </c>
      <c r="F39" s="9">
        <f>IFERROR(VLOOKUP(B39,'Classement RoC'!$B$2:$C$199,2,0),"0")</f>
        <v>2604.692194</v>
      </c>
      <c r="G39" s="9">
        <f>IFERROR(VLOOKUP(B39,'Classement Surp'!$B$2:$C$199,2,0),"0")</f>
        <v>1591.102835</v>
      </c>
    </row>
    <row r="40" ht="14.25" customHeight="1">
      <c r="A40" s="6">
        <v>39.0</v>
      </c>
      <c r="B40" s="6" t="s">
        <v>45</v>
      </c>
      <c r="C40" s="7">
        <f>'Classement Général'!$E40+'Classement Général'!$F40+'Classement Général'!$G40</f>
        <v>7595.987106</v>
      </c>
      <c r="D40" s="8"/>
      <c r="E40" s="9">
        <f>IFERROR(VLOOKUP(B40,'Classement S6'!$B$2:$C$200,2,0),"0")</f>
        <v>2286.41456</v>
      </c>
      <c r="F40" s="9">
        <f>IFERROR(VLOOKUP(B40,'Classement RoC'!$B$2:$C$199,2,0),"0")</f>
        <v>3890.538262</v>
      </c>
      <c r="G40" s="9">
        <f>IFERROR(VLOOKUP(B40,'Classement Surp'!$B$2:$C$199,2,0),"0")</f>
        <v>1419.034285</v>
      </c>
    </row>
    <row r="41" ht="14.25" customHeight="1">
      <c r="A41" s="6">
        <v>40.0</v>
      </c>
      <c r="B41" s="6" t="s">
        <v>46</v>
      </c>
      <c r="C41" s="7">
        <f>'Classement Général'!$E41+'Classement Général'!$F41+'Classement Général'!$G41</f>
        <v>7480.710673</v>
      </c>
      <c r="D41" s="8"/>
      <c r="E41" s="9">
        <f>IFERROR(VLOOKUP(B41,'Classement S6'!$B$2:$C$200,2,0),"0")</f>
        <v>2943.23873</v>
      </c>
      <c r="F41" s="9">
        <f>IFERROR(VLOOKUP(B41,'Classement RoC'!$B$2:$C$199,2,0),"0")</f>
        <v>3197.227968</v>
      </c>
      <c r="G41" s="9">
        <f>IFERROR(VLOOKUP(B41,'Classement Surp'!$B$2:$C$199,2,0),"0")</f>
        <v>1340.243976</v>
      </c>
    </row>
    <row r="42" ht="14.25" customHeight="1">
      <c r="A42" s="6">
        <v>41.0</v>
      </c>
      <c r="B42" s="6" t="s">
        <v>47</v>
      </c>
      <c r="C42" s="7">
        <f>'Classement Général'!$E42+'Classement Général'!$F42+'Classement Général'!$G42</f>
        <v>6960.17549</v>
      </c>
      <c r="D42" s="8"/>
      <c r="E42" s="9">
        <f>IFERROR(VLOOKUP(B42,'Classement S6'!$B$2:$C$200,2,0),"0")</f>
        <v>4043.487681</v>
      </c>
      <c r="F42" s="9">
        <f>IFERROR(VLOOKUP(B42,'Classement RoC'!$B$2:$C$199,2,0),"0")</f>
        <v>2188.250395</v>
      </c>
      <c r="G42" s="9">
        <f>IFERROR(VLOOKUP(B42,'Classement Surp'!$B$2:$C$199,2,0),"0")</f>
        <v>728.437414</v>
      </c>
    </row>
    <row r="43" ht="14.25" customHeight="1">
      <c r="A43" s="6">
        <v>42.0</v>
      </c>
      <c r="B43" s="16" t="s">
        <v>48</v>
      </c>
      <c r="C43" s="7">
        <f>'Classement Général'!$E43+'Classement Général'!$F43+'Classement Général'!$G43</f>
        <v>6828.950362</v>
      </c>
      <c r="D43" s="11"/>
      <c r="E43" s="12">
        <f>IFERROR(VLOOKUP(B43,'Classement S6'!$B$2:$C$200,2,0),"0")</f>
        <v>4323.83197</v>
      </c>
      <c r="F43" s="12">
        <f>IFERROR(VLOOKUP(B43,'Classement RoC'!$B$2:$C$199,2,0),"0")</f>
        <v>1608.810573</v>
      </c>
      <c r="G43" s="12">
        <f>IFERROR(VLOOKUP(B43,'Classement Surp'!$B$2:$C$199,2,0),"0")</f>
        <v>896.3078179</v>
      </c>
    </row>
    <row r="44" ht="14.25" customHeight="1">
      <c r="A44" s="6">
        <v>43.0</v>
      </c>
      <c r="B44" s="6" t="s">
        <v>49</v>
      </c>
      <c r="C44" s="7">
        <f>'Classement Général'!$E44+'Classement Général'!$F44+'Classement Général'!$G44</f>
        <v>6687.563358</v>
      </c>
      <c r="D44" s="8"/>
      <c r="E44" s="9">
        <f>IFERROR(VLOOKUP(B44,'Classement S6'!$B$2:$C$200,2,0),"0")</f>
        <v>4567.975954</v>
      </c>
      <c r="F44" s="9">
        <f>IFERROR(VLOOKUP(B44,'Classement RoC'!$B$2:$C$199,2,0),"0")</f>
        <v>986.7008568</v>
      </c>
      <c r="G44" s="9">
        <f>IFERROR(VLOOKUP(B44,'Classement Surp'!$B$2:$C$199,2,0),"0")</f>
        <v>1132.886548</v>
      </c>
    </row>
    <row r="45" ht="14.25" customHeight="1">
      <c r="A45" s="6">
        <v>44.0</v>
      </c>
      <c r="B45" s="13" t="s">
        <v>50</v>
      </c>
      <c r="C45" s="7">
        <f>'Classement Général'!$E45+'Classement Général'!$F45+'Classement Général'!$G45</f>
        <v>6504.094543</v>
      </c>
      <c r="D45" s="8"/>
      <c r="E45" s="9">
        <f>IFERROR(VLOOKUP(B45,'Classement S6'!$B$2:$C$200,2,0),"0")</f>
        <v>2511.235219</v>
      </c>
      <c r="F45" s="9">
        <f>IFERROR(VLOOKUP(B45,'Classement RoC'!$B$2:$C$199,2,0),"0")</f>
        <v>2837.705582</v>
      </c>
      <c r="G45" s="9">
        <f>IFERROR(VLOOKUP(B45,'Classement Surp'!$B$2:$C$199,2,0),"0")</f>
        <v>1155.153742</v>
      </c>
    </row>
    <row r="46" ht="14.25" customHeight="1">
      <c r="A46" s="6">
        <v>45.0</v>
      </c>
      <c r="B46" s="6" t="s">
        <v>51</v>
      </c>
      <c r="C46" s="7">
        <f>'Classement Général'!$E46+'Classement Général'!$F46+'Classement Général'!$G46</f>
        <v>6365.333499</v>
      </c>
      <c r="D46" s="8"/>
      <c r="E46" s="9">
        <f>IFERROR(VLOOKUP(B46,'Classement S6'!$B$2:$C$200,2,0),"0")</f>
        <v>3902.401114</v>
      </c>
      <c r="F46" s="9">
        <f>IFERROR(VLOOKUP(B46,'Classement RoC'!$B$2:$C$199,2,0),"0")</f>
        <v>1903.856867</v>
      </c>
      <c r="G46" s="9">
        <f>IFERROR(VLOOKUP(B46,'Classement Surp'!$B$2:$C$199,2,0),"0")</f>
        <v>559.0755185</v>
      </c>
    </row>
    <row r="47" ht="14.25" customHeight="1">
      <c r="A47" s="6">
        <v>46.0</v>
      </c>
      <c r="B47" s="6" t="s">
        <v>52</v>
      </c>
      <c r="C47" s="7">
        <f>'Classement Général'!$E47+'Classement Général'!$F47+'Classement Général'!$G47</f>
        <v>6036.155915</v>
      </c>
      <c r="D47" s="11"/>
      <c r="E47" s="12">
        <f>IFERROR(VLOOKUP(B47,'Classement S6'!$B$2:$C$200,2,0),"0")</f>
        <v>3970.797783</v>
      </c>
      <c r="F47" s="12">
        <f>IFERROR(VLOOKUP(B47,'Classement RoC'!$B$2:$C$199,2,0),"0")</f>
        <v>1577.485179</v>
      </c>
      <c r="G47" s="12">
        <f>IFERROR(VLOOKUP(B47,'Classement Surp'!$B$2:$C$199,2,0),"0")</f>
        <v>487.8729536</v>
      </c>
    </row>
    <row r="48" ht="14.25" customHeight="1">
      <c r="A48" s="6">
        <v>47.0</v>
      </c>
      <c r="B48" s="6" t="s">
        <v>53</v>
      </c>
      <c r="C48" s="7">
        <f>'Classement Général'!$E48+'Classement Général'!$F48+'Classement Général'!$G48</f>
        <v>6018.176211</v>
      </c>
      <c r="D48" s="8"/>
      <c r="E48" s="9">
        <f>IFERROR(VLOOKUP(B48,'Classement S6'!$B$2:$C$200,2,0),"0")</f>
        <v>2786.269577</v>
      </c>
      <c r="F48" s="9">
        <f>IFERROR(VLOOKUP(B48,'Classement RoC'!$B$2:$C$199,2,0),"0")</f>
        <v>1966.373732</v>
      </c>
      <c r="G48" s="9">
        <f>IFERROR(VLOOKUP(B48,'Classement Surp'!$B$2:$C$199,2,0),"0")</f>
        <v>1265.532902</v>
      </c>
    </row>
    <row r="49" ht="14.25" customHeight="1">
      <c r="A49" s="6">
        <v>48.0</v>
      </c>
      <c r="B49" s="6" t="s">
        <v>54</v>
      </c>
      <c r="C49" s="7">
        <f>'Classement Général'!$E49+'Classement Général'!$F49+'Classement Général'!$G49</f>
        <v>5753.371977</v>
      </c>
      <c r="D49" s="8"/>
      <c r="E49" s="9">
        <f>IFERROR(VLOOKUP(B49,'Classement S6'!$B$2:$C$200,2,0),"0")</f>
        <v>4735.3516</v>
      </c>
      <c r="F49" s="9">
        <f>IFERROR(VLOOKUP(B49,'Classement RoC'!$B$2:$C$199,2,0),"0")</f>
        <v>1018.020376</v>
      </c>
      <c r="G49" s="9">
        <f>IFERROR(VLOOKUP(B49,'Classement Surp'!$B$2:$C$199,2,0),"0")</f>
        <v>0</v>
      </c>
    </row>
    <row r="50" ht="14.25" customHeight="1">
      <c r="A50" s="6">
        <v>49.0</v>
      </c>
      <c r="B50" s="13" t="s">
        <v>55</v>
      </c>
      <c r="C50" s="7">
        <f>'Classement Général'!$E50+'Classement Général'!$F50+'Classement Général'!$G50</f>
        <v>5385.779241</v>
      </c>
      <c r="D50" s="8"/>
      <c r="E50" s="9">
        <f>IFERROR(VLOOKUP(B50,'Classement S6'!$B$2:$C$200,2,0),"0")</f>
        <v>3206.635021</v>
      </c>
      <c r="F50" s="9">
        <f>IFERROR(VLOOKUP(B50,'Classement RoC'!$B$2:$C$199,2,0),"0")</f>
        <v>1240.838849</v>
      </c>
      <c r="G50" s="9">
        <f>IFERROR(VLOOKUP(B50,'Classement Surp'!$B$2:$C$199,2,0),"0")</f>
        <v>938.3053708</v>
      </c>
    </row>
    <row r="51" ht="14.25" customHeight="1">
      <c r="A51" s="6">
        <v>50.0</v>
      </c>
      <c r="B51" s="6" t="s">
        <v>56</v>
      </c>
      <c r="C51" s="7">
        <f>'Classement Général'!$E51+'Classement Général'!$F51+'Classement Général'!$G51</f>
        <v>5366.391178</v>
      </c>
      <c r="D51" s="8"/>
      <c r="E51" s="9">
        <f>IFERROR(VLOOKUP(B51,'Classement S6'!$B$2:$C$200,2,0),"0")</f>
        <v>3751.806971</v>
      </c>
      <c r="F51" s="9">
        <f>IFERROR(VLOOKUP(B51,'Classement RoC'!$B$2:$C$199,2,0),"0")</f>
        <v>824.2452226</v>
      </c>
      <c r="G51" s="9">
        <f>IFERROR(VLOOKUP(B51,'Classement Surp'!$B$2:$C$199,2,0),"0")</f>
        <v>790.338984</v>
      </c>
    </row>
    <row r="52" ht="14.25" customHeight="1">
      <c r="A52" s="6">
        <v>51.0</v>
      </c>
      <c r="B52" s="6" t="s">
        <v>57</v>
      </c>
      <c r="C52" s="7">
        <f>'Classement Général'!$E52+'Classement Général'!$F52+'Classement Général'!$G52</f>
        <v>5220.713544</v>
      </c>
      <c r="D52" s="8"/>
      <c r="E52" s="9">
        <f>IFERROR(VLOOKUP(B52,'Classement S6'!$B$2:$C$200,2,0),"0")</f>
        <v>4132.461305</v>
      </c>
      <c r="F52" s="9">
        <f>IFERROR(VLOOKUP(B52,'Classement RoC'!$B$2:$C$199,2,0),"0")</f>
        <v>803.8970158</v>
      </c>
      <c r="G52" s="9">
        <f>IFERROR(VLOOKUP(B52,'Classement Surp'!$B$2:$C$199,2,0),"0")</f>
        <v>284.3552239</v>
      </c>
    </row>
    <row r="53" ht="14.25" customHeight="1">
      <c r="A53" s="6">
        <v>52.0</v>
      </c>
      <c r="B53" s="6" t="s">
        <v>58</v>
      </c>
      <c r="C53" s="7">
        <f>'Classement Général'!$E53+'Classement Général'!$F53+'Classement Général'!$G53</f>
        <v>5199.158414</v>
      </c>
      <c r="D53" s="8"/>
      <c r="E53" s="9">
        <f>IFERROR(VLOOKUP(B53,'Classement S6'!$B$2:$C$200,2,0),"0")</f>
        <v>2884.385361</v>
      </c>
      <c r="F53" s="9">
        <f>IFERROR(VLOOKUP(B53,'Classement RoC'!$B$2:$C$199,2,0),"0")</f>
        <v>1266.505193</v>
      </c>
      <c r="G53" s="9">
        <f>IFERROR(VLOOKUP(B53,'Classement Surp'!$B$2:$C$199,2,0),"0")</f>
        <v>1048.267861</v>
      </c>
    </row>
    <row r="54" ht="14.25" customHeight="1">
      <c r="A54" s="6">
        <v>53.0</v>
      </c>
      <c r="B54" s="13" t="s">
        <v>59</v>
      </c>
      <c r="C54" s="7">
        <f>'Classement Général'!$E54+'Classement Général'!$F54+'Classement Général'!$G54</f>
        <v>5162.631832</v>
      </c>
      <c r="D54" s="8"/>
      <c r="E54" s="9">
        <f>IFERROR(VLOOKUP(B54,'Classement S6'!$B$2:$C$200,2,0),"0")</f>
        <v>4559.965165</v>
      </c>
      <c r="F54" s="9" t="str">
        <f>IFERROR(VLOOKUP(B54,'Classement RoC'!$B$2:$C$199,2,0),"0")</f>
        <v>0</v>
      </c>
      <c r="G54" s="9">
        <f>IFERROR(VLOOKUP(B54,'Classement Surp'!$B$2:$C$199,2,0),"0")</f>
        <v>602.666667</v>
      </c>
    </row>
    <row r="55" ht="14.25" customHeight="1">
      <c r="A55" s="6">
        <v>54.0</v>
      </c>
      <c r="B55" s="16" t="s">
        <v>60</v>
      </c>
      <c r="C55" s="7">
        <f>'Classement Général'!$E55+'Classement Général'!$F55+'Classement Général'!$G55</f>
        <v>5140.679772</v>
      </c>
      <c r="D55" s="11"/>
      <c r="E55" s="12">
        <f>IFERROR(VLOOKUP(B55,'Classement S6'!$B$2:$C$200,2,0),"0")</f>
        <v>1677.905889</v>
      </c>
      <c r="F55" s="12">
        <f>IFERROR(VLOOKUP(B55,'Classement RoC'!$B$2:$C$199,2,0),"0")</f>
        <v>3097.71055</v>
      </c>
      <c r="G55" s="12">
        <f>IFERROR(VLOOKUP(B55,'Classement Surp'!$B$2:$C$199,2,0),"0")</f>
        <v>365.0633333</v>
      </c>
    </row>
    <row r="56" ht="14.25" customHeight="1">
      <c r="A56" s="6">
        <v>55.0</v>
      </c>
      <c r="B56" s="18" t="s">
        <v>61</v>
      </c>
      <c r="C56" s="7">
        <f>'Classement Général'!$E56+'Classement Général'!$F56+'Classement Général'!$G56</f>
        <v>5134.674647</v>
      </c>
      <c r="D56" s="11"/>
      <c r="E56" s="12">
        <f>IFERROR(VLOOKUP(B56,'Classement S6'!$B$2:$C$200,2,0),"0")</f>
        <v>2864.888152</v>
      </c>
      <c r="F56" s="12">
        <f>IFERROR(VLOOKUP(B56,'Classement RoC'!$B$2:$C$199,2,0),"0")</f>
        <v>1776.30372</v>
      </c>
      <c r="G56" s="12">
        <f>IFERROR(VLOOKUP(B56,'Classement Surp'!$B$2:$C$199,2,0),"0")</f>
        <v>493.4827755</v>
      </c>
    </row>
    <row r="57" ht="14.25" customHeight="1">
      <c r="A57" s="6">
        <v>56.0</v>
      </c>
      <c r="B57" s="6" t="s">
        <v>62</v>
      </c>
      <c r="C57" s="7">
        <f>'Classement Général'!$E57+'Classement Général'!$F57+'Classement Général'!$G57</f>
        <v>5019.015035</v>
      </c>
      <c r="D57" s="8"/>
      <c r="E57" s="9">
        <f>IFERROR(VLOOKUP(B57,'Classement S6'!$B$2:$C$200,2,0),"0")</f>
        <v>2480.477801</v>
      </c>
      <c r="F57" s="9">
        <f>IFERROR(VLOOKUP(B57,'Classement RoC'!$B$2:$C$199,2,0),"0")</f>
        <v>1305.553231</v>
      </c>
      <c r="G57" s="9">
        <f>IFERROR(VLOOKUP(B57,'Classement Surp'!$B$2:$C$199,2,0),"0")</f>
        <v>1232.984003</v>
      </c>
    </row>
    <row r="58" ht="14.25" customHeight="1">
      <c r="A58" s="6">
        <v>57.0</v>
      </c>
      <c r="B58" s="6" t="s">
        <v>63</v>
      </c>
      <c r="C58" s="7">
        <f>'Classement Général'!$E58+'Classement Général'!$F58+'Classement Général'!$G58</f>
        <v>4968.744731</v>
      </c>
      <c r="D58" s="8"/>
      <c r="E58" s="9">
        <f>IFERROR(VLOOKUP(B58,'Classement S6'!$B$2:$C$200,2,0),"0")</f>
        <v>1580.8621</v>
      </c>
      <c r="F58" s="9">
        <f>IFERROR(VLOOKUP(B58,'Classement RoC'!$B$2:$C$199,2,0),"0")</f>
        <v>2656.944667</v>
      </c>
      <c r="G58" s="9">
        <f>IFERROR(VLOOKUP(B58,'Classement Surp'!$B$2:$C$199,2,0),"0")</f>
        <v>730.9379637</v>
      </c>
    </row>
    <row r="59" ht="14.25" customHeight="1">
      <c r="A59" s="6">
        <v>58.0</v>
      </c>
      <c r="B59" s="6" t="s">
        <v>64</v>
      </c>
      <c r="C59" s="7">
        <f>'Classement Général'!$E59+'Classement Général'!$F59+'Classement Général'!$G59</f>
        <v>4826.893503</v>
      </c>
      <c r="D59" s="8"/>
      <c r="E59" s="9">
        <f>IFERROR(VLOOKUP(B59,'Classement S6'!$B$2:$C$200,2,0),"0")</f>
        <v>2424.499814</v>
      </c>
      <c r="F59" s="9">
        <f>IFERROR(VLOOKUP(B59,'Classement RoC'!$B$2:$C$199,2,0),"0")</f>
        <v>1654.708709</v>
      </c>
      <c r="G59" s="9">
        <f>IFERROR(VLOOKUP(B59,'Classement Surp'!$B$2:$C$199,2,0),"0")</f>
        <v>747.6849801</v>
      </c>
    </row>
    <row r="60" ht="14.25" customHeight="1">
      <c r="A60" s="6">
        <v>59.0</v>
      </c>
      <c r="B60" s="6" t="s">
        <v>65</v>
      </c>
      <c r="C60" s="7">
        <f>'Classement Général'!$E60+'Classement Général'!$F60+'Classement Général'!$G60</f>
        <v>4677.767558</v>
      </c>
      <c r="D60" s="8"/>
      <c r="E60" s="9">
        <f>IFERROR(VLOOKUP(B60,'Classement S6'!$B$2:$C$200,2,0),"0")</f>
        <v>2194.333872</v>
      </c>
      <c r="F60" s="9">
        <f>IFERROR(VLOOKUP(B60,'Classement RoC'!$B$2:$C$199,2,0),"0")</f>
        <v>1267.950817</v>
      </c>
      <c r="G60" s="9">
        <f>IFERROR(VLOOKUP(B60,'Classement Surp'!$B$2:$C$199,2,0),"0")</f>
        <v>1215.482868</v>
      </c>
    </row>
    <row r="61" ht="14.25" customHeight="1">
      <c r="A61" s="6">
        <v>60.0</v>
      </c>
      <c r="B61" s="6" t="s">
        <v>66</v>
      </c>
      <c r="C61" s="7">
        <f>'Classement Général'!$E61+'Classement Général'!$F61+'Classement Général'!$G61</f>
        <v>4468.661074</v>
      </c>
      <c r="D61" s="11"/>
      <c r="E61" s="12">
        <f>IFERROR(VLOOKUP(B61,'Classement S6'!$B$2:$C$200,2,0),"0")</f>
        <v>2354.341043</v>
      </c>
      <c r="F61" s="12">
        <f>IFERROR(VLOOKUP(B61,'Classement RoC'!$B$2:$C$199,2,0),"0")</f>
        <v>1534.169471</v>
      </c>
      <c r="G61" s="12">
        <f>IFERROR(VLOOKUP(B61,'Classement Surp'!$B$2:$C$199,2,0),"0")</f>
        <v>580.1505604</v>
      </c>
    </row>
    <row r="62" ht="14.25" customHeight="1">
      <c r="A62" s="6">
        <v>61.0</v>
      </c>
      <c r="B62" s="6" t="s">
        <v>67</v>
      </c>
      <c r="C62" s="7">
        <f>'Classement Général'!$E62+'Classement Général'!$F62+'Classement Général'!$G62</f>
        <v>4415.301376</v>
      </c>
      <c r="D62" s="8"/>
      <c r="E62" s="9">
        <f>IFERROR(VLOOKUP(B62,'Classement S6'!$B$2:$C$200,2,0),"0")</f>
        <v>2728.25152</v>
      </c>
      <c r="F62" s="9">
        <f>IFERROR(VLOOKUP(B62,'Classement RoC'!$B$2:$C$199,2,0),"0")</f>
        <v>452.9512267</v>
      </c>
      <c r="G62" s="9">
        <f>IFERROR(VLOOKUP(B62,'Classement Surp'!$B$2:$C$199,2,0),"0")</f>
        <v>1234.098628</v>
      </c>
    </row>
    <row r="63" ht="14.25" customHeight="1">
      <c r="A63" s="6">
        <v>62.0</v>
      </c>
      <c r="B63" s="17" t="s">
        <v>68</v>
      </c>
      <c r="C63" s="7">
        <f>'Classement Général'!$E63+'Classement Général'!$F63+'Classement Général'!$G63</f>
        <v>4386.655535</v>
      </c>
      <c r="D63" s="11"/>
      <c r="E63" s="12">
        <f>IFERROR(VLOOKUP(B63,'Classement S6'!$B$2:$C$200,2,0),"0")</f>
        <v>1772.677928</v>
      </c>
      <c r="F63" s="12">
        <f>IFERROR(VLOOKUP(B63,'Classement RoC'!$B$2:$C$199,2,0),"0")</f>
        <v>1889.565598</v>
      </c>
      <c r="G63" s="12">
        <f>IFERROR(VLOOKUP(B63,'Classement Surp'!$B$2:$C$199,2,0),"0")</f>
        <v>724.4120082</v>
      </c>
    </row>
    <row r="64" ht="14.25" customHeight="1">
      <c r="A64" s="6">
        <v>63.0</v>
      </c>
      <c r="B64" s="19" t="s">
        <v>69</v>
      </c>
      <c r="C64" s="7">
        <f>'Classement Général'!$E64+'Classement Général'!$F64+'Classement Général'!$G64</f>
        <v>4212.42582</v>
      </c>
      <c r="D64" s="11"/>
      <c r="E64" s="12">
        <f>IFERROR(VLOOKUP(B64,'Classement S6'!$B$2:$C$200,2,0),"0")</f>
        <v>3612.441936</v>
      </c>
      <c r="F64" s="12">
        <f>IFERROR(VLOOKUP(B64,'Classement RoC'!$B$2:$C$199,2,0),"0")</f>
        <v>204.9352051</v>
      </c>
      <c r="G64" s="12">
        <f>IFERROR(VLOOKUP(B64,'Classement Surp'!$B$2:$C$199,2,0),"0")</f>
        <v>395.0486797</v>
      </c>
    </row>
    <row r="65" ht="14.25" customHeight="1">
      <c r="A65" s="6">
        <v>64.0</v>
      </c>
      <c r="B65" s="17" t="s">
        <v>70</v>
      </c>
      <c r="C65" s="7">
        <f>'Classement Général'!$E65+'Classement Général'!$F65+'Classement Général'!$G65</f>
        <v>4195.959116</v>
      </c>
      <c r="D65" s="11"/>
      <c r="E65" s="12">
        <f>IFERROR(VLOOKUP(B65,'Classement S6'!$B$2:$C$200,2,0),"0")</f>
        <v>1905.648492</v>
      </c>
      <c r="F65" s="12">
        <f>IFERROR(VLOOKUP(B65,'Classement RoC'!$B$2:$C$199,2,0),"0")</f>
        <v>1916.657095</v>
      </c>
      <c r="G65" s="12">
        <f>IFERROR(VLOOKUP(B65,'Classement Surp'!$B$2:$C$199,2,0),"0")</f>
        <v>373.6535289</v>
      </c>
    </row>
    <row r="66" ht="14.25" customHeight="1">
      <c r="A66" s="6">
        <v>65.0</v>
      </c>
      <c r="B66" s="6" t="s">
        <v>71</v>
      </c>
      <c r="C66" s="7">
        <f>'Classement Général'!$E66+'Classement Général'!$F66+'Classement Général'!$G66</f>
        <v>4173.460564</v>
      </c>
      <c r="D66" s="8"/>
      <c r="E66" s="9">
        <f>IFERROR(VLOOKUP(B66,'Classement S6'!$B$2:$C$200,2,0),"0")</f>
        <v>2926.036155</v>
      </c>
      <c r="F66" s="9">
        <f>IFERROR(VLOOKUP(B66,'Classement RoC'!$B$2:$C$199,2,0),"0")</f>
        <v>1022.354694</v>
      </c>
      <c r="G66" s="9">
        <f>IFERROR(VLOOKUP(B66,'Classement Surp'!$B$2:$C$199,2,0),"0")</f>
        <v>225.0697151</v>
      </c>
    </row>
    <row r="67" ht="14.25" customHeight="1">
      <c r="A67" s="6">
        <v>66.0</v>
      </c>
      <c r="B67" s="16" t="s">
        <v>72</v>
      </c>
      <c r="C67" s="7">
        <f>'Classement Général'!$E67+'Classement Général'!$F67+'Classement Général'!$G67</f>
        <v>4024.397012</v>
      </c>
      <c r="D67" s="11"/>
      <c r="E67" s="12">
        <f>IFERROR(VLOOKUP(B67,'Classement S6'!$B$2:$C$200,2,0),"0")</f>
        <v>2890.494816</v>
      </c>
      <c r="F67" s="12">
        <f>IFERROR(VLOOKUP(B67,'Classement RoC'!$B$2:$C$199,2,0),"0")</f>
        <v>837.088717</v>
      </c>
      <c r="G67" s="12">
        <f>IFERROR(VLOOKUP(B67,'Classement Surp'!$B$2:$C$199,2,0),"0")</f>
        <v>296.8134787</v>
      </c>
    </row>
    <row r="68" ht="14.25" customHeight="1">
      <c r="A68" s="6">
        <v>67.0</v>
      </c>
      <c r="B68" s="19" t="s">
        <v>73</v>
      </c>
      <c r="C68" s="7">
        <f>'Classement Général'!$E68+'Classement Général'!$F68+'Classement Général'!$G68</f>
        <v>4013.363757</v>
      </c>
      <c r="D68" s="11"/>
      <c r="E68" s="12">
        <f>IFERROR(VLOOKUP(B68,'Classement S6'!$B$2:$C$200,2,0),"0")</f>
        <v>1418.495489</v>
      </c>
      <c r="F68" s="12">
        <f>IFERROR(VLOOKUP(B68,'Classement RoC'!$B$2:$C$199,2,0),"0")</f>
        <v>2499.288308</v>
      </c>
      <c r="G68" s="12">
        <f>IFERROR(VLOOKUP(B68,'Classement Surp'!$B$2:$C$199,2,0),"0")</f>
        <v>95.57995968</v>
      </c>
    </row>
    <row r="69" ht="14.25" customHeight="1">
      <c r="A69" s="6">
        <v>68.0</v>
      </c>
      <c r="B69" s="6" t="s">
        <v>74</v>
      </c>
      <c r="C69" s="7">
        <f>'Classement Général'!$E69+'Classement Général'!$F69+'Classement Général'!$G69</f>
        <v>4009.131504</v>
      </c>
      <c r="D69" s="8"/>
      <c r="E69" s="9">
        <f>IFERROR(VLOOKUP(B69,'Classement S6'!$B$2:$C$200,2,0),"0")</f>
        <v>2120.543855</v>
      </c>
      <c r="F69" s="9">
        <f>IFERROR(VLOOKUP(B69,'Classement RoC'!$B$2:$C$199,2,0),"0")</f>
        <v>1173.403838</v>
      </c>
      <c r="G69" s="9">
        <f>IFERROR(VLOOKUP(B69,'Classement Surp'!$B$2:$C$199,2,0),"0")</f>
        <v>715.183811</v>
      </c>
    </row>
    <row r="70" ht="14.25" customHeight="1">
      <c r="A70" s="6">
        <v>69.0</v>
      </c>
      <c r="B70" s="17" t="s">
        <v>75</v>
      </c>
      <c r="C70" s="7">
        <f>'Classement Général'!$E70+'Classement Général'!$F70+'Classement Général'!$G70</f>
        <v>3962.133565</v>
      </c>
      <c r="D70" s="11"/>
      <c r="E70" s="12">
        <f>IFERROR(VLOOKUP(B70,'Classement S6'!$B$2:$C$200,2,0),"0")</f>
        <v>1617.314636</v>
      </c>
      <c r="F70" s="12">
        <f>IFERROR(VLOOKUP(B70,'Classement RoC'!$B$2:$C$199,2,0),"0")</f>
        <v>1926.222905</v>
      </c>
      <c r="G70" s="12">
        <f>IFERROR(VLOOKUP(B70,'Classement Surp'!$B$2:$C$199,2,0),"0")</f>
        <v>418.5960229</v>
      </c>
    </row>
    <row r="71" ht="14.25" customHeight="1">
      <c r="A71" s="6">
        <v>70.0</v>
      </c>
      <c r="B71" s="16" t="s">
        <v>76</v>
      </c>
      <c r="C71" s="7">
        <f>'Classement Général'!$E71+'Classement Général'!$F71+'Classement Général'!$G71</f>
        <v>3946.746932</v>
      </c>
      <c r="D71" s="11"/>
      <c r="E71" s="12">
        <f>IFERROR(VLOOKUP(B71,'Classement S6'!$B$2:$C$200,2,0),"0")</f>
        <v>2548.447431</v>
      </c>
      <c r="F71" s="12">
        <f>IFERROR(VLOOKUP(B71,'Classement RoC'!$B$2:$C$199,2,0),"0")</f>
        <v>711.9175049</v>
      </c>
      <c r="G71" s="12">
        <f>IFERROR(VLOOKUP(B71,'Classement Surp'!$B$2:$C$199,2,0),"0")</f>
        <v>686.3819961</v>
      </c>
    </row>
    <row r="72" ht="14.25" customHeight="1">
      <c r="A72" s="6">
        <v>71.0</v>
      </c>
      <c r="B72" s="6" t="s">
        <v>77</v>
      </c>
      <c r="C72" s="7">
        <f>'Classement Général'!$E72+'Classement Général'!$F72+'Classement Général'!$G72</f>
        <v>3928.4964</v>
      </c>
      <c r="D72" s="8"/>
      <c r="E72" s="9">
        <f>IFERROR(VLOOKUP(B72,'Classement S6'!$B$2:$C$200,2,0),"0")</f>
        <v>993.8213097</v>
      </c>
      <c r="F72" s="9">
        <f>IFERROR(VLOOKUP(B72,'Classement RoC'!$B$2:$C$199,2,0),"0")</f>
        <v>1926.202116</v>
      </c>
      <c r="G72" s="9">
        <f>IFERROR(VLOOKUP(B72,'Classement Surp'!$B$2:$C$199,2,0),"0")</f>
        <v>1008.472975</v>
      </c>
    </row>
    <row r="73" ht="14.25" customHeight="1">
      <c r="A73" s="6">
        <v>72.0</v>
      </c>
      <c r="B73" s="6" t="s">
        <v>78</v>
      </c>
      <c r="C73" s="7">
        <f>'Classement Général'!$E73+'Classement Général'!$F73+'Classement Général'!$G73</f>
        <v>3781.021462</v>
      </c>
      <c r="D73" s="8"/>
      <c r="E73" s="9">
        <f>IFERROR(VLOOKUP(B73,'Classement S6'!$B$2:$C$200,2,0),"0")</f>
        <v>2787.432305</v>
      </c>
      <c r="F73" s="9">
        <f>IFERROR(VLOOKUP(B73,'Classement RoC'!$B$2:$C$199,2,0),"0")</f>
        <v>23.6000433</v>
      </c>
      <c r="G73" s="9">
        <f>IFERROR(VLOOKUP(B73,'Classement Surp'!$B$2:$C$199,2,0),"0")</f>
        <v>969.9891141</v>
      </c>
    </row>
    <row r="74" ht="14.25" customHeight="1">
      <c r="A74" s="6">
        <v>73.0</v>
      </c>
      <c r="B74" s="20" t="s">
        <v>79</v>
      </c>
      <c r="C74" s="7">
        <f>'Classement Général'!$E74+'Classement Général'!$F74+'Classement Général'!$G74</f>
        <v>3743.929253</v>
      </c>
      <c r="D74" s="11"/>
      <c r="E74" s="12">
        <f>IFERROR(VLOOKUP(B74,'Classement S6'!$B$2:$C$200,2,0),"0")</f>
        <v>1977.893632</v>
      </c>
      <c r="F74" s="12">
        <f>IFERROR(VLOOKUP(B74,'Classement RoC'!$B$2:$C$199,2,0),"0")</f>
        <v>1142.473211</v>
      </c>
      <c r="G74" s="12">
        <f>IFERROR(VLOOKUP(B74,'Classement Surp'!$B$2:$C$199,2,0),"0")</f>
        <v>623.562409</v>
      </c>
    </row>
    <row r="75" ht="14.25" customHeight="1">
      <c r="A75" s="6">
        <v>74.0</v>
      </c>
      <c r="B75" s="13" t="s">
        <v>80</v>
      </c>
      <c r="C75" s="7">
        <f>'Classement Général'!$E75+'Classement Général'!$F75+'Classement Général'!$G75</f>
        <v>3702.902921</v>
      </c>
      <c r="D75" s="8"/>
      <c r="E75" s="9">
        <f>IFERROR(VLOOKUP(B75,'Classement S6'!$B$2:$C$200,2,0),"0")</f>
        <v>1851.024718</v>
      </c>
      <c r="F75" s="9">
        <f>IFERROR(VLOOKUP(B75,'Classement RoC'!$B$2:$C$199,2,0),"0")</f>
        <v>901.4616226</v>
      </c>
      <c r="G75" s="9">
        <f>IFERROR(VLOOKUP(B75,'Classement Surp'!$B$2:$C$199,2,0),"0")</f>
        <v>950.4165799</v>
      </c>
    </row>
    <row r="76" ht="14.25" customHeight="1">
      <c r="A76" s="6">
        <v>75.0</v>
      </c>
      <c r="B76" s="10" t="s">
        <v>81</v>
      </c>
      <c r="C76" s="7">
        <f>'Classement Général'!$E76+'Classement Général'!$F76+'Classement Général'!$G76</f>
        <v>3600.706208</v>
      </c>
      <c r="D76" s="11"/>
      <c r="E76" s="12">
        <f>IFERROR(VLOOKUP(B76,'Classement S6'!$B$2:$C$200,2,0),"0")</f>
        <v>2396.028614</v>
      </c>
      <c r="F76" s="12">
        <f>IFERROR(VLOOKUP(B76,'Classement RoC'!$B$2:$C$199,2,0),"0")</f>
        <v>1146.256619</v>
      </c>
      <c r="G76" s="12">
        <f>IFERROR(VLOOKUP(B76,'Classement Surp'!$B$2:$C$199,2,0),"0")</f>
        <v>58.42097498</v>
      </c>
    </row>
    <row r="77" ht="14.25" customHeight="1">
      <c r="A77" s="6">
        <v>76.0</v>
      </c>
      <c r="B77" s="16" t="s">
        <v>82</v>
      </c>
      <c r="C77" s="7">
        <f>'Classement Général'!$E77+'Classement Général'!$F77+'Classement Général'!$G77</f>
        <v>3382.87086</v>
      </c>
      <c r="D77" s="11"/>
      <c r="E77" s="12">
        <f>IFERROR(VLOOKUP(B77,'Classement S6'!$B$2:$C$200,2,0),"0")</f>
        <v>1851.861406</v>
      </c>
      <c r="F77" s="12">
        <f>IFERROR(VLOOKUP(B77,'Classement RoC'!$B$2:$C$199,2,0),"0")</f>
        <v>1445.734775</v>
      </c>
      <c r="G77" s="12">
        <f>IFERROR(VLOOKUP(B77,'Classement Surp'!$B$2:$C$199,2,0),"0")</f>
        <v>85.27467889</v>
      </c>
    </row>
    <row r="78" ht="14.25" customHeight="1">
      <c r="A78" s="6">
        <v>77.0</v>
      </c>
      <c r="B78" s="21" t="s">
        <v>83</v>
      </c>
      <c r="C78" s="7">
        <f>'Classement Général'!$E78+'Classement Général'!$F78+'Classement Général'!$G78</f>
        <v>3375.202803</v>
      </c>
      <c r="D78" s="11"/>
      <c r="E78" s="12">
        <f>IFERROR(VLOOKUP(B78,'Classement S6'!$B$2:$C$200,2,0),"0")</f>
        <v>2947.911757</v>
      </c>
      <c r="F78" s="12">
        <f>IFERROR(VLOOKUP(B78,'Classement RoC'!$B$2:$C$199,2,0),"0")</f>
        <v>427.2910459</v>
      </c>
      <c r="G78" s="12">
        <f>IFERROR(VLOOKUP(B78,'Classement Surp'!$B$2:$C$199,2,0),"0")</f>
        <v>0</v>
      </c>
    </row>
    <row r="79" ht="14.25" customHeight="1">
      <c r="A79" s="6">
        <v>78.0</v>
      </c>
      <c r="B79" s="6" t="s">
        <v>84</v>
      </c>
      <c r="C79" s="7">
        <f>'Classement Général'!$E79+'Classement Général'!$F79+'Classement Général'!$G79</f>
        <v>3121.526173</v>
      </c>
      <c r="D79" s="8"/>
      <c r="E79" s="9">
        <f>IFERROR(VLOOKUP(B79,'Classement S6'!$B$2:$C$200,2,0),"0")</f>
        <v>1126.602585</v>
      </c>
      <c r="F79" s="9">
        <f>IFERROR(VLOOKUP(B79,'Classement RoC'!$B$2:$C$199,2,0),"0")</f>
        <v>1398.578547</v>
      </c>
      <c r="G79" s="9">
        <f>IFERROR(VLOOKUP(B79,'Classement Surp'!$B$2:$C$199,2,0),"0")</f>
        <v>596.3450404</v>
      </c>
    </row>
    <row r="80" ht="14.25" customHeight="1">
      <c r="A80" s="6">
        <v>79.0</v>
      </c>
      <c r="B80" s="16" t="s">
        <v>85</v>
      </c>
      <c r="C80" s="7">
        <f>'Classement Général'!$E80+'Classement Général'!$F80+'Classement Général'!$G80</f>
        <v>2999.67502</v>
      </c>
      <c r="D80" s="11"/>
      <c r="E80" s="12">
        <f>IFERROR(VLOOKUP(B80,'Classement S6'!$B$2:$C$200,2,0),"0")</f>
        <v>683.057202</v>
      </c>
      <c r="F80" s="12">
        <f>IFERROR(VLOOKUP(B80,'Classement RoC'!$B$2:$C$199,2,0),"0")</f>
        <v>1638.359965</v>
      </c>
      <c r="G80" s="12">
        <f>IFERROR(VLOOKUP(B80,'Classement Surp'!$B$2:$C$199,2,0),"0")</f>
        <v>678.257853</v>
      </c>
    </row>
    <row r="81" ht="14.25" customHeight="1">
      <c r="A81" s="6">
        <v>80.0</v>
      </c>
      <c r="B81" s="6" t="s">
        <v>86</v>
      </c>
      <c r="C81" s="7">
        <f>'Classement Général'!$E81+'Classement Général'!$F81+'Classement Général'!$G81</f>
        <v>2892.928044</v>
      </c>
      <c r="D81" s="8"/>
      <c r="E81" s="9">
        <f>IFERROR(VLOOKUP(B81,'Classement S6'!$B$2:$C$200,2,0),"0")</f>
        <v>531.2314873</v>
      </c>
      <c r="F81" s="9">
        <f>IFERROR(VLOOKUP(B81,'Classement RoC'!$B$2:$C$199,2,0),"0")</f>
        <v>1393.959111</v>
      </c>
      <c r="G81" s="9">
        <f>IFERROR(VLOOKUP(B81,'Classement Surp'!$B$2:$C$199,2,0),"0")</f>
        <v>967.7374452</v>
      </c>
    </row>
    <row r="82" ht="14.25" customHeight="1">
      <c r="A82" s="6">
        <v>81.0</v>
      </c>
      <c r="B82" s="22" t="s">
        <v>87</v>
      </c>
      <c r="C82" s="7">
        <f>'Classement Général'!$E82+'Classement Général'!$F82+'Classement Général'!$G82</f>
        <v>2880.103038</v>
      </c>
      <c r="D82" s="11"/>
      <c r="E82" s="12">
        <f>IFERROR(VLOOKUP(B82,'Classement S6'!$B$2:$C$200,2,0),"0")</f>
        <v>2570.660011</v>
      </c>
      <c r="F82" s="12">
        <f>IFERROR(VLOOKUP(B82,'Classement RoC'!$B$2:$C$199,2,0),"0")</f>
        <v>309.4430268</v>
      </c>
      <c r="G82" s="12" t="str">
        <f>IFERROR(VLOOKUP(B82,'Classement Surp'!$B$2:$C$199,2,0),"0")</f>
        <v>0</v>
      </c>
    </row>
    <row r="83" ht="14.25" customHeight="1">
      <c r="A83" s="6">
        <v>82.0</v>
      </c>
      <c r="B83" s="16" t="s">
        <v>88</v>
      </c>
      <c r="C83" s="7">
        <f>'Classement Général'!$E83+'Classement Général'!$F83+'Classement Général'!$G83</f>
        <v>2776.157408</v>
      </c>
      <c r="D83" s="11"/>
      <c r="E83" s="12">
        <f>IFERROR(VLOOKUP(B83,'Classement S6'!$B$2:$C$200,2,0),"0")</f>
        <v>1352.10255</v>
      </c>
      <c r="F83" s="12">
        <f>IFERROR(VLOOKUP(B83,'Classement RoC'!$B$2:$C$199,2,0),"0")</f>
        <v>934.0547034</v>
      </c>
      <c r="G83" s="12">
        <f>IFERROR(VLOOKUP(B83,'Classement Surp'!$B$2:$C$199,2,0),"0")</f>
        <v>490.0001551</v>
      </c>
    </row>
    <row r="84" ht="14.25" customHeight="1">
      <c r="A84" s="6">
        <v>83.0</v>
      </c>
      <c r="B84" s="17" t="s">
        <v>89</v>
      </c>
      <c r="C84" s="7">
        <f>'Classement Général'!$E84+'Classement Général'!$F84+'Classement Général'!$G84</f>
        <v>2674.127119</v>
      </c>
      <c r="D84" s="11"/>
      <c r="E84" s="12">
        <f>IFERROR(VLOOKUP(B84,'Classement S6'!$B$2:$C$200,2,0),"0")</f>
        <v>2152.92956</v>
      </c>
      <c r="F84" s="12">
        <f>IFERROR(VLOOKUP(B84,'Classement RoC'!$B$2:$C$199,2,0),"0")</f>
        <v>521.1975593</v>
      </c>
      <c r="G84" s="12" t="str">
        <f>IFERROR(VLOOKUP(B84,'Classement Surp'!$B$2:$C$199,2,0),"0")</f>
        <v>0</v>
      </c>
    </row>
    <row r="85" ht="14.25" customHeight="1">
      <c r="A85" s="6">
        <v>84.0</v>
      </c>
      <c r="B85" s="6" t="s">
        <v>90</v>
      </c>
      <c r="C85" s="7">
        <f>'Classement Général'!$E85+'Classement Général'!$F85+'Classement Général'!$G85</f>
        <v>2560.324523</v>
      </c>
      <c r="D85" s="8"/>
      <c r="E85" s="9">
        <f>IFERROR(VLOOKUP(B85,'Classement S6'!$B$2:$C$200,2,0),"0")</f>
        <v>1357.102941</v>
      </c>
      <c r="F85" s="9">
        <f>IFERROR(VLOOKUP(B85,'Classement RoC'!$B$2:$C$199,2,0),"0")</f>
        <v>453.1566153</v>
      </c>
      <c r="G85" s="9">
        <f>IFERROR(VLOOKUP(B85,'Classement Surp'!$B$2:$C$199,2,0),"0")</f>
        <v>750.064967</v>
      </c>
    </row>
    <row r="86" ht="14.25" customHeight="1">
      <c r="A86" s="6">
        <v>85.0</v>
      </c>
      <c r="B86" s="23" t="s">
        <v>91</v>
      </c>
      <c r="C86" s="7">
        <f>'Classement Général'!$E86+'Classement Général'!$F86+'Classement Général'!$G86</f>
        <v>2190.266339</v>
      </c>
      <c r="D86" s="11"/>
      <c r="E86" s="12">
        <f>IFERROR(VLOOKUP(B86,'Classement S6'!$B$2:$C$200,2,0),"0")</f>
        <v>1330.075117</v>
      </c>
      <c r="F86" s="12">
        <f>IFERROR(VLOOKUP(B86,'Classement RoC'!$B$2:$C$199,2,0),"0")</f>
        <v>61.24620548</v>
      </c>
      <c r="G86" s="12">
        <f>IFERROR(VLOOKUP(B86,'Classement Surp'!$B$2:$C$199,2,0),"0")</f>
        <v>798.9450166</v>
      </c>
    </row>
    <row r="87" ht="14.25" customHeight="1">
      <c r="A87" s="6">
        <v>86.0</v>
      </c>
      <c r="B87" s="6" t="s">
        <v>92</v>
      </c>
      <c r="C87" s="7">
        <f>'Classement Général'!$E87+'Classement Général'!$F87+'Classement Général'!$G87</f>
        <v>2077.520716</v>
      </c>
      <c r="D87" s="8"/>
      <c r="E87" s="9">
        <f>IFERROR(VLOOKUP(B87,'Classement S6'!$B$2:$C$200,2,0),"0")</f>
        <v>779.4763954</v>
      </c>
      <c r="F87" s="9">
        <f>IFERROR(VLOOKUP(B87,'Classement RoC'!$B$2:$C$199,2,0),"0")</f>
        <v>1102.796066</v>
      </c>
      <c r="G87" s="9">
        <f>IFERROR(VLOOKUP(B87,'Classement Surp'!$B$2:$C$199,2,0),"0")</f>
        <v>195.2482543</v>
      </c>
    </row>
    <row r="88" ht="14.25" customHeight="1">
      <c r="A88" s="6">
        <v>87.0</v>
      </c>
      <c r="B88" s="6" t="s">
        <v>93</v>
      </c>
      <c r="C88" s="7">
        <f>'Classement Général'!$E88+'Classement Général'!$F88+'Classement Général'!$G88</f>
        <v>2011.130144</v>
      </c>
      <c r="D88" s="8"/>
      <c r="E88" s="9">
        <f>IFERROR(VLOOKUP(B88,'Classement S6'!$B$2:$C$200,2,0),"0")</f>
        <v>900.8141105</v>
      </c>
      <c r="F88" s="9">
        <f>IFERROR(VLOOKUP(B88,'Classement RoC'!$B$2:$C$199,2,0),"0")</f>
        <v>1110.316033</v>
      </c>
      <c r="G88" s="9">
        <f>IFERROR(VLOOKUP(B88,'Classement Surp'!$B$2:$C$199,2,0),"0")</f>
        <v>0</v>
      </c>
    </row>
    <row r="89" ht="14.25" customHeight="1">
      <c r="A89" s="6">
        <v>88.0</v>
      </c>
      <c r="B89" s="6" t="s">
        <v>94</v>
      </c>
      <c r="C89" s="7">
        <f>'Classement Général'!$E89+'Classement Général'!$F89+'Classement Général'!$G89</f>
        <v>1946.39602</v>
      </c>
      <c r="D89" s="8"/>
      <c r="E89" s="9">
        <f>IFERROR(VLOOKUP(B89,'Classement S6'!$B$2:$C$200,2,0),"0")</f>
        <v>1698.7104</v>
      </c>
      <c r="F89" s="9">
        <f>IFERROR(VLOOKUP(B89,'Classement RoC'!$B$2:$C$199,2,0),"0")</f>
        <v>234.0575948</v>
      </c>
      <c r="G89" s="9">
        <f>IFERROR(VLOOKUP(B89,'Classement Surp'!$B$2:$C$199,2,0),"0")</f>
        <v>13.62802543</v>
      </c>
    </row>
    <row r="90" ht="14.25" customHeight="1">
      <c r="A90" s="6">
        <v>89.0</v>
      </c>
      <c r="B90" s="17" t="s">
        <v>95</v>
      </c>
      <c r="C90" s="7">
        <f>'Classement Général'!$E90+'Classement Général'!$F90+'Classement Général'!$G90</f>
        <v>1944.721234</v>
      </c>
      <c r="D90" s="11"/>
      <c r="E90" s="12">
        <f>IFERROR(VLOOKUP(B90,'Classement S6'!$B$2:$C$200,2,0),"0")</f>
        <v>1284.315552</v>
      </c>
      <c r="F90" s="12">
        <f>IFERROR(VLOOKUP(B90,'Classement RoC'!$B$2:$C$199,2,0),"0")</f>
        <v>449.4352116</v>
      </c>
      <c r="G90" s="12">
        <f>IFERROR(VLOOKUP(B90,'Classement Surp'!$B$2:$C$199,2,0),"0")</f>
        <v>210.9704703</v>
      </c>
    </row>
    <row r="91" ht="14.25" customHeight="1">
      <c r="A91" s="6">
        <v>90.0</v>
      </c>
      <c r="B91" s="6" t="s">
        <v>96</v>
      </c>
      <c r="C91" s="7">
        <f>'Classement Général'!$E91+'Classement Général'!$F91+'Classement Général'!$G91</f>
        <v>1840.960749</v>
      </c>
      <c r="D91" s="8"/>
      <c r="E91" s="9">
        <f>IFERROR(VLOOKUP(B91,'Classement S6'!$B$2:$C$200,2,0),"0")</f>
        <v>1197.852438</v>
      </c>
      <c r="F91" s="9">
        <f>IFERROR(VLOOKUP(B91,'Classement RoC'!$B$2:$C$199,2,0),"0")</f>
        <v>231.5647799</v>
      </c>
      <c r="G91" s="9">
        <f>IFERROR(VLOOKUP(B91,'Classement Surp'!$B$2:$C$199,2,0),"0")</f>
        <v>411.5435316</v>
      </c>
    </row>
    <row r="92" ht="14.25" customHeight="1">
      <c r="A92" s="6">
        <v>91.0</v>
      </c>
      <c r="B92" s="6" t="s">
        <v>97</v>
      </c>
      <c r="C92" s="7">
        <f>'Classement Général'!$E92+'Classement Général'!$F92+'Classement Général'!$G92</f>
        <v>1829.916989</v>
      </c>
      <c r="D92" s="8"/>
      <c r="E92" s="9">
        <f>IFERROR(VLOOKUP(B92,'Classement S6'!$B$2:$C$200,2,0),"0")</f>
        <v>500.1925477</v>
      </c>
      <c r="F92" s="9">
        <f>IFERROR(VLOOKUP(B92,'Classement RoC'!$B$2:$C$199,2,0),"0")</f>
        <v>748.1336287</v>
      </c>
      <c r="G92" s="9">
        <f>IFERROR(VLOOKUP(B92,'Classement Surp'!$B$2:$C$199,2,0),"0")</f>
        <v>581.5908126</v>
      </c>
    </row>
    <row r="93" ht="14.25" customHeight="1">
      <c r="A93" s="6">
        <v>92.0</v>
      </c>
      <c r="B93" s="17" t="s">
        <v>98</v>
      </c>
      <c r="C93" s="7">
        <f>'Classement Général'!$E93+'Classement Général'!$F93+'Classement Général'!$G93</f>
        <v>1821.72478</v>
      </c>
      <c r="D93" s="11"/>
      <c r="E93" s="12">
        <f>IFERROR(VLOOKUP(B93,'Classement S6'!$B$2:$C$200,2,0),"0")</f>
        <v>1212.752661</v>
      </c>
      <c r="F93" s="12" t="str">
        <f>IFERROR(VLOOKUP(B93,'Classement RoC'!$B$2:$C$199,2,0),"0")</f>
        <v>0</v>
      </c>
      <c r="G93" s="12">
        <f>IFERROR(VLOOKUP(B93,'Classement Surp'!$B$2:$C$199,2,0),"0")</f>
        <v>608.9721185</v>
      </c>
    </row>
    <row r="94" ht="14.25" customHeight="1">
      <c r="A94" s="6">
        <v>93.0</v>
      </c>
      <c r="B94" s="24" t="s">
        <v>99</v>
      </c>
      <c r="C94" s="7">
        <f>'Classement Général'!$E94+'Classement Général'!$F94+'Classement Général'!$G94</f>
        <v>1690.398187</v>
      </c>
      <c r="D94" s="11"/>
      <c r="E94" s="12">
        <f>IFERROR(VLOOKUP(B94,'Classement S6'!$B$2:$C$200,2,0),"0")</f>
        <v>423.133748</v>
      </c>
      <c r="F94" s="12">
        <f>IFERROR(VLOOKUP(B94,'Classement RoC'!$B$2:$C$199,2,0),"0")</f>
        <v>1029.955725</v>
      </c>
      <c r="G94" s="12">
        <f>IFERROR(VLOOKUP(B94,'Classement Surp'!$B$2:$C$199,2,0),"0")</f>
        <v>237.3087146</v>
      </c>
    </row>
    <row r="95" ht="14.25" customHeight="1">
      <c r="A95" s="6">
        <v>94.0</v>
      </c>
      <c r="B95" s="6" t="s">
        <v>100</v>
      </c>
      <c r="C95" s="7">
        <f>'Classement Général'!$E95+'Classement Général'!$F95+'Classement Général'!$G95</f>
        <v>1668.438787</v>
      </c>
      <c r="D95" s="8"/>
      <c r="E95" s="9">
        <f>IFERROR(VLOOKUP(B95,'Classement S6'!$B$2:$C$200,2,0),"0")</f>
        <v>654.7968551</v>
      </c>
      <c r="F95" s="9">
        <f>IFERROR(VLOOKUP(B95,'Classement RoC'!$B$2:$C$199,2,0),"0")</f>
        <v>453.8509709</v>
      </c>
      <c r="G95" s="9">
        <f>IFERROR(VLOOKUP(B95,'Classement Surp'!$B$2:$C$199,2,0),"0")</f>
        <v>559.790961</v>
      </c>
    </row>
    <row r="96" ht="14.25" customHeight="1">
      <c r="A96" s="6">
        <v>95.0</v>
      </c>
      <c r="B96" s="19" t="s">
        <v>101</v>
      </c>
      <c r="C96" s="7">
        <f>'Classement Général'!$E96+'Classement Général'!$F96+'Classement Général'!$G96</f>
        <v>1554.57383</v>
      </c>
      <c r="D96" s="11"/>
      <c r="E96" s="12">
        <f>IFERROR(VLOOKUP(B96,'Classement S6'!$B$2:$C$200,2,0),"0")</f>
        <v>1554.57383</v>
      </c>
      <c r="F96" s="12" t="str">
        <f>IFERROR(VLOOKUP(B96,'Classement RoC'!$B$2:$C$199,2,0),"0")</f>
        <v>0</v>
      </c>
      <c r="G96" s="12">
        <f>IFERROR(VLOOKUP(B96,'Classement Surp'!$B$2:$C$199,2,0),"0")</f>
        <v>0</v>
      </c>
    </row>
    <row r="97" ht="14.25" customHeight="1">
      <c r="A97" s="6">
        <v>96.0</v>
      </c>
      <c r="B97" s="6" t="s">
        <v>102</v>
      </c>
      <c r="C97" s="7">
        <f>'Classement Général'!$E97+'Classement Général'!$F97+'Classement Général'!$G97</f>
        <v>1547.648059</v>
      </c>
      <c r="D97" s="11"/>
      <c r="E97" s="12">
        <f>IFERROR(VLOOKUP(B97,'Classement S6'!$B$2:$C$200,2,0),"0")</f>
        <v>692.8566567</v>
      </c>
      <c r="F97" s="12">
        <f>IFERROR(VLOOKUP(B97,'Classement RoC'!$B$2:$C$199,2,0),"0")</f>
        <v>703.959785</v>
      </c>
      <c r="G97" s="12">
        <f>IFERROR(VLOOKUP(B97,'Classement Surp'!$B$2:$C$199,2,0),"0")</f>
        <v>150.8316172</v>
      </c>
    </row>
    <row r="98" ht="14.25" customHeight="1">
      <c r="A98" s="6">
        <v>97.0</v>
      </c>
      <c r="B98" s="25" t="s">
        <v>103</v>
      </c>
      <c r="C98" s="7">
        <f>'Classement Général'!$E98+'Classement Général'!$F98+'Classement Général'!$G98</f>
        <v>1509.80356</v>
      </c>
      <c r="D98" s="11"/>
      <c r="E98" s="12">
        <f>IFERROR(VLOOKUP(B98,'Classement S6'!$B$2:$C$200,2,0),"0")</f>
        <v>1509.80356</v>
      </c>
      <c r="F98" s="12" t="str">
        <f>IFERROR(VLOOKUP(B98,'Classement RoC'!$B$2:$C$199,2,0),"0")</f>
        <v>0</v>
      </c>
      <c r="G98" s="12" t="str">
        <f>IFERROR(VLOOKUP(B98,'Classement Surp'!$B$2:$C$199,2,0),"0")</f>
        <v>0</v>
      </c>
    </row>
    <row r="99" ht="14.25" customHeight="1">
      <c r="A99" s="6">
        <v>98.0</v>
      </c>
      <c r="B99" s="16" t="s">
        <v>104</v>
      </c>
      <c r="C99" s="7">
        <f>'Classement Général'!$E99+'Classement Général'!$F99+'Classement Général'!$G99</f>
        <v>1377.070776</v>
      </c>
      <c r="D99" s="11"/>
      <c r="E99" s="12">
        <f>IFERROR(VLOOKUP(B99,'Classement S6'!$B$2:$C$200,2,0),"0")</f>
        <v>1063.828824</v>
      </c>
      <c r="F99" s="12">
        <f>IFERROR(VLOOKUP(B99,'Classement RoC'!$B$2:$C$199,2,0),"0")</f>
        <v>189.4910516</v>
      </c>
      <c r="G99" s="12">
        <f>IFERROR(VLOOKUP(B99,'Classement Surp'!$B$2:$C$199,2,0),"0")</f>
        <v>123.7508997</v>
      </c>
    </row>
    <row r="100" ht="14.25" customHeight="1">
      <c r="A100" s="6">
        <v>99.0</v>
      </c>
      <c r="B100" s="6" t="s">
        <v>105</v>
      </c>
      <c r="C100" s="7">
        <f>'Classement Général'!$E100+'Classement Général'!$F100+'Classement Général'!$G100</f>
        <v>1317.404579</v>
      </c>
      <c r="D100" s="11"/>
      <c r="E100" s="12">
        <f>IFERROR(VLOOKUP(B100,'Classement S6'!$B$2:$C$200,2,0),"0")</f>
        <v>1317.404579</v>
      </c>
      <c r="F100" s="12">
        <f>IFERROR(VLOOKUP(B100,'Classement RoC'!$B$2:$C$199,2,0),"0")</f>
        <v>0</v>
      </c>
      <c r="G100" s="12">
        <f>IFERROR(VLOOKUP(B100,'Classement Surp'!$B$2:$C$199,2,0),"0")</f>
        <v>0</v>
      </c>
    </row>
    <row r="101" ht="14.25" customHeight="1">
      <c r="A101" s="6">
        <v>100.0</v>
      </c>
      <c r="B101" s="6" t="s">
        <v>106</v>
      </c>
      <c r="C101" s="7">
        <f>'Classement Général'!$E101+'Classement Général'!$F101+'Classement Général'!$G101</f>
        <v>1246.323251</v>
      </c>
      <c r="D101" s="8"/>
      <c r="E101" s="9">
        <f>IFERROR(VLOOKUP(B101,'Classement S6'!$B$2:$C$200,2,0),"0")</f>
        <v>1015.23463</v>
      </c>
      <c r="F101" s="9">
        <f>IFERROR(VLOOKUP(B101,'Classement RoC'!$B$2:$C$199,2,0),"0")</f>
        <v>0</v>
      </c>
      <c r="G101" s="9">
        <f>IFERROR(VLOOKUP(B101,'Classement Surp'!$B$2:$C$199,2,0),"0")</f>
        <v>231.0886203</v>
      </c>
    </row>
    <row r="102" ht="14.25" customHeight="1">
      <c r="A102" s="6">
        <v>101.0</v>
      </c>
      <c r="B102" s="17" t="s">
        <v>107</v>
      </c>
      <c r="C102" s="7">
        <f>'Classement Général'!$E102+'Classement Général'!$F102+'Classement Général'!$G102</f>
        <v>1168.919752</v>
      </c>
      <c r="D102" s="11"/>
      <c r="E102" s="12">
        <f>IFERROR(VLOOKUP(B102,'Classement S6'!$B$2:$C$200,2,0),"0")</f>
        <v>1168.919752</v>
      </c>
      <c r="F102" s="12" t="str">
        <f>IFERROR(VLOOKUP(B102,'Classement RoC'!$B$2:$C$199,2,0),"0")</f>
        <v>0</v>
      </c>
      <c r="G102" s="12" t="str">
        <f>IFERROR(VLOOKUP(B102,'Classement Surp'!$B$2:$C$199,2,0),"0")</f>
        <v>0</v>
      </c>
    </row>
    <row r="103" ht="14.25" customHeight="1">
      <c r="A103" s="6">
        <v>102.0</v>
      </c>
      <c r="B103" s="13" t="s">
        <v>108</v>
      </c>
      <c r="C103" s="7">
        <f>'Classement Général'!$E103+'Classement Général'!$F103+'Classement Général'!$G103</f>
        <v>1074.859633</v>
      </c>
      <c r="D103" s="8"/>
      <c r="E103" s="9">
        <f>IFERROR(VLOOKUP(B103,'Classement S6'!$B$2:$C$200,2,0),"0")</f>
        <v>172.8529418</v>
      </c>
      <c r="F103" s="9">
        <f>IFERROR(VLOOKUP(B103,'Classement RoC'!$B$2:$C$199,2,0),"0")</f>
        <v>902.0066915</v>
      </c>
      <c r="G103" s="9" t="str">
        <f>IFERROR(VLOOKUP(B103,'Classement Surp'!$B$2:$C$199,2,0),"0")</f>
        <v>0</v>
      </c>
    </row>
    <row r="104" ht="14.25" customHeight="1">
      <c r="A104" s="6">
        <v>103.0</v>
      </c>
      <c r="B104" s="17" t="s">
        <v>109</v>
      </c>
      <c r="C104" s="7">
        <f>'Classement Général'!$E104+'Classement Général'!$F104+'Classement Général'!$G104</f>
        <v>906.8832003</v>
      </c>
      <c r="D104" s="11"/>
      <c r="E104" s="12">
        <f>IFERROR(VLOOKUP(B104,'Classement S6'!$B$2:$C$200,2,0),"0")</f>
        <v>164.1956518</v>
      </c>
      <c r="F104" s="12">
        <f>IFERROR(VLOOKUP(B104,'Classement RoC'!$B$2:$C$199,2,0),"0")</f>
        <v>468.1332108</v>
      </c>
      <c r="G104" s="12">
        <f>IFERROR(VLOOKUP(B104,'Classement Surp'!$B$2:$C$199,2,0),"0")</f>
        <v>274.5543377</v>
      </c>
    </row>
    <row r="105" ht="14.25" customHeight="1">
      <c r="A105" s="6">
        <v>104.0</v>
      </c>
      <c r="B105" s="6" t="s">
        <v>110</v>
      </c>
      <c r="C105" s="7">
        <f>'Classement Général'!$E105+'Classement Général'!$F105+'Classement Général'!$G105</f>
        <v>846.3419989</v>
      </c>
      <c r="D105" s="11"/>
      <c r="E105" s="12">
        <f>IFERROR(VLOOKUP(B105,'Classement S6'!$B$2:$C$200,2,0),"0")</f>
        <v>0</v>
      </c>
      <c r="F105" s="12">
        <f>IFERROR(VLOOKUP(B105,'Classement RoC'!$B$2:$C$199,2,0),"0")</f>
        <v>846.3419989</v>
      </c>
      <c r="G105" s="12">
        <f>IFERROR(VLOOKUP(B105,'Classement Surp'!$B$2:$C$199,2,0),"0")</f>
        <v>0</v>
      </c>
    </row>
    <row r="106" ht="14.25" customHeight="1">
      <c r="A106" s="6">
        <v>105.0</v>
      </c>
      <c r="B106" s="23" t="s">
        <v>111</v>
      </c>
      <c r="C106" s="7">
        <f>'Classement Général'!$E106+'Classement Général'!$F106+'Classement Général'!$G106</f>
        <v>714.2492887</v>
      </c>
      <c r="D106" s="11"/>
      <c r="E106" s="12" t="str">
        <f>IFERROR(VLOOKUP(B106,'Classement S6'!$B$2:$C$200,2,0),"0")</f>
        <v>0</v>
      </c>
      <c r="F106" s="12">
        <f>IFERROR(VLOOKUP(B106,'Classement RoC'!$B$2:$C$199,2,0),"0")</f>
        <v>563.0235418</v>
      </c>
      <c r="G106" s="12">
        <f>IFERROR(VLOOKUP(B106,'Classement Surp'!$B$2:$C$199,2,0),"0")</f>
        <v>151.2257469</v>
      </c>
    </row>
    <row r="107" ht="14.25" customHeight="1">
      <c r="A107" s="6">
        <v>106.0</v>
      </c>
      <c r="B107" s="16" t="s">
        <v>112</v>
      </c>
      <c r="C107" s="7">
        <f>'Classement Général'!$E107+'Classement Général'!$F107+'Classement Général'!$G107</f>
        <v>669.1364543</v>
      </c>
      <c r="D107" s="11"/>
      <c r="E107" s="12">
        <f>IFERROR(VLOOKUP(B107,'Classement S6'!$B$2:$C$200,2,0),"0")</f>
        <v>315.7333684</v>
      </c>
      <c r="F107" s="12">
        <f>IFERROR(VLOOKUP(B107,'Classement RoC'!$B$2:$C$199,2,0),"0")</f>
        <v>353.4030858</v>
      </c>
      <c r="G107" s="12" t="str">
        <f>IFERROR(VLOOKUP(B107,'Classement Surp'!$B$2:$C$199,2,0),"0")</f>
        <v>0</v>
      </c>
    </row>
    <row r="108" ht="14.25" customHeight="1">
      <c r="A108" s="6">
        <v>107.0</v>
      </c>
      <c r="B108" s="13" t="s">
        <v>113</v>
      </c>
      <c r="C108" s="7">
        <f>'Classement Général'!$E108+'Classement Général'!$F108+'Classement Général'!$G108</f>
        <v>667.7914722</v>
      </c>
      <c r="D108" s="8"/>
      <c r="E108" s="9" t="str">
        <f>IFERROR(VLOOKUP(B108,'Classement S6'!$B$2:$C$200,2,0),"0")</f>
        <v>0</v>
      </c>
      <c r="F108" s="9" t="str">
        <f>IFERROR(VLOOKUP(B108,'Classement RoC'!$B$2:$C$199,2,0),"0")</f>
        <v>0</v>
      </c>
      <c r="G108" s="9">
        <f>IFERROR(VLOOKUP(B108,'Classement Surp'!$B$2:$C$199,2,0),"0")</f>
        <v>667.7914722</v>
      </c>
    </row>
    <row r="109" ht="14.25" customHeight="1">
      <c r="A109" s="6">
        <v>108.0</v>
      </c>
      <c r="B109" s="19" t="s">
        <v>114</v>
      </c>
      <c r="C109" s="7">
        <f>'Classement Général'!$E109+'Classement Général'!$F109+'Classement Général'!$G109</f>
        <v>644.1333665</v>
      </c>
      <c r="D109" s="11"/>
      <c r="E109" s="12">
        <f>IFERROR(VLOOKUP(B109,'Classement S6'!$B$2:$C$200,2,0),"0")</f>
        <v>644.1333665</v>
      </c>
      <c r="F109" s="12" t="str">
        <f>IFERROR(VLOOKUP(B109,'Classement RoC'!$B$2:$C$199,2,0),"0")</f>
        <v>0</v>
      </c>
      <c r="G109" s="12" t="str">
        <f>IFERROR(VLOOKUP(B109,'Classement Surp'!$B$2:$C$199,2,0),"0")</f>
        <v>0</v>
      </c>
    </row>
    <row r="110" ht="14.25" customHeight="1">
      <c r="A110" s="6">
        <v>109.0</v>
      </c>
      <c r="B110" s="23" t="s">
        <v>115</v>
      </c>
      <c r="C110" s="7">
        <f>'Classement Général'!$E110+'Classement Général'!$F110+'Classement Général'!$G110</f>
        <v>627.6478034</v>
      </c>
      <c r="D110" s="11"/>
      <c r="E110" s="12" t="str">
        <f>IFERROR(VLOOKUP(B110,'Classement S6'!$B$2:$C$200,2,0),"0")</f>
        <v>0</v>
      </c>
      <c r="F110" s="12">
        <f>IFERROR(VLOOKUP(B110,'Classement RoC'!$B$2:$C$199,2,0),"0")</f>
        <v>399.5283078</v>
      </c>
      <c r="G110" s="12">
        <f>IFERROR(VLOOKUP(B110,'Classement Surp'!$B$2:$C$199,2,0),"0")</f>
        <v>228.1194956</v>
      </c>
    </row>
    <row r="111" ht="14.25" customHeight="1">
      <c r="A111" s="6">
        <v>110.0</v>
      </c>
      <c r="B111" s="18" t="s">
        <v>116</v>
      </c>
      <c r="C111" s="7">
        <f>'Classement Général'!$E111+'Classement Général'!$F111+'Classement Général'!$G111</f>
        <v>585.1165661</v>
      </c>
      <c r="D111" s="11"/>
      <c r="E111" s="12" t="str">
        <f>IFERROR(VLOOKUP(B111,'Classement S6'!$B$2:$C$200,2,0),"0")</f>
        <v>0</v>
      </c>
      <c r="F111" s="12">
        <f>IFERROR(VLOOKUP(B111,'Classement RoC'!$B$2:$C$199,2,0),"0")</f>
        <v>382.56781</v>
      </c>
      <c r="G111" s="12">
        <f>IFERROR(VLOOKUP(B111,'Classement Surp'!$B$2:$C$199,2,0),"0")</f>
        <v>202.5487561</v>
      </c>
    </row>
    <row r="112" ht="14.25" customHeight="1">
      <c r="A112" s="6">
        <v>111.0</v>
      </c>
      <c r="B112" s="24" t="s">
        <v>117</v>
      </c>
      <c r="C112" s="7">
        <f>'Classement Général'!$E112+'Classement Général'!$F112+'Classement Général'!$G112</f>
        <v>541.0967424</v>
      </c>
      <c r="D112" s="11"/>
      <c r="E112" s="12" t="str">
        <f>IFERROR(VLOOKUP(B112,'Classement S6'!$B$2:$C$200,2,0),"0")</f>
        <v>0</v>
      </c>
      <c r="F112" s="12" t="str">
        <f>IFERROR(VLOOKUP(B112,'Classement RoC'!$B$2:$C$199,2,0),"0")</f>
        <v>0</v>
      </c>
      <c r="G112" s="12">
        <f>IFERROR(VLOOKUP(B112,'Classement Surp'!$B$2:$C$199,2,0),"0")</f>
        <v>541.0967424</v>
      </c>
    </row>
    <row r="113" ht="14.25" customHeight="1">
      <c r="A113" s="6">
        <v>112.0</v>
      </c>
      <c r="B113" s="25" t="s">
        <v>118</v>
      </c>
      <c r="C113" s="7">
        <f>'Classement Général'!$E113+'Classement Général'!$F113+'Classement Général'!$G113</f>
        <v>540.8175573</v>
      </c>
      <c r="D113" s="11"/>
      <c r="E113" s="12" t="str">
        <f>IFERROR(VLOOKUP(B113,'Classement S6'!$B$2:$C$200,2,0),"0")</f>
        <v>0</v>
      </c>
      <c r="F113" s="12" t="str">
        <f>IFERROR(VLOOKUP(B113,'Classement RoC'!$B$2:$C$199,2,0),"0")</f>
        <v>0</v>
      </c>
      <c r="G113" s="12">
        <f>IFERROR(VLOOKUP(B113,'Classement Surp'!$B$2:$C$199,2,0),"0")</f>
        <v>540.8175573</v>
      </c>
    </row>
    <row r="114" ht="14.25" customHeight="1">
      <c r="A114" s="6">
        <v>113.0</v>
      </c>
      <c r="B114" s="18" t="s">
        <v>119</v>
      </c>
      <c r="C114" s="7">
        <f>'Classement Général'!$E114+'Classement Général'!$F114+'Classement Général'!$G114</f>
        <v>538.8712322</v>
      </c>
      <c r="D114" s="11"/>
      <c r="E114" s="12" t="str">
        <f>IFERROR(VLOOKUP(B114,'Classement S6'!$B$2:$C$200,2,0),"0")</f>
        <v>0</v>
      </c>
      <c r="F114" s="12">
        <f>IFERROR(VLOOKUP(B114,'Classement RoC'!$B$2:$C$199,2,0),"0")</f>
        <v>538.8712322</v>
      </c>
      <c r="G114" s="12" t="str">
        <f>IFERROR(VLOOKUP(B114,'Classement Surp'!$B$2:$C$199,2,0),"0")</f>
        <v>0</v>
      </c>
    </row>
    <row r="115" ht="14.25" customHeight="1">
      <c r="A115" s="6">
        <v>114.0</v>
      </c>
      <c r="B115" s="25" t="s">
        <v>120</v>
      </c>
      <c r="C115" s="7">
        <f>'Classement Général'!$E115+'Classement Général'!$F115+'Classement Général'!$G115</f>
        <v>493.8139893</v>
      </c>
      <c r="D115" s="11"/>
      <c r="E115" s="12" t="str">
        <f>IFERROR(VLOOKUP(B115,'Classement S6'!$B$2:$C$200,2,0),"0")</f>
        <v>0</v>
      </c>
      <c r="F115" s="12" t="str">
        <f>IFERROR(VLOOKUP(B115,'Classement RoC'!$B$2:$C$199,2,0),"0")</f>
        <v>0</v>
      </c>
      <c r="G115" s="12">
        <f>IFERROR(VLOOKUP(B115,'Classement Surp'!$B$2:$C$199,2,0),"0")</f>
        <v>493.8139893</v>
      </c>
    </row>
    <row r="116" ht="14.25" customHeight="1">
      <c r="A116" s="6">
        <v>115.0</v>
      </c>
      <c r="B116" s="6" t="s">
        <v>121</v>
      </c>
      <c r="C116" s="7">
        <f>'Classement Général'!$E116+'Classement Général'!$F116+'Classement Général'!$G116</f>
        <v>472.3687022</v>
      </c>
      <c r="D116" s="8"/>
      <c r="E116" s="9">
        <f>IFERROR(VLOOKUP(B116,'Classement S6'!$B$2:$C$200,2,0),"0")</f>
        <v>0</v>
      </c>
      <c r="F116" s="9">
        <f>IFERROR(VLOOKUP(B116,'Classement RoC'!$B$2:$C$199,2,0),"0")</f>
        <v>0</v>
      </c>
      <c r="G116" s="9">
        <f>IFERROR(VLOOKUP(B116,'Classement Surp'!$B$2:$C$199,2,0),"0")</f>
        <v>472.3687022</v>
      </c>
    </row>
    <row r="117" ht="14.25" customHeight="1">
      <c r="A117" s="6">
        <v>116.0</v>
      </c>
      <c r="B117" s="17" t="s">
        <v>122</v>
      </c>
      <c r="C117" s="7">
        <f>'Classement Général'!$E117+'Classement Général'!$F117+'Classement Général'!$G117</f>
        <v>431.4623347</v>
      </c>
      <c r="D117" s="11"/>
      <c r="E117" s="12" t="str">
        <f>IFERROR(VLOOKUP(B117,'Classement S6'!$B$2:$C$200,2,0),"0")</f>
        <v>0</v>
      </c>
      <c r="F117" s="12">
        <f>IFERROR(VLOOKUP(B117,'Classement RoC'!$B$2:$C$199,2,0),"0")</f>
        <v>141.0373036</v>
      </c>
      <c r="G117" s="12">
        <f>IFERROR(VLOOKUP(B117,'Classement Surp'!$B$2:$C$199,2,0),"0")</f>
        <v>290.4250312</v>
      </c>
    </row>
    <row r="118" ht="14.25" customHeight="1">
      <c r="A118" s="6">
        <v>117.0</v>
      </c>
      <c r="B118" s="25" t="s">
        <v>123</v>
      </c>
      <c r="C118" s="7">
        <f>'Classement Général'!$E118+'Classement Général'!$F118+'Classement Général'!$G118</f>
        <v>416.1173819</v>
      </c>
      <c r="D118" s="11"/>
      <c r="E118" s="12" t="str">
        <f>IFERROR(VLOOKUP(B118,'Classement S6'!$B$2:$C$200,2,0),"0")</f>
        <v>0</v>
      </c>
      <c r="F118" s="12" t="str">
        <f>IFERROR(VLOOKUP(B118,'Classement RoC'!$B$2:$C$199,2,0),"0")</f>
        <v>0</v>
      </c>
      <c r="G118" s="12">
        <f>IFERROR(VLOOKUP(B118,'Classement Surp'!$B$2:$C$199,2,0),"0")</f>
        <v>416.1173819</v>
      </c>
    </row>
    <row r="119" ht="14.25" customHeight="1">
      <c r="A119" s="6">
        <v>118.0</v>
      </c>
      <c r="B119" s="19" t="s">
        <v>124</v>
      </c>
      <c r="C119" s="7">
        <f>'Classement Général'!$E119+'Classement Général'!$F119+'Classement Général'!$G119</f>
        <v>402.2030828</v>
      </c>
      <c r="D119" s="11"/>
      <c r="E119" s="12">
        <f>IFERROR(VLOOKUP(B119,'Classement S6'!$B$2:$C$200,2,0),"0")</f>
        <v>402.2030828</v>
      </c>
      <c r="F119" s="12" t="str">
        <f>IFERROR(VLOOKUP(B119,'Classement RoC'!$B$2:$C$199,2,0),"0")</f>
        <v>0</v>
      </c>
      <c r="G119" s="12" t="str">
        <f>IFERROR(VLOOKUP(B119,'Classement Surp'!$B$2:$C$199,2,0),"0")</f>
        <v>0</v>
      </c>
    </row>
    <row r="120" ht="14.25" customHeight="1">
      <c r="A120" s="6">
        <v>119.0</v>
      </c>
      <c r="B120" s="17" t="s">
        <v>125</v>
      </c>
      <c r="C120" s="7">
        <f>'Classement Général'!$E120+'Classement Général'!$F120+'Classement Général'!$G120</f>
        <v>393.3017338</v>
      </c>
      <c r="D120" s="11"/>
      <c r="E120" s="12" t="str">
        <f>IFERROR(VLOOKUP(B120,'Classement S6'!$B$2:$C$200,2,0),"0")</f>
        <v>0</v>
      </c>
      <c r="F120" s="12">
        <f>IFERROR(VLOOKUP(B120,'Classement RoC'!$B$2:$C$199,2,0),"0")</f>
        <v>261.5611086</v>
      </c>
      <c r="G120" s="12">
        <f>IFERROR(VLOOKUP(B120,'Classement Surp'!$B$2:$C$199,2,0),"0")</f>
        <v>131.7406253</v>
      </c>
    </row>
    <row r="121" ht="14.25" customHeight="1">
      <c r="A121" s="6">
        <v>120.0</v>
      </c>
      <c r="B121" s="24" t="s">
        <v>126</v>
      </c>
      <c r="C121" s="7">
        <f>'Classement Général'!$E121+'Classement Général'!$F121+'Classement Général'!$G121</f>
        <v>372.8986036</v>
      </c>
      <c r="D121" s="11"/>
      <c r="E121" s="12" t="str">
        <f>IFERROR(VLOOKUP(B121,'Classement S6'!$B$2:$C$200,2,0),"0")</f>
        <v>0</v>
      </c>
      <c r="F121" s="12" t="str">
        <f>IFERROR(VLOOKUP(B121,'Classement RoC'!$B$2:$C$199,2,0),"0")</f>
        <v>0</v>
      </c>
      <c r="G121" s="12">
        <f>IFERROR(VLOOKUP(B121,'Classement Surp'!$B$2:$C$199,2,0),"0")</f>
        <v>372.8986036</v>
      </c>
    </row>
    <row r="122" ht="14.25" customHeight="1">
      <c r="A122" s="6">
        <v>121.0</v>
      </c>
      <c r="B122" s="25" t="s">
        <v>127</v>
      </c>
      <c r="C122" s="7">
        <f>'Classement Général'!$E122+'Classement Général'!$F122+'Classement Général'!$G122</f>
        <v>345.3207205</v>
      </c>
      <c r="D122" s="11"/>
      <c r="E122" s="12" t="str">
        <f>IFERROR(VLOOKUP(B122,'Classement S6'!$B$2:$C$200,2,0),"0")</f>
        <v>0</v>
      </c>
      <c r="F122" s="12" t="str">
        <f>IFERROR(VLOOKUP(B122,'Classement RoC'!$B$2:$C$199,2,0),"0")</f>
        <v>0</v>
      </c>
      <c r="G122" s="12">
        <f>IFERROR(VLOOKUP(B122,'Classement Surp'!$B$2:$C$199,2,0),"0")</f>
        <v>345.3207205</v>
      </c>
    </row>
    <row r="123" ht="14.25" customHeight="1">
      <c r="A123" s="6">
        <v>122.0</v>
      </c>
      <c r="B123" s="25" t="s">
        <v>128</v>
      </c>
      <c r="C123" s="7">
        <f>'Classement Général'!$E123+'Classement Général'!$F123+'Classement Général'!$G123</f>
        <v>296.116277</v>
      </c>
      <c r="D123" s="11"/>
      <c r="E123" s="12" t="str">
        <f>IFERROR(VLOOKUP(B123,'Classement S6'!$B$2:$C$200,2,0),"0")</f>
        <v>0</v>
      </c>
      <c r="F123" s="12" t="str">
        <f>IFERROR(VLOOKUP(B123,'Classement RoC'!$B$2:$C$199,2,0),"0")</f>
        <v>0</v>
      </c>
      <c r="G123" s="12">
        <f>IFERROR(VLOOKUP(B123,'Classement Surp'!$B$2:$C$199,2,0),"0")</f>
        <v>296.116277</v>
      </c>
    </row>
    <row r="124" ht="14.25" customHeight="1">
      <c r="A124" s="6">
        <v>123.0</v>
      </c>
      <c r="B124" s="19" t="s">
        <v>129</v>
      </c>
      <c r="C124" s="7">
        <f>'Classement Général'!$E124+'Classement Général'!$F124+'Classement Général'!$G124</f>
        <v>279.5708298</v>
      </c>
      <c r="D124" s="11"/>
      <c r="E124" s="12" t="str">
        <f>IFERROR(VLOOKUP(B124,'Classement S6'!$B$2:$C$200,2,0),"0")</f>
        <v>0</v>
      </c>
      <c r="F124" s="12" t="str">
        <f>IFERROR(VLOOKUP(B124,'Classement RoC'!$B$2:$C$199,2,0),"0")</f>
        <v>0</v>
      </c>
      <c r="G124" s="12">
        <f>IFERROR(VLOOKUP(B124,'Classement Surp'!$B$2:$C$199,2,0),"0")</f>
        <v>279.5708298</v>
      </c>
    </row>
    <row r="125" ht="14.25" customHeight="1">
      <c r="A125" s="6">
        <v>124.0</v>
      </c>
      <c r="B125" s="19" t="s">
        <v>130</v>
      </c>
      <c r="C125" s="7">
        <f>'Classement Général'!$E125+'Classement Général'!$F125+'Classement Général'!$G125</f>
        <v>271.7565508</v>
      </c>
      <c r="D125" s="11"/>
      <c r="E125" s="12" t="str">
        <f>IFERROR(VLOOKUP(B125,'Classement S6'!$B$2:$C$200,2,0),"0")</f>
        <v>0</v>
      </c>
      <c r="F125" s="12">
        <f>IFERROR(VLOOKUP(B125,'Classement RoC'!$B$2:$C$199,2,0),"0")</f>
        <v>164.8912551</v>
      </c>
      <c r="G125" s="12">
        <f>IFERROR(VLOOKUP(B125,'Classement Surp'!$B$2:$C$199,2,0),"0")</f>
        <v>106.8652957</v>
      </c>
    </row>
    <row r="126" ht="14.25" customHeight="1">
      <c r="A126" s="6">
        <v>125.0</v>
      </c>
      <c r="B126" s="25" t="s">
        <v>131</v>
      </c>
      <c r="C126" s="7">
        <f>'Classement Général'!$E126+'Classement Général'!$F126+'Classement Général'!$G126</f>
        <v>259.0737952</v>
      </c>
      <c r="D126" s="11"/>
      <c r="E126" s="12" t="str">
        <f>IFERROR(VLOOKUP(B126,'Classement S6'!$B$2:$C$200,2,0),"0")</f>
        <v>0</v>
      </c>
      <c r="F126" s="12" t="str">
        <f>IFERROR(VLOOKUP(B126,'Classement RoC'!$B$2:$C$199,2,0),"0")</f>
        <v>0</v>
      </c>
      <c r="G126" s="12">
        <f>IFERROR(VLOOKUP(B126,'Classement Surp'!$B$2:$C$199,2,0),"0")</f>
        <v>259.0737952</v>
      </c>
    </row>
    <row r="127" ht="14.25" customHeight="1">
      <c r="A127" s="6">
        <v>126.0</v>
      </c>
      <c r="B127" s="13" t="s">
        <v>132</v>
      </c>
      <c r="C127" s="7">
        <f>'Classement Général'!$E127+'Classement Général'!$F127+'Classement Général'!$G127</f>
        <v>249.7893853</v>
      </c>
      <c r="D127" s="8"/>
      <c r="E127" s="9" t="str">
        <f>IFERROR(VLOOKUP(B127,'Classement S6'!$B$2:$C$200,2,0),"0")</f>
        <v>0</v>
      </c>
      <c r="F127" s="9" t="str">
        <f>IFERROR(VLOOKUP(B127,'Classement RoC'!$B$2:$C$199,2,0),"0")</f>
        <v>0</v>
      </c>
      <c r="G127" s="9">
        <f>IFERROR(VLOOKUP(B127,'Classement Surp'!$B$2:$C$199,2,0),"0")</f>
        <v>249.7893853</v>
      </c>
    </row>
    <row r="128" ht="14.25" customHeight="1">
      <c r="A128" s="6">
        <v>127.0</v>
      </c>
      <c r="B128" s="25" t="s">
        <v>133</v>
      </c>
      <c r="C128" s="7">
        <f>'Classement Général'!$E128+'Classement Général'!$F128+'Classement Général'!$G128</f>
        <v>245.9184282</v>
      </c>
      <c r="D128" s="11"/>
      <c r="E128" s="12" t="str">
        <f>IFERROR(VLOOKUP(B128,'Classement S6'!$B$2:$C$200,2,0),"0")</f>
        <v>0</v>
      </c>
      <c r="F128" s="12" t="str">
        <f>IFERROR(VLOOKUP(B128,'Classement RoC'!$B$2:$C$199,2,0),"0")</f>
        <v>0</v>
      </c>
      <c r="G128" s="12">
        <f>IFERROR(VLOOKUP(B128,'Classement Surp'!$B$2:$C$199,2,0),"0")</f>
        <v>245.9184282</v>
      </c>
    </row>
    <row r="129" ht="14.25" customHeight="1">
      <c r="A129" s="6">
        <v>128.0</v>
      </c>
      <c r="B129" s="17" t="s">
        <v>134</v>
      </c>
      <c r="C129" s="7">
        <f>'Classement Général'!$E129+'Classement Général'!$F129+'Classement Général'!$G129</f>
        <v>245.4857632</v>
      </c>
      <c r="D129" s="11"/>
      <c r="E129" s="12" t="str">
        <f>IFERROR(VLOOKUP(B129,'Classement S6'!$B$2:$C$200,2,0),"0")</f>
        <v>0</v>
      </c>
      <c r="F129" s="12">
        <f>IFERROR(VLOOKUP(B129,'Classement RoC'!$B$2:$C$199,2,0),"0")</f>
        <v>245.4857632</v>
      </c>
      <c r="G129" s="12" t="str">
        <f>IFERROR(VLOOKUP(B129,'Classement Surp'!$B$2:$C$199,2,0),"0")</f>
        <v>0</v>
      </c>
    </row>
    <row r="130" ht="14.25" customHeight="1">
      <c r="A130" s="6">
        <v>129.0</v>
      </c>
      <c r="B130" s="17" t="s">
        <v>135</v>
      </c>
      <c r="C130" s="7">
        <f>'Classement Général'!$E130+'Classement Général'!$F130+'Classement Général'!$G130</f>
        <v>211.7475803</v>
      </c>
      <c r="D130" s="11"/>
      <c r="E130" s="12" t="str">
        <f>IFERROR(VLOOKUP(B130,'Classement S6'!$B$2:$C$200,2,0),"0")</f>
        <v>0</v>
      </c>
      <c r="F130" s="12">
        <f>IFERROR(VLOOKUP(B130,'Classement RoC'!$B$2:$C$199,2,0),"0")</f>
        <v>211.7475803</v>
      </c>
      <c r="G130" s="12" t="str">
        <f>IFERROR(VLOOKUP(B130,'Classement Surp'!$B$2:$C$199,2,0),"0")</f>
        <v>0</v>
      </c>
    </row>
    <row r="131" ht="14.25" customHeight="1">
      <c r="A131" s="6">
        <v>130.0</v>
      </c>
      <c r="B131" s="13" t="s">
        <v>136</v>
      </c>
      <c r="C131" s="7">
        <f>'Classement Général'!$E131+'Classement Général'!$F131+'Classement Général'!$G131</f>
        <v>205.636017</v>
      </c>
      <c r="D131" s="8"/>
      <c r="E131" s="9" t="str">
        <f>IFERROR(VLOOKUP(B131,'Classement S6'!$B$2:$C$200,2,0),"0")</f>
        <v>0</v>
      </c>
      <c r="F131" s="9" t="str">
        <f>IFERROR(VLOOKUP(B131,'Classement RoC'!$B$2:$C$199,2,0),"0")</f>
        <v>0</v>
      </c>
      <c r="G131" s="9">
        <f>IFERROR(VLOOKUP(B131,'Classement Surp'!$B$2:$C$199,2,0),"0")</f>
        <v>205.636017</v>
      </c>
    </row>
    <row r="132" ht="14.25" customHeight="1">
      <c r="A132" s="6">
        <v>131.0</v>
      </c>
      <c r="B132" s="16" t="s">
        <v>137</v>
      </c>
      <c r="C132" s="7">
        <f>'Classement Général'!$E132+'Classement Général'!$F132+'Classement Général'!$G132</f>
        <v>203.7650405</v>
      </c>
      <c r="D132" s="11"/>
      <c r="E132" s="12" t="str">
        <f>IFERROR(VLOOKUP(B132,'Classement S6'!$B$2:$C$200,2,0),"0")</f>
        <v>0</v>
      </c>
      <c r="F132" s="12" t="str">
        <f>IFERROR(VLOOKUP(B132,'Classement RoC'!$B$2:$C$199,2,0),"0")</f>
        <v>0</v>
      </c>
      <c r="G132" s="12">
        <f>IFERROR(VLOOKUP(B132,'Classement Surp'!$B$2:$C$199,2,0),"0")</f>
        <v>203.7650405</v>
      </c>
    </row>
    <row r="133" ht="14.25" customHeight="1">
      <c r="A133" s="6">
        <v>132.0</v>
      </c>
      <c r="B133" s="26" t="s">
        <v>138</v>
      </c>
      <c r="C133" s="7">
        <f>'Classement Général'!$E133+'Classement Général'!$F133+'Classement Général'!$G133</f>
        <v>189.2725508</v>
      </c>
      <c r="D133" s="8"/>
      <c r="E133" s="9" t="str">
        <f>IFERROR(VLOOKUP(B133,'Classement S6'!$B$2:$C$200,2,0),"0")</f>
        <v>0</v>
      </c>
      <c r="F133" s="9" t="str">
        <f>IFERROR(VLOOKUP(B133,'Classement RoC'!$B$2:$C$199,2,0),"0")</f>
        <v>0</v>
      </c>
      <c r="G133" s="9">
        <f>IFERROR(VLOOKUP(B133,'Classement Surp'!$B$2:$C$199,2,0),"0")</f>
        <v>189.2725508</v>
      </c>
    </row>
    <row r="134" ht="14.25" customHeight="1">
      <c r="A134" s="6">
        <v>133.0</v>
      </c>
      <c r="B134" s="24" t="s">
        <v>139</v>
      </c>
      <c r="C134" s="7">
        <f>'Classement Général'!$E134+'Classement Général'!$F134+'Classement Général'!$G134</f>
        <v>186.3583731</v>
      </c>
      <c r="D134" s="11"/>
      <c r="E134" s="12" t="str">
        <f>IFERROR(VLOOKUP(B134,'Classement S6'!$B$2:$C$200,2,0),"0")</f>
        <v>0</v>
      </c>
      <c r="F134" s="12" t="str">
        <f>IFERROR(VLOOKUP(B134,'Classement RoC'!$B$2:$C$199,2,0),"0")</f>
        <v>0</v>
      </c>
      <c r="G134" s="12">
        <f>IFERROR(VLOOKUP(B134,'Classement Surp'!$B$2:$C$199,2,0),"0")</f>
        <v>186.3583731</v>
      </c>
    </row>
    <row r="135" ht="14.25" customHeight="1">
      <c r="A135" s="6">
        <v>134.0</v>
      </c>
      <c r="B135" s="25" t="s">
        <v>140</v>
      </c>
      <c r="C135" s="7">
        <f>'Classement Général'!$E135+'Classement Général'!$F135+'Classement Général'!$G135</f>
        <v>170.4816539</v>
      </c>
      <c r="D135" s="11"/>
      <c r="E135" s="12" t="str">
        <f>IFERROR(VLOOKUP(B135,'Classement S6'!$B$2:$C$200,2,0),"0")</f>
        <v>0</v>
      </c>
      <c r="F135" s="12" t="str">
        <f>IFERROR(VLOOKUP(B135,'Classement RoC'!$B$2:$C$199,2,0),"0")</f>
        <v>0</v>
      </c>
      <c r="G135" s="12">
        <f>IFERROR(VLOOKUP(B135,'Classement Surp'!$B$2:$C$199,2,0),"0")</f>
        <v>170.4816539</v>
      </c>
    </row>
    <row r="136" ht="14.25" customHeight="1">
      <c r="A136" s="6">
        <v>135.0</v>
      </c>
      <c r="B136" s="13" t="s">
        <v>141</v>
      </c>
      <c r="C136" s="7">
        <f>'Classement Général'!$E136+'Classement Général'!$F136+'Classement Général'!$G136</f>
        <v>168.237616</v>
      </c>
      <c r="D136" s="8"/>
      <c r="E136" s="9" t="str">
        <f>IFERROR(VLOOKUP(B136,'Classement S6'!$B$2:$C$200,2,0),"0")</f>
        <v>0</v>
      </c>
      <c r="F136" s="9" t="str">
        <f>IFERROR(VLOOKUP(B136,'Classement RoC'!$B$2:$C$199,2,0),"0")</f>
        <v>0</v>
      </c>
      <c r="G136" s="9">
        <f>IFERROR(VLOOKUP(B136,'Classement Surp'!$B$2:$C$199,2,0),"0")</f>
        <v>168.237616</v>
      </c>
    </row>
    <row r="137" ht="14.25" customHeight="1">
      <c r="A137" s="6">
        <v>136.0</v>
      </c>
      <c r="B137" s="26" t="s">
        <v>142</v>
      </c>
      <c r="C137" s="7">
        <f>'Classement Général'!$E137+'Classement Général'!$F137+'Classement Général'!$G137</f>
        <v>161.3370455</v>
      </c>
      <c r="D137" s="8"/>
      <c r="E137" s="9" t="str">
        <f>IFERROR(VLOOKUP(B137,'Classement S6'!$B$2:$C$200,2,0),"0")</f>
        <v>0</v>
      </c>
      <c r="F137" s="9" t="str">
        <f>IFERROR(VLOOKUP(B137,'Classement RoC'!$B$2:$C$199,2,0),"0")</f>
        <v>0</v>
      </c>
      <c r="G137" s="9">
        <f>IFERROR(VLOOKUP(B137,'Classement Surp'!$B$2:$C$199,2,0),"0")</f>
        <v>161.3370455</v>
      </c>
    </row>
    <row r="138" ht="14.25" customHeight="1">
      <c r="A138" s="6">
        <v>137.0</v>
      </c>
      <c r="B138" s="19" t="s">
        <v>143</v>
      </c>
      <c r="C138" s="7">
        <f>'Classement Général'!$E138+'Classement Général'!$F138+'Classement Général'!$G138</f>
        <v>135.8611197</v>
      </c>
      <c r="D138" s="11"/>
      <c r="E138" s="12" t="str">
        <f>IFERROR(VLOOKUP(B138,'Classement S6'!$B$2:$C$200,2,0),"0")</f>
        <v>0</v>
      </c>
      <c r="F138" s="12" t="str">
        <f>IFERROR(VLOOKUP(B138,'Classement RoC'!$B$2:$C$199,2,0),"0")</f>
        <v>0</v>
      </c>
      <c r="G138" s="12">
        <f>IFERROR(VLOOKUP(B138,'Classement Surp'!$B$2:$C$199,2,0),"0")</f>
        <v>135.8611197</v>
      </c>
    </row>
    <row r="139" ht="14.25" customHeight="1">
      <c r="A139" s="6">
        <v>138.0</v>
      </c>
      <c r="B139" s="17" t="s">
        <v>144</v>
      </c>
      <c r="C139" s="7">
        <f>'Classement Général'!$E139+'Classement Général'!$F139+'Classement Général'!$G139</f>
        <v>119.3782788</v>
      </c>
      <c r="D139" s="11"/>
      <c r="E139" s="12" t="str">
        <f>IFERROR(VLOOKUP(B139,'Classement S6'!$B$2:$C$200,2,0),"0")</f>
        <v>0</v>
      </c>
      <c r="F139" s="12" t="str">
        <f>IFERROR(VLOOKUP(B139,'Classement RoC'!$B$2:$C$199,2,0),"0")</f>
        <v>0</v>
      </c>
      <c r="G139" s="12">
        <f>IFERROR(VLOOKUP(B139,'Classement Surp'!$B$2:$C$199,2,0),"0")</f>
        <v>119.3782788</v>
      </c>
    </row>
    <row r="140" ht="14.25" customHeight="1">
      <c r="A140" s="6">
        <v>139.0</v>
      </c>
      <c r="B140" s="25" t="s">
        <v>145</v>
      </c>
      <c r="C140" s="7">
        <f>'Classement Général'!$E140+'Classement Général'!$F140+'Classement Général'!$G140</f>
        <v>104.6479813</v>
      </c>
      <c r="D140" s="11"/>
      <c r="E140" s="12" t="str">
        <f>IFERROR(VLOOKUP(B140,'Classement S6'!$B$2:$C$200,2,0),"0")</f>
        <v>0</v>
      </c>
      <c r="F140" s="12" t="str">
        <f>IFERROR(VLOOKUP(B140,'Classement RoC'!$B$2:$C$199,2,0),"0")</f>
        <v>0</v>
      </c>
      <c r="G140" s="12">
        <f>IFERROR(VLOOKUP(B140,'Classement Surp'!$B$2:$C$199,2,0),"0")</f>
        <v>104.6479813</v>
      </c>
    </row>
    <row r="141" ht="14.25" customHeight="1">
      <c r="A141" s="6">
        <v>140.0</v>
      </c>
      <c r="B141" s="27" t="s">
        <v>146</v>
      </c>
      <c r="C141" s="7">
        <f>'Classement Général'!$E141+'Classement Général'!$F141+'Classement Général'!$G141</f>
        <v>102.719032</v>
      </c>
      <c r="D141" s="11"/>
      <c r="E141" s="12" t="str">
        <f>IFERROR(VLOOKUP(B141,'Classement S6'!$B$2:$C$200,2,0),"0")</f>
        <v>0</v>
      </c>
      <c r="F141" s="12" t="str">
        <f>IFERROR(VLOOKUP(B141,'Classement RoC'!$B$2:$C$199,2,0),"0")</f>
        <v>0</v>
      </c>
      <c r="G141" s="12">
        <f>IFERROR(VLOOKUP(B141,'Classement Surp'!$B$2:$C$199,2,0),"0")</f>
        <v>102.719032</v>
      </c>
    </row>
    <row r="142" ht="14.25" customHeight="1">
      <c r="A142" s="6">
        <v>141.0</v>
      </c>
      <c r="B142" s="24" t="s">
        <v>147</v>
      </c>
      <c r="C142" s="7">
        <f>'Classement Général'!$E142+'Classement Général'!$F142+'Classement Général'!$G142</f>
        <v>74.92326999</v>
      </c>
      <c r="D142" s="11"/>
      <c r="E142" s="12" t="str">
        <f>IFERROR(VLOOKUP(B142,'Classement S6'!$B$2:$C$200,2,0),"0")</f>
        <v>0</v>
      </c>
      <c r="F142" s="12" t="str">
        <f>IFERROR(VLOOKUP(B142,'Classement RoC'!$B$2:$C$199,2,0),"0")</f>
        <v>0</v>
      </c>
      <c r="G142" s="12">
        <f>IFERROR(VLOOKUP(B142,'Classement Surp'!$B$2:$C$199,2,0),"0")</f>
        <v>74.92326999</v>
      </c>
    </row>
    <row r="143" ht="14.25" customHeight="1">
      <c r="A143" s="6">
        <v>142.0</v>
      </c>
      <c r="B143" s="25" t="s">
        <v>148</v>
      </c>
      <c r="C143" s="7">
        <f>'Classement Général'!$E143+'Classement Général'!$F143+'Classement Général'!$G143</f>
        <v>66.83149736</v>
      </c>
      <c r="D143" s="11"/>
      <c r="E143" s="12" t="str">
        <f>IFERROR(VLOOKUP(B143,'Classement S6'!$B$2:$C$200,2,0),"0")</f>
        <v>0</v>
      </c>
      <c r="F143" s="12" t="str">
        <f>IFERROR(VLOOKUP(B143,'Classement RoC'!$B$2:$C$199,2,0),"0")</f>
        <v>0</v>
      </c>
      <c r="G143" s="12">
        <f>IFERROR(VLOOKUP(B143,'Classement Surp'!$B$2:$C$199,2,0),"0")</f>
        <v>66.83149736</v>
      </c>
    </row>
    <row r="144" ht="14.25" customHeight="1">
      <c r="A144" s="6">
        <v>143.0</v>
      </c>
      <c r="B144" s="27" t="s">
        <v>149</v>
      </c>
      <c r="C144" s="7">
        <f>'Classement Général'!$E144+'Classement Général'!$F144+'Classement Général'!$G144</f>
        <v>45.48747805</v>
      </c>
      <c r="D144" s="11"/>
      <c r="E144" s="12">
        <f>IFERROR(VLOOKUP(B144,'Classement S6'!$B$2:$C$200,2,0),"0")</f>
        <v>0</v>
      </c>
      <c r="F144" s="12">
        <f>IFERROR(VLOOKUP(B144,'Classement RoC'!$B$2:$C$199,2,0),"0")</f>
        <v>45.48747805</v>
      </c>
      <c r="G144" s="12">
        <f>IFERROR(VLOOKUP(B144,'Classement Surp'!$B$2:$C$199,2,0),"0")</f>
        <v>0</v>
      </c>
    </row>
    <row r="145" ht="14.25" customHeight="1">
      <c r="A145" s="6">
        <v>144.0</v>
      </c>
      <c r="B145" s="17" t="s">
        <v>150</v>
      </c>
      <c r="C145" s="7">
        <f>'Classement Général'!$E145+'Classement Général'!$F145+'Classement Général'!$G145</f>
        <v>28.14011789</v>
      </c>
      <c r="D145" s="11"/>
      <c r="E145" s="12" t="str">
        <f>IFERROR(VLOOKUP(B145,'Classement S6'!$B$2:$C$200,2,0),"0")</f>
        <v>0</v>
      </c>
      <c r="F145" s="12" t="str">
        <f>IFERROR(VLOOKUP(B145,'Classement RoC'!$B$2:$C$199,2,0),"0")</f>
        <v>0</v>
      </c>
      <c r="G145" s="12">
        <f>IFERROR(VLOOKUP(B145,'Classement Surp'!$B$2:$C$199,2,0),"0")</f>
        <v>28.14011789</v>
      </c>
    </row>
    <row r="146" ht="14.25" customHeight="1">
      <c r="A146" s="6">
        <v>145.0</v>
      </c>
      <c r="B146" s="24" t="s">
        <v>151</v>
      </c>
      <c r="C146" s="7">
        <f>'Classement Général'!$E146+'Classement Général'!$F146+'Classement Général'!$G146</f>
        <v>5.810329926</v>
      </c>
      <c r="D146" s="11"/>
      <c r="E146" s="12" t="str">
        <f>IFERROR(VLOOKUP(B146,'Classement S6'!$B$2:$C$200,2,0),"0")</f>
        <v>0</v>
      </c>
      <c r="F146" s="12" t="str">
        <f>IFERROR(VLOOKUP(B146,'Classement RoC'!$B$2:$C$199,2,0),"0")</f>
        <v>0</v>
      </c>
      <c r="G146" s="12">
        <f>IFERROR(VLOOKUP(B146,'Classement Surp'!$B$2:$C$199,2,0),"0")</f>
        <v>5.810329926</v>
      </c>
    </row>
    <row r="147" ht="14.25" customHeight="1">
      <c r="A147" s="6">
        <v>146.0</v>
      </c>
      <c r="B147" s="28"/>
      <c r="C147" s="7">
        <f>'Classement Général'!$E147+'Classement Général'!$F147+'Classement Général'!$G147</f>
        <v>0</v>
      </c>
      <c r="D147" s="11"/>
      <c r="E147" s="12" t="str">
        <f>IFERROR(VLOOKUP(B147,'Classement S6'!$B$2:$C$200,2,0),"0")</f>
        <v>0</v>
      </c>
      <c r="F147" s="12" t="str">
        <f>IFERROR(VLOOKUP(B147,'Classement RoC'!$B$2:$C$199,2,0),"0")</f>
        <v>0</v>
      </c>
      <c r="G147" s="12" t="str">
        <f>IFERROR(VLOOKUP(B147,'Classement Surp'!$B$2:$C$199,2,0),"0")</f>
        <v>0</v>
      </c>
    </row>
    <row r="148" ht="14.25" customHeight="1">
      <c r="A148" s="6">
        <v>147.0</v>
      </c>
      <c r="B148" s="28"/>
      <c r="C148" s="7">
        <f>'Classement Général'!$E148+'Classement Général'!$F148+'Classement Général'!$G148</f>
        <v>0</v>
      </c>
      <c r="D148" s="11"/>
      <c r="E148" s="12" t="str">
        <f>IFERROR(VLOOKUP(B148,'Classement S6'!$B$2:$C$200,2,0),"0")</f>
        <v>0</v>
      </c>
      <c r="F148" s="12" t="str">
        <f>IFERROR(VLOOKUP(B148,'Classement RoC'!$B$2:$C$199,2,0),"0")</f>
        <v>0</v>
      </c>
      <c r="G148" s="12" t="str">
        <f>IFERROR(VLOOKUP(B148,'Classement Surp'!$B$2:$C$199,2,0),"0")</f>
        <v>0</v>
      </c>
    </row>
    <row r="149" ht="14.25" customHeight="1">
      <c r="A149" s="6">
        <v>148.0</v>
      </c>
      <c r="B149" s="28"/>
      <c r="C149" s="7">
        <f>'Classement Général'!$E149+'Classement Général'!$F149+'Classement Général'!$G149</f>
        <v>0</v>
      </c>
      <c r="D149" s="11"/>
      <c r="E149" s="12" t="str">
        <f>IFERROR(VLOOKUP(B149,'Classement S6'!$B$2:$C$200,2,0),"0")</f>
        <v>0</v>
      </c>
      <c r="F149" s="12" t="str">
        <f>IFERROR(VLOOKUP(B149,'Classement RoC'!$B$2:$C$199,2,0),"0")</f>
        <v>0</v>
      </c>
      <c r="G149" s="12" t="str">
        <f>IFERROR(VLOOKUP(B149,'Classement Surp'!$B$2:$C$199,2,0),"0")</f>
        <v>0</v>
      </c>
    </row>
    <row r="150" ht="14.25" customHeight="1">
      <c r="A150" s="6">
        <v>149.0</v>
      </c>
      <c r="B150" s="28"/>
      <c r="C150" s="7">
        <f>'Classement Général'!$E150+'Classement Général'!$F150+'Classement Général'!$G150</f>
        <v>0</v>
      </c>
      <c r="D150" s="11"/>
      <c r="E150" s="12" t="str">
        <f>IFERROR(VLOOKUP(B150,'Classement S6'!$B$2:$C$200,2,0),"0")</f>
        <v>0</v>
      </c>
      <c r="F150" s="12" t="str">
        <f>IFERROR(VLOOKUP(B150,'Classement RoC'!$B$2:$C$199,2,0),"0")</f>
        <v>0</v>
      </c>
      <c r="G150" s="12" t="str">
        <f>IFERROR(VLOOKUP(B150,'Classement Surp'!$B$2:$C$199,2,0),"0")</f>
        <v>0</v>
      </c>
    </row>
    <row r="151" ht="14.25" customHeight="1">
      <c r="A151" s="6">
        <v>150.0</v>
      </c>
      <c r="B151" s="28"/>
      <c r="C151" s="7">
        <f>'Classement Général'!$E151+'Classement Général'!$F151+'Classement Général'!$G151</f>
        <v>0</v>
      </c>
      <c r="D151" s="11"/>
      <c r="E151" s="12" t="str">
        <f>IFERROR(VLOOKUP(B151,'Classement S6'!$B$2:$C$200,2,0),"0")</f>
        <v>0</v>
      </c>
      <c r="F151" s="12" t="str">
        <f>IFERROR(VLOOKUP(B151,'Classement RoC'!$B$2:$C$199,2,0),"0")</f>
        <v>0</v>
      </c>
      <c r="G151" s="12" t="str">
        <f>IFERROR(VLOOKUP(B151,'Classement Surp'!$B$2:$C$199,2,0),"0")</f>
        <v>0</v>
      </c>
    </row>
    <row r="152" ht="14.25" customHeight="1">
      <c r="A152" s="6">
        <v>151.0</v>
      </c>
      <c r="B152" s="28"/>
      <c r="C152" s="7">
        <f>'Classement Général'!$E152+'Classement Général'!$F152+'Classement Général'!$G152</f>
        <v>0</v>
      </c>
      <c r="D152" s="11"/>
      <c r="E152" s="12" t="str">
        <f>IFERROR(VLOOKUP(B152,'Classement S6'!$B$2:$C$200,2,0),"0")</f>
        <v>0</v>
      </c>
      <c r="F152" s="12" t="str">
        <f>IFERROR(VLOOKUP(B152,'Classement RoC'!$B$2:$C$199,2,0),"0")</f>
        <v>0</v>
      </c>
      <c r="G152" s="12" t="str">
        <f>IFERROR(VLOOKUP(B152,'Classement Surp'!$B$2:$C$199,2,0),"0")</f>
        <v>0</v>
      </c>
    </row>
    <row r="153" ht="14.25" customHeight="1">
      <c r="A153" s="6">
        <v>152.0</v>
      </c>
      <c r="B153" s="28"/>
      <c r="C153" s="7">
        <f>'Classement Général'!$E153+'Classement Général'!$F153+'Classement Général'!$G153</f>
        <v>0</v>
      </c>
      <c r="D153" s="11"/>
      <c r="E153" s="12" t="str">
        <f>IFERROR(VLOOKUP(B153,'Classement S6'!$B$2:$C$200,2,0),"0")</f>
        <v>0</v>
      </c>
      <c r="F153" s="12" t="str">
        <f>IFERROR(VLOOKUP(B153,'Classement RoC'!$B$2:$C$199,2,0),"0")</f>
        <v>0</v>
      </c>
      <c r="G153" s="12" t="str">
        <f>IFERROR(VLOOKUP(B153,'Classement Surp'!$B$2:$C$199,2,0),"0")</f>
        <v>0</v>
      </c>
    </row>
    <row r="154" ht="14.25" customHeight="1">
      <c r="A154" s="6">
        <v>153.0</v>
      </c>
      <c r="B154" s="28"/>
      <c r="C154" s="7">
        <f>'Classement Général'!$E154+'Classement Général'!$F154+'Classement Général'!$G154</f>
        <v>0</v>
      </c>
      <c r="D154" s="11"/>
      <c r="E154" s="12" t="str">
        <f>IFERROR(VLOOKUP(B154,'Classement S6'!$B$2:$C$200,2,0),"0")</f>
        <v>0</v>
      </c>
      <c r="F154" s="12" t="str">
        <f>IFERROR(VLOOKUP(B154,'Classement RoC'!$B$2:$C$199,2,0),"0")</f>
        <v>0</v>
      </c>
      <c r="G154" s="12" t="str">
        <f>IFERROR(VLOOKUP(B154,'Classement Surp'!$B$2:$C$199,2,0),"0")</f>
        <v>0</v>
      </c>
    </row>
    <row r="155" ht="14.25" customHeight="1">
      <c r="A155" s="6">
        <v>154.0</v>
      </c>
      <c r="B155" s="28"/>
      <c r="C155" s="7">
        <f>'Classement Général'!$E155+'Classement Général'!$F155+'Classement Général'!$G155</f>
        <v>0</v>
      </c>
      <c r="D155" s="11"/>
      <c r="E155" s="12" t="str">
        <f>IFERROR(VLOOKUP(B155,'Classement S6'!$B$2:$C$200,2,0),"0")</f>
        <v>0</v>
      </c>
      <c r="F155" s="12" t="str">
        <f>IFERROR(VLOOKUP(B155,'Classement RoC'!$B$2:$C$199,2,0),"0")</f>
        <v>0</v>
      </c>
      <c r="G155" s="12" t="str">
        <f>IFERROR(VLOOKUP(B155,'Classement Surp'!$B$2:$C$199,2,0),"0")</f>
        <v>0</v>
      </c>
    </row>
    <row r="156" ht="14.25" customHeight="1">
      <c r="A156" s="6">
        <v>155.0</v>
      </c>
      <c r="B156" s="28"/>
      <c r="C156" s="7">
        <f>'Classement Général'!$E156+'Classement Général'!$F156+'Classement Général'!$G156</f>
        <v>0</v>
      </c>
      <c r="D156" s="11"/>
      <c r="E156" s="12" t="str">
        <f>IFERROR(VLOOKUP(B156,'Classement S6'!$B$2:$C$200,2,0),"0")</f>
        <v>0</v>
      </c>
      <c r="F156" s="12" t="str">
        <f>IFERROR(VLOOKUP(B156,'Classement RoC'!$B$2:$C$199,2,0),"0")</f>
        <v>0</v>
      </c>
      <c r="G156" s="12" t="str">
        <f>IFERROR(VLOOKUP(B156,'Classement Surp'!$B$2:$C$199,2,0),"0")</f>
        <v>0</v>
      </c>
    </row>
    <row r="157" ht="14.25" customHeight="1">
      <c r="A157" s="6">
        <v>156.0</v>
      </c>
      <c r="B157" s="28"/>
      <c r="C157" s="7">
        <f>'Classement Général'!$E157+'Classement Général'!$F157+'Classement Général'!$G157</f>
        <v>0</v>
      </c>
      <c r="D157" s="11"/>
      <c r="E157" s="12" t="str">
        <f>IFERROR(VLOOKUP(B157,'Classement S6'!$B$2:$C$200,2,0),"0")</f>
        <v>0</v>
      </c>
      <c r="F157" s="12" t="str">
        <f>IFERROR(VLOOKUP(B157,'Classement RoC'!$B$2:$C$199,2,0),"0")</f>
        <v>0</v>
      </c>
      <c r="G157" s="12" t="str">
        <f>IFERROR(VLOOKUP(B157,'Classement Surp'!$B$2:$C$199,2,0),"0")</f>
        <v>0</v>
      </c>
    </row>
    <row r="158" ht="14.25" customHeight="1">
      <c r="A158" s="6">
        <v>157.0</v>
      </c>
      <c r="B158" s="28"/>
      <c r="C158" s="7">
        <f>'Classement Général'!$E158+'Classement Général'!$F158+'Classement Général'!$G158</f>
        <v>0</v>
      </c>
      <c r="D158" s="11"/>
      <c r="E158" s="12" t="str">
        <f>IFERROR(VLOOKUP(B158,'Classement S6'!$B$2:$C$200,2,0),"0")</f>
        <v>0</v>
      </c>
      <c r="F158" s="12" t="str">
        <f>IFERROR(VLOOKUP(B158,'Classement RoC'!$B$2:$C$199,2,0),"0")</f>
        <v>0</v>
      </c>
      <c r="G158" s="12" t="str">
        <f>IFERROR(VLOOKUP(B158,'Classement Surp'!$B$2:$C$199,2,0),"0")</f>
        <v>0</v>
      </c>
    </row>
    <row r="159" ht="14.25" customHeight="1">
      <c r="A159" s="6">
        <v>158.0</v>
      </c>
      <c r="B159" s="28"/>
      <c r="C159" s="7">
        <f>'Classement Général'!$E159+'Classement Général'!$F159+'Classement Général'!$G159</f>
        <v>0</v>
      </c>
      <c r="D159" s="11"/>
      <c r="E159" s="12" t="str">
        <f>IFERROR(VLOOKUP(B159,'Classement S6'!$B$2:$C$200,2,0),"0")</f>
        <v>0</v>
      </c>
      <c r="F159" s="12" t="str">
        <f>IFERROR(VLOOKUP(B159,'Classement RoC'!$B$2:$C$199,2,0),"0")</f>
        <v>0</v>
      </c>
      <c r="G159" s="12" t="str">
        <f>IFERROR(VLOOKUP(B159,'Classement Surp'!$B$2:$C$199,2,0),"0")</f>
        <v>0</v>
      </c>
    </row>
    <row r="160" ht="14.25" customHeight="1">
      <c r="A160" s="6">
        <v>159.0</v>
      </c>
      <c r="B160" s="28"/>
      <c r="C160" s="7">
        <f>'Classement Général'!$E160+'Classement Général'!$F160+'Classement Général'!$G160</f>
        <v>0</v>
      </c>
      <c r="D160" s="11"/>
      <c r="E160" s="12" t="str">
        <f>IFERROR(VLOOKUP(B160,'Classement S6'!$B$2:$C$200,2,0),"0")</f>
        <v>0</v>
      </c>
      <c r="F160" s="12" t="str">
        <f>IFERROR(VLOOKUP(B160,'Classement RoC'!$B$2:$C$199,2,0),"0")</f>
        <v>0</v>
      </c>
      <c r="G160" s="12" t="str">
        <f>IFERROR(VLOOKUP(B160,'Classement Surp'!$B$2:$C$199,2,0),"0")</f>
        <v>0</v>
      </c>
    </row>
    <row r="161" ht="14.25" customHeight="1">
      <c r="A161" s="6">
        <v>160.0</v>
      </c>
      <c r="B161" s="28"/>
      <c r="C161" s="7">
        <f>'Classement Général'!$E161+'Classement Général'!$F161+'Classement Général'!$G161</f>
        <v>0</v>
      </c>
      <c r="D161" s="11"/>
      <c r="E161" s="12" t="str">
        <f>IFERROR(VLOOKUP(B161,'Classement S6'!$B$2:$C$200,2,0),"0")</f>
        <v>0</v>
      </c>
      <c r="F161" s="12" t="str">
        <f>IFERROR(VLOOKUP(B161,'Classement RoC'!$B$2:$C$199,2,0),"0")</f>
        <v>0</v>
      </c>
      <c r="G161" s="12" t="str">
        <f>IFERROR(VLOOKUP(B161,'Classement Surp'!$B$2:$C$199,2,0),"0")</f>
        <v>0</v>
      </c>
    </row>
    <row r="162" ht="14.25" customHeight="1">
      <c r="A162" s="6">
        <v>161.0</v>
      </c>
      <c r="B162" s="28"/>
      <c r="C162" s="7">
        <f>'Classement Général'!$E162+'Classement Général'!$F162+'Classement Général'!$G162</f>
        <v>0</v>
      </c>
      <c r="D162" s="11"/>
      <c r="E162" s="12" t="str">
        <f>IFERROR(VLOOKUP(B162,'Classement S6'!$B$2:$C$200,2,0),"0")</f>
        <v>0</v>
      </c>
      <c r="F162" s="12" t="str">
        <f>IFERROR(VLOOKUP(B162,'Classement RoC'!$B$2:$C$199,2,0),"0")</f>
        <v>0</v>
      </c>
      <c r="G162" s="12" t="str">
        <f>IFERROR(VLOOKUP(B162,'Classement Surp'!$B$2:$C$199,2,0),"0")</f>
        <v>0</v>
      </c>
    </row>
    <row r="163" ht="14.25" customHeight="1">
      <c r="A163" s="6">
        <v>162.0</v>
      </c>
      <c r="B163" s="28"/>
      <c r="C163" s="7">
        <f>'Classement Général'!$E163+'Classement Général'!$F163+'Classement Général'!$G163</f>
        <v>0</v>
      </c>
      <c r="D163" s="11"/>
      <c r="E163" s="12" t="str">
        <f>IFERROR(VLOOKUP(B163,'Classement S6'!$B$2:$C$200,2,0),"0")</f>
        <v>0</v>
      </c>
      <c r="F163" s="12" t="str">
        <f>IFERROR(VLOOKUP(B163,'Classement RoC'!$B$2:$C$199,2,0),"0")</f>
        <v>0</v>
      </c>
      <c r="G163" s="12" t="str">
        <f>IFERROR(VLOOKUP(B163,'Classement Surp'!$B$2:$C$199,2,0),"0")</f>
        <v>0</v>
      </c>
    </row>
    <row r="164" ht="14.25" customHeight="1">
      <c r="A164" s="6">
        <v>163.0</v>
      </c>
      <c r="B164" s="28"/>
      <c r="C164" s="7">
        <f>'Classement Général'!$E164+'Classement Général'!$F164+'Classement Général'!$G164</f>
        <v>0</v>
      </c>
      <c r="D164" s="11"/>
      <c r="E164" s="12" t="str">
        <f>IFERROR(VLOOKUP(B164,'Classement S6'!$B$2:$C$200,2,0),"0")</f>
        <v>0</v>
      </c>
      <c r="F164" s="12" t="str">
        <f>IFERROR(VLOOKUP(B164,'Classement RoC'!$B$2:$C$199,2,0),"0")</f>
        <v>0</v>
      </c>
      <c r="G164" s="12" t="str">
        <f>IFERROR(VLOOKUP(B164,'Classement Surp'!$B$2:$C$199,2,0),"0")</f>
        <v>0</v>
      </c>
    </row>
    <row r="165" ht="14.25" customHeight="1">
      <c r="A165" s="6">
        <v>164.0</v>
      </c>
      <c r="B165" s="28"/>
      <c r="C165" s="7">
        <f>'Classement Général'!$E165+'Classement Général'!$F165+'Classement Général'!$G165</f>
        <v>0</v>
      </c>
      <c r="D165" s="11"/>
      <c r="E165" s="12" t="str">
        <f>IFERROR(VLOOKUP(B165,'Classement S6'!$B$2:$C$200,2,0),"0")</f>
        <v>0</v>
      </c>
      <c r="F165" s="12" t="str">
        <f>IFERROR(VLOOKUP(B165,'Classement RoC'!$B$2:$C$199,2,0),"0")</f>
        <v>0</v>
      </c>
      <c r="G165" s="12" t="str">
        <f>IFERROR(VLOOKUP(B165,'Classement Surp'!$B$2:$C$199,2,0),"0")</f>
        <v>0</v>
      </c>
    </row>
    <row r="166" ht="14.25" customHeight="1">
      <c r="A166" s="6">
        <v>165.0</v>
      </c>
      <c r="B166" s="28"/>
      <c r="C166" s="7">
        <f>'Classement Général'!$E166+'Classement Général'!$F166+'Classement Général'!$G166</f>
        <v>0</v>
      </c>
      <c r="D166" s="11"/>
      <c r="E166" s="12" t="str">
        <f>IFERROR(VLOOKUP(B166,'Classement S6'!$B$2:$C$200,2,0),"0")</f>
        <v>0</v>
      </c>
      <c r="F166" s="12" t="str">
        <f>IFERROR(VLOOKUP(B166,'Classement RoC'!$B$2:$C$199,2,0),"0")</f>
        <v>0</v>
      </c>
      <c r="G166" s="12" t="str">
        <f>IFERROR(VLOOKUP(B166,'Classement Surp'!$B$2:$C$199,2,0),"0")</f>
        <v>0</v>
      </c>
    </row>
    <row r="167" ht="14.25" customHeight="1">
      <c r="A167" s="6">
        <v>166.0</v>
      </c>
      <c r="B167" s="28"/>
      <c r="C167" s="7">
        <f>'Classement Général'!$E167+'Classement Général'!$F167+'Classement Général'!$G167</f>
        <v>0</v>
      </c>
      <c r="D167" s="11"/>
      <c r="E167" s="12" t="str">
        <f>IFERROR(VLOOKUP(B167,'Classement S6'!$B$2:$C$200,2,0),"0")</f>
        <v>0</v>
      </c>
      <c r="F167" s="12" t="str">
        <f>IFERROR(VLOOKUP(B167,'Classement RoC'!$B$2:$C$199,2,0),"0")</f>
        <v>0</v>
      </c>
      <c r="G167" s="12" t="str">
        <f>IFERROR(VLOOKUP(B167,'Classement Surp'!$B$2:$C$199,2,0),"0")</f>
        <v>0</v>
      </c>
    </row>
    <row r="168" ht="14.25" customHeight="1">
      <c r="A168" s="6">
        <v>167.0</v>
      </c>
      <c r="B168" s="28"/>
      <c r="C168" s="7">
        <f>'Classement Général'!$E168+'Classement Général'!$F168+'Classement Général'!$G168</f>
        <v>0</v>
      </c>
      <c r="D168" s="11"/>
      <c r="E168" s="12" t="str">
        <f>IFERROR(VLOOKUP(B168,'Classement S6'!$B$2:$C$200,2,0),"0")</f>
        <v>0</v>
      </c>
      <c r="F168" s="12" t="str">
        <f>IFERROR(VLOOKUP(B168,'Classement RoC'!$B$2:$C$199,2,0),"0")</f>
        <v>0</v>
      </c>
      <c r="G168" s="12" t="str">
        <f>IFERROR(VLOOKUP(B168,'Classement Surp'!$B$2:$C$199,2,0),"0")</f>
        <v>0</v>
      </c>
    </row>
    <row r="169" ht="14.25" customHeight="1">
      <c r="A169" s="6">
        <v>168.0</v>
      </c>
      <c r="B169" s="28"/>
      <c r="C169" s="7">
        <f>'Classement Général'!$E169+'Classement Général'!$F169+'Classement Général'!$G169</f>
        <v>0</v>
      </c>
      <c r="D169" s="11"/>
      <c r="E169" s="12" t="str">
        <f>IFERROR(VLOOKUP(B169,'Classement S6'!$B$2:$C$200,2,0),"0")</f>
        <v>0</v>
      </c>
      <c r="F169" s="12" t="str">
        <f>IFERROR(VLOOKUP(B169,'Classement RoC'!$B$2:$C$199,2,0),"0")</f>
        <v>0</v>
      </c>
      <c r="G169" s="12" t="str">
        <f>IFERROR(VLOOKUP(B169,'Classement Surp'!$B$2:$C$199,2,0),"0")</f>
        <v>0</v>
      </c>
    </row>
    <row r="170" ht="14.25" customHeight="1">
      <c r="A170" s="6">
        <v>169.0</v>
      </c>
      <c r="B170" s="28"/>
      <c r="C170" s="7">
        <f>'Classement Général'!$E170+'Classement Général'!$F170+'Classement Général'!$G170</f>
        <v>0</v>
      </c>
      <c r="D170" s="11"/>
      <c r="E170" s="12" t="str">
        <f>IFERROR(VLOOKUP(B170,'Classement S6'!$B$2:$C$200,2,0),"0")</f>
        <v>0</v>
      </c>
      <c r="F170" s="12" t="str">
        <f>IFERROR(VLOOKUP(B170,'Classement RoC'!$B$2:$C$199,2,0),"0")</f>
        <v>0</v>
      </c>
      <c r="G170" s="12" t="str">
        <f>IFERROR(VLOOKUP(B170,'Classement Surp'!$B$2:$C$199,2,0),"0")</f>
        <v>0</v>
      </c>
    </row>
    <row r="171" ht="14.25" customHeight="1">
      <c r="A171" s="6">
        <v>170.0</v>
      </c>
      <c r="B171" s="28"/>
      <c r="C171" s="7">
        <f>'Classement Général'!$E171+'Classement Général'!$F171+'Classement Général'!$G171</f>
        <v>0</v>
      </c>
      <c r="D171" s="11"/>
      <c r="E171" s="12" t="str">
        <f>IFERROR(VLOOKUP(B171,'Classement S6'!$B$2:$C$200,2,0),"0")</f>
        <v>0</v>
      </c>
      <c r="F171" s="12" t="str">
        <f>IFERROR(VLOOKUP(B171,'Classement RoC'!$B$2:$C$199,2,0),"0")</f>
        <v>0</v>
      </c>
      <c r="G171" s="12" t="str">
        <f>IFERROR(VLOOKUP(B171,'Classement Surp'!$B$2:$C$199,2,0),"0")</f>
        <v>0</v>
      </c>
    </row>
    <row r="172" ht="14.25" customHeight="1">
      <c r="A172" s="6">
        <v>171.0</v>
      </c>
      <c r="B172" s="28"/>
      <c r="C172" s="7">
        <f>'Classement Général'!$E172+'Classement Général'!$F172+'Classement Général'!$G172</f>
        <v>0</v>
      </c>
      <c r="D172" s="11"/>
      <c r="E172" s="12" t="str">
        <f>IFERROR(VLOOKUP(B172,'Classement S6'!$B$2:$C$200,2,0),"0")</f>
        <v>0</v>
      </c>
      <c r="F172" s="12" t="str">
        <f>IFERROR(VLOOKUP(B172,'Classement RoC'!$B$2:$C$199,2,0),"0")</f>
        <v>0</v>
      </c>
      <c r="G172" s="12" t="str">
        <f>IFERROR(VLOOKUP(B172,'Classement Surp'!$B$2:$C$199,2,0),"0")</f>
        <v>0</v>
      </c>
    </row>
    <row r="173" ht="14.25" customHeight="1">
      <c r="A173" s="6">
        <v>172.0</v>
      </c>
      <c r="B173" s="28"/>
      <c r="C173" s="7">
        <f>'Classement Général'!$E173+'Classement Général'!$F173+'Classement Général'!$G173</f>
        <v>0</v>
      </c>
      <c r="D173" s="11"/>
      <c r="E173" s="12" t="str">
        <f>IFERROR(VLOOKUP(B173,'Classement S6'!$B$2:$C$200,2,0),"0")</f>
        <v>0</v>
      </c>
      <c r="F173" s="12" t="str">
        <f>IFERROR(VLOOKUP(B173,'Classement RoC'!$B$2:$C$199,2,0),"0")</f>
        <v>0</v>
      </c>
      <c r="G173" s="12" t="str">
        <f>IFERROR(VLOOKUP(B173,'Classement Surp'!$B$2:$C$199,2,0),"0")</f>
        <v>0</v>
      </c>
    </row>
    <row r="174" ht="14.25" customHeight="1">
      <c r="A174" s="6">
        <v>173.0</v>
      </c>
      <c r="B174" s="28"/>
      <c r="C174" s="7">
        <f>'Classement Général'!$E174+'Classement Général'!$F174+'Classement Général'!$G174</f>
        <v>0</v>
      </c>
      <c r="D174" s="11"/>
      <c r="E174" s="12" t="str">
        <f>IFERROR(VLOOKUP(B174,'Classement S6'!$B$2:$C$200,2,0),"0")</f>
        <v>0</v>
      </c>
      <c r="F174" s="12" t="str">
        <f>IFERROR(VLOOKUP(B174,'Classement RoC'!$B$2:$C$199,2,0),"0")</f>
        <v>0</v>
      </c>
      <c r="G174" s="12" t="str">
        <f>IFERROR(VLOOKUP(B174,'Classement Surp'!$B$2:$C$199,2,0),"0")</f>
        <v>0</v>
      </c>
    </row>
    <row r="175" ht="14.25" customHeight="1">
      <c r="A175" s="6">
        <v>174.0</v>
      </c>
      <c r="B175" s="28"/>
      <c r="C175" s="7">
        <f>'Classement Général'!$E175+'Classement Général'!$F175+'Classement Général'!$G175</f>
        <v>0</v>
      </c>
      <c r="D175" s="11"/>
      <c r="E175" s="12" t="str">
        <f>IFERROR(VLOOKUP(B175,'Classement S6'!$B$2:$C$200,2,0),"0")</f>
        <v>0</v>
      </c>
      <c r="F175" s="12" t="str">
        <f>IFERROR(VLOOKUP(B175,'Classement RoC'!$B$2:$C$199,2,0),"0")</f>
        <v>0</v>
      </c>
      <c r="G175" s="12" t="str">
        <f>IFERROR(VLOOKUP(B175,'Classement Surp'!$B$2:$C$199,2,0),"0")</f>
        <v>0</v>
      </c>
    </row>
    <row r="176" ht="14.25" customHeight="1">
      <c r="A176" s="6">
        <v>175.0</v>
      </c>
      <c r="B176" s="28"/>
      <c r="C176" s="7">
        <f>'Classement Général'!$E176+'Classement Général'!$F176+'Classement Général'!$G176</f>
        <v>0</v>
      </c>
      <c r="D176" s="11"/>
      <c r="E176" s="12" t="str">
        <f>IFERROR(VLOOKUP(B176,'Classement S6'!$B$2:$C$200,2,0),"0")</f>
        <v>0</v>
      </c>
      <c r="F176" s="12" t="str">
        <f>IFERROR(VLOOKUP(B176,'Classement RoC'!$B$2:$C$199,2,0),"0")</f>
        <v>0</v>
      </c>
      <c r="G176" s="12" t="str">
        <f>IFERROR(VLOOKUP(B176,'Classement Surp'!$B$2:$C$199,2,0),"0")</f>
        <v>0</v>
      </c>
    </row>
    <row r="177" ht="14.25" customHeight="1">
      <c r="A177" s="6">
        <v>176.0</v>
      </c>
      <c r="B177" s="28"/>
      <c r="C177" s="7">
        <f>'Classement Général'!$E177+'Classement Général'!$F177+'Classement Général'!$G177</f>
        <v>0</v>
      </c>
      <c r="D177" s="11"/>
      <c r="E177" s="12" t="str">
        <f>IFERROR(VLOOKUP(B177,'Classement S6'!$B$2:$C$200,2,0),"0")</f>
        <v>0</v>
      </c>
      <c r="F177" s="12" t="str">
        <f>IFERROR(VLOOKUP(B177,'Classement RoC'!$B$2:$C$199,2,0),"0")</f>
        <v>0</v>
      </c>
      <c r="G177" s="12" t="str">
        <f>IFERROR(VLOOKUP(B177,'Classement Surp'!$B$2:$C$199,2,0),"0")</f>
        <v>0</v>
      </c>
    </row>
    <row r="178" ht="14.25" customHeight="1">
      <c r="A178" s="6">
        <v>177.0</v>
      </c>
      <c r="B178" s="28"/>
      <c r="C178" s="7">
        <f>'Classement Général'!$E178+'Classement Général'!$F178+'Classement Général'!$G178</f>
        <v>0</v>
      </c>
      <c r="D178" s="11"/>
      <c r="E178" s="12" t="str">
        <f>IFERROR(VLOOKUP(B178,'Classement S6'!$B$2:$C$200,2,0),"0")</f>
        <v>0</v>
      </c>
      <c r="F178" s="12" t="str">
        <f>IFERROR(VLOOKUP(B178,'Classement RoC'!$B$2:$C$199,2,0),"0")</f>
        <v>0</v>
      </c>
      <c r="G178" s="12" t="str">
        <f>IFERROR(VLOOKUP(B178,'Classement Surp'!$B$2:$C$199,2,0),"0")</f>
        <v>0</v>
      </c>
    </row>
    <row r="179" ht="14.25" customHeight="1">
      <c r="A179" s="6">
        <v>178.0</v>
      </c>
      <c r="B179" s="28"/>
      <c r="C179" s="7">
        <f>'Classement Général'!$E179+'Classement Général'!$F179+'Classement Général'!$G179</f>
        <v>0</v>
      </c>
      <c r="D179" s="11"/>
      <c r="E179" s="12" t="str">
        <f>IFERROR(VLOOKUP(B179,'Classement S6'!$B$2:$C$200,2,0),"0")</f>
        <v>0</v>
      </c>
      <c r="F179" s="12" t="str">
        <f>IFERROR(VLOOKUP(B179,'Classement RoC'!$B$2:$C$199,2,0),"0")</f>
        <v>0</v>
      </c>
      <c r="G179" s="12" t="str">
        <f>IFERROR(VLOOKUP(B179,'Classement Surp'!$B$2:$C$199,2,0),"0")</f>
        <v>0</v>
      </c>
    </row>
    <row r="180" ht="14.25" customHeight="1">
      <c r="A180" s="6">
        <v>179.0</v>
      </c>
      <c r="B180" s="28"/>
      <c r="C180" s="7">
        <f>'Classement Général'!$E180+'Classement Général'!$F180+'Classement Général'!$G180</f>
        <v>0</v>
      </c>
      <c r="D180" s="11"/>
      <c r="E180" s="12" t="str">
        <f>IFERROR(VLOOKUP(B180,'Classement S6'!$B$2:$C$200,2,0),"0")</f>
        <v>0</v>
      </c>
      <c r="F180" s="12" t="str">
        <f>IFERROR(VLOOKUP(B180,'Classement RoC'!$B$2:$C$199,2,0),"0")</f>
        <v>0</v>
      </c>
      <c r="G180" s="12" t="str">
        <f>IFERROR(VLOOKUP(B180,'Classement Surp'!$B$2:$C$199,2,0),"0")</f>
        <v>0</v>
      </c>
    </row>
    <row r="181" ht="14.25" customHeight="1">
      <c r="A181" s="6">
        <v>180.0</v>
      </c>
      <c r="B181" s="28"/>
      <c r="C181" s="7">
        <f>'Classement Général'!$E181+'Classement Général'!$F181+'Classement Général'!$G181</f>
        <v>0</v>
      </c>
      <c r="D181" s="11"/>
      <c r="E181" s="12" t="str">
        <f>IFERROR(VLOOKUP(B181,'Classement S6'!$B$2:$C$200,2,0),"0")</f>
        <v>0</v>
      </c>
      <c r="F181" s="12" t="str">
        <f>IFERROR(VLOOKUP(B181,'Classement RoC'!$B$2:$C$199,2,0),"0")</f>
        <v>0</v>
      </c>
      <c r="G181" s="12" t="str">
        <f>IFERROR(VLOOKUP(B181,'Classement Surp'!$B$2:$C$199,2,0),"0")</f>
        <v>0</v>
      </c>
    </row>
    <row r="182" ht="14.25" customHeight="1">
      <c r="A182" s="6">
        <v>181.0</v>
      </c>
      <c r="B182" s="28"/>
      <c r="C182" s="7">
        <f>'Classement Général'!$E182+'Classement Général'!$F182+'Classement Général'!$G182</f>
        <v>0</v>
      </c>
      <c r="D182" s="11"/>
      <c r="E182" s="12" t="str">
        <f>IFERROR(VLOOKUP(B182,'Classement S6'!$B$2:$C$200,2,0),"0")</f>
        <v>0</v>
      </c>
      <c r="F182" s="12" t="str">
        <f>IFERROR(VLOOKUP(B182,'Classement RoC'!$B$2:$C$199,2,0),"0")</f>
        <v>0</v>
      </c>
      <c r="G182" s="12" t="str">
        <f>IFERROR(VLOOKUP(B182,'Classement Surp'!$B$2:$C$199,2,0),"0")</f>
        <v>0</v>
      </c>
    </row>
    <row r="183" ht="14.25" customHeight="1">
      <c r="A183" s="6">
        <v>182.0</v>
      </c>
      <c r="B183" s="28"/>
      <c r="C183" s="7">
        <f>'Classement Général'!$E183+'Classement Général'!$F183+'Classement Général'!$G183</f>
        <v>0</v>
      </c>
      <c r="D183" s="11"/>
      <c r="E183" s="12" t="str">
        <f>IFERROR(VLOOKUP(B183,'Classement S6'!$B$2:$C$200,2,0),"0")</f>
        <v>0</v>
      </c>
      <c r="F183" s="12" t="str">
        <f>IFERROR(VLOOKUP(B183,'Classement RoC'!$B$2:$C$199,2,0),"0")</f>
        <v>0</v>
      </c>
      <c r="G183" s="12" t="str">
        <f>IFERROR(VLOOKUP(B183,'Classement Surp'!$B$2:$C$199,2,0),"0")</f>
        <v>0</v>
      </c>
    </row>
    <row r="184" ht="14.25" customHeight="1">
      <c r="A184" s="6">
        <v>183.0</v>
      </c>
      <c r="B184" s="28"/>
      <c r="C184" s="7">
        <f>'Classement Général'!$E184+'Classement Général'!$F184+'Classement Général'!$G184</f>
        <v>0</v>
      </c>
      <c r="D184" s="11"/>
      <c r="E184" s="12" t="str">
        <f>IFERROR(VLOOKUP(B184,'Classement S6'!$B$2:$C$200,2,0),"0")</f>
        <v>0</v>
      </c>
      <c r="F184" s="12" t="str">
        <f>IFERROR(VLOOKUP(B184,'Classement RoC'!$B$2:$C$199,2,0),"0")</f>
        <v>0</v>
      </c>
      <c r="G184" s="12" t="str">
        <f>IFERROR(VLOOKUP(B184,'Classement Surp'!$B$2:$C$199,2,0),"0")</f>
        <v>0</v>
      </c>
    </row>
    <row r="185" ht="14.25" customHeight="1">
      <c r="A185" s="6">
        <v>184.0</v>
      </c>
      <c r="B185" s="28"/>
      <c r="C185" s="7">
        <f>'Classement Général'!$E185+'Classement Général'!$F185+'Classement Général'!$G185</f>
        <v>0</v>
      </c>
      <c r="D185" s="11"/>
      <c r="E185" s="12" t="str">
        <f>IFERROR(VLOOKUP(B185,'Classement S6'!$B$2:$C$200,2,0),"0")</f>
        <v>0</v>
      </c>
      <c r="F185" s="12" t="str">
        <f>IFERROR(VLOOKUP(B185,'Classement RoC'!$B$2:$C$199,2,0),"0")</f>
        <v>0</v>
      </c>
      <c r="G185" s="12" t="str">
        <f>IFERROR(VLOOKUP(B185,'Classement Surp'!$B$2:$C$199,2,0),"0")</f>
        <v>0</v>
      </c>
    </row>
    <row r="186" ht="14.25" customHeight="1">
      <c r="A186" s="6">
        <v>185.0</v>
      </c>
      <c r="B186" s="28"/>
      <c r="C186" s="7">
        <f>'Classement Général'!$E186+'Classement Général'!$F186+'Classement Général'!$G186</f>
        <v>0</v>
      </c>
      <c r="D186" s="11"/>
      <c r="E186" s="12" t="str">
        <f>IFERROR(VLOOKUP(B186,'Classement S6'!$B$2:$C$200,2,0),"0")</f>
        <v>0</v>
      </c>
      <c r="F186" s="12" t="str">
        <f>IFERROR(VLOOKUP(B186,'Classement RoC'!$B$2:$C$199,2,0),"0")</f>
        <v>0</v>
      </c>
      <c r="G186" s="12" t="str">
        <f>IFERROR(VLOOKUP(B186,'Classement Surp'!$B$2:$C$199,2,0),"0")</f>
        <v>0</v>
      </c>
    </row>
    <row r="187" ht="14.25" customHeight="1">
      <c r="A187" s="6">
        <v>186.0</v>
      </c>
      <c r="B187" s="28"/>
      <c r="C187" s="7">
        <f>'Classement Général'!$E187+'Classement Général'!$F187+'Classement Général'!$G187</f>
        <v>0</v>
      </c>
      <c r="D187" s="11"/>
      <c r="E187" s="12" t="str">
        <f>IFERROR(VLOOKUP(B187,'Classement S6'!$B$2:$C$200,2,0),"0")</f>
        <v>0</v>
      </c>
      <c r="F187" s="12" t="str">
        <f>IFERROR(VLOOKUP(B187,'Classement RoC'!$B$2:$C$199,2,0),"0")</f>
        <v>0</v>
      </c>
      <c r="G187" s="12" t="str">
        <f>IFERROR(VLOOKUP(B187,'Classement Surp'!$B$2:$C$199,2,0),"0")</f>
        <v>0</v>
      </c>
    </row>
    <row r="188" ht="14.25" customHeight="1">
      <c r="A188" s="6">
        <v>187.0</v>
      </c>
      <c r="B188" s="28"/>
      <c r="C188" s="7">
        <f>'Classement Général'!$E188+'Classement Général'!$F188+'Classement Général'!$G188</f>
        <v>0</v>
      </c>
      <c r="D188" s="11"/>
      <c r="E188" s="12" t="str">
        <f>IFERROR(VLOOKUP(B188,'Classement S6'!$B$2:$C$200,2,0),"0")</f>
        <v>0</v>
      </c>
      <c r="F188" s="12" t="str">
        <f>IFERROR(VLOOKUP(B188,'Classement RoC'!$B$2:$C$199,2,0),"0")</f>
        <v>0</v>
      </c>
      <c r="G188" s="12" t="str">
        <f>IFERROR(VLOOKUP(B188,'Classement Surp'!$B$2:$C$199,2,0),"0")</f>
        <v>0</v>
      </c>
    </row>
    <row r="189" ht="14.25" customHeight="1">
      <c r="A189" s="6">
        <v>188.0</v>
      </c>
      <c r="B189" s="28"/>
      <c r="C189" s="7">
        <f>'Classement Général'!$E189+'Classement Général'!$F189+'Classement Général'!$G189</f>
        <v>0</v>
      </c>
      <c r="D189" s="11"/>
      <c r="E189" s="12" t="str">
        <f>IFERROR(VLOOKUP(B189,'Classement S6'!$B$2:$C$200,2,0),"0")</f>
        <v>0</v>
      </c>
      <c r="F189" s="12" t="str">
        <f>IFERROR(VLOOKUP(B189,'Classement RoC'!$B$2:$C$199,2,0),"0")</f>
        <v>0</v>
      </c>
      <c r="G189" s="12" t="str">
        <f>IFERROR(VLOOKUP(B189,'Classement Surp'!$B$2:$C$199,2,0),"0")</f>
        <v>0</v>
      </c>
    </row>
    <row r="190" ht="14.25" customHeight="1">
      <c r="A190" s="6">
        <v>189.0</v>
      </c>
      <c r="B190" s="28"/>
      <c r="C190" s="7">
        <f>'Classement Général'!$E190+'Classement Général'!$F190+'Classement Général'!$G190</f>
        <v>0</v>
      </c>
      <c r="D190" s="11"/>
      <c r="E190" s="12" t="str">
        <f>IFERROR(VLOOKUP(B190,'Classement S6'!$B$2:$C$200,2,0),"0")</f>
        <v>0</v>
      </c>
      <c r="F190" s="12" t="str">
        <f>IFERROR(VLOOKUP(B190,'Classement RoC'!$B$2:$C$199,2,0),"0")</f>
        <v>0</v>
      </c>
      <c r="G190" s="12" t="str">
        <f>IFERROR(VLOOKUP(B190,'Classement Surp'!$B$2:$C$199,2,0),"0")</f>
        <v>0</v>
      </c>
    </row>
    <row r="191" ht="14.25" customHeight="1">
      <c r="A191" s="6">
        <v>190.0</v>
      </c>
      <c r="B191" s="28"/>
      <c r="C191" s="7">
        <f>'Classement Général'!$E191+'Classement Général'!$F191+'Classement Général'!$G191</f>
        <v>0</v>
      </c>
      <c r="D191" s="11"/>
      <c r="E191" s="12" t="str">
        <f>IFERROR(VLOOKUP(B191,'Classement S6'!$B$2:$C$200,2,0),"0")</f>
        <v>0</v>
      </c>
      <c r="F191" s="12" t="str">
        <f>IFERROR(VLOOKUP(B191,'Classement RoC'!$B$2:$C$199,2,0),"0")</f>
        <v>0</v>
      </c>
      <c r="G191" s="12" t="str">
        <f>IFERROR(VLOOKUP(B191,'Classement Surp'!$B$2:$C$199,2,0),"0")</f>
        <v>0</v>
      </c>
    </row>
    <row r="192" ht="14.25" customHeight="1">
      <c r="A192" s="6">
        <v>191.0</v>
      </c>
      <c r="B192" s="28"/>
      <c r="C192" s="7">
        <f>'Classement Général'!$E192+'Classement Général'!$F192+'Classement Général'!$G192</f>
        <v>0</v>
      </c>
      <c r="D192" s="11"/>
      <c r="E192" s="12" t="str">
        <f>IFERROR(VLOOKUP(B192,'Classement S6'!$B$2:$C$200,2,0),"0")</f>
        <v>0</v>
      </c>
      <c r="F192" s="12" t="str">
        <f>IFERROR(VLOOKUP(B192,'Classement RoC'!$B$2:$C$199,2,0),"0")</f>
        <v>0</v>
      </c>
      <c r="G192" s="12" t="str">
        <f>IFERROR(VLOOKUP(B192,'Classement Surp'!$B$2:$C$199,2,0),"0")</f>
        <v>0</v>
      </c>
    </row>
    <row r="193" ht="14.25" customHeight="1">
      <c r="A193" s="6">
        <v>192.0</v>
      </c>
      <c r="B193" s="28"/>
      <c r="C193" s="7">
        <f>'Classement Général'!$E193+'Classement Général'!$F193+'Classement Général'!$G193</f>
        <v>0</v>
      </c>
      <c r="D193" s="11"/>
      <c r="E193" s="12" t="str">
        <f>IFERROR(VLOOKUP(B193,'Classement S6'!$B$2:$C$200,2,0),"0")</f>
        <v>0</v>
      </c>
      <c r="F193" s="12" t="str">
        <f>IFERROR(VLOOKUP(B193,'Classement RoC'!$B$2:$C$199,2,0),"0")</f>
        <v>0</v>
      </c>
      <c r="G193" s="12" t="str">
        <f>IFERROR(VLOOKUP(B193,'Classement Surp'!$B$2:$C$199,2,0),"0")</f>
        <v>0</v>
      </c>
    </row>
    <row r="194" ht="14.25" customHeight="1">
      <c r="A194" s="6">
        <v>193.0</v>
      </c>
      <c r="B194" s="28"/>
      <c r="C194" s="7">
        <f>'Classement Général'!$E194+'Classement Général'!$F194+'Classement Général'!$G194</f>
        <v>0</v>
      </c>
      <c r="D194" s="11"/>
      <c r="E194" s="12" t="str">
        <f>IFERROR(VLOOKUP(B194,'Classement S6'!$B$2:$C$200,2,0),"0")</f>
        <v>0</v>
      </c>
      <c r="F194" s="12" t="str">
        <f>IFERROR(VLOOKUP(B194,'Classement RoC'!$B$2:$C$199,2,0),"0")</f>
        <v>0</v>
      </c>
      <c r="G194" s="12" t="str">
        <f>IFERROR(VLOOKUP(B194,'Classement Surp'!$B$2:$C$199,2,0),"0")</f>
        <v>0</v>
      </c>
    </row>
    <row r="195" ht="14.25" customHeight="1">
      <c r="A195" s="6">
        <v>194.0</v>
      </c>
      <c r="B195" s="28"/>
      <c r="C195" s="7">
        <f>'Classement Général'!$E195+'Classement Général'!$F195+'Classement Général'!$G195</f>
        <v>0</v>
      </c>
      <c r="D195" s="11"/>
      <c r="E195" s="12" t="str">
        <f>IFERROR(VLOOKUP(B195,'Classement S6'!$B$2:$C$200,2,0),"0")</f>
        <v>0</v>
      </c>
      <c r="F195" s="12" t="str">
        <f>IFERROR(VLOOKUP(B195,'Classement RoC'!$B$2:$C$199,2,0),"0")</f>
        <v>0</v>
      </c>
      <c r="G195" s="12" t="str">
        <f>IFERROR(VLOOKUP(B195,'Classement Surp'!$B$2:$C$199,2,0),"0")</f>
        <v>0</v>
      </c>
    </row>
    <row r="196" ht="14.25" customHeight="1">
      <c r="A196" s="6">
        <v>195.0</v>
      </c>
      <c r="B196" s="28"/>
      <c r="C196" s="7">
        <f>'Classement Général'!$E196+'Classement Général'!$F196+'Classement Général'!$G196</f>
        <v>0</v>
      </c>
      <c r="D196" s="11"/>
      <c r="E196" s="12" t="str">
        <f>IFERROR(VLOOKUP(B196,'Classement S6'!$B$2:$C$200,2,0),"0")</f>
        <v>0</v>
      </c>
      <c r="F196" s="12" t="str">
        <f>IFERROR(VLOOKUP(B196,'Classement RoC'!$B$2:$C$199,2,0),"0")</f>
        <v>0</v>
      </c>
      <c r="G196" s="12" t="str">
        <f>IFERROR(VLOOKUP(B196,'Classement Surp'!$B$2:$C$199,2,0),"0")</f>
        <v>0</v>
      </c>
    </row>
    <row r="197" ht="14.25" customHeight="1">
      <c r="A197" s="6">
        <v>196.0</v>
      </c>
      <c r="B197" s="28"/>
      <c r="C197" s="7">
        <f>'Classement Général'!$E197+'Classement Général'!$F197+'Classement Général'!$G197</f>
        <v>0</v>
      </c>
      <c r="D197" s="11"/>
      <c r="E197" s="12" t="str">
        <f>IFERROR(VLOOKUP(B197,'Classement S6'!$B$2:$C$200,2,0),"0")</f>
        <v>0</v>
      </c>
      <c r="F197" s="12" t="str">
        <f>IFERROR(VLOOKUP(B197,'Classement RoC'!$B$2:$C$199,2,0),"0")</f>
        <v>0</v>
      </c>
      <c r="G197" s="12" t="str">
        <f>IFERROR(VLOOKUP(B197,'Classement Surp'!$B$2:$C$199,2,0),"0")</f>
        <v>0</v>
      </c>
    </row>
    <row r="198" ht="14.25" customHeight="1">
      <c r="A198" s="6">
        <v>197.0</v>
      </c>
      <c r="B198" s="28"/>
      <c r="C198" s="7">
        <f>'Classement Général'!$E198+'Classement Général'!$F198+'Classement Général'!$G198</f>
        <v>0</v>
      </c>
      <c r="D198" s="11"/>
      <c r="E198" s="12" t="str">
        <f>IFERROR(VLOOKUP(B198,'Classement S6'!$B$2:$C$200,2,0),"0")</f>
        <v>0</v>
      </c>
      <c r="F198" s="12" t="str">
        <f>IFERROR(VLOOKUP(B198,'Classement RoC'!$B$2:$C$199,2,0),"0")</f>
        <v>0</v>
      </c>
      <c r="G198" s="12" t="str">
        <f>IFERROR(VLOOKUP(B198,'Classement Surp'!$B$2:$C$199,2,0),"0")</f>
        <v>0</v>
      </c>
    </row>
    <row r="199" ht="14.25" customHeight="1">
      <c r="A199" s="6">
        <v>198.0</v>
      </c>
      <c r="B199" s="28"/>
      <c r="C199" s="7">
        <f>'Classement Général'!$E199+'Classement Général'!$F199+'Classement Général'!$G199</f>
        <v>0</v>
      </c>
      <c r="D199" s="11"/>
      <c r="E199" s="12" t="str">
        <f>IFERROR(VLOOKUP(B199,'Classement S6'!$B$2:$C$200,2,0),"0")</f>
        <v>0</v>
      </c>
      <c r="F199" s="12" t="str">
        <f>IFERROR(VLOOKUP(B199,'Classement RoC'!$B$2:$C$199,2,0),"0")</f>
        <v>0</v>
      </c>
      <c r="G199" s="12" t="str">
        <f>IFERROR(VLOOKUP(B199,'Classement Surp'!$B$2:$C$199,2,0),"0")</f>
        <v>0</v>
      </c>
    </row>
    <row r="200" ht="14.25" customHeight="1">
      <c r="A200" s="6">
        <v>199.0</v>
      </c>
      <c r="B200" s="28"/>
      <c r="C200" s="7">
        <f>'Classement Général'!$E200+'Classement Général'!$F200+'Classement Général'!$G200</f>
        <v>0</v>
      </c>
      <c r="D200" s="11"/>
      <c r="E200" s="12" t="str">
        <f>IFERROR(VLOOKUP(B200,'Classement S6'!$B$2:$C$200,2,0),"0")</f>
        <v>0</v>
      </c>
      <c r="F200" s="12" t="str">
        <f>IFERROR(VLOOKUP(B200,'Classement RoC'!$B$2:$C$199,2,0),"0")</f>
        <v>0</v>
      </c>
      <c r="G200" s="12" t="str">
        <f>IFERROR(VLOOKUP(B200,'Classement Surp'!$B$2:$C$199,2,0),"0")</f>
        <v>0</v>
      </c>
    </row>
    <row r="201" ht="14.25" customHeight="1">
      <c r="A201" s="6">
        <v>200.0</v>
      </c>
      <c r="B201" s="28"/>
      <c r="C201" s="7">
        <f>'Classement Général'!$E201+'Classement Général'!$F201+'Classement Général'!$G201</f>
        <v>0</v>
      </c>
      <c r="D201" s="11"/>
      <c r="E201" s="12" t="str">
        <f>IFERROR(VLOOKUP(B201,'Classement S6'!$B$2:$C$200,2,0),"0")</f>
        <v>0</v>
      </c>
      <c r="F201" s="12" t="str">
        <f>IFERROR(VLOOKUP(B201,'Classement RoC'!$B$2:$C$199,2,0),"0")</f>
        <v>0</v>
      </c>
      <c r="G201" s="12" t="str">
        <f>IFERROR(VLOOKUP(B201,'Classement Surp'!$B$2:$C$199,2,0),"0")</f>
        <v>0</v>
      </c>
    </row>
    <row r="202" ht="14.25" customHeight="1">
      <c r="A202" s="6">
        <v>201.0</v>
      </c>
      <c r="B202" s="28"/>
      <c r="C202" s="7">
        <f>'Classement Général'!$E202+'Classement Général'!$F202+'Classement Général'!$G202</f>
        <v>0</v>
      </c>
      <c r="D202" s="11"/>
      <c r="E202" s="12" t="str">
        <f>IFERROR(VLOOKUP(B202,'Classement S6'!$B$2:$C$200,2,0),"0")</f>
        <v>0</v>
      </c>
      <c r="F202" s="12" t="str">
        <f>IFERROR(VLOOKUP(B202,'Classement RoC'!$B$2:$C$199,2,0),"0")</f>
        <v>0</v>
      </c>
      <c r="G202" s="12" t="str">
        <f>IFERROR(VLOOKUP(B202,'Classement Surp'!$B$2:$C$199,2,0),"0")</f>
        <v>0</v>
      </c>
    </row>
    <row r="203" ht="14.25" customHeight="1">
      <c r="A203" s="6">
        <v>202.0</v>
      </c>
      <c r="B203" s="28"/>
      <c r="C203" s="7">
        <f>'Classement Général'!$E203+'Classement Général'!$F203+'Classement Général'!$G203</f>
        <v>0</v>
      </c>
      <c r="D203" s="11"/>
      <c r="E203" s="12" t="str">
        <f>IFERROR(VLOOKUP(B203,'Classement S6'!$B$2:$C$200,2,0),"0")</f>
        <v>0</v>
      </c>
      <c r="F203" s="12" t="str">
        <f>IFERROR(VLOOKUP(B203,'Classement RoC'!$B$2:$C$199,2,0),"0")</f>
        <v>0</v>
      </c>
      <c r="G203" s="12" t="str">
        <f>IFERROR(VLOOKUP(B203,'Classement Surp'!$B$2:$C$199,2,0),"0")</f>
        <v>0</v>
      </c>
    </row>
    <row r="204" ht="14.25" customHeight="1">
      <c r="A204" s="6">
        <v>203.0</v>
      </c>
      <c r="B204" s="28"/>
      <c r="C204" s="7">
        <f>'Classement Général'!$E204+'Classement Général'!$F204+'Classement Général'!$G204</f>
        <v>0</v>
      </c>
      <c r="D204" s="11"/>
      <c r="E204" s="12" t="str">
        <f>IFERROR(VLOOKUP(B204,'Classement S6'!$B$2:$C$200,2,0),"0")</f>
        <v>0</v>
      </c>
      <c r="F204" s="12" t="str">
        <f>IFERROR(VLOOKUP(B204,'Classement RoC'!$B$2:$C$199,2,0),"0")</f>
        <v>0</v>
      </c>
      <c r="G204" s="12" t="str">
        <f>IFERROR(VLOOKUP(B204,'Classement Surp'!$B$2:$C$199,2,0),"0")</f>
        <v>0</v>
      </c>
    </row>
    <row r="205" ht="14.25" customHeight="1">
      <c r="A205" s="6">
        <v>204.0</v>
      </c>
      <c r="B205" s="28"/>
      <c r="C205" s="7">
        <f>'Classement Général'!$E205+'Classement Général'!$F205+'Classement Général'!$G205</f>
        <v>0</v>
      </c>
      <c r="D205" s="11"/>
      <c r="E205" s="12" t="str">
        <f>IFERROR(VLOOKUP(B205,'Classement S6'!$B$2:$C$200,2,0),"0")</f>
        <v>0</v>
      </c>
      <c r="F205" s="12" t="str">
        <f>IFERROR(VLOOKUP(B205,'Classement RoC'!$B$2:$C$199,2,0),"0")</f>
        <v>0</v>
      </c>
      <c r="G205" s="12" t="str">
        <f>IFERROR(VLOOKUP(B205,'Classement Surp'!$B$2:$C$199,2,0),"0")</f>
        <v>0</v>
      </c>
    </row>
    <row r="206" ht="14.25" customHeight="1">
      <c r="A206" s="6">
        <v>205.0</v>
      </c>
      <c r="B206" s="28"/>
      <c r="C206" s="7">
        <f>'Classement Général'!$E206+'Classement Général'!$F206+'Classement Général'!$G206</f>
        <v>0</v>
      </c>
      <c r="D206" s="11"/>
      <c r="E206" s="12" t="str">
        <f>IFERROR(VLOOKUP(B206,'Classement S6'!$B$2:$C$200,2,0),"0")</f>
        <v>0</v>
      </c>
      <c r="F206" s="12" t="str">
        <f>IFERROR(VLOOKUP(B206,'Classement RoC'!$B$2:$C$199,2,0),"0")</f>
        <v>0</v>
      </c>
      <c r="G206" s="12" t="str">
        <f>IFERROR(VLOOKUP(B206,'Classement Surp'!$B$2:$C$199,2,0),"0")</f>
        <v>0</v>
      </c>
    </row>
    <row r="207" ht="14.25" customHeight="1">
      <c r="A207" s="6">
        <v>206.0</v>
      </c>
      <c r="B207" s="28"/>
      <c r="C207" s="7">
        <f>'Classement Général'!$E207+'Classement Général'!$F207+'Classement Général'!$G207</f>
        <v>0</v>
      </c>
      <c r="D207" s="11"/>
      <c r="E207" s="12" t="str">
        <f>IFERROR(VLOOKUP(B207,'Classement S6'!$B$2:$C$200,2,0),"0")</f>
        <v>0</v>
      </c>
      <c r="F207" s="12" t="str">
        <f>IFERROR(VLOOKUP(B207,'Classement RoC'!$B$2:$C$199,2,0),"0")</f>
        <v>0</v>
      </c>
      <c r="G207" s="12" t="str">
        <f>IFERROR(VLOOKUP(B207,'Classement Surp'!$B$2:$C$199,2,0),"0")</f>
        <v>0</v>
      </c>
    </row>
    <row r="208" ht="14.25" customHeight="1">
      <c r="A208" s="6">
        <v>207.0</v>
      </c>
      <c r="B208" s="28"/>
      <c r="C208" s="7">
        <f>'Classement Général'!$E208+'Classement Général'!$F208+'Classement Général'!$G208</f>
        <v>0</v>
      </c>
      <c r="D208" s="11"/>
      <c r="E208" s="12" t="str">
        <f>IFERROR(VLOOKUP(B208,'Classement S6'!$B$2:$C$200,2,0),"0")</f>
        <v>0</v>
      </c>
      <c r="F208" s="12" t="str">
        <f>IFERROR(VLOOKUP(B208,'Classement RoC'!$B$2:$C$199,2,0),"0")</f>
        <v>0</v>
      </c>
      <c r="G208" s="12" t="str">
        <f>IFERROR(VLOOKUP(B208,'Classement Surp'!$B$2:$C$199,2,0),"0")</f>
        <v>0</v>
      </c>
    </row>
    <row r="209" ht="14.25" customHeight="1">
      <c r="A209" s="6">
        <v>208.0</v>
      </c>
      <c r="B209" s="28"/>
      <c r="C209" s="7">
        <f>'Classement Général'!$E209+'Classement Général'!$F209+'Classement Général'!$G209</f>
        <v>0</v>
      </c>
      <c r="D209" s="11"/>
      <c r="E209" s="12" t="str">
        <f>IFERROR(VLOOKUP(B209,'Classement S6'!$B$2:$C$200,2,0),"0")</f>
        <v>0</v>
      </c>
      <c r="F209" s="12" t="str">
        <f>IFERROR(VLOOKUP(B209,'Classement RoC'!$B$2:$C$199,2,0),"0")</f>
        <v>0</v>
      </c>
      <c r="G209" s="12" t="str">
        <f>IFERROR(VLOOKUP(B209,'Classement Surp'!$B$2:$C$199,2,0),"0")</f>
        <v>0</v>
      </c>
    </row>
    <row r="210" ht="14.25" customHeight="1">
      <c r="A210" s="6">
        <v>209.0</v>
      </c>
      <c r="B210" s="28"/>
      <c r="C210" s="7">
        <f>'Classement Général'!$E210+'Classement Général'!$F210+'Classement Général'!$G210</f>
        <v>0</v>
      </c>
      <c r="D210" s="11"/>
      <c r="E210" s="12" t="str">
        <f>IFERROR(VLOOKUP(B210,'Classement S6'!$B$2:$C$200,2,0),"0")</f>
        <v>0</v>
      </c>
      <c r="F210" s="12" t="str">
        <f>IFERROR(VLOOKUP(B210,'Classement RoC'!$B$2:$C$199,2,0),"0")</f>
        <v>0</v>
      </c>
      <c r="G210" s="12" t="str">
        <f>IFERROR(VLOOKUP(B210,'Classement Surp'!$B$2:$C$199,2,0),"0")</f>
        <v>0</v>
      </c>
    </row>
    <row r="211" ht="14.25" customHeight="1">
      <c r="A211" s="6">
        <v>210.0</v>
      </c>
      <c r="B211" s="28"/>
      <c r="C211" s="7">
        <f>'Classement Général'!$E211+'Classement Général'!$F211+'Classement Général'!$G211</f>
        <v>0</v>
      </c>
      <c r="D211" s="11"/>
      <c r="E211" s="12" t="str">
        <f>IFERROR(VLOOKUP(B211,'Classement S6'!$B$2:$C$200,2,0),"0")</f>
        <v>0</v>
      </c>
      <c r="F211" s="12" t="str">
        <f>IFERROR(VLOOKUP(B211,'Classement RoC'!$B$2:$C$199,2,0),"0")</f>
        <v>0</v>
      </c>
      <c r="G211" s="12" t="str">
        <f>IFERROR(VLOOKUP(B211,'Classement Surp'!$B$2:$C$199,2,0),"0")</f>
        <v>0</v>
      </c>
    </row>
    <row r="212" ht="14.25" customHeight="1">
      <c r="A212" s="6">
        <v>211.0</v>
      </c>
      <c r="B212" s="28"/>
      <c r="C212" s="7">
        <f>'Classement Général'!$E212+'Classement Général'!$F212+'Classement Général'!$G212</f>
        <v>0</v>
      </c>
      <c r="D212" s="11"/>
      <c r="E212" s="12" t="str">
        <f>IFERROR(VLOOKUP(B212,'Classement S6'!$B$2:$C$200,2,0),"0")</f>
        <v>0</v>
      </c>
      <c r="F212" s="12" t="str">
        <f>IFERROR(VLOOKUP(B212,'Classement RoC'!$B$2:$C$199,2,0),"0")</f>
        <v>0</v>
      </c>
      <c r="G212" s="12" t="str">
        <f>IFERROR(VLOOKUP(B212,'Classement Surp'!$B$2:$C$199,2,0),"0")</f>
        <v>0</v>
      </c>
    </row>
    <row r="213" ht="14.25" customHeight="1">
      <c r="A213" s="6">
        <v>212.0</v>
      </c>
      <c r="B213" s="28"/>
      <c r="C213" s="7">
        <f>'Classement Général'!$E213+'Classement Général'!$F213+'Classement Général'!$G213</f>
        <v>0</v>
      </c>
      <c r="D213" s="11"/>
      <c r="E213" s="12" t="str">
        <f>IFERROR(VLOOKUP(B213,'Classement S6'!$B$2:$C$200,2,0),"0")</f>
        <v>0</v>
      </c>
      <c r="F213" s="12" t="str">
        <f>IFERROR(VLOOKUP(B213,'Classement RoC'!$B$2:$C$199,2,0),"0")</f>
        <v>0</v>
      </c>
      <c r="G213" s="12" t="str">
        <f>IFERROR(VLOOKUP(B213,'Classement Surp'!$B$2:$C$199,2,0),"0")</f>
        <v>0</v>
      </c>
    </row>
    <row r="214" ht="14.25" customHeight="1">
      <c r="A214" s="6">
        <v>213.0</v>
      </c>
      <c r="B214" s="28"/>
      <c r="C214" s="7">
        <f>'Classement Général'!$E214+'Classement Général'!$F214+'Classement Général'!$G214</f>
        <v>0</v>
      </c>
      <c r="D214" s="11"/>
      <c r="E214" s="12" t="str">
        <f>IFERROR(VLOOKUP(B214,'Classement S6'!$B$2:$C$200,2,0),"0")</f>
        <v>0</v>
      </c>
      <c r="F214" s="12" t="str">
        <f>IFERROR(VLOOKUP(B214,'Classement RoC'!$B$2:$C$199,2,0),"0")</f>
        <v>0</v>
      </c>
      <c r="G214" s="12" t="str">
        <f>IFERROR(VLOOKUP(B214,'Classement Surp'!$B$2:$C$199,2,0),"0")</f>
        <v>0</v>
      </c>
    </row>
    <row r="215" ht="14.25" customHeight="1">
      <c r="A215" s="6">
        <v>214.0</v>
      </c>
      <c r="B215" s="28"/>
      <c r="C215" s="7">
        <f>'Classement Général'!$E215+'Classement Général'!$F215+'Classement Général'!$G215</f>
        <v>0</v>
      </c>
      <c r="D215" s="11"/>
      <c r="E215" s="12" t="str">
        <f>IFERROR(VLOOKUP(B215,'Classement S6'!$B$2:$C$200,2,0),"0")</f>
        <v>0</v>
      </c>
      <c r="F215" s="12" t="str">
        <f>IFERROR(VLOOKUP(B215,'Classement RoC'!$B$2:$C$199,2,0),"0")</f>
        <v>0</v>
      </c>
      <c r="G215" s="12" t="str">
        <f>IFERROR(VLOOKUP(B215,'Classement Surp'!$B$2:$C$199,2,0),"0")</f>
        <v>0</v>
      </c>
    </row>
    <row r="216" ht="14.25" customHeight="1">
      <c r="A216" s="6">
        <v>215.0</v>
      </c>
      <c r="B216" s="28"/>
      <c r="C216" s="7">
        <f>'Classement Général'!$E216+'Classement Général'!$F216+'Classement Général'!$G216</f>
        <v>0</v>
      </c>
      <c r="D216" s="11"/>
      <c r="E216" s="12" t="str">
        <f>IFERROR(VLOOKUP(B216,'Classement S6'!$B$2:$C$200,2,0),"0")</f>
        <v>0</v>
      </c>
      <c r="F216" s="12" t="str">
        <f>IFERROR(VLOOKUP(B216,'Classement RoC'!$B$2:$C$199,2,0),"0")</f>
        <v>0</v>
      </c>
      <c r="G216" s="12" t="str">
        <f>IFERROR(VLOOKUP(B216,'Classement Surp'!$B$2:$C$199,2,0),"0")</f>
        <v>0</v>
      </c>
    </row>
    <row r="217" ht="14.25" customHeight="1">
      <c r="A217" s="6">
        <v>216.0</v>
      </c>
      <c r="B217" s="28"/>
      <c r="C217" s="7">
        <f>'Classement Général'!$E217+'Classement Général'!$F217+'Classement Général'!$G217</f>
        <v>0</v>
      </c>
      <c r="D217" s="11"/>
      <c r="E217" s="12" t="str">
        <f>IFERROR(VLOOKUP(B217,'Classement S6'!$B$2:$C$200,2,0),"0")</f>
        <v>0</v>
      </c>
      <c r="F217" s="12" t="str">
        <f>IFERROR(VLOOKUP(B217,'Classement RoC'!$B$2:$C$199,2,0),"0")</f>
        <v>0</v>
      </c>
      <c r="G217" s="12" t="str">
        <f>IFERROR(VLOOKUP(B217,'Classement Surp'!$B$2:$C$199,2,0),"0")</f>
        <v>0</v>
      </c>
    </row>
    <row r="218" ht="14.25" customHeight="1">
      <c r="A218" s="6">
        <v>217.0</v>
      </c>
      <c r="B218" s="28"/>
      <c r="C218" s="7">
        <f>'Classement Général'!$E218+'Classement Général'!$F218+'Classement Général'!$G218</f>
        <v>0</v>
      </c>
      <c r="D218" s="11"/>
      <c r="E218" s="12" t="str">
        <f>IFERROR(VLOOKUP(B218,'Classement S6'!$B$2:$C$200,2,0),"0")</f>
        <v>0</v>
      </c>
      <c r="F218" s="12" t="str">
        <f>IFERROR(VLOOKUP(B218,'Classement RoC'!$B$2:$C$199,2,0),"0")</f>
        <v>0</v>
      </c>
      <c r="G218" s="12" t="str">
        <f>IFERROR(VLOOKUP(B218,'Classement Surp'!$B$2:$C$199,2,0),"0")</f>
        <v>0</v>
      </c>
    </row>
    <row r="219" ht="14.25" customHeight="1">
      <c r="A219" s="6">
        <v>218.0</v>
      </c>
      <c r="B219" s="28"/>
      <c r="C219" s="7">
        <f>'Classement Général'!$E219+'Classement Général'!$F219+'Classement Général'!$G219</f>
        <v>0</v>
      </c>
      <c r="D219" s="11"/>
      <c r="E219" s="12" t="str">
        <f>IFERROR(VLOOKUP(B219,'Classement S6'!$B$2:$C$200,2,0),"0")</f>
        <v>0</v>
      </c>
      <c r="F219" s="12" t="str">
        <f>IFERROR(VLOOKUP(B219,'Classement RoC'!$B$2:$C$199,2,0),"0")</f>
        <v>0</v>
      </c>
      <c r="G219" s="12" t="str">
        <f>IFERROR(VLOOKUP(B219,'Classement Surp'!$B$2:$C$199,2,0),"0")</f>
        <v>0</v>
      </c>
    </row>
    <row r="220" ht="14.25" customHeight="1">
      <c r="A220" s="6">
        <v>219.0</v>
      </c>
      <c r="B220" s="28"/>
      <c r="C220" s="7">
        <f>'Classement Général'!$E220+'Classement Général'!$F220+'Classement Général'!$G220</f>
        <v>0</v>
      </c>
      <c r="D220" s="11"/>
      <c r="E220" s="12" t="str">
        <f>IFERROR(VLOOKUP(B220,'Classement S6'!$B$2:$C$200,2,0),"0")</f>
        <v>0</v>
      </c>
      <c r="F220" s="12" t="str">
        <f>IFERROR(VLOOKUP(B220,'Classement RoC'!$B$2:$C$199,2,0),"0")</f>
        <v>0</v>
      </c>
      <c r="G220" s="12" t="str">
        <f>IFERROR(VLOOKUP(B220,'Classement Surp'!$B$2:$C$199,2,0),"0")</f>
        <v>0</v>
      </c>
    </row>
    <row r="221" ht="14.25" customHeight="1">
      <c r="A221" s="6">
        <v>220.0</v>
      </c>
      <c r="B221" s="28"/>
      <c r="C221" s="7">
        <f>'Classement Général'!$E221+'Classement Général'!$F221+'Classement Général'!$G221</f>
        <v>0</v>
      </c>
      <c r="D221" s="11"/>
      <c r="E221" s="12" t="str">
        <f>IFERROR(VLOOKUP(B221,'Classement S6'!$B$2:$C$200,2,0),"0")</f>
        <v>0</v>
      </c>
      <c r="F221" s="12" t="str">
        <f>IFERROR(VLOOKUP(B221,'Classement RoC'!$B$2:$C$199,2,0),"0")</f>
        <v>0</v>
      </c>
      <c r="G221" s="12" t="str">
        <f>IFERROR(VLOOKUP(B221,'Classement Surp'!$B$2:$C$199,2,0),"0")</f>
        <v>0</v>
      </c>
    </row>
    <row r="222" ht="14.25" customHeight="1">
      <c r="A222" s="6">
        <v>221.0</v>
      </c>
      <c r="B222" s="28"/>
      <c r="C222" s="7">
        <f>'Classement Général'!$E222+'Classement Général'!$F222+'Classement Général'!$G222</f>
        <v>0</v>
      </c>
      <c r="D222" s="11"/>
      <c r="E222" s="12" t="str">
        <f>IFERROR(VLOOKUP(B222,'Classement S6'!$B$2:$C$200,2,0),"0")</f>
        <v>0</v>
      </c>
      <c r="F222" s="12" t="str">
        <f>IFERROR(VLOOKUP(B222,'Classement RoC'!$B$2:$C$199,2,0),"0")</f>
        <v>0</v>
      </c>
      <c r="G222" s="12" t="str">
        <f>IFERROR(VLOOKUP(B222,'Classement Surp'!$B$2:$C$199,2,0),"0")</f>
        <v>0</v>
      </c>
    </row>
    <row r="223" ht="14.25" customHeight="1">
      <c r="A223" s="6">
        <v>222.0</v>
      </c>
      <c r="B223" s="28"/>
      <c r="C223" s="7">
        <f>'Classement Général'!$E223+'Classement Général'!$F223+'Classement Général'!$G223</f>
        <v>0</v>
      </c>
      <c r="D223" s="11"/>
      <c r="E223" s="12" t="str">
        <f>IFERROR(VLOOKUP(B223,'Classement S6'!$B$2:$C$200,2,0),"0")</f>
        <v>0</v>
      </c>
      <c r="F223" s="12" t="str">
        <f>IFERROR(VLOOKUP(B223,'Classement RoC'!$B$2:$C$199,2,0),"0")</f>
        <v>0</v>
      </c>
      <c r="G223" s="12" t="str">
        <f>IFERROR(VLOOKUP(B223,'Classement Surp'!$B$2:$C$199,2,0),"0")</f>
        <v>0</v>
      </c>
    </row>
    <row r="224" ht="14.25" customHeight="1">
      <c r="A224" s="6">
        <v>223.0</v>
      </c>
      <c r="B224" s="28"/>
      <c r="C224" s="7">
        <f>'Classement Général'!$E224+'Classement Général'!$F224+'Classement Général'!$G224</f>
        <v>0</v>
      </c>
      <c r="D224" s="11"/>
      <c r="E224" s="12" t="str">
        <f>IFERROR(VLOOKUP(B224,'Classement S6'!$B$2:$C$200,2,0),"0")</f>
        <v>0</v>
      </c>
      <c r="F224" s="12" t="str">
        <f>IFERROR(VLOOKUP(B224,'Classement RoC'!$B$2:$C$199,2,0),"0")</f>
        <v>0</v>
      </c>
      <c r="G224" s="12" t="str">
        <f>IFERROR(VLOOKUP(B224,'Classement Surp'!$B$2:$C$199,2,0),"0")</f>
        <v>0</v>
      </c>
    </row>
    <row r="225" ht="14.25" customHeight="1">
      <c r="A225" s="6">
        <v>224.0</v>
      </c>
      <c r="B225" s="28"/>
      <c r="C225" s="7">
        <f>'Classement Général'!$E225+'Classement Général'!$F225+'Classement Général'!$G225</f>
        <v>0</v>
      </c>
      <c r="D225" s="11"/>
      <c r="E225" s="12" t="str">
        <f>IFERROR(VLOOKUP(B225,'Classement S6'!$B$2:$C$200,2,0),"0")</f>
        <v>0</v>
      </c>
      <c r="F225" s="12" t="str">
        <f>IFERROR(VLOOKUP(B225,'Classement RoC'!$B$2:$C$199,2,0),"0")</f>
        <v>0</v>
      </c>
      <c r="G225" s="12" t="str">
        <f>IFERROR(VLOOKUP(B225,'Classement Surp'!$B$2:$C$199,2,0),"0")</f>
        <v>0</v>
      </c>
    </row>
    <row r="226" ht="14.25" customHeight="1">
      <c r="A226" s="6">
        <v>225.0</v>
      </c>
      <c r="B226" s="28"/>
      <c r="C226" s="7">
        <f>'Classement Général'!$E226+'Classement Général'!$F226+'Classement Général'!$G226</f>
        <v>0</v>
      </c>
      <c r="D226" s="11"/>
      <c r="E226" s="12" t="str">
        <f>IFERROR(VLOOKUP(B226,'Classement S6'!$B$2:$C$200,2,0),"0")</f>
        <v>0</v>
      </c>
      <c r="F226" s="12" t="str">
        <f>IFERROR(VLOOKUP(B226,'Classement RoC'!$B$2:$C$199,2,0),"0")</f>
        <v>0</v>
      </c>
      <c r="G226" s="12" t="str">
        <f>IFERROR(VLOOKUP(B226,'Classement Surp'!$B$2:$C$199,2,0),"0")</f>
        <v>0</v>
      </c>
    </row>
    <row r="227" ht="14.25" customHeight="1">
      <c r="A227" s="6">
        <v>226.0</v>
      </c>
      <c r="B227" s="28"/>
      <c r="C227" s="7">
        <f>'Classement Général'!$E227+'Classement Général'!$F227+'Classement Général'!$G227</f>
        <v>0</v>
      </c>
      <c r="D227" s="11"/>
      <c r="E227" s="12" t="str">
        <f>IFERROR(VLOOKUP(B227,'Classement S6'!$B$2:$C$200,2,0),"0")</f>
        <v>0</v>
      </c>
      <c r="F227" s="12" t="str">
        <f>IFERROR(VLOOKUP(B227,'Classement RoC'!$B$2:$C$199,2,0),"0")</f>
        <v>0</v>
      </c>
      <c r="G227" s="12" t="str">
        <f>IFERROR(VLOOKUP(B227,'Classement Surp'!$B$2:$C$199,2,0),"0")</f>
        <v>0</v>
      </c>
    </row>
    <row r="228" ht="14.25" customHeight="1">
      <c r="A228" s="6">
        <v>227.0</v>
      </c>
      <c r="B228" s="28"/>
      <c r="C228" s="7">
        <f>'Classement Général'!$E228+'Classement Général'!$F228+'Classement Général'!$G228</f>
        <v>0</v>
      </c>
      <c r="D228" s="11"/>
      <c r="E228" s="12" t="str">
        <f>IFERROR(VLOOKUP(B228,'Classement S6'!$B$2:$C$200,2,0),"0")</f>
        <v>0</v>
      </c>
      <c r="F228" s="12" t="str">
        <f>IFERROR(VLOOKUP(B228,'Classement RoC'!$B$2:$C$199,2,0),"0")</f>
        <v>0</v>
      </c>
      <c r="G228" s="12" t="str">
        <f>IFERROR(VLOOKUP(B228,'Classement Surp'!$B$2:$C$199,2,0),"0")</f>
        <v>0</v>
      </c>
    </row>
    <row r="229" ht="14.25" customHeight="1">
      <c r="A229" s="6">
        <v>228.0</v>
      </c>
      <c r="B229" s="28"/>
      <c r="C229" s="7">
        <f>'Classement Général'!$E229+'Classement Général'!$F229+'Classement Général'!$G229</f>
        <v>0</v>
      </c>
      <c r="D229" s="11"/>
      <c r="E229" s="12" t="str">
        <f>IFERROR(VLOOKUP(B229,'Classement S6'!$B$2:$C$200,2,0),"0")</f>
        <v>0</v>
      </c>
      <c r="F229" s="12" t="str">
        <f>IFERROR(VLOOKUP(B229,'Classement RoC'!$B$2:$C$199,2,0),"0")</f>
        <v>0</v>
      </c>
      <c r="G229" s="12" t="str">
        <f>IFERROR(VLOOKUP(B229,'Classement Surp'!$B$2:$C$199,2,0),"0")</f>
        <v>0</v>
      </c>
    </row>
    <row r="230" ht="14.25" customHeight="1">
      <c r="A230" s="6">
        <v>229.0</v>
      </c>
      <c r="B230" s="28"/>
      <c r="C230" s="7">
        <f>'Classement Général'!$E230+'Classement Général'!$F230+'Classement Général'!$G230</f>
        <v>0</v>
      </c>
      <c r="D230" s="11"/>
      <c r="E230" s="12" t="str">
        <f>IFERROR(VLOOKUP(B230,'Classement S6'!$B$2:$C$200,2,0),"0")</f>
        <v>0</v>
      </c>
      <c r="F230" s="12" t="str">
        <f>IFERROR(VLOOKUP(B230,'Classement RoC'!$B$2:$C$199,2,0),"0")</f>
        <v>0</v>
      </c>
      <c r="G230" s="12" t="str">
        <f>IFERROR(VLOOKUP(B230,'Classement Surp'!$B$2:$C$199,2,0),"0")</f>
        <v>0</v>
      </c>
    </row>
    <row r="231" ht="14.25" customHeight="1">
      <c r="A231" s="6">
        <v>230.0</v>
      </c>
      <c r="B231" s="28"/>
      <c r="C231" s="7">
        <f>'Classement Général'!$E231+'Classement Général'!$F231+'Classement Général'!$G231</f>
        <v>0</v>
      </c>
      <c r="D231" s="11"/>
      <c r="E231" s="12" t="str">
        <f>IFERROR(VLOOKUP(B231,'Classement S6'!$B$2:$C$200,2,0),"0")</f>
        <v>0</v>
      </c>
      <c r="F231" s="12" t="str">
        <f>IFERROR(VLOOKUP(B231,'Classement RoC'!$B$2:$C$199,2,0),"0")</f>
        <v>0</v>
      </c>
      <c r="G231" s="12" t="str">
        <f>IFERROR(VLOOKUP(B231,'Classement Surp'!$B$2:$C$199,2,0),"0")</f>
        <v>0</v>
      </c>
    </row>
    <row r="232" ht="14.25" customHeight="1">
      <c r="A232" s="6">
        <v>231.0</v>
      </c>
      <c r="B232" s="28"/>
      <c r="C232" s="7">
        <f>'Classement Général'!$E232+'Classement Général'!$F232+'Classement Général'!$G232</f>
        <v>0</v>
      </c>
      <c r="D232" s="11"/>
      <c r="E232" s="12" t="str">
        <f>IFERROR(VLOOKUP(B232,'Classement S6'!$B$2:$C$200,2,0),"0")</f>
        <v>0</v>
      </c>
      <c r="F232" s="12" t="str">
        <f>IFERROR(VLOOKUP(B232,'Classement RoC'!$B$2:$C$199,2,0),"0")</f>
        <v>0</v>
      </c>
      <c r="G232" s="12" t="str">
        <f>IFERROR(VLOOKUP(B232,'Classement Surp'!$B$2:$C$199,2,0),"0")</f>
        <v>0</v>
      </c>
    </row>
    <row r="233" ht="14.25" customHeight="1">
      <c r="A233" s="6">
        <v>232.0</v>
      </c>
      <c r="B233" s="28"/>
      <c r="C233" s="7">
        <f>'Classement Général'!$E233+'Classement Général'!$F233+'Classement Général'!$G233</f>
        <v>0</v>
      </c>
      <c r="D233" s="11"/>
      <c r="E233" s="12" t="str">
        <f>IFERROR(VLOOKUP(B233,'Classement S6'!$B$2:$C$200,2,0),"0")</f>
        <v>0</v>
      </c>
      <c r="F233" s="12" t="str">
        <f>IFERROR(VLOOKUP(B233,'Classement RoC'!$B$2:$C$199,2,0),"0")</f>
        <v>0</v>
      </c>
      <c r="G233" s="12" t="str">
        <f>IFERROR(VLOOKUP(B233,'Classement Surp'!$B$2:$C$199,2,0),"0")</f>
        <v>0</v>
      </c>
    </row>
    <row r="234" ht="14.25" customHeight="1">
      <c r="A234" s="6">
        <v>233.0</v>
      </c>
      <c r="B234" s="28"/>
      <c r="C234" s="7">
        <f>'Classement Général'!$E234+'Classement Général'!$F234+'Classement Général'!$G234</f>
        <v>0</v>
      </c>
      <c r="D234" s="11"/>
      <c r="E234" s="12" t="str">
        <f>IFERROR(VLOOKUP(B234,'Classement S6'!$B$2:$C$200,2,0),"0")</f>
        <v>0</v>
      </c>
      <c r="F234" s="12" t="str">
        <f>IFERROR(VLOOKUP(B234,'Classement RoC'!$B$2:$C$199,2,0),"0")</f>
        <v>0</v>
      </c>
      <c r="G234" s="12" t="str">
        <f>IFERROR(VLOOKUP(B234,'Classement Surp'!$B$2:$C$199,2,0),"0")</f>
        <v>0</v>
      </c>
    </row>
    <row r="235" ht="14.25" customHeight="1">
      <c r="A235" s="6">
        <v>234.0</v>
      </c>
      <c r="B235" s="28"/>
      <c r="C235" s="7">
        <f>'Classement Général'!$E235+'Classement Général'!$F235+'Classement Général'!$G235</f>
        <v>0</v>
      </c>
      <c r="D235" s="11"/>
      <c r="E235" s="12" t="str">
        <f>IFERROR(VLOOKUP(B235,'Classement S6'!$B$2:$C$200,2,0),"0")</f>
        <v>0</v>
      </c>
      <c r="F235" s="12" t="str">
        <f>IFERROR(VLOOKUP(B235,'Classement RoC'!$B$2:$C$199,2,0),"0")</f>
        <v>0</v>
      </c>
      <c r="G235" s="12" t="str">
        <f>IFERROR(VLOOKUP(B235,'Classement Surp'!$B$2:$C$199,2,0),"0")</f>
        <v>0</v>
      </c>
    </row>
    <row r="236" ht="14.25" customHeight="1">
      <c r="A236" s="6">
        <v>235.0</v>
      </c>
      <c r="B236" s="28"/>
      <c r="C236" s="7">
        <f>'Classement Général'!$E236+'Classement Général'!$F236+'Classement Général'!$G236</f>
        <v>0</v>
      </c>
      <c r="D236" s="11"/>
      <c r="E236" s="12" t="str">
        <f>IFERROR(VLOOKUP(B236,'Classement S6'!$B$2:$C$200,2,0),"0")</f>
        <v>0</v>
      </c>
      <c r="F236" s="12" t="str">
        <f>IFERROR(VLOOKUP(B236,'Classement RoC'!$B$2:$C$199,2,0),"0")</f>
        <v>0</v>
      </c>
      <c r="G236" s="12" t="str">
        <f>IFERROR(VLOOKUP(B236,'Classement Surp'!$B$2:$C$199,2,0),"0")</f>
        <v>0</v>
      </c>
    </row>
    <row r="237" ht="14.25" customHeight="1">
      <c r="A237" s="6">
        <v>236.0</v>
      </c>
      <c r="B237" s="28"/>
      <c r="C237" s="7">
        <f>'Classement Général'!$E237+'Classement Général'!$F237+'Classement Général'!$G237</f>
        <v>0</v>
      </c>
      <c r="D237" s="11"/>
      <c r="E237" s="12" t="str">
        <f>IFERROR(VLOOKUP(B237,'Classement S6'!$B$2:$C$200,2,0),"0")</f>
        <v>0</v>
      </c>
      <c r="F237" s="12" t="str">
        <f>IFERROR(VLOOKUP(B237,'Classement RoC'!$B$2:$C$199,2,0),"0")</f>
        <v>0</v>
      </c>
      <c r="G237" s="12" t="str">
        <f>IFERROR(VLOOKUP(B237,'Classement Surp'!$B$2:$C$199,2,0),"0")</f>
        <v>0</v>
      </c>
    </row>
    <row r="238" ht="14.25" customHeight="1">
      <c r="A238" s="6">
        <v>237.0</v>
      </c>
      <c r="B238" s="28"/>
      <c r="C238" s="7">
        <f>'Classement Général'!$E238+'Classement Général'!$F238+'Classement Général'!$G238</f>
        <v>0</v>
      </c>
      <c r="D238" s="11"/>
      <c r="E238" s="12" t="str">
        <f>IFERROR(VLOOKUP(B238,'Classement S6'!$B$2:$C$200,2,0),"0")</f>
        <v>0</v>
      </c>
      <c r="F238" s="12" t="str">
        <f>IFERROR(VLOOKUP(B238,'Classement RoC'!$B$2:$C$199,2,0),"0")</f>
        <v>0</v>
      </c>
      <c r="G238" s="12" t="str">
        <f>IFERROR(VLOOKUP(B238,'Classement Surp'!$B$2:$C$199,2,0),"0")</f>
        <v>0</v>
      </c>
    </row>
    <row r="239" ht="14.25" customHeight="1">
      <c r="A239" s="6">
        <v>238.0</v>
      </c>
      <c r="B239" s="28"/>
      <c r="C239" s="7">
        <f>'Classement Général'!$E239+'Classement Général'!$F239+'Classement Général'!$G239</f>
        <v>0</v>
      </c>
      <c r="D239" s="11"/>
      <c r="E239" s="12" t="str">
        <f>IFERROR(VLOOKUP(B239,'Classement S6'!$B$2:$C$200,2,0),"0")</f>
        <v>0</v>
      </c>
      <c r="F239" s="12" t="str">
        <f>IFERROR(VLOOKUP(B239,'Classement RoC'!$B$2:$C$199,2,0),"0")</f>
        <v>0</v>
      </c>
      <c r="G239" s="12" t="str">
        <f>IFERROR(VLOOKUP(B239,'Classement Surp'!$B$2:$C$199,2,0),"0")</f>
        <v>0</v>
      </c>
    </row>
    <row r="240" ht="14.25" customHeight="1">
      <c r="A240" s="6">
        <v>239.0</v>
      </c>
      <c r="B240" s="28"/>
      <c r="C240" s="7">
        <f>'Classement Général'!$E240+'Classement Général'!$F240+'Classement Général'!$G240</f>
        <v>0</v>
      </c>
      <c r="D240" s="11"/>
      <c r="E240" s="12" t="str">
        <f>IFERROR(VLOOKUP(B240,'Classement S6'!$B$2:$C$200,2,0),"0")</f>
        <v>0</v>
      </c>
      <c r="F240" s="12" t="str">
        <f>IFERROR(VLOOKUP(B240,'Classement RoC'!$B$2:$C$199,2,0),"0")</f>
        <v>0</v>
      </c>
      <c r="G240" s="12" t="str">
        <f>IFERROR(VLOOKUP(B240,'Classement Surp'!$B$2:$C$199,2,0),"0")</f>
        <v>0</v>
      </c>
    </row>
    <row r="241" ht="14.25" customHeight="1">
      <c r="A241" s="6">
        <v>240.0</v>
      </c>
      <c r="B241" s="28"/>
      <c r="C241" s="7">
        <f>'Classement Général'!$E241+'Classement Général'!$F241+'Classement Général'!$G241</f>
        <v>0</v>
      </c>
      <c r="D241" s="11"/>
      <c r="E241" s="12" t="str">
        <f>IFERROR(VLOOKUP(B241,'Classement S6'!$B$2:$C$200,2,0),"0")</f>
        <v>0</v>
      </c>
      <c r="F241" s="12" t="str">
        <f>IFERROR(VLOOKUP(B241,'Classement RoC'!$B$2:$C$199,2,0),"0")</f>
        <v>0</v>
      </c>
      <c r="G241" s="12" t="str">
        <f>IFERROR(VLOOKUP(B241,'Classement Surp'!$B$2:$C$199,2,0),"0")</f>
        <v>0</v>
      </c>
    </row>
    <row r="242" ht="14.25" customHeight="1">
      <c r="A242" s="6">
        <v>241.0</v>
      </c>
      <c r="B242" s="28"/>
      <c r="C242" s="7">
        <f>'Classement Général'!$E242+'Classement Général'!$F242+'Classement Général'!$G242</f>
        <v>0</v>
      </c>
      <c r="D242" s="11"/>
      <c r="E242" s="12" t="str">
        <f>IFERROR(VLOOKUP(B242,'Classement S6'!$B$2:$C$200,2,0),"0")</f>
        <v>0</v>
      </c>
      <c r="F242" s="12" t="str">
        <f>IFERROR(VLOOKUP(B242,'Classement RoC'!$B$2:$C$199,2,0),"0")</f>
        <v>0</v>
      </c>
      <c r="G242" s="12" t="str">
        <f>IFERROR(VLOOKUP(B242,'Classement Surp'!$B$2:$C$199,2,0),"0")</f>
        <v>0</v>
      </c>
    </row>
    <row r="243" ht="14.25" customHeight="1">
      <c r="A243" s="6">
        <v>242.0</v>
      </c>
      <c r="B243" s="28"/>
      <c r="C243" s="7">
        <f>'Classement Général'!$E243+'Classement Général'!$F243+'Classement Général'!$G243</f>
        <v>0</v>
      </c>
      <c r="D243" s="11"/>
      <c r="E243" s="12" t="str">
        <f>IFERROR(VLOOKUP(B243,'Classement S6'!$B$2:$C$200,2,0),"0")</f>
        <v>0</v>
      </c>
      <c r="F243" s="12" t="str">
        <f>IFERROR(VLOOKUP(B243,'Classement RoC'!$B$2:$C$199,2,0),"0")</f>
        <v>0</v>
      </c>
      <c r="G243" s="12" t="str">
        <f>IFERROR(VLOOKUP(B243,'Classement Surp'!$B$2:$C$199,2,0),"0")</f>
        <v>0</v>
      </c>
    </row>
    <row r="244" ht="14.25" customHeight="1">
      <c r="A244" s="6">
        <v>243.0</v>
      </c>
      <c r="B244" s="28"/>
      <c r="C244" s="7">
        <f>'Classement Général'!$E244+'Classement Général'!$F244+'Classement Général'!$G244</f>
        <v>0</v>
      </c>
      <c r="D244" s="11"/>
      <c r="E244" s="12" t="str">
        <f>IFERROR(VLOOKUP(B244,'Classement S6'!$B$2:$C$200,2,0),"0")</f>
        <v>0</v>
      </c>
      <c r="F244" s="12" t="str">
        <f>IFERROR(VLOOKUP(B244,'Classement RoC'!$B$2:$C$199,2,0),"0")</f>
        <v>0</v>
      </c>
      <c r="G244" s="12" t="str">
        <f>IFERROR(VLOOKUP(B244,'Classement Surp'!$B$2:$C$199,2,0),"0")</f>
        <v>0</v>
      </c>
    </row>
    <row r="245" ht="14.25" customHeight="1">
      <c r="A245" s="6">
        <v>244.0</v>
      </c>
      <c r="B245" s="28"/>
      <c r="C245" s="7">
        <f>'Classement Général'!$E245+'Classement Général'!$F245+'Classement Général'!$G245</f>
        <v>0</v>
      </c>
      <c r="D245" s="11"/>
      <c r="E245" s="12" t="str">
        <f>IFERROR(VLOOKUP(B245,'Classement S6'!$B$2:$C$200,2,0),"0")</f>
        <v>0</v>
      </c>
      <c r="F245" s="12" t="str">
        <f>IFERROR(VLOOKUP(B245,'Classement RoC'!$B$2:$C$199,2,0),"0")</f>
        <v>0</v>
      </c>
      <c r="G245" s="12" t="str">
        <f>IFERROR(VLOOKUP(B245,'Classement Surp'!$B$2:$C$199,2,0),"0")</f>
        <v>0</v>
      </c>
    </row>
    <row r="246" ht="14.25" customHeight="1">
      <c r="A246" s="6">
        <v>245.0</v>
      </c>
      <c r="B246" s="28"/>
      <c r="C246" s="7">
        <f>'Classement Général'!$E246+'Classement Général'!$F246+'Classement Général'!$G246</f>
        <v>0</v>
      </c>
      <c r="D246" s="11"/>
      <c r="E246" s="12" t="str">
        <f>IFERROR(VLOOKUP(B246,'Classement S6'!$B$2:$C$200,2,0),"0")</f>
        <v>0</v>
      </c>
      <c r="F246" s="12" t="str">
        <f>IFERROR(VLOOKUP(B246,'Classement RoC'!$B$2:$C$199,2,0),"0")</f>
        <v>0</v>
      </c>
      <c r="G246" s="12" t="str">
        <f>IFERROR(VLOOKUP(B246,'Classement Surp'!$B$2:$C$199,2,0),"0")</f>
        <v>0</v>
      </c>
    </row>
    <row r="247" ht="14.25" customHeight="1">
      <c r="A247" s="6">
        <v>246.0</v>
      </c>
      <c r="B247" s="28"/>
      <c r="C247" s="7">
        <f>'Classement Général'!$E247+'Classement Général'!$F247+'Classement Général'!$G247</f>
        <v>0</v>
      </c>
      <c r="D247" s="11"/>
      <c r="E247" s="12" t="str">
        <f>IFERROR(VLOOKUP(B247,'Classement S6'!$B$2:$C$200,2,0),"0")</f>
        <v>0</v>
      </c>
      <c r="F247" s="12" t="str">
        <f>IFERROR(VLOOKUP(B247,'Classement RoC'!$B$2:$C$199,2,0),"0")</f>
        <v>0</v>
      </c>
      <c r="G247" s="12" t="str">
        <f>IFERROR(VLOOKUP(B247,'Classement Surp'!$B$2:$C$199,2,0),"0")</f>
        <v>0</v>
      </c>
    </row>
    <row r="248" ht="14.25" customHeight="1">
      <c r="A248" s="6">
        <v>247.0</v>
      </c>
      <c r="B248" s="28"/>
      <c r="C248" s="7">
        <f>'Classement Général'!$E248+'Classement Général'!$F248+'Classement Général'!$G248</f>
        <v>0</v>
      </c>
      <c r="D248" s="11"/>
      <c r="E248" s="12" t="str">
        <f>IFERROR(VLOOKUP(B248,'Classement S6'!$B$2:$C$200,2,0),"0")</f>
        <v>0</v>
      </c>
      <c r="F248" s="12" t="str">
        <f>IFERROR(VLOOKUP(B248,'Classement RoC'!$B$2:$C$199,2,0),"0")</f>
        <v>0</v>
      </c>
      <c r="G248" s="12" t="str">
        <f>IFERROR(VLOOKUP(B248,'Classement Surp'!$B$2:$C$199,2,0),"0")</f>
        <v>0</v>
      </c>
    </row>
  </sheetData>
  <conditionalFormatting sqref="B2:B49">
    <cfRule type="containsText" dxfId="0" priority="1" operator="containsText" text="0">
      <formula>NOT(ISERROR(SEARCH(("0"),(B2))))</formula>
    </cfRule>
  </conditionalFormatting>
  <conditionalFormatting sqref="B2:B49">
    <cfRule type="containsText" dxfId="0" priority="2" operator="containsText" text="0">
      <formula>NOT(ISERROR(SEARCH(("0"),(B2))))</formula>
    </cfRule>
  </conditionalFormatting>
  <printOptions/>
  <pageMargins bottom="0.75" footer="0.0" header="0.0" left="0.7" right="0.7" top="0.75"/>
  <pageSetup paperSize="9" orientation="portrait"/>
  <drawing r:id="rId1"/>
  <tableParts count="10"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71</v>
      </c>
    </row>
    <row r="2" ht="14.25" customHeight="1">
      <c r="A2" s="122" t="str">
        <f>IFERROR(__xludf.DUMMYFUNCTION(" IMPORTRANGE(""https://docs.google.com/spreadsheets/d/1Hyxg6KAgCCR7cDAyr37UAxAtB5RQSifsJI7QjahzkEQ/edit#gid=989480518"",""So6!A2:A161"")"),"SINGE7")</f>
        <v>SINGE7</v>
      </c>
      <c r="B2" s="103">
        <v>1.0</v>
      </c>
      <c r="C2" s="123">
        <f t="shared" ref="C2:C161" si="1">800*(1-(B2/($H$1+1)))*POWER((SQRT(($H$1+1)/B2)),1/2)</f>
        <v>2297.994386</v>
      </c>
      <c r="D2" s="124" t="str">
        <f>VLOOKUP(A2,'Classement S6'!$B$2:$C$150,1,0)</f>
        <v>SINGE7</v>
      </c>
      <c r="E2" s="125" t="str">
        <f t="shared" ref="E2:E161" si="2">IF(D2=A2,"","erreur")</f>
        <v/>
      </c>
      <c r="F2" s="120" t="str">
        <f>VLOOKUP(A2,'Classement Général'!$B$2:$B$146,1,0)</f>
        <v>SINGE7</v>
      </c>
    </row>
    <row r="3" ht="14.25" customHeight="1">
      <c r="A3" s="122" t="str">
        <f>IFERROR(__xludf.DUMMYFUNCTION("""COMPUTED_VALUE"""),"LEGOLEGOTE")</f>
        <v>LEGOLEGOTE</v>
      </c>
      <c r="B3" s="103">
        <v>2.0</v>
      </c>
      <c r="C3" s="123">
        <f t="shared" si="1"/>
        <v>1905.158689</v>
      </c>
      <c r="D3" s="124" t="str">
        <f>VLOOKUP(A3,'Classement S6'!$B$2:$C$150,1,0)</f>
        <v>LEGOLEGOTE</v>
      </c>
      <c r="E3" s="125" t="str">
        <f t="shared" si="2"/>
        <v/>
      </c>
      <c r="F3" s="120" t="str">
        <f>VLOOKUP(A3,'Classement Général'!$B$2:$B$146,1,0)</f>
        <v>LEGOLEGOTE</v>
      </c>
      <c r="G3" s="126"/>
    </row>
    <row r="4" ht="14.25" customHeight="1">
      <c r="A4" s="122" t="str">
        <f>IFERROR(__xludf.DUMMYFUNCTION("""COMPUTED_VALUE"""),"JM-Chatte")</f>
        <v>JM-Chatte</v>
      </c>
      <c r="B4" s="103">
        <v>3.0</v>
      </c>
      <c r="C4" s="123">
        <f t="shared" si="1"/>
        <v>1696.912277</v>
      </c>
      <c r="D4" s="124" t="str">
        <f>VLOOKUP(A4,'Classement S6'!$B$2:$C$150,1,0)</f>
        <v>JM-Chatte</v>
      </c>
      <c r="E4" s="125" t="str">
        <f t="shared" si="2"/>
        <v/>
      </c>
      <c r="F4" s="120" t="str">
        <f>VLOOKUP(A4,'Classement Général'!$B$2:$B$146,1,0)</f>
        <v>JM-Chatte</v>
      </c>
    </row>
    <row r="5" ht="14.25" customHeight="1">
      <c r="A5" s="122" t="str">
        <f>IFERROR(__xludf.DUMMYFUNCTION("""COMPUTED_VALUE"""),"Kevfurious")</f>
        <v>Kevfurious</v>
      </c>
      <c r="B5" s="103">
        <v>4.0</v>
      </c>
      <c r="C5" s="123">
        <f t="shared" si="1"/>
        <v>1556.268509</v>
      </c>
      <c r="D5" s="124" t="str">
        <f>VLOOKUP(A5,'Classement S6'!$B$2:$C$150,1,0)</f>
        <v>Kevfurious</v>
      </c>
      <c r="E5" s="125" t="str">
        <f t="shared" si="2"/>
        <v/>
      </c>
      <c r="F5" s="120" t="str">
        <f>VLOOKUP(A5,'Classement Général'!$B$2:$B$146,1,0)</f>
        <v>Kevfurious</v>
      </c>
    </row>
    <row r="6" ht="14.25" customHeight="1">
      <c r="A6" s="122" t="str">
        <f>IFERROR(__xludf.DUMMYFUNCTION("""COMPUTED_VALUE"""),"Le_Pictavien")</f>
        <v>Le_Pictavien</v>
      </c>
      <c r="B6" s="103">
        <v>5.0</v>
      </c>
      <c r="C6" s="123">
        <f t="shared" si="1"/>
        <v>1450.183356</v>
      </c>
      <c r="D6" s="124" t="str">
        <f>VLOOKUP(A6,'Classement S6'!$B$2:$C$150,1,0)</f>
        <v>Le_Pictavien</v>
      </c>
      <c r="E6" s="125" t="str">
        <f t="shared" si="2"/>
        <v/>
      </c>
      <c r="F6" s="120" t="str">
        <f>VLOOKUP(A6,'Classement Général'!$B$2:$B$146,1,0)</f>
        <v>Le_Pictavien</v>
      </c>
    </row>
    <row r="7" ht="14.25" customHeight="1">
      <c r="A7" s="122" t="str">
        <f>IFERROR(__xludf.DUMMYFUNCTION("""COMPUTED_VALUE"""),"BnHuR_MarCL.")</f>
        <v>BnHuR_MarCL.</v>
      </c>
      <c r="B7" s="103">
        <v>6.0</v>
      </c>
      <c r="C7" s="123">
        <f t="shared" si="1"/>
        <v>1364.887127</v>
      </c>
      <c r="D7" s="124" t="str">
        <f>VLOOKUP(A7,'Classement S6'!$B$2:$C$150,1,0)</f>
        <v>BnHuR_MarCL.</v>
      </c>
      <c r="E7" s="125" t="str">
        <f t="shared" si="2"/>
        <v/>
      </c>
      <c r="F7" s="120" t="str">
        <f>VLOOKUP(A7,'Classement Général'!$B$2:$B$146,1,0)</f>
        <v>BnHuR_MarCL.</v>
      </c>
    </row>
    <row r="8" ht="14.25" customHeight="1">
      <c r="A8" s="122" t="str">
        <f>IFERROR(__xludf.DUMMYFUNCTION("""COMPUTED_VALUE"""),"Belussac")</f>
        <v>Belussac</v>
      </c>
      <c r="B8" s="103">
        <v>7.0</v>
      </c>
      <c r="C8" s="123">
        <f t="shared" si="1"/>
        <v>1293.389888</v>
      </c>
      <c r="D8" s="124" t="str">
        <f>VLOOKUP(A8,'Classement S6'!$B$2:$C$150,1,0)</f>
        <v>belussac</v>
      </c>
      <c r="E8" s="125" t="str">
        <f t="shared" si="2"/>
        <v/>
      </c>
      <c r="F8" s="120" t="str">
        <f>VLOOKUP(A8,'Classement Général'!$B$2:$B$146,1,0)</f>
        <v>belussac</v>
      </c>
    </row>
    <row r="9" ht="14.25" customHeight="1">
      <c r="A9" s="122" t="str">
        <f>IFERROR(__xludf.DUMMYFUNCTION("""COMPUTED_VALUE"""),"kiki86 x")</f>
        <v>kiki86 x</v>
      </c>
      <c r="B9" s="103">
        <v>8.0</v>
      </c>
      <c r="C9" s="123">
        <f t="shared" si="1"/>
        <v>1231.680574</v>
      </c>
      <c r="D9" s="124" t="str">
        <f>VLOOKUP(A9,'Classement S6'!$B$2:$C$150,1,0)</f>
        <v>kiki86 x</v>
      </c>
      <c r="E9" s="125" t="str">
        <f t="shared" si="2"/>
        <v/>
      </c>
      <c r="F9" s="120" t="str">
        <f>VLOOKUP(A9,'Classement Général'!$B$2:$B$146,1,0)</f>
        <v>kiki86 x</v>
      </c>
    </row>
    <row r="10" ht="14.25" customHeight="1">
      <c r="A10" s="122" t="str">
        <f>IFERROR(__xludf.DUMMYFUNCTION("""COMPUTED_VALUE"""),"immond")</f>
        <v>immond</v>
      </c>
      <c r="B10" s="103">
        <v>9.0</v>
      </c>
      <c r="C10" s="123">
        <f t="shared" si="1"/>
        <v>1177.254981</v>
      </c>
      <c r="D10" s="124" t="str">
        <f>VLOOKUP(A10,'Classement S6'!$B$2:$C$150,1,0)</f>
        <v>immond</v>
      </c>
      <c r="E10" s="125" t="str">
        <f t="shared" si="2"/>
        <v/>
      </c>
      <c r="F10" s="120" t="str">
        <f>VLOOKUP(A10,'Classement Général'!$B$2:$B$146,1,0)</f>
        <v>immond</v>
      </c>
    </row>
    <row r="11" ht="14.25" customHeight="1">
      <c r="A11" s="122" t="str">
        <f>IFERROR(__xludf.DUMMYFUNCTION("""COMPUTED_VALUE"""),"Redblood92")</f>
        <v>Redblood92</v>
      </c>
      <c r="B11" s="103">
        <v>10.0</v>
      </c>
      <c r="C11" s="123">
        <f t="shared" si="1"/>
        <v>1128.449957</v>
      </c>
      <c r="D11" s="124" t="str">
        <f>VLOOKUP(A11,'Classement S6'!$B$2:$C$150,1,0)</f>
        <v>Redblood92</v>
      </c>
      <c r="E11" s="125" t="str">
        <f t="shared" si="2"/>
        <v/>
      </c>
      <c r="F11" s="120" t="str">
        <f>VLOOKUP(A11,'Classement Général'!$B$2:$B$146,1,0)</f>
        <v>Redblood92</v>
      </c>
    </row>
    <row r="12" ht="14.25" customHeight="1">
      <c r="A12" s="122" t="str">
        <f>IFERROR(__xludf.DUMMYFUNCTION("""COMPUTED_VALUE"""),"_Sale-Bet_")</f>
        <v>_Sale-Bet_</v>
      </c>
      <c r="B12" s="103">
        <v>11.0</v>
      </c>
      <c r="C12" s="123">
        <f t="shared" si="1"/>
        <v>1084.107324</v>
      </c>
      <c r="D12" s="124" t="str">
        <f>VLOOKUP(A12,'Classement S6'!$B$2:$C$150,1,0)</f>
        <v>_Sale-Bet_</v>
      </c>
      <c r="E12" s="125" t="str">
        <f t="shared" si="2"/>
        <v/>
      </c>
      <c r="F12" s="120" t="str">
        <f>VLOOKUP(A12,'Classement Général'!$B$2:$B$146,1,0)</f>
        <v>_Sale-Bet_</v>
      </c>
    </row>
    <row r="13" ht="14.25" customHeight="1">
      <c r="A13" s="122" t="str">
        <f>IFERROR(__xludf.DUMMYFUNCTION("""COMPUTED_VALUE"""),"Odile2Raise")</f>
        <v>Odile2Raise</v>
      </c>
      <c r="B13" s="103">
        <v>12.0</v>
      </c>
      <c r="C13" s="123">
        <f t="shared" si="1"/>
        <v>1043.38972</v>
      </c>
      <c r="D13" s="124" t="str">
        <f>VLOOKUP(A13,'Classement S6'!$B$2:$C$150,1,0)</f>
        <v>Odile2Raise</v>
      </c>
      <c r="E13" s="125" t="str">
        <f t="shared" si="2"/>
        <v/>
      </c>
      <c r="F13" s="120" t="str">
        <f>VLOOKUP(A13,'Classement Général'!$B$2:$B$146,1,0)</f>
        <v>Odile2Raise</v>
      </c>
    </row>
    <row r="14" ht="14.25" customHeight="1">
      <c r="A14" s="122" t="str">
        <f>IFERROR(__xludf.DUMMYFUNCTION("""COMPUTED_VALUE"""),"-BartMan-")</f>
        <v>-BartMan-</v>
      </c>
      <c r="B14" s="103">
        <v>13.0</v>
      </c>
      <c r="C14" s="123">
        <f t="shared" si="1"/>
        <v>1005.672995</v>
      </c>
      <c r="D14" s="124" t="str">
        <f>VLOOKUP(A14,'Classement S6'!$B$2:$C$150,1,0)</f>
        <v>-bartman-</v>
      </c>
      <c r="E14" s="125" t="str">
        <f t="shared" si="2"/>
        <v/>
      </c>
      <c r="F14" s="120" t="str">
        <f>VLOOKUP(A14,'Classement Général'!$B$2:$B$146,1,0)</f>
        <v>-bartman-</v>
      </c>
    </row>
    <row r="15" ht="14.25" customHeight="1">
      <c r="A15" s="122" t="str">
        <f>IFERROR(__xludf.DUMMYFUNCTION("""COMPUTED_VALUE"""),"POMB1664")</f>
        <v>POMB1664</v>
      </c>
      <c r="B15" s="103">
        <v>14.0</v>
      </c>
      <c r="C15" s="123">
        <f t="shared" si="1"/>
        <v>970.4800214</v>
      </c>
      <c r="D15" s="124" t="str">
        <f>VLOOKUP(A15,'Classement S6'!$B$2:$C$150,1,0)</f>
        <v>POMB1664</v>
      </c>
      <c r="E15" s="125" t="str">
        <f t="shared" si="2"/>
        <v/>
      </c>
      <c r="F15" s="120" t="str">
        <f>VLOOKUP(A15,'Classement Général'!$B$2:$B$146,1,0)</f>
        <v>POMB1664</v>
      </c>
    </row>
    <row r="16" ht="14.25" customHeight="1">
      <c r="A16" s="122" t="str">
        <f>IFERROR(__xludf.DUMMYFUNCTION("""COMPUTED_VALUE"""),"Stross411")</f>
        <v>Stross411</v>
      </c>
      <c r="B16" s="103">
        <v>15.0</v>
      </c>
      <c r="C16" s="123">
        <f t="shared" si="1"/>
        <v>937.438219</v>
      </c>
      <c r="D16" s="124" t="str">
        <f>VLOOKUP(A16,'Classement S6'!$B$2:$C$150,1,0)</f>
        <v>Stross411</v>
      </c>
      <c r="E16" s="125" t="str">
        <f t="shared" si="2"/>
        <v/>
      </c>
      <c r="F16" s="120" t="str">
        <f>VLOOKUP(A16,'Classement Général'!$B$2:$B$146,1,0)</f>
        <v>Stross411</v>
      </c>
      <c r="J16" s="130" t="s">
        <v>98</v>
      </c>
    </row>
    <row r="17" ht="14.25" customHeight="1">
      <c r="A17" s="122" t="str">
        <f>IFERROR(__xludf.DUMMYFUNCTION("""COMPUTED_VALUE"""),"Steprou86")</f>
        <v>Steprou86</v>
      </c>
      <c r="B17" s="103">
        <v>16.0</v>
      </c>
      <c r="C17" s="123">
        <f t="shared" si="1"/>
        <v>906.2513072</v>
      </c>
      <c r="D17" s="124" t="str">
        <f>VLOOKUP(A17,'Classement S6'!$B$2:$C$150,1,0)</f>
        <v>Steprou86</v>
      </c>
      <c r="E17" s="125" t="str">
        <f t="shared" si="2"/>
        <v/>
      </c>
      <c r="F17" s="120" t="str">
        <f>VLOOKUP(A17,'Classement Général'!$B$2:$B$146,1,0)</f>
        <v>Steprou86</v>
      </c>
      <c r="J17" s="130" t="s">
        <v>43</v>
      </c>
    </row>
    <row r="18" ht="14.25" customHeight="1">
      <c r="A18" s="122" t="str">
        <f>IFERROR(__xludf.DUMMYFUNCTION("""COMPUTED_VALUE"""),"imberbe")</f>
        <v>imberbe</v>
      </c>
      <c r="B18" s="103">
        <v>17.0</v>
      </c>
      <c r="C18" s="123">
        <f t="shared" si="1"/>
        <v>876.6799492</v>
      </c>
      <c r="D18" s="124" t="str">
        <f>VLOOKUP(A18,'Classement S6'!$B$2:$C$150,1,0)</f>
        <v>imberbe</v>
      </c>
      <c r="E18" s="125" t="str">
        <f t="shared" si="2"/>
        <v/>
      </c>
      <c r="F18" s="120" t="str">
        <f>VLOOKUP(A18,'Classement Général'!$B$2:$B$146,1,0)</f>
        <v>imberbe</v>
      </c>
      <c r="J18" s="130" t="s">
        <v>109</v>
      </c>
    </row>
    <row r="19" ht="14.25" customHeight="1">
      <c r="A19" s="122" t="str">
        <f>IFERROR(__xludf.DUMMYFUNCTION("""COMPUTED_VALUE"""),"PocketBike")</f>
        <v>PocketBike</v>
      </c>
      <c r="B19" s="103">
        <v>18.0</v>
      </c>
      <c r="C19" s="123">
        <f t="shared" si="1"/>
        <v>848.5281374</v>
      </c>
      <c r="D19" s="124" t="str">
        <f>VLOOKUP(A19,'Classement S6'!$B$2:$C$150,1,0)</f>
        <v>PocketBike</v>
      </c>
      <c r="E19" s="125" t="str">
        <f t="shared" si="2"/>
        <v/>
      </c>
      <c r="F19" s="120" t="str">
        <f>VLOOKUP(A19,'Classement Général'!$B$2:$B$146,1,0)</f>
        <v>PocketBike</v>
      </c>
    </row>
    <row r="20" ht="14.25" customHeight="1">
      <c r="A20" s="122" t="str">
        <f>IFERROR(__xludf.DUMMYFUNCTION("""COMPUTED_VALUE"""),"lifeofpark")</f>
        <v>lifeofpark</v>
      </c>
      <c r="B20" s="103">
        <v>19.0</v>
      </c>
      <c r="C20" s="123">
        <f t="shared" si="1"/>
        <v>821.6333975</v>
      </c>
      <c r="D20" s="124" t="str">
        <f>VLOOKUP(A20,'Classement S6'!$B$2:$C$150,1,0)</f>
        <v>lifeofpark</v>
      </c>
      <c r="E20" s="125" t="str">
        <f t="shared" si="2"/>
        <v/>
      </c>
      <c r="F20" s="120" t="str">
        <f>VLOOKUP(A20,'Classement Général'!$B$2:$B$146,1,0)</f>
        <v>lifeofpark</v>
      </c>
    </row>
    <row r="21" ht="14.25" customHeight="1">
      <c r="A21" s="122" t="str">
        <f>IFERROR(__xludf.DUMMYFUNCTION("""COMPUTED_VALUE"""),"CarlitoTwin")</f>
        <v>CarlitoTwin</v>
      </c>
      <c r="B21" s="103">
        <v>20.0</v>
      </c>
      <c r="C21" s="123">
        <f t="shared" si="1"/>
        <v>795.8596002</v>
      </c>
      <c r="D21" s="124" t="str">
        <f>VLOOKUP(A21,'Classement S6'!$B$2:$C$150,1,0)</f>
        <v>CarlitoTwin</v>
      </c>
      <c r="E21" s="125" t="str">
        <f t="shared" si="2"/>
        <v/>
      </c>
      <c r="F21" s="120" t="str">
        <f>VLOOKUP(A21,'Classement Général'!$B$2:$B$146,1,0)</f>
        <v>CarlitoTwin</v>
      </c>
    </row>
    <row r="22" ht="14.25" customHeight="1">
      <c r="A22" s="122" t="str">
        <f>IFERROR(__xludf.DUMMYFUNCTION("""COMPUTED_VALUE"""),"Jennyyy8")</f>
        <v>Jennyyy8</v>
      </c>
      <c r="B22" s="103">
        <v>21.0</v>
      </c>
      <c r="C22" s="123">
        <f t="shared" si="1"/>
        <v>771.0915911</v>
      </c>
      <c r="D22" s="124" t="str">
        <f>VLOOKUP(A22,'Classement S6'!$B$2:$C$150,1,0)</f>
        <v>Jennyyy8</v>
      </c>
      <c r="E22" s="125" t="str">
        <f t="shared" si="2"/>
        <v/>
      </c>
      <c r="F22" s="120" t="str">
        <f>VLOOKUP(A22,'Classement Général'!$B$2:$B$146,1,0)</f>
        <v>Jennyyy8</v>
      </c>
    </row>
    <row r="23" ht="14.25" customHeight="1">
      <c r="A23" s="122" t="str">
        <f>IFERROR(__xludf.DUMMYFUNCTION("""COMPUTED_VALUE"""),"KKPTETYO")</f>
        <v>KKPTETYO</v>
      </c>
      <c r="B23" s="103">
        <v>22.0</v>
      </c>
      <c r="C23" s="123">
        <f t="shared" si="1"/>
        <v>747.2311167</v>
      </c>
      <c r="D23" s="124" t="str">
        <f>VLOOKUP(A23,'Classement S6'!$B$2:$C$150,1,0)</f>
        <v>KKPTETYO</v>
      </c>
      <c r="E23" s="125" t="str">
        <f t="shared" si="2"/>
        <v/>
      </c>
      <c r="F23" s="120" t="str">
        <f>VLOOKUP(A23,'Classement Général'!$B$2:$B$146,1,0)</f>
        <v>KKPTETYO</v>
      </c>
    </row>
    <row r="24" ht="14.25" customHeight="1">
      <c r="A24" s="122" t="str">
        <f>IFERROR(__xludf.DUMMYFUNCTION("""COMPUTED_VALUE"""),"Elfy")</f>
        <v>Elfy</v>
      </c>
      <c r="B24" s="103">
        <v>23.0</v>
      </c>
      <c r="C24" s="123">
        <f t="shared" si="1"/>
        <v>724.1936888</v>
      </c>
      <c r="D24" s="124" t="str">
        <f>VLOOKUP(A24,'Classement S6'!$B$2:$C$150,1,0)</f>
        <v>Elfy</v>
      </c>
      <c r="E24" s="125" t="str">
        <f t="shared" si="2"/>
        <v/>
      </c>
      <c r="F24" s="120" t="str">
        <f>VLOOKUP(A24,'Classement Général'!$B$2:$B$146,1,0)</f>
        <v>Elfy</v>
      </c>
    </row>
    <row r="25" ht="14.25" customHeight="1">
      <c r="A25" s="122" t="str">
        <f>IFERROR(__xludf.DUMMYFUNCTION("""COMPUTED_VALUE"""),"christ86000")</f>
        <v>christ86000</v>
      </c>
      <c r="B25" s="103">
        <v>24.0</v>
      </c>
      <c r="C25" s="123">
        <f t="shared" si="1"/>
        <v>701.9061402</v>
      </c>
      <c r="D25" s="124" t="str">
        <f>VLOOKUP(A25,'Classement S6'!$B$2:$C$150,1,0)</f>
        <v>christ86000</v>
      </c>
      <c r="E25" s="125" t="str">
        <f t="shared" si="2"/>
        <v/>
      </c>
      <c r="F25" s="120" t="str">
        <f>VLOOKUP(A25,'Classement Général'!$B$2:$B$146,1,0)</f>
        <v>christ86000</v>
      </c>
    </row>
    <row r="26" ht="14.25" customHeight="1">
      <c r="A26" s="122" t="str">
        <f>IFERROR(__xludf.DUMMYFUNCTION("""COMPUTED_VALUE"""),"FridAKahlo")</f>
        <v>FridAKahlo</v>
      </c>
      <c r="B26" s="103">
        <v>25.0</v>
      </c>
      <c r="C26" s="123">
        <f t="shared" si="1"/>
        <v>680.3046985</v>
      </c>
      <c r="D26" s="124" t="str">
        <f>VLOOKUP(A26,'Classement S6'!$B$2:$C$150,1,0)</f>
        <v>FridAKahlo</v>
      </c>
      <c r="E26" s="125" t="str">
        <f t="shared" si="2"/>
        <v/>
      </c>
      <c r="F26" s="120" t="str">
        <f>VLOOKUP(A26,'Classement Général'!$B$2:$B$146,1,0)</f>
        <v>FridAKahlo</v>
      </c>
    </row>
    <row r="27" ht="14.25" customHeight="1">
      <c r="A27" s="122" t="str">
        <f>IFERROR(__xludf.DUMMYFUNCTION("""COMPUTED_VALUE"""),"Chuckzim")</f>
        <v>Chuckzim</v>
      </c>
      <c r="B27" s="103">
        <v>26.0</v>
      </c>
      <c r="C27" s="123">
        <f t="shared" si="1"/>
        <v>659.33345</v>
      </c>
      <c r="D27" s="124" t="str">
        <f>VLOOKUP(A27,'Classement S6'!$B$2:$C$150,1,0)</f>
        <v>Chuckzim</v>
      </c>
      <c r="E27" s="125" t="str">
        <f t="shared" si="2"/>
        <v/>
      </c>
      <c r="F27" s="120" t="str">
        <f>VLOOKUP(A27,'Classement Général'!$B$2:$B$146,1,0)</f>
        <v>Chuckzim</v>
      </c>
    </row>
    <row r="28" ht="14.25" customHeight="1">
      <c r="A28" s="122" t="str">
        <f>IFERROR(__xludf.DUMMYFUNCTION("""COMPUTED_VALUE"""),"karibette86")</f>
        <v>karibette86</v>
      </c>
      <c r="B28" s="103">
        <v>27.0</v>
      </c>
      <c r="C28" s="123">
        <f t="shared" si="1"/>
        <v>638.9431042</v>
      </c>
      <c r="D28" s="124" t="str">
        <f>VLOOKUP(A28,'Classement S6'!$B$2:$C$150,1,0)</f>
        <v>karibette86</v>
      </c>
      <c r="E28" s="125" t="str">
        <f t="shared" si="2"/>
        <v/>
      </c>
      <c r="F28" s="120" t="str">
        <f>VLOOKUP(A28,'Classement Général'!$B$2:$B$146,1,0)</f>
        <v>karibette86</v>
      </c>
    </row>
    <row r="29" ht="14.25" customHeight="1">
      <c r="A29" s="122" t="str">
        <f>IFERROR(__xludf.DUMMYFUNCTION("""COMPUTED_VALUE"""),"Pachavi")</f>
        <v>Pachavi</v>
      </c>
      <c r="B29" s="103">
        <v>28.0</v>
      </c>
      <c r="C29" s="123">
        <f t="shared" si="1"/>
        <v>619.0899919</v>
      </c>
      <c r="D29" s="124" t="str">
        <f>VLOOKUP(A29,'Classement S6'!$B$2:$C$150,1,0)</f>
        <v>Pachavi</v>
      </c>
      <c r="E29" s="125" t="str">
        <f t="shared" si="2"/>
        <v/>
      </c>
      <c r="F29" s="120" t="str">
        <f>VLOOKUP(A29,'Classement Général'!$B$2:$B$146,1,0)</f>
        <v>Pachavi</v>
      </c>
    </row>
    <row r="30" ht="14.25" customHeight="1">
      <c r="A30" s="122" t="str">
        <f>IFERROR(__xludf.DUMMYFUNCTION("""COMPUTED_VALUE"""),"Cataleya86")</f>
        <v>Cataleya86</v>
      </c>
      <c r="B30" s="103">
        <v>29.0</v>
      </c>
      <c r="C30" s="123">
        <f t="shared" si="1"/>
        <v>599.7352433</v>
      </c>
      <c r="D30" s="124" t="str">
        <f>VLOOKUP(A30,'Classement S6'!$B$2:$C$150,1,0)</f>
        <v>Cataleya86</v>
      </c>
      <c r="E30" s="125" t="str">
        <f t="shared" si="2"/>
        <v/>
      </c>
      <c r="F30" s="120" t="str">
        <f>VLOOKUP(A30,'Classement Général'!$B$2:$B$146,1,0)</f>
        <v>Cataleya86</v>
      </c>
    </row>
    <row r="31" ht="14.25" customHeight="1">
      <c r="A31" s="122" t="str">
        <f>IFERROR(__xludf.DUMMYFUNCTION("""COMPUTED_VALUE"""),"-Feline")</f>
        <v>-Feline</v>
      </c>
      <c r="B31" s="103">
        <v>30.0</v>
      </c>
      <c r="C31" s="123">
        <f t="shared" si="1"/>
        <v>580.8441121</v>
      </c>
      <c r="D31" s="124" t="str">
        <f>VLOOKUP(A31,'Classement S6'!$B$2:$C$150,1,0)</f>
        <v>-Feline</v>
      </c>
      <c r="E31" s="125" t="str">
        <f t="shared" si="2"/>
        <v/>
      </c>
      <c r="F31" s="120" t="str">
        <f>VLOOKUP(A31,'Classement Général'!$B$2:$B$146,1,0)</f>
        <v>-Feline</v>
      </c>
    </row>
    <row r="32" ht="14.25" customHeight="1">
      <c r="A32" s="122" t="str">
        <f>IFERROR(__xludf.DUMMYFUNCTION("""COMPUTED_VALUE"""),"cassius-86")</f>
        <v>cassius-86</v>
      </c>
      <c r="B32" s="103">
        <v>31.0</v>
      </c>
      <c r="C32" s="123">
        <f t="shared" si="1"/>
        <v>562.3854135</v>
      </c>
      <c r="D32" s="124" t="str">
        <f>VLOOKUP(A32,'Classement S6'!$B$2:$C$150,1,0)</f>
        <v>cassius-86</v>
      </c>
      <c r="E32" s="125" t="str">
        <f t="shared" si="2"/>
        <v/>
      </c>
      <c r="F32" s="120" t="str">
        <f>VLOOKUP(A32,'Classement Général'!$B$2:$B$146,1,0)</f>
        <v>cassius-86</v>
      </c>
    </row>
    <row r="33" ht="14.25" customHeight="1">
      <c r="A33" s="122" t="str">
        <f>IFERROR(__xludf.DUMMYFUNCTION("""COMPUTED_VALUE"""),"rastamokett")</f>
        <v>rastamokett</v>
      </c>
      <c r="B33" s="103">
        <v>32.0</v>
      </c>
      <c r="C33" s="123">
        <f t="shared" si="1"/>
        <v>544.331054</v>
      </c>
      <c r="D33" s="124" t="str">
        <f>VLOOKUP(A33,'Classement S6'!$B$2:$C$150,1,0)</f>
        <v>rastamokett</v>
      </c>
      <c r="E33" s="125" t="str">
        <f t="shared" si="2"/>
        <v/>
      </c>
      <c r="F33" s="120" t="str">
        <f>VLOOKUP(A33,'Classement Général'!$B$2:$B$146,1,0)</f>
        <v>rastamokett</v>
      </c>
    </row>
    <row r="34" ht="14.25" customHeight="1">
      <c r="A34" s="122" t="str">
        <f>IFERROR(__xludf.DUMMYFUNCTION("""COMPUTED_VALUE"""),"COMBERS")</f>
        <v>COMBERS</v>
      </c>
      <c r="B34" s="103">
        <v>33.0</v>
      </c>
      <c r="C34" s="123">
        <f t="shared" si="1"/>
        <v>526.6556367</v>
      </c>
      <c r="D34" s="124" t="str">
        <f>VLOOKUP(A34,'Classement S6'!$B$2:$C$150,1,0)</f>
        <v>COMBERS</v>
      </c>
      <c r="E34" s="125" t="str">
        <f t="shared" si="2"/>
        <v/>
      </c>
      <c r="F34" s="120" t="str">
        <f>VLOOKUP(A34,'Classement Général'!$B$2:$B$146,1,0)</f>
        <v>COMBERS</v>
      </c>
    </row>
    <row r="35" ht="14.25" customHeight="1">
      <c r="A35" s="122" t="str">
        <f>IFERROR(__xludf.DUMMYFUNCTION("""COMPUTED_VALUE"""),"sonic86")</f>
        <v>sonic86</v>
      </c>
      <c r="B35" s="103">
        <v>34.0</v>
      </c>
      <c r="C35" s="123">
        <f t="shared" si="1"/>
        <v>509.3361275</v>
      </c>
      <c r="D35" s="124" t="str">
        <f>VLOOKUP(A35,'Classement S6'!$B$2:$C$150,1,0)</f>
        <v>sonic86</v>
      </c>
      <c r="E35" s="125" t="str">
        <f t="shared" si="2"/>
        <v/>
      </c>
      <c r="F35" s="120" t="str">
        <f>VLOOKUP(A35,'Classement Général'!$B$2:$B$146,1,0)</f>
        <v>sonic86</v>
      </c>
    </row>
    <row r="36" ht="14.25" customHeight="1">
      <c r="A36" s="122" t="str">
        <f>IFERROR(__xludf.DUMMYFUNCTION("""COMPUTED_VALUE"""),"Kiki Bazaar")</f>
        <v>Kiki Bazaar</v>
      </c>
      <c r="B36" s="103">
        <v>35.0</v>
      </c>
      <c r="C36" s="123">
        <f t="shared" si="1"/>
        <v>492.3515706</v>
      </c>
      <c r="D36" s="124" t="str">
        <f>VLOOKUP(A36,'Classement S6'!$B$2:$C$150,1,0)</f>
        <v>Kiki Bazaar</v>
      </c>
      <c r="E36" s="125" t="str">
        <f t="shared" si="2"/>
        <v/>
      </c>
      <c r="F36" s="120" t="str">
        <f>VLOOKUP(A36,'Classement Général'!$B$2:$B$146,1,0)</f>
        <v>Kiki Bazaar</v>
      </c>
    </row>
    <row r="37" ht="14.25" customHeight="1">
      <c r="A37" s="122" t="str">
        <f>IFERROR(__xludf.DUMMYFUNCTION("""COMPUTED_VALUE"""),"--WondeR--")</f>
        <v>--WondeR--</v>
      </c>
      <c r="B37" s="103">
        <v>36.0</v>
      </c>
      <c r="C37" s="123">
        <f t="shared" si="1"/>
        <v>475.682846</v>
      </c>
      <c r="D37" s="124" t="str">
        <f>VLOOKUP(A37,'Classement S6'!$B$2:$C$150,1,0)</f>
        <v>--WondeR--</v>
      </c>
      <c r="E37" s="125" t="str">
        <f t="shared" si="2"/>
        <v/>
      </c>
      <c r="F37" s="120" t="str">
        <f>VLOOKUP(A37,'Classement Général'!$B$2:$B$146,1,0)</f>
        <v>--WondeR--</v>
      </c>
    </row>
    <row r="38" ht="14.25" customHeight="1">
      <c r="A38" s="122" t="str">
        <f>IFERROR(__xludf.DUMMYFUNCTION("""COMPUTED_VALUE"""),"8kinder6")</f>
        <v>8kinder6</v>
      </c>
      <c r="B38" s="103">
        <v>37.0</v>
      </c>
      <c r="C38" s="123">
        <f t="shared" si="1"/>
        <v>459.3124612</v>
      </c>
      <c r="D38" s="124" t="str">
        <f>VLOOKUP(A38,'Classement S6'!$B$2:$C$150,1,0)</f>
        <v>8kinder6</v>
      </c>
      <c r="E38" s="125" t="str">
        <f t="shared" si="2"/>
        <v/>
      </c>
      <c r="F38" s="120" t="str">
        <f>VLOOKUP(A38,'Classement Général'!$B$2:$B$146,1,0)</f>
        <v>8kinder6</v>
      </c>
    </row>
    <row r="39" ht="14.25" customHeight="1">
      <c r="A39" s="122" t="str">
        <f>IFERROR(__xludf.DUMMYFUNCTION("""COMPUTED_VALUE"""),"Dirty Bazaar")</f>
        <v>Dirty Bazaar</v>
      </c>
      <c r="B39" s="103">
        <v>38.0</v>
      </c>
      <c r="C39" s="123">
        <f t="shared" si="1"/>
        <v>443.2243712</v>
      </c>
      <c r="D39" s="124" t="str">
        <f>VLOOKUP(A39,'Classement S6'!$B$2:$C$150,1,0)</f>
        <v>Dirty Bazaar</v>
      </c>
      <c r="E39" s="125" t="str">
        <f t="shared" si="2"/>
        <v/>
      </c>
      <c r="F39" s="120" t="str">
        <f>VLOOKUP(A39,'Classement Général'!$B$2:$B$146,1,0)</f>
        <v>Dirty Bazaar</v>
      </c>
    </row>
    <row r="40" ht="14.25" customHeight="1">
      <c r="A40" s="122" t="str">
        <f>IFERROR(__xludf.DUMMYFUNCTION("""COMPUTED_VALUE"""),"ariba")</f>
        <v>ariba</v>
      </c>
      <c r="B40" s="103">
        <v>39.0</v>
      </c>
      <c r="C40" s="123">
        <f t="shared" si="1"/>
        <v>427.4038233</v>
      </c>
      <c r="D40" s="124" t="str">
        <f>VLOOKUP(A40,'Classement S6'!$B$2:$C$150,1,0)</f>
        <v>ariba</v>
      </c>
      <c r="E40" s="125" t="str">
        <f t="shared" si="2"/>
        <v/>
      </c>
      <c r="F40" s="120" t="str">
        <f>VLOOKUP(A40,'Classement Général'!$B$2:$B$146,1,0)</f>
        <v>ariba</v>
      </c>
    </row>
    <row r="41" ht="14.25" customHeight="1">
      <c r="A41" s="122" t="str">
        <f>IFERROR(__xludf.DUMMYFUNCTION("""COMPUTED_VALUE"""),"ludolab")</f>
        <v>ludolab</v>
      </c>
      <c r="B41" s="103">
        <v>40.0</v>
      </c>
      <c r="C41" s="123">
        <f t="shared" si="1"/>
        <v>411.8372214</v>
      </c>
      <c r="D41" s="124" t="str">
        <f>VLOOKUP(A41,'Classement S6'!$B$2:$C$150,1,0)</f>
        <v>ludolab</v>
      </c>
      <c r="E41" s="125" t="str">
        <f t="shared" si="2"/>
        <v/>
      </c>
      <c r="F41" s="120" t="str">
        <f>VLOOKUP(A41,'Classement Général'!$B$2:$B$146,1,0)</f>
        <v>ludolab</v>
      </c>
    </row>
    <row r="42" ht="14.25" customHeight="1">
      <c r="A42" s="122" t="str">
        <f>IFERROR(__xludf.DUMMYFUNCTION("""COMPUTED_VALUE"""),"fiodor86")</f>
        <v>fiodor86</v>
      </c>
      <c r="B42" s="103">
        <v>41.0</v>
      </c>
      <c r="C42" s="123">
        <f t="shared" si="1"/>
        <v>396.5120082</v>
      </c>
      <c r="D42" s="124" t="str">
        <f>VLOOKUP(A42,'Classement S6'!$B$2:$C$150,1,0)</f>
        <v>fiodor86</v>
      </c>
      <c r="E42" s="125" t="str">
        <f t="shared" si="2"/>
        <v/>
      </c>
      <c r="F42" s="120" t="str">
        <f>VLOOKUP(A42,'Classement Général'!$B$2:$B$146,1,0)</f>
        <v>fiodor86</v>
      </c>
    </row>
    <row r="43" ht="14.25" customHeight="1">
      <c r="A43" s="122" t="str">
        <f>IFERROR(__xludf.DUMMYFUNCTION("""COMPUTED_VALUE"""),"Modoriya")</f>
        <v>Modoriya</v>
      </c>
      <c r="B43" s="103">
        <v>42.0</v>
      </c>
      <c r="C43" s="123">
        <f t="shared" si="1"/>
        <v>381.4165616</v>
      </c>
      <c r="D43" s="124" t="str">
        <f>VLOOKUP(A43,'Classement S6'!$B$2:$C$150,1,0)</f>
        <v>Modoriya</v>
      </c>
      <c r="E43" s="125" t="str">
        <f t="shared" si="2"/>
        <v/>
      </c>
      <c r="F43" s="120" t="str">
        <f>VLOOKUP(A43,'Classement Général'!$B$2:$B$146,1,0)</f>
        <v>Modoriya</v>
      </c>
    </row>
    <row r="44" ht="14.25" customHeight="1">
      <c r="A44" s="122" t="str">
        <f>IFERROR(__xludf.DUMMYFUNCTION("""COMPUTED_VALUE"""),"A_iniesta")</f>
        <v>A_iniesta</v>
      </c>
      <c r="B44" s="103">
        <v>43.0</v>
      </c>
      <c r="C44" s="123">
        <f t="shared" si="1"/>
        <v>366.5401039</v>
      </c>
      <c r="D44" s="124" t="str">
        <f>VLOOKUP(A44,'Classement S6'!$B$2:$C$150,1,0)</f>
        <v>A_iniesta</v>
      </c>
      <c r="E44" s="125" t="str">
        <f t="shared" si="2"/>
        <v/>
      </c>
      <c r="F44" s="120" t="str">
        <f>VLOOKUP(A44,'Classement Général'!$B$2:$B$146,1,0)</f>
        <v>A_iniesta</v>
      </c>
    </row>
    <row r="45" ht="14.25" customHeight="1">
      <c r="A45" s="122" t="str">
        <f>IFERROR(__xludf.DUMMYFUNCTION("""COMPUTED_VALUE"""),"NezuKO-demon")</f>
        <v>NezuKO-demon</v>
      </c>
      <c r="B45" s="103">
        <v>44.0</v>
      </c>
      <c r="C45" s="123">
        <f t="shared" si="1"/>
        <v>351.8726218</v>
      </c>
      <c r="D45" s="124" t="str">
        <f>VLOOKUP(A45,'Classement S6'!$B$2:$C$150,1,0)</f>
        <v>NezuKO-demon</v>
      </c>
      <c r="E45" s="125" t="str">
        <f t="shared" si="2"/>
        <v/>
      </c>
      <c r="F45" s="120" t="str">
        <f>VLOOKUP(A45,'Classement Général'!$B$2:$B$146,1,0)</f>
        <v>NezuKO-demon</v>
      </c>
    </row>
    <row r="46" ht="14.25" customHeight="1">
      <c r="A46" s="122" t="str">
        <f>IFERROR(__xludf.DUMMYFUNCTION("""COMPUTED_VALUE"""),"Blochedu86")</f>
        <v>Blochedu86</v>
      </c>
      <c r="B46" s="103">
        <v>45.0</v>
      </c>
      <c r="C46" s="123">
        <f t="shared" si="1"/>
        <v>337.4047951</v>
      </c>
      <c r="D46" s="124" t="str">
        <f>VLOOKUP(A46,'Classement S6'!$B$2:$C$150,1,0)</f>
        <v>Blochedu86</v>
      </c>
      <c r="E46" s="125" t="str">
        <f t="shared" si="2"/>
        <v/>
      </c>
      <c r="F46" s="120" t="str">
        <f>VLOOKUP(A46,'Classement Général'!$B$2:$B$146,1,0)</f>
        <v>Blochedu86</v>
      </c>
    </row>
    <row r="47" ht="14.25" customHeight="1">
      <c r="A47" s="122" t="str">
        <f>IFERROR(__xludf.DUMMYFUNCTION("""COMPUTED_VALUE"""),"gregmoore")</f>
        <v>gregmoore</v>
      </c>
      <c r="B47" s="103">
        <v>46.0</v>
      </c>
      <c r="C47" s="123">
        <f t="shared" si="1"/>
        <v>323.1279346</v>
      </c>
      <c r="D47" s="124" t="str">
        <f>VLOOKUP(A47,'Classement S6'!$B$2:$C$150,1,0)</f>
        <v>gregmoore</v>
      </c>
      <c r="E47" s="125" t="str">
        <f t="shared" si="2"/>
        <v/>
      </c>
      <c r="F47" s="120" t="str">
        <f>VLOOKUP(A47,'Classement Général'!$B$2:$B$146,1,0)</f>
        <v>gregmoore</v>
      </c>
    </row>
    <row r="48" ht="14.25" customHeight="1">
      <c r="A48" s="122" t="str">
        <f>IFERROR(__xludf.DUMMYFUNCTION("""COMPUTED_VALUE"""),"Marypops64")</f>
        <v>Marypops64</v>
      </c>
      <c r="B48" s="103">
        <v>47.0</v>
      </c>
      <c r="C48" s="123">
        <f t="shared" si="1"/>
        <v>309.0339257</v>
      </c>
      <c r="D48" s="124" t="str">
        <f>VLOOKUP(A48,'Classement S6'!$B$2:$C$150,1,0)</f>
        <v>Marypops64</v>
      </c>
      <c r="E48" s="125" t="str">
        <f t="shared" si="2"/>
        <v/>
      </c>
      <c r="F48" s="120" t="str">
        <f>VLOOKUP(A48,'Classement Général'!$B$2:$B$146,1,0)</f>
        <v>marypops64</v>
      </c>
    </row>
    <row r="49" ht="14.25" customHeight="1">
      <c r="A49" s="122" t="str">
        <f>IFERROR(__xludf.DUMMYFUNCTION("""COMPUTED_VALUE"""),"VietNems86")</f>
        <v>VietNems86</v>
      </c>
      <c r="B49" s="103">
        <v>48.0</v>
      </c>
      <c r="C49" s="123">
        <f t="shared" si="1"/>
        <v>295.1151786</v>
      </c>
      <c r="D49" s="124" t="str">
        <f>VLOOKUP(A49,'Classement S6'!$B$2:$C$150,1,0)</f>
        <v>VietNems86</v>
      </c>
      <c r="E49" s="125" t="str">
        <f t="shared" si="2"/>
        <v/>
      </c>
      <c r="F49" s="120" t="str">
        <f>VLOOKUP(A49,'Classement Général'!$B$2:$B$146,1,0)</f>
        <v>VietNems86</v>
      </c>
    </row>
    <row r="50" ht="14.25" customHeight="1">
      <c r="A50" s="122" t="str">
        <f>IFERROR(__xludf.DUMMYFUNCTION("""COMPUTED_VALUE"""),"pablo")</f>
        <v>pablo</v>
      </c>
      <c r="B50" s="103">
        <v>49.0</v>
      </c>
      <c r="C50" s="123">
        <f t="shared" si="1"/>
        <v>281.3645839</v>
      </c>
      <c r="D50" s="124" t="str">
        <f>VLOOKUP(A50,'Classement S6'!$B$2:$C$150,1,0)</f>
        <v>pablo</v>
      </c>
      <c r="E50" s="125" t="str">
        <f t="shared" si="2"/>
        <v/>
      </c>
      <c r="F50" s="120" t="str">
        <f>VLOOKUP(A50,'Classement Général'!$B$2:$B$146,1,0)</f>
        <v>pablo</v>
      </c>
    </row>
    <row r="51" ht="14.25" customHeight="1">
      <c r="A51" s="122" t="str">
        <f>IFERROR(__xludf.DUMMYFUNCTION("""COMPUTED_VALUE"""),"Rod_John_VI")</f>
        <v>Rod_John_VI</v>
      </c>
      <c r="B51" s="103">
        <v>50.0</v>
      </c>
      <c r="C51" s="123">
        <f t="shared" si="1"/>
        <v>267.7754726</v>
      </c>
      <c r="D51" s="124" t="str">
        <f>VLOOKUP(A51,'Classement S6'!$B$2:$C$150,1,0)</f>
        <v>Rod_John_VI</v>
      </c>
      <c r="E51" s="125" t="str">
        <f t="shared" si="2"/>
        <v/>
      </c>
      <c r="F51" s="120" t="str">
        <f>VLOOKUP(A51,'Classement Général'!$B$2:$B$146,1,0)</f>
        <v>Rod_John_VI</v>
      </c>
    </row>
    <row r="52" ht="14.25" customHeight="1">
      <c r="A52" s="122" t="str">
        <f>IFERROR(__xludf.DUMMYFUNCTION("""COMPUTED_VALUE"""),"Phil1308")</f>
        <v>Phil1308</v>
      </c>
      <c r="B52" s="103">
        <v>51.0</v>
      </c>
      <c r="C52" s="123">
        <f t="shared" si="1"/>
        <v>254.3415803</v>
      </c>
      <c r="D52" s="124" t="str">
        <f>VLOOKUP(A52,'Classement S6'!$B$2:$C$150,1,0)</f>
        <v>Phil1308</v>
      </c>
      <c r="E52" s="125" t="str">
        <f t="shared" si="2"/>
        <v/>
      </c>
      <c r="F52" s="120" t="str">
        <f>VLOOKUP(A52,'Classement Général'!$B$2:$B$146,1,0)</f>
        <v>Phil1308</v>
      </c>
    </row>
    <row r="53" ht="14.25" customHeight="1">
      <c r="A53" s="122" t="str">
        <f>IFERROR(__xludf.DUMMYFUNCTION("""COMPUTED_VALUE"""),"NOVICEMYSTIC")</f>
        <v>NOVICEMYSTIC</v>
      </c>
      <c r="B53" s="103">
        <v>52.0</v>
      </c>
      <c r="C53" s="123">
        <f t="shared" si="1"/>
        <v>241.057015</v>
      </c>
      <c r="D53" s="124" t="str">
        <f>VLOOKUP(A53,'Classement S6'!$B$2:$C$150,1,0)</f>
        <v>NOVICEMYSTIC</v>
      </c>
      <c r="E53" s="125" t="str">
        <f t="shared" si="2"/>
        <v/>
      </c>
      <c r="F53" s="120" t="str">
        <f>VLOOKUP(A53,'Classement Général'!$B$2:$B$146,1,0)</f>
        <v>NOVICEMYSTIC</v>
      </c>
    </row>
    <row r="54" ht="14.25" customHeight="1">
      <c r="A54" s="122" t="str">
        <f>IFERROR(__xludf.DUMMYFUNCTION("""COMPUTED_VALUE"""),"AKlibur")</f>
        <v>AKlibur</v>
      </c>
      <c r="B54" s="103">
        <v>53.0</v>
      </c>
      <c r="C54" s="123">
        <f t="shared" si="1"/>
        <v>227.9162277</v>
      </c>
      <c r="D54" s="124" t="str">
        <f>VLOOKUP(A54,'Classement S6'!$B$2:$C$150,1,0)</f>
        <v>AKlibur</v>
      </c>
      <c r="E54" s="125" t="str">
        <f t="shared" si="2"/>
        <v/>
      </c>
      <c r="F54" s="120" t="str">
        <f>VLOOKUP(A54,'Classement Général'!$B$2:$B$146,1,0)</f>
        <v>AKlibur</v>
      </c>
    </row>
    <row r="55" ht="14.25" customHeight="1">
      <c r="A55" s="122" t="str">
        <f>IFERROR(__xludf.DUMMYFUNCTION("""COMPUTED_VALUE"""),"Like_A_Fish")</f>
        <v>Like_A_Fish</v>
      </c>
      <c r="B55" s="103">
        <v>54.0</v>
      </c>
      <c r="C55" s="123">
        <f t="shared" si="1"/>
        <v>214.9139864</v>
      </c>
      <c r="D55" s="124" t="str">
        <f>VLOOKUP(A55,'Classement S6'!$B$2:$C$150,1,0)</f>
        <v>Like_A_Fish</v>
      </c>
      <c r="E55" s="125" t="str">
        <f t="shared" si="2"/>
        <v/>
      </c>
      <c r="F55" s="120" t="str">
        <f>VLOOKUP(A55,'Classement Général'!$B$2:$B$146,1,0)</f>
        <v>Like_A_Fish</v>
      </c>
    </row>
    <row r="56" ht="14.25" customHeight="1">
      <c r="A56" s="122" t="str">
        <f>IFERROR(__xludf.DUMMYFUNCTION("""COMPUTED_VALUE"""),"jejehehe")</f>
        <v>jejehehe</v>
      </c>
      <c r="B56" s="103">
        <v>55.0</v>
      </c>
      <c r="C56" s="123">
        <f t="shared" si="1"/>
        <v>202.0453518</v>
      </c>
      <c r="D56" s="124" t="str">
        <f>VLOOKUP(A56,'Classement S6'!$B$2:$C$150,1,0)</f>
        <v>jejehehe</v>
      </c>
      <c r="E56" s="125" t="str">
        <f t="shared" si="2"/>
        <v/>
      </c>
      <c r="F56" s="120" t="str">
        <f>VLOOKUP(A56,'Classement Général'!$B$2:$B$146,1,0)</f>
        <v>jejehehe</v>
      </c>
    </row>
    <row r="57" ht="14.25" customHeight="1">
      <c r="A57" s="122" t="str">
        <f>IFERROR(__xludf.DUMMYFUNCTION("""COMPUTED_VALUE"""),"Mar1desbois")</f>
        <v>Mar1desbois</v>
      </c>
      <c r="B57" s="103">
        <v>56.0</v>
      </c>
      <c r="C57" s="123">
        <f t="shared" si="1"/>
        <v>189.3056563</v>
      </c>
      <c r="D57" s="124" t="str">
        <f>VLOOKUP(A57,'Classement S6'!$B$2:$C$150,1,0)</f>
        <v>Mar1desbois</v>
      </c>
      <c r="E57" s="125" t="str">
        <f t="shared" si="2"/>
        <v/>
      </c>
      <c r="F57" s="120" t="str">
        <f>VLOOKUP(A57,'Classement Général'!$B$2:$B$146,1,0)</f>
        <v>Mar1desbois</v>
      </c>
    </row>
    <row r="58" ht="14.25" customHeight="1">
      <c r="A58" s="122" t="str">
        <f>IFERROR(__xludf.DUMMYFUNCTION("""COMPUTED_VALUE"""),"Mako Lemore")</f>
        <v>Mako Lemore</v>
      </c>
      <c r="B58" s="103">
        <v>57.0</v>
      </c>
      <c r="C58" s="123">
        <f t="shared" si="1"/>
        <v>176.6904838</v>
      </c>
      <c r="D58" s="124" t="str">
        <f>VLOOKUP(A58,'Classement S6'!$B$2:$C$150,1,0)</f>
        <v>Mako Lemore</v>
      </c>
      <c r="E58" s="125" t="str">
        <f t="shared" si="2"/>
        <v/>
      </c>
      <c r="F58" s="120" t="str">
        <f>VLOOKUP(A58,'Classement Général'!$B$2:$B$146,1,0)</f>
        <v>Mako Lemore</v>
      </c>
    </row>
    <row r="59" ht="14.25" customHeight="1">
      <c r="A59" s="122" t="str">
        <f>IFERROR(__xludf.DUMMYFUNCTION("""COMPUTED_VALUE"""),"gu3ul3Dang3")</f>
        <v>gu3ul3Dang3</v>
      </c>
      <c r="B59" s="103">
        <v>58.0</v>
      </c>
      <c r="C59" s="123">
        <f t="shared" si="1"/>
        <v>164.1956518</v>
      </c>
      <c r="D59" s="124" t="str">
        <f>VLOOKUP(A59,'Classement S6'!$B$2:$C$150,1,0)</f>
        <v>gu3ul3Dang3</v>
      </c>
      <c r="E59" s="125" t="str">
        <f t="shared" si="2"/>
        <v/>
      </c>
      <c r="F59" s="120" t="str">
        <f>VLOOKUP(A59,'Classement Général'!$B$2:$B$146,1,0)</f>
        <v>gu3ul3Dang3</v>
      </c>
    </row>
    <row r="60" ht="14.25" customHeight="1">
      <c r="A60" s="122" t="str">
        <f>IFERROR(__xludf.DUMMYFUNCTION("""COMPUTED_VALUE"""),"chatouill86")</f>
        <v>chatouill86</v>
      </c>
      <c r="B60" s="103">
        <v>59.0</v>
      </c>
      <c r="C60" s="123">
        <f t="shared" si="1"/>
        <v>151.8171953</v>
      </c>
      <c r="D60" s="124" t="str">
        <f>VLOOKUP(A60,'Classement S6'!$B$2:$C$150,1,0)</f>
        <v>chatouill86</v>
      </c>
      <c r="E60" s="125" t="str">
        <f t="shared" si="2"/>
        <v/>
      </c>
      <c r="F60" s="120" t="str">
        <f>VLOOKUP(A60,'Classement Général'!$B$2:$B$146,1,0)</f>
        <v>chatouill86</v>
      </c>
    </row>
    <row r="61" ht="14.25" customHeight="1">
      <c r="A61" s="122" t="str">
        <f>IFERROR(__xludf.DUMMYFUNCTION("""COMPUTED_VALUE"""),"KamehamehAS")</f>
        <v>KamehamehAS</v>
      </c>
      <c r="B61" s="103">
        <v>60.0</v>
      </c>
      <c r="C61" s="123">
        <f t="shared" si="1"/>
        <v>139.5513519</v>
      </c>
      <c r="D61" s="124" t="str">
        <f>VLOOKUP(A61,'Classement S6'!$B$2:$C$150,1,0)</f>
        <v>KamehamehAS</v>
      </c>
      <c r="E61" s="125" t="str">
        <f t="shared" si="2"/>
        <v/>
      </c>
      <c r="F61" s="120" t="str">
        <f>VLOOKUP(A61,'Classement Général'!$B$2:$B$146,1,0)</f>
        <v>KamehamehAS</v>
      </c>
    </row>
    <row r="62" ht="14.25" customHeight="1">
      <c r="A62" s="122" t="str">
        <f>IFERROR(__xludf.DUMMYFUNCTION("""COMPUTED_VALUE"""),".choco")</f>
        <v>.choco</v>
      </c>
      <c r="B62" s="103">
        <v>61.0</v>
      </c>
      <c r="C62" s="123">
        <f t="shared" si="1"/>
        <v>127.3945477</v>
      </c>
      <c r="D62" s="124" t="str">
        <f>VLOOKUP(A62,'Classement S6'!$B$2:$C$150,1,0)</f>
        <v>.choco</v>
      </c>
      <c r="E62" s="125" t="str">
        <f t="shared" si="2"/>
        <v/>
      </c>
      <c r="F62" s="120" t="str">
        <f>VLOOKUP(A62,'Classement Général'!$B$2:$B$146,1,0)</f>
        <v>.choco</v>
      </c>
    </row>
    <row r="63" ht="14.25" customHeight="1">
      <c r="A63" s="122" t="str">
        <f>IFERROR(__xludf.DUMMYFUNCTION("""COMPUTED_VALUE"""),"Garou du 86")</f>
        <v>Garou du 86</v>
      </c>
      <c r="B63" s="103">
        <v>62.0</v>
      </c>
      <c r="C63" s="123">
        <f t="shared" si="1"/>
        <v>115.3433849</v>
      </c>
      <c r="D63" s="124" t="str">
        <f>VLOOKUP(A63,'Classement S6'!$B$2:$C$150,1,0)</f>
        <v>Garou du 86</v>
      </c>
      <c r="E63" s="125" t="str">
        <f t="shared" si="2"/>
        <v/>
      </c>
      <c r="F63" s="120" t="str">
        <f>VLOOKUP(A63,'Classement Général'!$B$2:$B$146,1,0)</f>
        <v>Garou du 86</v>
      </c>
    </row>
    <row r="64" ht="14.25" customHeight="1">
      <c r="A64" s="122" t="str">
        <f>IFERROR(__xludf.DUMMYFUNCTION("""COMPUTED_VALUE"""),"PrendmAmAin")</f>
        <v>PrendmAmAin</v>
      </c>
      <c r="B64" s="103">
        <v>63.0</v>
      </c>
      <c r="C64" s="123">
        <f t="shared" si="1"/>
        <v>103.3946308</v>
      </c>
      <c r="D64" s="124" t="str">
        <f>VLOOKUP(A64,'Classement S6'!$B$2:$C$150,1,0)</f>
        <v>PrendmAmAin</v>
      </c>
      <c r="E64" s="125" t="str">
        <f t="shared" si="2"/>
        <v/>
      </c>
      <c r="F64" s="120" t="str">
        <f>VLOOKUP(A64,'Classement Général'!$B$2:$B$146,1,0)</f>
        <v>PrendmAmAin</v>
      </c>
    </row>
    <row r="65" ht="14.25" customHeight="1">
      <c r="A65" s="122" t="str">
        <f>IFERROR(__xludf.DUMMYFUNCTION("""COMPUTED_VALUE"""),"DonnesTchips")</f>
        <v>DonnesTchips</v>
      </c>
      <c r="B65" s="103">
        <v>64.0</v>
      </c>
      <c r="C65" s="123">
        <f t="shared" si="1"/>
        <v>91.5452064</v>
      </c>
      <c r="D65" s="124" t="str">
        <f>VLOOKUP(A65,'Classement S6'!$B$2:$C$150,1,0)</f>
        <v>DonnesTchips</v>
      </c>
      <c r="E65" s="125" t="str">
        <f t="shared" si="2"/>
        <v/>
      </c>
      <c r="F65" s="120" t="str">
        <f>VLOOKUP(A65,'Classement Général'!$B$2:$B$146,1,0)</f>
        <v>DonnesTchips</v>
      </c>
    </row>
    <row r="66" ht="14.25" customHeight="1">
      <c r="A66" s="122" t="str">
        <f>IFERROR(__xludf.DUMMYFUNCTION("""COMPUTED_VALUE"""),"Sab86360")</f>
        <v>Sab86360</v>
      </c>
      <c r="B66" s="103">
        <v>65.0</v>
      </c>
      <c r="C66" s="123">
        <f t="shared" si="1"/>
        <v>79.79217723</v>
      </c>
      <c r="D66" s="124" t="str">
        <f>VLOOKUP(A66,'Classement S6'!$B$2:$C$150,1,0)</f>
        <v>Sab86360</v>
      </c>
      <c r="E66" s="125" t="str">
        <f t="shared" si="2"/>
        <v/>
      </c>
      <c r="F66" s="120" t="str">
        <f>VLOOKUP(A66,'Classement Général'!$B$2:$B$146,1,0)</f>
        <v>Sab86360</v>
      </c>
    </row>
    <row r="67" ht="14.25" customHeight="1">
      <c r="A67" s="122" t="str">
        <f>IFERROR(__xludf.DUMMYFUNCTION("""COMPUTED_VALUE"""),"Fistipanda")</f>
        <v>Fistipanda</v>
      </c>
      <c r="B67" s="103">
        <v>66.0</v>
      </c>
      <c r="C67" s="123">
        <f t="shared" si="1"/>
        <v>68.13274415</v>
      </c>
      <c r="D67" s="124" t="str">
        <f>VLOOKUP(A67,'Classement S6'!$B$2:$C$150,1,0)</f>
        <v>Fistipanda</v>
      </c>
      <c r="E67" s="125" t="str">
        <f t="shared" si="2"/>
        <v/>
      </c>
      <c r="F67" s="120" t="str">
        <f>VLOOKUP(A67,'Classement Général'!$B$2:$B$146,1,0)</f>
        <v>Fistipanda</v>
      </c>
    </row>
    <row r="68" ht="14.25" customHeight="1">
      <c r="A68" s="122" t="str">
        <f>IFERROR(__xludf.DUMMYFUNCTION("""COMPUTED_VALUE"""),". BARBAPAPA66")</f>
        <v>. BARBAPAPA66</v>
      </c>
      <c r="B68" s="103">
        <v>67.0</v>
      </c>
      <c r="C68" s="123">
        <f t="shared" si="1"/>
        <v>56.56423505</v>
      </c>
      <c r="D68" s="124" t="str">
        <f>VLOOKUP(A68,'Classement S6'!$B$2:$C$150,1,0)</f>
        <v>. BARBAPAPA66</v>
      </c>
      <c r="E68" s="125" t="str">
        <f t="shared" si="2"/>
        <v/>
      </c>
      <c r="F68" s="120" t="str">
        <f>VLOOKUP(A68,'Classement Général'!$B$2:$B$146,1,0)</f>
        <v>. BARBAPAPA66</v>
      </c>
    </row>
    <row r="69" ht="14.25" customHeight="1">
      <c r="A69" s="122" t="str">
        <f>IFERROR(__xludf.DUMMYFUNCTION("""COMPUTED_VALUE"""),"_VisMaVie_")</f>
        <v>_VisMaVie_</v>
      </c>
      <c r="B69" s="103">
        <v>68.0</v>
      </c>
      <c r="C69" s="123">
        <f t="shared" si="1"/>
        <v>45.08409724</v>
      </c>
      <c r="D69" s="124" t="str">
        <f>VLOOKUP(A69,'Classement S6'!$B$2:$C$150,1,0)</f>
        <v>_VisMaVie_</v>
      </c>
      <c r="E69" s="125" t="str">
        <f t="shared" si="2"/>
        <v/>
      </c>
      <c r="F69" s="120" t="str">
        <f>VLOOKUP(A69,'Classement Général'!$B$2:$B$146,1,0)</f>
        <v>_VisMaVie_</v>
      </c>
    </row>
    <row r="70" ht="14.25" customHeight="1">
      <c r="A70" s="122" t="str">
        <f>IFERROR(__xludf.DUMMYFUNCTION("""COMPUTED_VALUE"""),"vicmackey86")</f>
        <v>vicmackey86</v>
      </c>
      <c r="B70" s="103">
        <v>69.0</v>
      </c>
      <c r="C70" s="123">
        <f t="shared" si="1"/>
        <v>33.68989029</v>
      </c>
      <c r="D70" s="124" t="str">
        <f>VLOOKUP(A70,'Classement S6'!$B$2:$C$150,1,0)</f>
        <v>vicmackey86</v>
      </c>
      <c r="E70" s="125" t="str">
        <f t="shared" si="2"/>
        <v/>
      </c>
      <c r="F70" s="120" t="str">
        <f>VLOOKUP(A70,'Classement Général'!$B$2:$B$146,1,0)</f>
        <v>vicmackey86</v>
      </c>
    </row>
    <row r="71" ht="14.25" customHeight="1">
      <c r="A71" s="122" t="str">
        <f>IFERROR(__xludf.DUMMYFUNCTION("""COMPUTED_VALUE"""),"BBH 75")</f>
        <v>BBH 75</v>
      </c>
      <c r="B71" s="103">
        <v>70.0</v>
      </c>
      <c r="C71" s="123">
        <f t="shared" si="1"/>
        <v>22.3792795</v>
      </c>
      <c r="D71" s="124" t="str">
        <f>VLOOKUP(A71,'Classement S6'!$B$2:$C$150,1,0)</f>
        <v>BBH 75</v>
      </c>
      <c r="E71" s="125" t="str">
        <f t="shared" si="2"/>
        <v/>
      </c>
      <c r="F71" s="120" t="str">
        <f>VLOOKUP(A71,'Classement Général'!$B$2:$B$146,1,0)</f>
        <v>BBH 75</v>
      </c>
    </row>
    <row r="72" ht="14.25" customHeight="1">
      <c r="A72" s="122" t="str">
        <f>IFERROR(__xludf.DUMMYFUNCTION("""COMPUTED_VALUE"""),"StephBoss05")</f>
        <v>StephBoss05</v>
      </c>
      <c r="B72" s="103">
        <v>71.0</v>
      </c>
      <c r="C72" s="123">
        <f t="shared" si="1"/>
        <v>11.15002978</v>
      </c>
      <c r="D72" s="124" t="str">
        <f>VLOOKUP(A72,'Classement S6'!$B$2:$C$150,1,0)</f>
        <v>StephBoss05</v>
      </c>
      <c r="E72" s="125" t="str">
        <f t="shared" si="2"/>
        <v/>
      </c>
      <c r="F72" s="120" t="str">
        <f>VLOOKUP(A72,'Classement Général'!$B$2:$B$146,1,0)</f>
        <v>StephBoss05</v>
      </c>
    </row>
    <row r="73" ht="14.25" customHeight="1">
      <c r="A73" s="122"/>
      <c r="B73" s="103">
        <v>72.0</v>
      </c>
      <c r="C73" s="123">
        <f t="shared" si="1"/>
        <v>0</v>
      </c>
      <c r="D73" s="124" t="str">
        <f>VLOOKUP(A73,'Classement S6'!$B$2:$C$150,1,0)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22"/>
      <c r="B74" s="103">
        <v>73.0</v>
      </c>
      <c r="C74" s="123">
        <f t="shared" si="1"/>
        <v>-11.07286231</v>
      </c>
      <c r="D74" s="124" t="str">
        <f>VLOOKUP(A74,'Classement S6'!$B$2:$C$150,1,0)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22"/>
      <c r="B75" s="103">
        <v>74.0</v>
      </c>
      <c r="C75" s="123">
        <f t="shared" si="1"/>
        <v>-22.07052583</v>
      </c>
      <c r="D75" s="124" t="str">
        <f>VLOOKUP(A75,'Classement S6'!$B$2:$C$150,1,0)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22"/>
      <c r="B76" s="103">
        <v>75.0</v>
      </c>
      <c r="C76" s="123">
        <f t="shared" si="1"/>
        <v>-32.99488003</v>
      </c>
      <c r="D76" s="124" t="str">
        <f>VLOOKUP(A76,'Classement S6'!$B$2:$C$150,1,0)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22"/>
      <c r="B77" s="103">
        <v>76.0</v>
      </c>
      <c r="C77" s="123">
        <f t="shared" si="1"/>
        <v>-43.8477394</v>
      </c>
      <c r="D77" s="124" t="str">
        <f>VLOOKUP(A77,'Classement S6'!$B$2:$C$150,1,0)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22"/>
      <c r="B78" s="103">
        <v>77.0</v>
      </c>
      <c r="C78" s="123">
        <f t="shared" si="1"/>
        <v>-54.63084748</v>
      </c>
      <c r="D78" s="124" t="str">
        <f>VLOOKUP(A78,'Classement S6'!$B$2:$C$150,1,0)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22"/>
      <c r="B79" s="103">
        <v>78.0</v>
      </c>
      <c r="C79" s="123">
        <f t="shared" si="1"/>
        <v>-65.34588052</v>
      </c>
      <c r="D79" s="124" t="str">
        <f>VLOOKUP(A79,'Classement S6'!$B$2:$C$150,1,0)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27"/>
      <c r="B80" s="103">
        <v>79.0</v>
      </c>
      <c r="C80" s="123">
        <f t="shared" si="1"/>
        <v>-75.99445099</v>
      </c>
      <c r="D80" s="124" t="str">
        <f>VLOOKUP(A80,'Classement S6'!$B$2:$C$150,1,0)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27"/>
      <c r="B81" s="103">
        <v>80.0</v>
      </c>
      <c r="C81" s="123">
        <f t="shared" si="1"/>
        <v>-86.57811079</v>
      </c>
      <c r="D81" s="124" t="str">
        <f>VLOOKUP(A81,'Classement S6'!$B$2:$C$150,1,0)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27"/>
      <c r="B82" s="103">
        <v>81.0</v>
      </c>
      <c r="C82" s="123">
        <f t="shared" si="1"/>
        <v>-97.09835434</v>
      </c>
      <c r="D82" s="124" t="str">
        <f>VLOOKUP(A82,'Classement S6'!$B$2:$C$150,1,0)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27"/>
      <c r="B83" s="103">
        <v>82.0</v>
      </c>
      <c r="C83" s="123">
        <f t="shared" si="1"/>
        <v>-107.5566214</v>
      </c>
      <c r="D83" s="124" t="str">
        <f>VLOOKUP(A83,'Classement S6'!$B$2:$C$150,1,0)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27"/>
      <c r="B84" s="103">
        <v>83.0</v>
      </c>
      <c r="C84" s="123">
        <f t="shared" si="1"/>
        <v>-117.9542998</v>
      </c>
      <c r="D84" s="124" t="str">
        <f>VLOOKUP(A84,'Classement S6'!$B$2:$C$150,1,0)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27"/>
      <c r="B85" s="103">
        <v>84.0</v>
      </c>
      <c r="C85" s="123">
        <f t="shared" si="1"/>
        <v>-128.2927278</v>
      </c>
      <c r="D85" s="124" t="str">
        <f>VLOOKUP(A85,'Classement S6'!$B$2:$C$150,1,0)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27"/>
      <c r="B86" s="103">
        <v>85.0</v>
      </c>
      <c r="C86" s="123">
        <f t="shared" si="1"/>
        <v>-138.5731967</v>
      </c>
      <c r="D86" s="124" t="str">
        <f>VLOOKUP(A86,'Classement S6'!$B$2:$C$150,1,0)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27"/>
      <c r="B87" s="103">
        <v>86.0</v>
      </c>
      <c r="C87" s="123">
        <f t="shared" si="1"/>
        <v>-148.7969528</v>
      </c>
      <c r="D87" s="124" t="str">
        <f>VLOOKUP(A87,'Classement S6'!$B$2:$C$150,1,0)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27"/>
      <c r="B88" s="103">
        <v>87.0</v>
      </c>
      <c r="C88" s="123">
        <f t="shared" si="1"/>
        <v>-158.9651999</v>
      </c>
      <c r="D88" s="124" t="str">
        <f>VLOOKUP(A88,'Classement S6'!$B$2:$C$150,1,0)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27"/>
      <c r="B89" s="103">
        <v>88.0</v>
      </c>
      <c r="C89" s="123">
        <f t="shared" si="1"/>
        <v>-169.0791007</v>
      </c>
      <c r="D89" s="124" t="str">
        <f>VLOOKUP(A89,'Classement S6'!$B$2:$C$150,1,0)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27"/>
      <c r="B90" s="103">
        <v>89.0</v>
      </c>
      <c r="C90" s="123">
        <f t="shared" si="1"/>
        <v>-179.1397791</v>
      </c>
      <c r="D90" s="124" t="str">
        <f>VLOOKUP(A90,'Classement S6'!$B$2:$C$150,1,0)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27"/>
      <c r="B91" s="103">
        <v>90.0</v>
      </c>
      <c r="C91" s="123">
        <f t="shared" si="1"/>
        <v>-189.1483218</v>
      </c>
      <c r="D91" s="124" t="str">
        <f>VLOOKUP(A91,'Classement S6'!$B$2:$C$150,1,0)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27"/>
      <c r="B92" s="103">
        <v>91.0</v>
      </c>
      <c r="C92" s="123">
        <f t="shared" si="1"/>
        <v>-199.1057799</v>
      </c>
      <c r="D92" s="124" t="str">
        <f>VLOOKUP(A92,'Classement S6'!$B$2:$C$150,1,0)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27"/>
      <c r="B93" s="103">
        <v>92.0</v>
      </c>
      <c r="C93" s="123">
        <f t="shared" si="1"/>
        <v>-209.0131707</v>
      </c>
      <c r="D93" s="124" t="str">
        <f>VLOOKUP(A93,'Classement S6'!$B$2:$C$150,1,0)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27"/>
      <c r="B94" s="103">
        <v>93.0</v>
      </c>
      <c r="C94" s="123">
        <f t="shared" si="1"/>
        <v>-218.8714788</v>
      </c>
      <c r="D94" s="124" t="str">
        <f>VLOOKUP(A94,'Classement S6'!$B$2:$C$150,1,0)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27"/>
      <c r="B95" s="103">
        <v>94.0</v>
      </c>
      <c r="C95" s="123">
        <f t="shared" si="1"/>
        <v>-228.6816579</v>
      </c>
      <c r="D95" s="124" t="str">
        <f>VLOOKUP(A95,'Classement S6'!$B$2:$C$150,1,0)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27"/>
      <c r="B96" s="103">
        <v>95.0</v>
      </c>
      <c r="C96" s="123">
        <f t="shared" si="1"/>
        <v>-238.4446318</v>
      </c>
      <c r="D96" s="124" t="str">
        <f>VLOOKUP(A96,'Classement S6'!$B$2:$C$150,1,0)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27"/>
      <c r="B97" s="103">
        <v>96.0</v>
      </c>
      <c r="C97" s="123">
        <f t="shared" si="1"/>
        <v>-248.1612958</v>
      </c>
      <c r="D97" s="124" t="str">
        <f>VLOOKUP(A97,'Classement S6'!$B$2:$C$150,1,0)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27"/>
      <c r="B98" s="103">
        <v>97.0</v>
      </c>
      <c r="C98" s="123">
        <f t="shared" si="1"/>
        <v>-257.8325179</v>
      </c>
      <c r="D98" s="124" t="str">
        <f>VLOOKUP(A98,'Classement S6'!$B$2:$C$150,1,0)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27"/>
      <c r="B99" s="103">
        <v>98.0</v>
      </c>
      <c r="C99" s="123">
        <f t="shared" si="1"/>
        <v>-267.4591399</v>
      </c>
      <c r="D99" s="124" t="str">
        <f>VLOOKUP(A99,'Classement S6'!$B$2:$C$150,1,0)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27"/>
      <c r="B100" s="103">
        <v>99.0</v>
      </c>
      <c r="C100" s="123">
        <f t="shared" si="1"/>
        <v>-277.0419786</v>
      </c>
      <c r="D100" s="124" t="str">
        <f>VLOOKUP(A100,'Classement S6'!$B$2:$C$150,1,0)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27"/>
      <c r="B101" s="103">
        <v>100.0</v>
      </c>
      <c r="C101" s="123">
        <f t="shared" si="1"/>
        <v>-286.5818263</v>
      </c>
      <c r="D101" s="124" t="str">
        <f>VLOOKUP(A101,'Classement S6'!$B$2:$C$150,1,0)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27"/>
      <c r="B102" s="103">
        <v>101.0</v>
      </c>
      <c r="C102" s="123">
        <f t="shared" si="1"/>
        <v>-296.0794526</v>
      </c>
      <c r="D102" s="124" t="str">
        <f>VLOOKUP(A102,'Classement S6'!$B$2:$C$150,1,0)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27"/>
      <c r="B103" s="103">
        <v>102.0</v>
      </c>
      <c r="C103" s="123">
        <f t="shared" si="1"/>
        <v>-305.5356045</v>
      </c>
      <c r="D103" s="124" t="str">
        <f>VLOOKUP(A103,'Classement S6'!$B$2:$C$150,1,0)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27"/>
      <c r="B104" s="103">
        <v>103.0</v>
      </c>
      <c r="C104" s="123">
        <f t="shared" si="1"/>
        <v>-314.9510078</v>
      </c>
      <c r="D104" s="124" t="str">
        <f>VLOOKUP(A104,'Classement S6'!$B$2:$C$150,1,0)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27"/>
      <c r="B105" s="103">
        <v>104.0</v>
      </c>
      <c r="C105" s="123">
        <f t="shared" si="1"/>
        <v>-324.3263677</v>
      </c>
      <c r="D105" s="124" t="str">
        <f>VLOOKUP(A105,'Classement S6'!$B$2:$C$150,1,0)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27"/>
      <c r="B106" s="103">
        <v>105.0</v>
      </c>
      <c r="C106" s="123">
        <f t="shared" si="1"/>
        <v>-333.6623696</v>
      </c>
      <c r="D106" s="124" t="str">
        <f>VLOOKUP(A106,'Classement S6'!$B$2:$C$150,1,0)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27"/>
      <c r="B107" s="103">
        <v>106.0</v>
      </c>
      <c r="C107" s="123">
        <f t="shared" si="1"/>
        <v>-342.9596801</v>
      </c>
      <c r="D107" s="124" t="str">
        <f>VLOOKUP(A107,'Classement S6'!$B$2:$C$150,1,0)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27"/>
      <c r="B108" s="103">
        <v>107.0</v>
      </c>
      <c r="C108" s="123">
        <f t="shared" si="1"/>
        <v>-352.2189472</v>
      </c>
      <c r="D108" s="124" t="str">
        <f>VLOOKUP(A108,'Classement S6'!$B$2:$C$150,1,0)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27"/>
      <c r="B109" s="103">
        <v>108.0</v>
      </c>
      <c r="C109" s="123">
        <f t="shared" si="1"/>
        <v>-361.4408014</v>
      </c>
      <c r="D109" s="124" t="str">
        <f>VLOOKUP(A109,'Classement S6'!$B$2:$C$150,1,0)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27"/>
      <c r="B110" s="103">
        <v>109.0</v>
      </c>
      <c r="C110" s="123">
        <f t="shared" si="1"/>
        <v>-370.6258564</v>
      </c>
      <c r="D110" s="124" t="str">
        <f>VLOOKUP(A110,'Classement S6'!$B$2:$C$150,1,0)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27"/>
      <c r="B111" s="103">
        <v>110.0</v>
      </c>
      <c r="C111" s="123">
        <f t="shared" si="1"/>
        <v>-379.7747093</v>
      </c>
      <c r="D111" s="124" t="str">
        <f>VLOOKUP(A111,'Classement S6'!$B$2:$C$150,1,0)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27"/>
      <c r="B112" s="103">
        <v>111.0</v>
      </c>
      <c r="C112" s="123">
        <f t="shared" si="1"/>
        <v>-388.8879416</v>
      </c>
      <c r="D112" s="124" t="str">
        <f>VLOOKUP(A112,'Classement S6'!$B$2:$C$150,1,0)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27"/>
      <c r="B113" s="103">
        <v>112.0</v>
      </c>
      <c r="C113" s="123">
        <f t="shared" si="1"/>
        <v>-397.9661195</v>
      </c>
      <c r="D113" s="124" t="str">
        <f>VLOOKUP(A113,'Classement S6'!$B$2:$C$150,1,0)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27"/>
      <c r="B114" s="103">
        <v>113.0</v>
      </c>
      <c r="C114" s="123">
        <f t="shared" si="1"/>
        <v>-407.0097946</v>
      </c>
      <c r="D114" s="124" t="str">
        <f>VLOOKUP(A114,'Classement S6'!$B$2:$C$150,1,0)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27"/>
      <c r="B115" s="103">
        <v>114.0</v>
      </c>
      <c r="C115" s="123">
        <f t="shared" si="1"/>
        <v>-416.0195043</v>
      </c>
      <c r="D115" s="124" t="str">
        <f>VLOOKUP(A115,'Classement S6'!$B$2:$C$150,1,0)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27"/>
      <c r="B116" s="103">
        <v>115.0</v>
      </c>
      <c r="C116" s="123">
        <f t="shared" si="1"/>
        <v>-424.9957726</v>
      </c>
      <c r="D116" s="124" t="str">
        <f>VLOOKUP(A116,'Classement S6'!$B$2:$C$150,1,0)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27"/>
      <c r="B117" s="103">
        <v>116.0</v>
      </c>
      <c r="C117" s="123">
        <f t="shared" si="1"/>
        <v>-433.9391099</v>
      </c>
      <c r="D117" s="124" t="str">
        <f>VLOOKUP(A117,'Classement S6'!$B$2:$C$150,1,0)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27"/>
      <c r="B118" s="103">
        <v>117.0</v>
      </c>
      <c r="C118" s="123">
        <f t="shared" si="1"/>
        <v>-442.8500143</v>
      </c>
      <c r="D118" s="124" t="str">
        <f>VLOOKUP(A118,'Classement S6'!$B$2:$C$150,1,0)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27"/>
      <c r="B119" s="103">
        <v>118.0</v>
      </c>
      <c r="C119" s="123">
        <f t="shared" si="1"/>
        <v>-451.7289712</v>
      </c>
      <c r="D119" s="124" t="str">
        <f>VLOOKUP(A119,'Classement S6'!$B$2:$C$150,1,0)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27"/>
      <c r="B120" s="103">
        <v>119.0</v>
      </c>
      <c r="C120" s="123">
        <f t="shared" si="1"/>
        <v>-460.5764545</v>
      </c>
      <c r="D120" s="124" t="str">
        <f>VLOOKUP(A120,'Classement S6'!$B$2:$C$150,1,0)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27"/>
      <c r="B121" s="103">
        <v>120.0</v>
      </c>
      <c r="C121" s="123">
        <f t="shared" si="1"/>
        <v>-469.3929263</v>
      </c>
      <c r="D121" s="124" t="str">
        <f>VLOOKUP(A121,'Classement S6'!$B$2:$C$150,1,0)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27"/>
      <c r="B122" s="103">
        <v>121.0</v>
      </c>
      <c r="C122" s="123">
        <f t="shared" si="1"/>
        <v>-478.1788378</v>
      </c>
      <c r="D122" s="124" t="str">
        <f>VLOOKUP(A122,'Classement S6'!$B$2:$C$150,1,0)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27"/>
      <c r="B123" s="103">
        <v>122.0</v>
      </c>
      <c r="C123" s="123">
        <f t="shared" si="1"/>
        <v>-486.9346293</v>
      </c>
      <c r="D123" s="124" t="str">
        <f>VLOOKUP(A123,'Classement S6'!$B$2:$C$150,1,0)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27"/>
      <c r="B124" s="103">
        <v>123.0</v>
      </c>
      <c r="C124" s="123">
        <f t="shared" si="1"/>
        <v>-495.6607308</v>
      </c>
      <c r="D124" s="124" t="str">
        <f>VLOOKUP(A124,'Classement S6'!$B$2:$C$150,1,0)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27"/>
      <c r="B125" s="103">
        <v>124.0</v>
      </c>
      <c r="C125" s="123">
        <f t="shared" si="1"/>
        <v>-504.3575623</v>
      </c>
      <c r="D125" s="124" t="str">
        <f>VLOOKUP(A125,'Classement S6'!$B$2:$C$150,1,0)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27"/>
      <c r="B126" s="103">
        <v>125.0</v>
      </c>
      <c r="C126" s="123">
        <f t="shared" si="1"/>
        <v>-513.0255339</v>
      </c>
      <c r="D126" s="124" t="str">
        <f>VLOOKUP(A126,'Classement S6'!$B$2:$C$150,1,0)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27"/>
      <c r="B127" s="103">
        <v>126.0</v>
      </c>
      <c r="C127" s="123">
        <f t="shared" si="1"/>
        <v>-521.6650463</v>
      </c>
      <c r="D127" s="124" t="str">
        <f>VLOOKUP(A127,'Classement S6'!$B$2:$C$150,1,0)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27"/>
      <c r="B128" s="103">
        <v>127.0</v>
      </c>
      <c r="C128" s="123">
        <f t="shared" si="1"/>
        <v>-530.2764912</v>
      </c>
      <c r="D128" s="124" t="str">
        <f>VLOOKUP(A128,'Classement S6'!$B$2:$C$150,1,0)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27"/>
      <c r="B129" s="103">
        <v>128.0</v>
      </c>
      <c r="C129" s="123">
        <f t="shared" si="1"/>
        <v>-538.8602512</v>
      </c>
      <c r="D129" s="124" t="str">
        <f>VLOOKUP(A129,'Classement S6'!$B$2:$C$150,1,0)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27"/>
      <c r="B130" s="103">
        <v>129.0</v>
      </c>
      <c r="C130" s="123">
        <f t="shared" si="1"/>
        <v>-547.4167006</v>
      </c>
      <c r="D130" s="124" t="str">
        <f>VLOOKUP(A130,'Classement S6'!$B$2:$C$150,1,0)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27"/>
      <c r="B131" s="103">
        <v>130.0</v>
      </c>
      <c r="C131" s="123">
        <f t="shared" si="1"/>
        <v>-555.9462052</v>
      </c>
      <c r="D131" s="124" t="str">
        <f>VLOOKUP(A131,'Classement S6'!$B$2:$C$150,1,0)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27"/>
      <c r="B132" s="103">
        <v>131.0</v>
      </c>
      <c r="C132" s="123">
        <f t="shared" si="1"/>
        <v>-564.4491227</v>
      </c>
      <c r="D132" s="124" t="str">
        <f>VLOOKUP(A132,'Classement S6'!$B$2:$C$150,1,0)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27"/>
      <c r="B133" s="103">
        <v>132.0</v>
      </c>
      <c r="C133" s="123">
        <f t="shared" si="1"/>
        <v>-572.9258032</v>
      </c>
      <c r="D133" s="124" t="str">
        <f>VLOOKUP(A133,'Classement S6'!$B$2:$C$150,1,0)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27"/>
      <c r="B134" s="103">
        <v>133.0</v>
      </c>
      <c r="C134" s="123">
        <f t="shared" si="1"/>
        <v>-581.3765889</v>
      </c>
      <c r="D134" s="124" t="str">
        <f>VLOOKUP(A134,'Classement S6'!$B$2:$C$150,1,0)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27"/>
      <c r="B135" s="103">
        <v>134.0</v>
      </c>
      <c r="C135" s="123">
        <f t="shared" si="1"/>
        <v>-589.8018149</v>
      </c>
      <c r="D135" s="124" t="str">
        <f>VLOOKUP(A135,'Classement S6'!$B$2:$C$150,1,0)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27"/>
      <c r="B136" s="103">
        <v>135.0</v>
      </c>
      <c r="C136" s="123">
        <f t="shared" si="1"/>
        <v>-598.201809</v>
      </c>
      <c r="D136" s="124" t="str">
        <f>VLOOKUP(A136,'Classement S6'!$B$2:$C$150,1,0)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27"/>
      <c r="B137" s="103">
        <v>136.0</v>
      </c>
      <c r="C137" s="123">
        <f t="shared" si="1"/>
        <v>-606.5768921</v>
      </c>
      <c r="D137" s="124" t="str">
        <f>VLOOKUP(A137,'Classement S6'!$B$2:$C$150,1,0)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27"/>
      <c r="B138" s="103">
        <v>137.0</v>
      </c>
      <c r="C138" s="123">
        <f t="shared" si="1"/>
        <v>-614.9273783</v>
      </c>
      <c r="D138" s="124" t="str">
        <f>VLOOKUP(A138,'Classement S6'!$B$2:$C$150,1,0)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27"/>
      <c r="B139" s="103">
        <v>138.0</v>
      </c>
      <c r="C139" s="123">
        <f t="shared" si="1"/>
        <v>-623.2535754</v>
      </c>
      <c r="D139" s="124" t="str">
        <f>VLOOKUP(A139,'Classement S6'!$B$2:$C$150,1,0)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27"/>
      <c r="B140" s="103">
        <v>139.0</v>
      </c>
      <c r="C140" s="123">
        <f t="shared" si="1"/>
        <v>-631.5557846</v>
      </c>
      <c r="D140" s="124" t="str">
        <f>VLOOKUP(A140,'Classement S6'!$B$2:$C$150,1,0)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27"/>
      <c r="B141" s="103">
        <v>140.0</v>
      </c>
      <c r="C141" s="123">
        <f t="shared" si="1"/>
        <v>-639.8343009</v>
      </c>
      <c r="D141" s="124" t="str">
        <f>VLOOKUP(A141,'Classement S6'!$B$2:$C$150,1,0)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27"/>
      <c r="B142" s="103">
        <v>141.0</v>
      </c>
      <c r="C142" s="123">
        <f t="shared" si="1"/>
        <v>-648.0894134</v>
      </c>
      <c r="D142" s="124" t="str">
        <f>VLOOKUP(A142,'Classement S6'!$B$2:$C$150,1,0)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27"/>
      <c r="B143" s="103">
        <v>142.0</v>
      </c>
      <c r="C143" s="123">
        <f t="shared" si="1"/>
        <v>-656.3214053</v>
      </c>
      <c r="D143" s="124" t="str">
        <f>VLOOKUP(A143,'Classement S6'!$B$2:$C$150,1,0)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27"/>
      <c r="B144" s="103">
        <v>143.0</v>
      </c>
      <c r="C144" s="123">
        <f t="shared" si="1"/>
        <v>-664.5305542</v>
      </c>
      <c r="D144" s="124" t="str">
        <f>VLOOKUP(A144,'Classement S6'!$B$2:$C$150,1,0)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27"/>
      <c r="B145" s="103">
        <v>144.0</v>
      </c>
      <c r="C145" s="123">
        <f t="shared" si="1"/>
        <v>-672.7171322</v>
      </c>
      <c r="D145" s="124" t="str">
        <f>VLOOKUP(A145,'Classement S6'!$B$2:$C$150,1,0)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27"/>
      <c r="B146" s="103">
        <v>145.0</v>
      </c>
      <c r="C146" s="123">
        <f t="shared" si="1"/>
        <v>-680.8814059</v>
      </c>
      <c r="D146" s="124" t="str">
        <f>VLOOKUP(A146,'Classement S6'!$B$2:$C$150,1,0)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27"/>
      <c r="B147" s="103">
        <v>146.0</v>
      </c>
      <c r="C147" s="123">
        <f t="shared" si="1"/>
        <v>-689.0236367</v>
      </c>
      <c r="D147" s="124" t="str">
        <f>VLOOKUP(A147,'Classement S6'!$B$2:$C$150,1,0)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27"/>
      <c r="B148" s="103">
        <v>147.0</v>
      </c>
      <c r="C148" s="123">
        <f t="shared" si="1"/>
        <v>-697.1440809</v>
      </c>
      <c r="D148" s="124" t="str">
        <f>VLOOKUP(A148,'Classement S6'!$B$2:$C$150,1,0)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27"/>
      <c r="B149" s="103">
        <v>148.0</v>
      </c>
      <c r="C149" s="123">
        <f t="shared" si="1"/>
        <v>-705.2429901</v>
      </c>
      <c r="D149" s="124" t="str">
        <f>VLOOKUP(A149,'Classement S6'!$B$2:$C$150,1,0)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27"/>
      <c r="B150" s="103">
        <v>149.0</v>
      </c>
      <c r="C150" s="123">
        <f t="shared" si="1"/>
        <v>-713.3206107</v>
      </c>
      <c r="D150" s="124" t="str">
        <f>VLOOKUP(A150,'Classement S6'!$B$2:$C$150,1,0)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27"/>
      <c r="B151" s="103">
        <v>150.0</v>
      </c>
      <c r="C151" s="123">
        <f t="shared" si="1"/>
        <v>-721.3771847</v>
      </c>
      <c r="D151" s="124" t="str">
        <f>VLOOKUP(A151,'Classement S6'!$B$2:$C$150,1,0)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27"/>
      <c r="B152" s="103">
        <v>151.0</v>
      </c>
      <c r="C152" s="123">
        <f t="shared" si="1"/>
        <v>-729.4129494</v>
      </c>
      <c r="D152" s="124" t="str">
        <f>VLOOKUP(A152,'Classement S6'!$B$2:$C$150,1,0)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27"/>
      <c r="B153" s="103">
        <v>152.0</v>
      </c>
      <c r="C153" s="123">
        <f t="shared" si="1"/>
        <v>-737.4281376</v>
      </c>
      <c r="D153" s="124" t="str">
        <f>VLOOKUP(A153,'Classement S6'!$B$2:$C$150,1,0)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27"/>
      <c r="B154" s="103">
        <v>153.0</v>
      </c>
      <c r="C154" s="123">
        <f t="shared" si="1"/>
        <v>-745.4229778</v>
      </c>
      <c r="D154" s="124" t="str">
        <f>VLOOKUP(A154,'Classement S6'!$B$2:$C$150,1,0)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27"/>
      <c r="B155" s="103">
        <v>154.0</v>
      </c>
      <c r="C155" s="123">
        <f t="shared" si="1"/>
        <v>-753.3976945</v>
      </c>
      <c r="D155" s="124" t="str">
        <f>VLOOKUP(A155,'Classement S6'!$B$2:$C$150,1,0)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27"/>
      <c r="B156" s="103">
        <v>155.0</v>
      </c>
      <c r="C156" s="123">
        <f t="shared" si="1"/>
        <v>-761.3525077</v>
      </c>
      <c r="D156" s="124" t="str">
        <f>VLOOKUP(A156,'Classement S6'!$B$2:$C$150,1,0)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27"/>
      <c r="B157" s="103">
        <v>156.0</v>
      </c>
      <c r="C157" s="123">
        <f t="shared" si="1"/>
        <v>-769.2876336</v>
      </c>
      <c r="D157" s="124" t="str">
        <f>VLOOKUP(A157,'Classement S6'!$B$2:$C$150,1,0)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27"/>
      <c r="B158" s="103">
        <v>157.0</v>
      </c>
      <c r="C158" s="123">
        <f t="shared" si="1"/>
        <v>-777.2032845</v>
      </c>
      <c r="D158" s="124" t="str">
        <f>VLOOKUP(A158,'Classement S6'!$B$2:$C$150,1,0)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27"/>
      <c r="B159" s="103">
        <v>158.0</v>
      </c>
      <c r="C159" s="123">
        <f t="shared" si="1"/>
        <v>-785.0996688</v>
      </c>
      <c r="D159" s="124" t="str">
        <f>VLOOKUP(A159,'Classement S6'!$B$2:$C$150,1,0)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27"/>
      <c r="B160" s="103">
        <v>159.0</v>
      </c>
      <c r="C160" s="123">
        <f t="shared" si="1"/>
        <v>-792.9769913</v>
      </c>
      <c r="D160" s="124" t="str">
        <f>VLOOKUP(A160,'Classement S6'!$B$2:$C$150,1,0)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27"/>
      <c r="B161" s="103">
        <v>160.0</v>
      </c>
      <c r="C161" s="123">
        <f t="shared" si="1"/>
        <v>-800.8354531</v>
      </c>
      <c r="D161" s="124" t="str">
        <f>VLOOKUP(A161,'Classement S6'!$B$2:$C$150,1,0)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B162" s="128"/>
    </row>
    <row r="163" ht="14.25" customHeight="1">
      <c r="B163" s="128"/>
    </row>
    <row r="164" ht="14.25" customHeight="1">
      <c r="B164" s="128"/>
    </row>
    <row r="165" ht="14.25" customHeight="1">
      <c r="B165" s="128"/>
    </row>
    <row r="166" ht="14.25" customHeight="1">
      <c r="B166" s="128"/>
    </row>
    <row r="167" ht="14.25" customHeight="1">
      <c r="B167" s="128"/>
    </row>
    <row r="168" ht="14.25" customHeight="1">
      <c r="B168" s="128"/>
    </row>
    <row r="169" ht="14.25" customHeight="1">
      <c r="B169" s="128"/>
    </row>
    <row r="170" ht="14.25" customHeight="1">
      <c r="B170" s="128"/>
    </row>
    <row r="171" ht="14.25" customHeight="1">
      <c r="B171" s="128"/>
    </row>
    <row r="172" ht="14.25" customHeight="1">
      <c r="B172" s="128"/>
    </row>
    <row r="173" ht="14.25" customHeight="1">
      <c r="B173" s="128"/>
    </row>
    <row r="174" ht="14.25" customHeight="1">
      <c r="B174" s="128"/>
    </row>
    <row r="175" ht="14.25" customHeight="1">
      <c r="B175" s="128"/>
    </row>
    <row r="176" ht="14.25" customHeight="1">
      <c r="B176" s="128"/>
    </row>
    <row r="177" ht="14.25" customHeight="1">
      <c r="B177" s="128"/>
    </row>
    <row r="178" ht="14.25" customHeight="1">
      <c r="B178" s="128"/>
    </row>
    <row r="179" ht="14.25" customHeight="1">
      <c r="B179" s="128"/>
    </row>
    <row r="180" ht="14.25" customHeight="1">
      <c r="B180" s="128"/>
    </row>
    <row r="181" ht="14.25" customHeight="1">
      <c r="B181" s="128"/>
    </row>
    <row r="182" ht="14.25" customHeight="1">
      <c r="B182" s="128"/>
    </row>
    <row r="183" ht="14.25" customHeight="1">
      <c r="B183" s="128"/>
    </row>
    <row r="184" ht="14.25" customHeight="1">
      <c r="B184" s="128"/>
    </row>
    <row r="185" ht="14.25" customHeight="1">
      <c r="B185" s="128"/>
    </row>
    <row r="186" ht="14.25" customHeight="1">
      <c r="B186" s="128"/>
    </row>
    <row r="187" ht="14.25" customHeight="1">
      <c r="B187" s="128"/>
    </row>
    <row r="188" ht="14.25" customHeight="1">
      <c r="B188" s="128"/>
    </row>
    <row r="189" ht="14.25" customHeight="1">
      <c r="B189" s="128"/>
    </row>
    <row r="190" ht="14.25" customHeight="1">
      <c r="B190" s="128"/>
    </row>
    <row r="191" ht="14.25" customHeight="1">
      <c r="B191" s="128"/>
    </row>
    <row r="192" ht="14.25" customHeight="1">
      <c r="B192" s="128"/>
    </row>
    <row r="193" ht="14.25" customHeight="1">
      <c r="B193" s="128"/>
    </row>
    <row r="194" ht="14.25" customHeight="1">
      <c r="B194" s="128"/>
    </row>
    <row r="195" ht="14.25" customHeight="1">
      <c r="B195" s="128"/>
    </row>
    <row r="196" ht="14.25" customHeight="1">
      <c r="B196" s="128"/>
    </row>
    <row r="197" ht="14.25" customHeight="1">
      <c r="B197" s="128"/>
    </row>
    <row r="198" ht="14.25" customHeight="1">
      <c r="B198" s="128"/>
    </row>
    <row r="199" ht="14.25" customHeight="1">
      <c r="B199" s="128"/>
    </row>
    <row r="200" ht="14.25" customHeight="1">
      <c r="B200" s="128"/>
    </row>
    <row r="201" ht="14.25" customHeight="1">
      <c r="B201" s="128"/>
    </row>
    <row r="202" ht="14.25" customHeight="1">
      <c r="B202" s="128"/>
    </row>
    <row r="203" ht="14.25" customHeight="1">
      <c r="B203" s="128"/>
    </row>
    <row r="204" ht="14.25" customHeight="1">
      <c r="B204" s="128"/>
    </row>
    <row r="205" ht="14.25" customHeight="1">
      <c r="B205" s="128"/>
    </row>
    <row r="206" ht="14.25" customHeight="1">
      <c r="B206" s="128"/>
    </row>
    <row r="207" ht="14.25" customHeight="1">
      <c r="B207" s="128"/>
    </row>
    <row r="208" ht="14.25" customHeight="1">
      <c r="B208" s="128"/>
    </row>
    <row r="209" ht="14.25" customHeight="1">
      <c r="B209" s="128"/>
    </row>
    <row r="210" ht="14.25" customHeight="1">
      <c r="B210" s="128"/>
    </row>
    <row r="211" ht="14.25" customHeight="1">
      <c r="B211" s="128"/>
    </row>
    <row r="212" ht="14.25" customHeight="1">
      <c r="B212" s="128"/>
    </row>
    <row r="213" ht="14.25" customHeight="1">
      <c r="B213" s="128"/>
    </row>
    <row r="214" ht="14.25" customHeight="1">
      <c r="B214" s="128"/>
    </row>
    <row r="215" ht="14.25" customHeight="1">
      <c r="B215" s="128"/>
    </row>
    <row r="216" ht="14.25" customHeight="1">
      <c r="B216" s="128"/>
    </row>
    <row r="217" ht="14.25" customHeight="1">
      <c r="B217" s="128"/>
    </row>
    <row r="218" ht="14.25" customHeight="1">
      <c r="B218" s="128"/>
    </row>
    <row r="219" ht="14.25" customHeight="1">
      <c r="B219" s="128"/>
    </row>
    <row r="220" ht="14.25" customHeight="1">
      <c r="B220" s="128"/>
    </row>
    <row r="221" ht="14.25" customHeight="1">
      <c r="B221" s="128"/>
    </row>
    <row r="222" ht="14.25" customHeight="1">
      <c r="B222" s="128"/>
    </row>
    <row r="223" ht="14.25" customHeight="1">
      <c r="B223" s="128"/>
    </row>
    <row r="224" ht="14.25" customHeight="1">
      <c r="B224" s="128"/>
    </row>
    <row r="225" ht="14.25" customHeight="1">
      <c r="B225" s="128"/>
    </row>
    <row r="226" ht="14.25" customHeight="1">
      <c r="B226" s="128"/>
    </row>
    <row r="227" ht="14.25" customHeight="1">
      <c r="B227" s="128"/>
    </row>
    <row r="228" ht="14.25" customHeight="1">
      <c r="B228" s="128"/>
    </row>
    <row r="229" ht="14.25" customHeight="1">
      <c r="B229" s="128"/>
    </row>
    <row r="230" ht="14.25" customHeight="1">
      <c r="B230" s="128"/>
    </row>
    <row r="231" ht="14.25" customHeight="1">
      <c r="B231" s="128"/>
    </row>
    <row r="232" ht="14.25" customHeight="1">
      <c r="B232" s="128"/>
    </row>
    <row r="233" ht="14.25" customHeight="1">
      <c r="B233" s="128"/>
    </row>
    <row r="234" ht="14.25" customHeight="1">
      <c r="B234" s="128"/>
    </row>
    <row r="235" ht="14.25" customHeight="1">
      <c r="B235" s="128"/>
    </row>
    <row r="236" ht="14.25" customHeight="1">
      <c r="B236" s="128"/>
    </row>
    <row r="237" ht="14.25" customHeight="1">
      <c r="B237" s="128"/>
    </row>
    <row r="238" ht="14.25" customHeight="1">
      <c r="B238" s="128"/>
    </row>
    <row r="239" ht="14.25" customHeight="1">
      <c r="B239" s="128"/>
    </row>
    <row r="240" ht="14.25" customHeight="1">
      <c r="B240" s="128"/>
    </row>
    <row r="241" ht="14.25" customHeight="1">
      <c r="B241" s="128"/>
    </row>
    <row r="242" ht="14.25" customHeight="1">
      <c r="B242" s="128"/>
    </row>
    <row r="243" ht="14.25" customHeight="1">
      <c r="B243" s="128"/>
    </row>
    <row r="244" ht="14.25" customHeight="1">
      <c r="B244" s="128"/>
    </row>
    <row r="245" ht="14.25" customHeight="1">
      <c r="B245" s="128"/>
    </row>
    <row r="246" ht="14.25" customHeight="1">
      <c r="B246" s="128"/>
    </row>
    <row r="247" ht="14.25" customHeight="1">
      <c r="B247" s="128"/>
    </row>
    <row r="248" ht="14.25" customHeight="1">
      <c r="B248" s="128"/>
    </row>
    <row r="249" ht="14.25" customHeight="1">
      <c r="B249" s="128"/>
    </row>
    <row r="250" ht="14.25" customHeight="1">
      <c r="B250" s="128"/>
    </row>
    <row r="251" ht="14.25" customHeight="1">
      <c r="B251" s="128"/>
    </row>
    <row r="252" ht="14.25" customHeight="1">
      <c r="B252" s="128"/>
    </row>
    <row r="253" ht="14.25" customHeight="1">
      <c r="B253" s="128"/>
    </row>
    <row r="254" ht="14.25" customHeight="1">
      <c r="B254" s="128"/>
    </row>
    <row r="255" ht="14.25" customHeight="1">
      <c r="B255" s="128"/>
    </row>
    <row r="256" ht="14.25" customHeight="1">
      <c r="B256" s="128"/>
    </row>
    <row r="257" ht="14.25" customHeight="1">
      <c r="B257" s="128"/>
    </row>
    <row r="258" ht="14.25" customHeight="1">
      <c r="B258" s="128"/>
    </row>
    <row r="259" ht="14.25" customHeight="1">
      <c r="B259" s="128"/>
    </row>
    <row r="260" ht="14.25" customHeight="1">
      <c r="B260" s="128"/>
    </row>
    <row r="261" ht="14.25" customHeight="1">
      <c r="B261" s="128"/>
    </row>
    <row r="262" ht="14.25" customHeight="1">
      <c r="B262" s="128"/>
    </row>
    <row r="263" ht="14.25" customHeight="1">
      <c r="B263" s="128"/>
    </row>
    <row r="264" ht="14.25" customHeight="1">
      <c r="B264" s="128"/>
    </row>
    <row r="265" ht="14.25" customHeight="1">
      <c r="B265" s="128"/>
    </row>
    <row r="266" ht="14.25" customHeight="1">
      <c r="B266" s="128"/>
    </row>
    <row r="267" ht="14.25" customHeight="1">
      <c r="B267" s="128"/>
    </row>
    <row r="268" ht="14.25" customHeight="1">
      <c r="B268" s="128"/>
    </row>
    <row r="269" ht="14.25" customHeight="1">
      <c r="B269" s="128"/>
    </row>
    <row r="270" ht="14.25" customHeight="1">
      <c r="B270" s="128"/>
    </row>
    <row r="271" ht="14.25" customHeight="1">
      <c r="B271" s="128"/>
    </row>
    <row r="272" ht="14.25" customHeight="1">
      <c r="B272" s="128"/>
    </row>
    <row r="273" ht="14.25" customHeight="1">
      <c r="B273" s="128"/>
    </row>
    <row r="274" ht="14.25" customHeight="1">
      <c r="B274" s="128"/>
    </row>
    <row r="275" ht="14.25" customHeight="1">
      <c r="B275" s="128"/>
    </row>
    <row r="276" ht="14.25" customHeight="1">
      <c r="B276" s="128"/>
    </row>
    <row r="277" ht="14.25" customHeight="1">
      <c r="B277" s="128"/>
    </row>
    <row r="278" ht="14.25" customHeight="1">
      <c r="B278" s="128"/>
    </row>
    <row r="279" ht="14.25" customHeight="1">
      <c r="B279" s="128"/>
    </row>
    <row r="280" ht="14.25" customHeight="1">
      <c r="B280" s="128"/>
    </row>
    <row r="281" ht="14.25" customHeight="1">
      <c r="B281" s="128"/>
    </row>
    <row r="282" ht="14.25" customHeight="1">
      <c r="B282" s="128"/>
    </row>
    <row r="283" ht="14.25" customHeight="1">
      <c r="B283" s="128"/>
    </row>
    <row r="284" ht="14.25" customHeight="1">
      <c r="B284" s="128"/>
    </row>
    <row r="285" ht="14.25" customHeight="1">
      <c r="B285" s="128"/>
    </row>
    <row r="286" ht="14.25" customHeight="1">
      <c r="B286" s="128"/>
    </row>
    <row r="287" ht="14.25" customHeight="1">
      <c r="B287" s="128"/>
    </row>
    <row r="288" ht="14.25" customHeight="1">
      <c r="B288" s="128"/>
    </row>
    <row r="289" ht="14.25" customHeight="1">
      <c r="B289" s="128"/>
    </row>
    <row r="290" ht="14.25" customHeight="1">
      <c r="B290" s="128"/>
    </row>
    <row r="291" ht="14.25" customHeight="1">
      <c r="B291" s="128"/>
    </row>
    <row r="292" ht="14.25" customHeight="1">
      <c r="B292" s="128"/>
    </row>
    <row r="293" ht="14.25" customHeight="1">
      <c r="B293" s="128"/>
    </row>
    <row r="294" ht="14.25" customHeight="1">
      <c r="B294" s="128"/>
    </row>
    <row r="295" ht="14.25" customHeight="1">
      <c r="B295" s="128"/>
    </row>
    <row r="296" ht="14.25" customHeight="1">
      <c r="B296" s="128"/>
    </row>
    <row r="297" ht="14.25" customHeight="1">
      <c r="B297" s="128"/>
    </row>
    <row r="298" ht="14.25" customHeight="1">
      <c r="B298" s="128"/>
    </row>
    <row r="299" ht="14.25" customHeight="1">
      <c r="B299" s="128"/>
    </row>
    <row r="300" ht="14.25" customHeight="1">
      <c r="B300" s="128"/>
    </row>
    <row r="301" ht="14.25" customHeight="1">
      <c r="B301" s="128"/>
    </row>
    <row r="302" ht="14.25" customHeight="1">
      <c r="B302" s="128"/>
    </row>
    <row r="303" ht="14.25" customHeight="1">
      <c r="B303" s="128"/>
    </row>
    <row r="304" ht="14.25" customHeight="1">
      <c r="B304" s="128"/>
    </row>
    <row r="305" ht="14.25" customHeight="1">
      <c r="B305" s="128"/>
    </row>
    <row r="306" ht="14.25" customHeight="1">
      <c r="B306" s="128"/>
    </row>
    <row r="307" ht="14.25" customHeight="1">
      <c r="B307" s="128"/>
    </row>
    <row r="308" ht="14.25" customHeight="1">
      <c r="B308" s="128"/>
    </row>
    <row r="309" ht="14.25" customHeight="1">
      <c r="B309" s="128"/>
    </row>
    <row r="310" ht="14.25" customHeight="1">
      <c r="B310" s="128"/>
    </row>
    <row r="311" ht="14.25" customHeight="1">
      <c r="B311" s="128"/>
    </row>
    <row r="312" ht="14.25" customHeight="1">
      <c r="B312" s="128"/>
    </row>
    <row r="313" ht="14.25" customHeight="1">
      <c r="B313" s="128"/>
    </row>
    <row r="314" ht="14.25" customHeight="1">
      <c r="B314" s="128"/>
    </row>
    <row r="315" ht="14.25" customHeight="1">
      <c r="B315" s="128"/>
    </row>
    <row r="316" ht="14.25" customHeight="1">
      <c r="B316" s="128"/>
    </row>
    <row r="317" ht="14.25" customHeight="1">
      <c r="B317" s="128"/>
    </row>
    <row r="318" ht="14.25" customHeight="1">
      <c r="B318" s="128"/>
    </row>
    <row r="319" ht="14.25" customHeight="1">
      <c r="B319" s="128"/>
    </row>
    <row r="320" ht="14.25" customHeight="1">
      <c r="B320" s="128"/>
    </row>
    <row r="321" ht="14.25" customHeight="1">
      <c r="B321" s="128"/>
    </row>
    <row r="322" ht="14.25" customHeight="1">
      <c r="B322" s="128"/>
    </row>
    <row r="323" ht="14.25" customHeight="1">
      <c r="B323" s="128"/>
    </row>
    <row r="324" ht="14.25" customHeight="1">
      <c r="B324" s="128"/>
    </row>
    <row r="325" ht="14.25" customHeight="1">
      <c r="B325" s="128"/>
    </row>
    <row r="326" ht="14.25" customHeight="1">
      <c r="B326" s="128"/>
    </row>
    <row r="327" ht="14.25" customHeight="1">
      <c r="B327" s="128"/>
    </row>
    <row r="328" ht="14.25" customHeight="1">
      <c r="B328" s="128"/>
    </row>
    <row r="329" ht="14.25" customHeight="1">
      <c r="B329" s="128"/>
    </row>
    <row r="330" ht="14.25" customHeight="1">
      <c r="B330" s="128"/>
    </row>
    <row r="331" ht="14.25" customHeight="1">
      <c r="B331" s="128"/>
    </row>
    <row r="332" ht="14.25" customHeight="1">
      <c r="B332" s="128"/>
    </row>
    <row r="333" ht="14.25" customHeight="1">
      <c r="B333" s="128"/>
    </row>
    <row r="334" ht="14.25" customHeight="1">
      <c r="B334" s="128"/>
    </row>
    <row r="335" ht="14.25" customHeight="1">
      <c r="B335" s="128"/>
    </row>
    <row r="336" ht="14.25" customHeight="1">
      <c r="B336" s="128"/>
    </row>
    <row r="337" ht="14.25" customHeight="1">
      <c r="B337" s="128"/>
    </row>
    <row r="338" ht="14.25" customHeight="1">
      <c r="B338" s="128"/>
    </row>
    <row r="339" ht="14.25" customHeight="1">
      <c r="B339" s="128"/>
    </row>
    <row r="340" ht="14.25" customHeight="1">
      <c r="B340" s="128"/>
    </row>
    <row r="341" ht="14.25" customHeight="1">
      <c r="B341" s="128"/>
    </row>
    <row r="342" ht="14.25" customHeight="1">
      <c r="B342" s="128"/>
    </row>
    <row r="343" ht="14.25" customHeight="1">
      <c r="B343" s="128"/>
    </row>
    <row r="344" ht="14.25" customHeight="1">
      <c r="B344" s="128"/>
    </row>
    <row r="345" ht="14.25" customHeight="1">
      <c r="B345" s="128"/>
    </row>
    <row r="346" ht="14.25" customHeight="1">
      <c r="B346" s="128"/>
    </row>
    <row r="347" ht="14.25" customHeight="1">
      <c r="B347" s="128"/>
    </row>
    <row r="348" ht="14.25" customHeight="1">
      <c r="B348" s="128"/>
    </row>
    <row r="349" ht="14.25" customHeight="1">
      <c r="B349" s="128"/>
    </row>
    <row r="350" ht="14.25" customHeight="1">
      <c r="B350" s="128"/>
    </row>
    <row r="351" ht="14.25" customHeight="1">
      <c r="B351" s="128"/>
    </row>
    <row r="352" ht="14.25" customHeight="1">
      <c r="B352" s="128"/>
    </row>
    <row r="353" ht="14.25" customHeight="1">
      <c r="B353" s="128"/>
    </row>
    <row r="354" ht="14.25" customHeight="1">
      <c r="B354" s="128"/>
    </row>
    <row r="355" ht="14.25" customHeight="1">
      <c r="B355" s="128"/>
    </row>
    <row r="356" ht="14.25" customHeight="1">
      <c r="B356" s="128"/>
    </row>
    <row r="357" ht="14.25" customHeight="1">
      <c r="B357" s="128"/>
    </row>
    <row r="358" ht="14.25" customHeight="1">
      <c r="B358" s="128"/>
    </row>
    <row r="359" ht="14.25" customHeight="1">
      <c r="B359" s="128"/>
    </row>
    <row r="360" ht="14.25" customHeight="1">
      <c r="B360" s="128"/>
    </row>
    <row r="361" ht="14.25" customHeight="1"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L16:Z16">
    <cfRule type="expression" dxfId="0" priority="1">
      <formula>"si(0;;)"</formula>
    </cfRule>
  </conditionalFormatting>
  <conditionalFormatting sqref="L16:Z16">
    <cfRule type="expression" dxfId="0" priority="2">
      <formula>"si(0;;)"</formula>
    </cfRule>
  </conditionalFormatting>
  <conditionalFormatting sqref="A1:A1000">
    <cfRule type="containsText" dxfId="0" priority="3" operator="containsText" text="0">
      <formula>NOT(ISERROR(SEARCH(("0"),(A1))))</formula>
    </cfRule>
  </conditionalFormatting>
  <conditionalFormatting sqref="A1:A161">
    <cfRule type="containsText" dxfId="0" priority="4" operator="containsText" text="0">
      <formula>NOT(ISERROR(SEARCH(("0"),(A1))))</formula>
    </cfRule>
  </conditionalFormatting>
  <drawing r:id="rId1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53</v>
      </c>
    </row>
    <row r="2" ht="14.25" customHeight="1">
      <c r="A2" s="122" t="str">
        <f>IFERROR(__xludf.DUMMYFUNCTION(" IMPORTRANGE(""https://docs.google.com/spreadsheets/d/13cV-2MZUBujjttJUUa5qBLna4kW3cXAMMb1Wdsrgzt0/edit#gid=1807691214"",""So6!A2:A161"")"),"Patgaret")</f>
        <v>Patgaret</v>
      </c>
      <c r="B2" s="103">
        <v>1.0</v>
      </c>
      <c r="C2" s="123">
        <f t="shared" ref="C2:C161" si="1">800*(1-(B2/($H$1+1)))*POWER((SQRT(($H$1+1)/B2)),1/2)</f>
        <v>2128.48472</v>
      </c>
      <c r="D2" s="124" t="str">
        <f>VLOOKUP(A2,'Classement S6'!$B$2:$C$150,1,0)</f>
        <v>Patgaret</v>
      </c>
      <c r="E2" s="125" t="str">
        <f t="shared" ref="E2:E161" si="2">IF(D2=A2,"","erreur")</f>
        <v/>
      </c>
      <c r="F2" s="120" t="str">
        <f>VLOOKUP(A2,'Classement Général'!$B$2:$B$146,1,0)</f>
        <v>Patgaret</v>
      </c>
    </row>
    <row r="3" ht="14.25" customHeight="1">
      <c r="A3" s="122" t="str">
        <f>IFERROR(__xludf.DUMMYFUNCTION("""COMPUTED_VALUE"""),"Like_A_Fish")</f>
        <v>Like_A_Fish</v>
      </c>
      <c r="B3" s="103">
        <v>2.0</v>
      </c>
      <c r="C3" s="123">
        <f t="shared" si="1"/>
        <v>1756.064696</v>
      </c>
      <c r="D3" s="124" t="str">
        <f>VLOOKUP(A3,'Classement S6'!$B$2:$C$150,1,0)</f>
        <v>Like_A_Fish</v>
      </c>
      <c r="E3" s="125" t="str">
        <f t="shared" si="2"/>
        <v/>
      </c>
      <c r="F3" s="120" t="str">
        <f>VLOOKUP(A3,'Classement Général'!$B$2:$B$146,1,0)</f>
        <v>Like_A_Fish</v>
      </c>
      <c r="G3" s="126"/>
    </row>
    <row r="4" ht="14.25" customHeight="1">
      <c r="A4" s="122" t="str">
        <f>IFERROR(__xludf.DUMMYFUNCTION("""COMPUTED_VALUE"""),"ledids")</f>
        <v>ledids</v>
      </c>
      <c r="B4" s="103">
        <v>3.0</v>
      </c>
      <c r="C4" s="123">
        <f t="shared" si="1"/>
        <v>1556.268509</v>
      </c>
      <c r="D4" s="124" t="str">
        <f>VLOOKUP(A4,'Classement S6'!$B$2:$C$150,1,0)</f>
        <v>ledids</v>
      </c>
      <c r="E4" s="125" t="str">
        <f t="shared" si="2"/>
        <v/>
      </c>
      <c r="F4" s="120" t="str">
        <f>VLOOKUP(A4,'Classement Général'!$B$2:$B$146,1,0)</f>
        <v>ledids</v>
      </c>
    </row>
    <row r="5" ht="14.25" customHeight="1">
      <c r="A5" s="122" t="str">
        <f>IFERROR(__xludf.DUMMYFUNCTION("""COMPUTED_VALUE"""),"Garou du 86")</f>
        <v>Garou du 86</v>
      </c>
      <c r="B5" s="103">
        <v>4.0</v>
      </c>
      <c r="C5" s="123">
        <f t="shared" si="1"/>
        <v>1419.873565</v>
      </c>
      <c r="D5" s="124" t="str">
        <f>VLOOKUP(A5,'Classement S6'!$B$2:$C$150,1,0)</f>
        <v>Garou du 86</v>
      </c>
      <c r="E5" s="125" t="str">
        <f t="shared" si="2"/>
        <v/>
      </c>
      <c r="F5" s="120" t="str">
        <f>VLOOKUP(A5,'Classement Général'!$B$2:$B$146,1,0)</f>
        <v>Garou du 86</v>
      </c>
    </row>
    <row r="6" ht="14.25" customHeight="1">
      <c r="A6" s="122" t="str">
        <f>IFERROR(__xludf.DUMMYFUNCTION("""COMPUTED_VALUE"""),"LEGOLEGOTE")</f>
        <v>LEGOLEGOTE</v>
      </c>
      <c r="B6" s="103">
        <v>5.0</v>
      </c>
      <c r="C6" s="123">
        <f t="shared" si="1"/>
        <v>1315.97684</v>
      </c>
      <c r="D6" s="124" t="str">
        <f>VLOOKUP(A6,'Classement S6'!$B$2:$C$150,1,0)</f>
        <v>LEGOLEGOTE</v>
      </c>
      <c r="E6" s="125" t="str">
        <f t="shared" si="2"/>
        <v/>
      </c>
      <c r="F6" s="120" t="str">
        <f>VLOOKUP(A6,'Classement Général'!$B$2:$B$146,1,0)</f>
        <v>LEGOLEGOTE</v>
      </c>
    </row>
    <row r="7" ht="14.25" customHeight="1">
      <c r="A7" s="122" t="str">
        <f>IFERROR(__xludf.DUMMYFUNCTION("""COMPUTED_VALUE"""),"Belussac")</f>
        <v>Belussac</v>
      </c>
      <c r="B7" s="103">
        <v>6.0</v>
      </c>
      <c r="C7" s="123">
        <f t="shared" si="1"/>
        <v>1231.680574</v>
      </c>
      <c r="D7" s="124" t="str">
        <f>VLOOKUP(A7,'Classement S6'!$B$2:$C$150,1,0)</f>
        <v>belussac</v>
      </c>
      <c r="E7" s="125" t="str">
        <f t="shared" si="2"/>
        <v/>
      </c>
      <c r="F7" s="120" t="str">
        <f>VLOOKUP(A7,'Classement Général'!$B$2:$B$146,1,0)</f>
        <v>belussac</v>
      </c>
    </row>
    <row r="8" ht="14.25" customHeight="1">
      <c r="A8" s="122" t="str">
        <f>IFERROR(__xludf.DUMMYFUNCTION("""COMPUTED_VALUE"""),"christ86000")</f>
        <v>christ86000</v>
      </c>
      <c r="B8" s="103">
        <v>7.0</v>
      </c>
      <c r="C8" s="123">
        <f t="shared" si="1"/>
        <v>1160.427508</v>
      </c>
      <c r="D8" s="124" t="str">
        <f>VLOOKUP(A8,'Classement S6'!$B$2:$C$150,1,0)</f>
        <v>christ86000</v>
      </c>
      <c r="E8" s="125" t="str">
        <f t="shared" si="2"/>
        <v/>
      </c>
      <c r="F8" s="120" t="str">
        <f>VLOOKUP(A8,'Classement Général'!$B$2:$B$146,1,0)</f>
        <v>christ86000</v>
      </c>
    </row>
    <row r="9" ht="14.25" customHeight="1">
      <c r="A9" s="122" t="str">
        <f>IFERROR(__xludf.DUMMYFUNCTION("""COMPUTED_VALUE"""),"Kevfurious")</f>
        <v>Kevfurious</v>
      </c>
      <c r="B9" s="103">
        <v>8.0</v>
      </c>
      <c r="C9" s="123">
        <f t="shared" si="1"/>
        <v>1098.449264</v>
      </c>
      <c r="D9" s="124" t="str">
        <f>VLOOKUP(A9,'Classement S6'!$B$2:$C$150,1,0)</f>
        <v>Kevfurious</v>
      </c>
      <c r="E9" s="125" t="str">
        <f t="shared" si="2"/>
        <v/>
      </c>
      <c r="F9" s="120" t="str">
        <f>VLOOKUP(A9,'Classement Général'!$B$2:$B$146,1,0)</f>
        <v>Kevfurious</v>
      </c>
    </row>
    <row r="10" ht="14.25" customHeight="1">
      <c r="A10" s="122" t="str">
        <f>IFERROR(__xludf.DUMMYFUNCTION("""COMPUTED_VALUE"""),"chatouill86")</f>
        <v>chatouill86</v>
      </c>
      <c r="B10" s="103">
        <v>9.0</v>
      </c>
      <c r="C10" s="123">
        <f t="shared" si="1"/>
        <v>1043.38972</v>
      </c>
      <c r="D10" s="124" t="str">
        <f>VLOOKUP(A10,'Classement S6'!$B$2:$C$150,1,0)</f>
        <v>chatouill86</v>
      </c>
      <c r="E10" s="125" t="str">
        <f t="shared" si="2"/>
        <v/>
      </c>
      <c r="F10" s="120" t="str">
        <f>VLOOKUP(A10,'Classement Général'!$B$2:$B$146,1,0)</f>
        <v>chatouill86</v>
      </c>
    </row>
    <row r="11" ht="14.25" customHeight="1">
      <c r="A11" s="122" t="str">
        <f>IFERROR(__xludf.DUMMYFUNCTION("""COMPUTED_VALUE"""),"POMB1664")</f>
        <v>POMB1664</v>
      </c>
      <c r="B11" s="103">
        <v>10.0</v>
      </c>
      <c r="C11" s="123">
        <f t="shared" si="1"/>
        <v>993.6818186</v>
      </c>
      <c r="D11" s="124" t="str">
        <f>VLOOKUP(A11,'Classement S6'!$B$2:$C$150,1,0)</f>
        <v>POMB1664</v>
      </c>
      <c r="E11" s="125" t="str">
        <f t="shared" si="2"/>
        <v/>
      </c>
      <c r="F11" s="120" t="str">
        <f>VLOOKUP(A11,'Classement Général'!$B$2:$B$146,1,0)</f>
        <v>POMB1664</v>
      </c>
    </row>
    <row r="12" ht="14.25" customHeight="1">
      <c r="A12" s="122" t="str">
        <f>IFERROR(__xludf.DUMMYFUNCTION("""COMPUTED_VALUE"""),"Phil1308")</f>
        <v>Phil1308</v>
      </c>
      <c r="B12" s="103">
        <v>11.0</v>
      </c>
      <c r="C12" s="123">
        <f t="shared" si="1"/>
        <v>948.2327512</v>
      </c>
      <c r="D12" s="124" t="str">
        <f>VLOOKUP(A12,'Classement S6'!$B$2:$C$150,1,0)</f>
        <v>Phil1308</v>
      </c>
      <c r="E12" s="125" t="str">
        <f t="shared" si="2"/>
        <v/>
      </c>
      <c r="F12" s="120" t="str">
        <f>VLOOKUP(A12,'Classement Général'!$B$2:$B$146,1,0)</f>
        <v>Phil1308</v>
      </c>
      <c r="K12" s="129" t="s">
        <v>61</v>
      </c>
    </row>
    <row r="13" ht="14.25" customHeight="1">
      <c r="A13" s="122" t="str">
        <f>IFERROR(__xludf.DUMMYFUNCTION("""COMPUTED_VALUE"""),"LaChenille86")</f>
        <v>LaChenille86</v>
      </c>
      <c r="B13" s="103">
        <v>12.0</v>
      </c>
      <c r="C13" s="123">
        <f t="shared" si="1"/>
        <v>906.2513072</v>
      </c>
      <c r="D13" s="124" t="str">
        <f>VLOOKUP(A13,'Classement S6'!$B$2:$C$150,1,0)</f>
        <v>LaChenille86</v>
      </c>
      <c r="E13" s="125" t="str">
        <f t="shared" si="2"/>
        <v/>
      </c>
      <c r="F13" s="120" t="str">
        <f>VLOOKUP(A13,'Classement Général'!$B$2:$B$146,1,0)</f>
        <v>#N/A</v>
      </c>
      <c r="K13" s="129" t="s">
        <v>193</v>
      </c>
    </row>
    <row r="14" ht="14.25" customHeight="1">
      <c r="A14" s="122" t="str">
        <f>IFERROR(__xludf.DUMMYFUNCTION("""COMPUTED_VALUE"""),"VietNems86")</f>
        <v>VietNems86</v>
      </c>
      <c r="B14" s="103">
        <v>13.0</v>
      </c>
      <c r="C14" s="123">
        <f t="shared" si="1"/>
        <v>867.1469198</v>
      </c>
      <c r="D14" s="124" t="str">
        <f>VLOOKUP(A14,'Classement S6'!$B$2:$C$150,1,0)</f>
        <v>VietNems86</v>
      </c>
      <c r="E14" s="125" t="str">
        <f t="shared" si="2"/>
        <v/>
      </c>
      <c r="F14" s="120" t="str">
        <f>VLOOKUP(A14,'Classement Général'!$B$2:$B$146,1,0)</f>
        <v>VietNems86</v>
      </c>
      <c r="K14" s="129" t="s">
        <v>91</v>
      </c>
    </row>
    <row r="15" ht="14.25" customHeight="1">
      <c r="A15" s="122" t="str">
        <f>IFERROR(__xludf.DUMMYFUNCTION("""COMPUTED_VALUE"""),"Marypops64")</f>
        <v>Marypops64</v>
      </c>
      <c r="B15" s="103">
        <v>14.0</v>
      </c>
      <c r="C15" s="123">
        <f t="shared" si="1"/>
        <v>830.467516</v>
      </c>
      <c r="D15" s="124" t="str">
        <f>VLOOKUP(A15,'Classement S6'!$B$2:$C$150,1,0)</f>
        <v>Marypops64</v>
      </c>
      <c r="E15" s="125" t="str">
        <f t="shared" si="2"/>
        <v/>
      </c>
      <c r="F15" s="120" t="str">
        <f>VLOOKUP(A15,'Classement Général'!$B$2:$B$146,1,0)</f>
        <v>marypops64</v>
      </c>
    </row>
    <row r="16" ht="14.25" customHeight="1">
      <c r="A16" s="122" t="str">
        <f>IFERROR(__xludf.DUMMYFUNCTION("""COMPUTED_VALUE"""),"riKKomaddog")</f>
        <v>riKKomaddog</v>
      </c>
      <c r="B16" s="103">
        <v>15.0</v>
      </c>
      <c r="C16" s="123">
        <f t="shared" si="1"/>
        <v>795.8596002</v>
      </c>
      <c r="D16" s="124" t="str">
        <f>VLOOKUP(A16,'Classement S6'!$B$2:$C$150,1,0)</f>
        <v>riKKomaddog</v>
      </c>
      <c r="E16" s="125" t="str">
        <f t="shared" si="2"/>
        <v/>
      </c>
      <c r="F16" s="120" t="str">
        <f>VLOOKUP(A16,'Classement Général'!$B$2:$B$146,1,0)</f>
        <v>riKKomaddog</v>
      </c>
    </row>
    <row r="17" ht="14.25" customHeight="1">
      <c r="A17" s="122" t="str">
        <f>IFERROR(__xludf.DUMMYFUNCTION("""COMPUTED_VALUE"""),"Sab86360")</f>
        <v>Sab86360</v>
      </c>
      <c r="B17" s="103">
        <v>16.0</v>
      </c>
      <c r="C17" s="123">
        <f t="shared" si="1"/>
        <v>763.0416919</v>
      </c>
      <c r="D17" s="124" t="str">
        <f>VLOOKUP(A17,'Classement S6'!$B$2:$C$150,1,0)</f>
        <v>Sab86360</v>
      </c>
      <c r="E17" s="125" t="str">
        <f t="shared" si="2"/>
        <v/>
      </c>
      <c r="F17" s="120" t="str">
        <f>VLOOKUP(A17,'Classement Général'!$B$2:$B$146,1,0)</f>
        <v>Sab86360</v>
      </c>
    </row>
    <row r="18" ht="14.25" customHeight="1">
      <c r="A18" s="122" t="str">
        <f>IFERROR(__xludf.DUMMYFUNCTION("""COMPUTED_VALUE"""),"8kinder6")</f>
        <v>8kinder6</v>
      </c>
      <c r="B18" s="103">
        <v>17.0</v>
      </c>
      <c r="C18" s="123">
        <f t="shared" si="1"/>
        <v>731.7861082</v>
      </c>
      <c r="D18" s="124" t="str">
        <f>VLOOKUP(A18,'Classement S6'!$B$2:$C$150,1,0)</f>
        <v>8kinder6</v>
      </c>
      <c r="E18" s="125" t="str">
        <f t="shared" si="2"/>
        <v/>
      </c>
      <c r="F18" s="120" t="str">
        <f>VLOOKUP(A18,'Classement Général'!$B$2:$B$146,1,0)</f>
        <v>8kinder6</v>
      </c>
    </row>
    <row r="19" ht="14.25" customHeight="1">
      <c r="A19" s="122" t="str">
        <f>IFERROR(__xludf.DUMMYFUNCTION("""COMPUTED_VALUE"""),"Fistipanda")</f>
        <v>Fistipanda</v>
      </c>
      <c r="B19" s="103">
        <v>18.0</v>
      </c>
      <c r="C19" s="123">
        <f t="shared" si="1"/>
        <v>701.9061402</v>
      </c>
      <c r="D19" s="124" t="str">
        <f>VLOOKUP(A19,'Classement S6'!$B$2:$C$150,1,0)</f>
        <v>Fistipanda</v>
      </c>
      <c r="E19" s="125" t="str">
        <f t="shared" si="2"/>
        <v/>
      </c>
      <c r="F19" s="120" t="str">
        <f>VLOOKUP(A19,'Classement Général'!$B$2:$B$146,1,0)</f>
        <v>Fistipanda</v>
      </c>
    </row>
    <row r="20" ht="14.25" customHeight="1">
      <c r="A20" s="122" t="str">
        <f>IFERROR(__xludf.DUMMYFUNCTION("""COMPUTED_VALUE"""),". BARBAPAPA66")</f>
        <v>. BARBAPAPA66</v>
      </c>
      <c r="B20" s="103">
        <v>19.0</v>
      </c>
      <c r="C20" s="123">
        <f t="shared" si="1"/>
        <v>673.2468208</v>
      </c>
      <c r="D20" s="124" t="str">
        <f>VLOOKUP(A20,'Classement S6'!$B$2:$C$150,1,0)</f>
        <v>. BARBAPAPA66</v>
      </c>
      <c r="E20" s="125" t="str">
        <f t="shared" si="2"/>
        <v/>
      </c>
      <c r="F20" s="120" t="str">
        <f>VLOOKUP(A20,'Classement Général'!$B$2:$B$146,1,0)</f>
        <v>. BARBAPAPA66</v>
      </c>
    </row>
    <row r="21" ht="14.25" customHeight="1">
      <c r="A21" s="122" t="str">
        <f>IFERROR(__xludf.DUMMYFUNCTION("""COMPUTED_VALUE"""),"Redblood92")</f>
        <v>Redblood92</v>
      </c>
      <c r="B21" s="103">
        <v>20.0</v>
      </c>
      <c r="C21" s="123">
        <f t="shared" si="1"/>
        <v>645.678143</v>
      </c>
      <c r="D21" s="124" t="str">
        <f>VLOOKUP(A21,'Classement S6'!$B$2:$C$150,1,0)</f>
        <v>Redblood92</v>
      </c>
      <c r="E21" s="125" t="str">
        <f t="shared" si="2"/>
        <v/>
      </c>
      <c r="F21" s="120" t="str">
        <f>VLOOKUP(A21,'Classement Général'!$B$2:$B$146,1,0)</f>
        <v>Redblood92</v>
      </c>
    </row>
    <row r="22" ht="14.25" customHeight="1">
      <c r="A22" s="122" t="str">
        <f>IFERROR(__xludf.DUMMYFUNCTION("""COMPUTED_VALUE"""),"BBH 75")</f>
        <v>BBH 75</v>
      </c>
      <c r="B22" s="103">
        <v>21.0</v>
      </c>
      <c r="C22" s="123">
        <f t="shared" si="1"/>
        <v>619.0899919</v>
      </c>
      <c r="D22" s="124" t="str">
        <f>VLOOKUP(A22,'Classement S6'!$B$2:$C$150,1,0)</f>
        <v>BBH 75</v>
      </c>
      <c r="E22" s="125" t="str">
        <f t="shared" si="2"/>
        <v/>
      </c>
      <c r="F22" s="120" t="str">
        <f>VLOOKUP(A22,'Classement Général'!$B$2:$B$146,1,0)</f>
        <v>BBH 75</v>
      </c>
    </row>
    <row r="23" ht="14.25" customHeight="1">
      <c r="A23" s="122" t="str">
        <f>IFERROR(__xludf.DUMMYFUNCTION("""COMPUTED_VALUE"""),"Le_Pictavien")</f>
        <v>Le_Pictavien</v>
      </c>
      <c r="B23" s="103">
        <v>22.0</v>
      </c>
      <c r="C23" s="123">
        <f t="shared" si="1"/>
        <v>593.3882949</v>
      </c>
      <c r="D23" s="124" t="str">
        <f>VLOOKUP(A23,'Classement S6'!$B$2:$C$150,1,0)</f>
        <v>Le_Pictavien</v>
      </c>
      <c r="E23" s="125" t="str">
        <f t="shared" si="2"/>
        <v/>
      </c>
      <c r="F23" s="120" t="str">
        <f>VLOOKUP(A23,'Classement Général'!$B$2:$B$146,1,0)</f>
        <v>Le_Pictavien</v>
      </c>
    </row>
    <row r="24" ht="14.25" customHeight="1">
      <c r="A24" s="122" t="str">
        <f>IFERROR(__xludf.DUMMYFUNCTION("""COMPUTED_VALUE"""),"immond")</f>
        <v>immond</v>
      </c>
      <c r="B24" s="103">
        <v>23.0</v>
      </c>
      <c r="C24" s="123">
        <f t="shared" si="1"/>
        <v>568.4920581</v>
      </c>
      <c r="D24" s="124" t="str">
        <f>VLOOKUP(A24,'Classement S6'!$B$2:$C$150,1,0)</f>
        <v>immond</v>
      </c>
      <c r="E24" s="125" t="str">
        <f t="shared" si="2"/>
        <v/>
      </c>
      <c r="F24" s="120" t="str">
        <f>VLOOKUP(A24,'Classement Général'!$B$2:$B$146,1,0)</f>
        <v>immond</v>
      </c>
    </row>
    <row r="25" ht="14.25" customHeight="1">
      <c r="A25" s="122" t="str">
        <f>IFERROR(__xludf.DUMMYFUNCTION("""COMPUTED_VALUE"""),"vicmackey86")</f>
        <v>vicmackey86</v>
      </c>
      <c r="B25" s="103">
        <v>24.0</v>
      </c>
      <c r="C25" s="123">
        <f t="shared" si="1"/>
        <v>544.331054</v>
      </c>
      <c r="D25" s="124" t="str">
        <f>VLOOKUP(A25,'Classement S6'!$B$2:$C$150,1,0)</f>
        <v>vicmackey86</v>
      </c>
      <c r="E25" s="125" t="str">
        <f t="shared" si="2"/>
        <v/>
      </c>
      <c r="F25" s="120" t="str">
        <f>VLOOKUP(A25,'Classement Général'!$B$2:$B$146,1,0)</f>
        <v>vicmackey86</v>
      </c>
    </row>
    <row r="26" ht="14.25" customHeight="1">
      <c r="A26" s="122" t="str">
        <f>IFERROR(__xludf.DUMMYFUNCTION("""COMPUTED_VALUE"""),"AKlibur")</f>
        <v>AKlibur</v>
      </c>
      <c r="B26" s="103">
        <v>25.0</v>
      </c>
      <c r="C26" s="123">
        <f t="shared" si="1"/>
        <v>520.8439968</v>
      </c>
      <c r="D26" s="124" t="str">
        <f>VLOOKUP(A26,'Classement S6'!$B$2:$C$150,1,0)</f>
        <v>AKlibur</v>
      </c>
      <c r="E26" s="125" t="str">
        <f t="shared" si="2"/>
        <v/>
      </c>
      <c r="F26" s="120" t="str">
        <f>VLOOKUP(A26,'Classement Général'!$B$2:$B$146,1,0)</f>
        <v>AKlibur</v>
      </c>
    </row>
    <row r="27" ht="14.25" customHeight="1">
      <c r="A27" s="122" t="str">
        <f>IFERROR(__xludf.DUMMYFUNCTION("""COMPUTED_VALUE"""),"DonnesTchips")</f>
        <v>DonnesTchips</v>
      </c>
      <c r="B27" s="103">
        <v>26.0</v>
      </c>
      <c r="C27" s="123">
        <f t="shared" si="1"/>
        <v>497.9770882</v>
      </c>
      <c r="D27" s="124" t="str">
        <f>VLOOKUP(A27,'Classement S6'!$B$2:$C$150,1,0)</f>
        <v>DonnesTchips</v>
      </c>
      <c r="E27" s="125" t="str">
        <f t="shared" si="2"/>
        <v/>
      </c>
      <c r="F27" s="120" t="str">
        <f>VLOOKUP(A27,'Classement Général'!$B$2:$B$146,1,0)</f>
        <v>DonnesTchips</v>
      </c>
    </row>
    <row r="28" ht="14.25" customHeight="1">
      <c r="A28" s="122" t="str">
        <f>IFERROR(__xludf.DUMMYFUNCTION("""COMPUTED_VALUE"""),"PocketBike")</f>
        <v>PocketBike</v>
      </c>
      <c r="B28" s="103">
        <v>27.0</v>
      </c>
      <c r="C28" s="123">
        <f t="shared" si="1"/>
        <v>475.682846</v>
      </c>
      <c r="D28" s="124" t="str">
        <f>VLOOKUP(A28,'Classement S6'!$B$2:$C$150,1,0)</f>
        <v>PocketBike</v>
      </c>
      <c r="E28" s="125" t="str">
        <f t="shared" si="2"/>
        <v/>
      </c>
      <c r="F28" s="120" t="str">
        <f>VLOOKUP(A28,'Classement Général'!$B$2:$B$146,1,0)</f>
        <v>PocketBike</v>
      </c>
    </row>
    <row r="29" ht="14.25" customHeight="1">
      <c r="A29" s="122" t="str">
        <f>IFERROR(__xludf.DUMMYFUNCTION("""COMPUTED_VALUE"""),"waasp.")</f>
        <v>waasp.</v>
      </c>
      <c r="B29" s="103">
        <v>28.0</v>
      </c>
      <c r="C29" s="123">
        <f t="shared" si="1"/>
        <v>453.9191522</v>
      </c>
      <c r="D29" s="124" t="str">
        <f>VLOOKUP(A29,'Classement S6'!$B$2:$C$150,1,0)</f>
        <v>waasp.</v>
      </c>
      <c r="E29" s="125" t="str">
        <f t="shared" si="2"/>
        <v/>
      </c>
      <c r="F29" s="120" t="str">
        <f>VLOOKUP(A29,'Classement Général'!$B$2:$B$146,1,0)</f>
        <v>waasp.</v>
      </c>
    </row>
    <row r="30" ht="14.25" customHeight="1">
      <c r="A30" s="122" t="str">
        <f>IFERROR(__xludf.DUMMYFUNCTION("""COMPUTED_VALUE"""),"kiki86 x")</f>
        <v>kiki86 x</v>
      </c>
      <c r="B30" s="103">
        <v>29.0</v>
      </c>
      <c r="C30" s="123">
        <f t="shared" si="1"/>
        <v>432.6484741</v>
      </c>
      <c r="D30" s="124" t="str">
        <f>VLOOKUP(A30,'Classement S6'!$B$2:$C$150,1,0)</f>
        <v>kiki86 x</v>
      </c>
      <c r="E30" s="125" t="str">
        <f t="shared" si="2"/>
        <v/>
      </c>
      <c r="F30" s="120" t="str">
        <f>VLOOKUP(A30,'Classement Général'!$B$2:$B$146,1,0)</f>
        <v>kiki86 x</v>
      </c>
    </row>
    <row r="31" ht="14.25" customHeight="1">
      <c r="A31" s="122" t="str">
        <f>IFERROR(__xludf.DUMMYFUNCTION("""COMPUTED_VALUE"""),"StephBoss05")</f>
        <v>StephBoss05</v>
      </c>
      <c r="B31" s="103">
        <v>30.0</v>
      </c>
      <c r="C31" s="123">
        <f t="shared" si="1"/>
        <v>411.8372214</v>
      </c>
      <c r="D31" s="124" t="str">
        <f>VLOOKUP(A31,'Classement S6'!$B$2:$C$150,1,0)</f>
        <v>StephBoss05</v>
      </c>
      <c r="E31" s="125" t="str">
        <f t="shared" si="2"/>
        <v/>
      </c>
      <c r="F31" s="120" t="str">
        <f>VLOOKUP(A31,'Classement Général'!$B$2:$B$146,1,0)</f>
        <v>StephBoss05</v>
      </c>
    </row>
    <row r="32" ht="14.25" customHeight="1">
      <c r="A32" s="122" t="str">
        <f>IFERROR(__xludf.DUMMYFUNCTION("""COMPUTED_VALUE"""),"A_iniesta")</f>
        <v>A_iniesta</v>
      </c>
      <c r="B32" s="103">
        <v>31.0</v>
      </c>
      <c r="C32" s="123">
        <f t="shared" si="1"/>
        <v>391.4552119</v>
      </c>
      <c r="D32" s="124" t="str">
        <f>VLOOKUP(A32,'Classement S6'!$B$2:$C$150,1,0)</f>
        <v>A_iniesta</v>
      </c>
      <c r="E32" s="125" t="str">
        <f t="shared" si="2"/>
        <v/>
      </c>
      <c r="F32" s="120" t="str">
        <f>VLOOKUP(A32,'Classement Général'!$B$2:$B$146,1,0)</f>
        <v>A_iniesta</v>
      </c>
    </row>
    <row r="33" ht="14.25" customHeight="1">
      <c r="A33" s="122" t="str">
        <f>IFERROR(__xludf.DUMMYFUNCTION("""COMPUTED_VALUE"""),"jejehehe")</f>
        <v>jejehehe</v>
      </c>
      <c r="B33" s="103">
        <v>32.0</v>
      </c>
      <c r="C33" s="123">
        <f t="shared" si="1"/>
        <v>371.4752241</v>
      </c>
      <c r="D33" s="124" t="str">
        <f>VLOOKUP(A33,'Classement S6'!$B$2:$C$150,1,0)</f>
        <v>jejehehe</v>
      </c>
      <c r="E33" s="125" t="str">
        <f t="shared" si="2"/>
        <v/>
      </c>
      <c r="F33" s="120" t="str">
        <f>VLOOKUP(A33,'Classement Général'!$B$2:$B$146,1,0)</f>
        <v>jejehehe</v>
      </c>
    </row>
    <row r="34" ht="14.25" customHeight="1">
      <c r="A34" s="122" t="str">
        <f>IFERROR(__xludf.DUMMYFUNCTION("""COMPUTED_VALUE"""),"NezuKO-demon")</f>
        <v>NezuKO-demon</v>
      </c>
      <c r="B34" s="103">
        <v>33.0</v>
      </c>
      <c r="C34" s="123">
        <f t="shared" si="1"/>
        <v>351.8726218</v>
      </c>
      <c r="D34" s="124" t="str">
        <f>VLOOKUP(A34,'Classement S6'!$B$2:$C$150,1,0)</f>
        <v>NezuKO-demon</v>
      </c>
      <c r="E34" s="125" t="str">
        <f t="shared" si="2"/>
        <v/>
      </c>
      <c r="F34" s="120" t="str">
        <f>VLOOKUP(A34,'Classement Général'!$B$2:$B$146,1,0)</f>
        <v>NezuKO-demon</v>
      </c>
    </row>
    <row r="35" ht="14.25" customHeight="1">
      <c r="A35" s="122" t="str">
        <f>IFERROR(__xludf.DUMMYFUNCTION("""COMPUTED_VALUE"""),"sonic86")</f>
        <v>sonic86</v>
      </c>
      <c r="B35" s="103">
        <v>34.0</v>
      </c>
      <c r="C35" s="123">
        <f t="shared" si="1"/>
        <v>332.6250352</v>
      </c>
      <c r="D35" s="124" t="str">
        <f>VLOOKUP(A35,'Classement S6'!$B$2:$C$150,1,0)</f>
        <v>sonic86</v>
      </c>
      <c r="E35" s="125" t="str">
        <f t="shared" si="2"/>
        <v/>
      </c>
      <c r="F35" s="120" t="str">
        <f>VLOOKUP(A35,'Classement Général'!$B$2:$B$146,1,0)</f>
        <v>sonic86</v>
      </c>
    </row>
    <row r="36" ht="14.25" customHeight="1">
      <c r="A36" s="122" t="str">
        <f>IFERROR(__xludf.DUMMYFUNCTION("""COMPUTED_VALUE"""),"ludolab")</f>
        <v>ludolab</v>
      </c>
      <c r="B36" s="103">
        <v>35.0</v>
      </c>
      <c r="C36" s="123">
        <f t="shared" si="1"/>
        <v>313.7120907</v>
      </c>
      <c r="D36" s="124" t="str">
        <f>VLOOKUP(A36,'Classement S6'!$B$2:$C$150,1,0)</f>
        <v>ludolab</v>
      </c>
      <c r="E36" s="125" t="str">
        <f t="shared" si="2"/>
        <v/>
      </c>
      <c r="F36" s="120" t="str">
        <f>VLOOKUP(A36,'Classement Général'!$B$2:$B$146,1,0)</f>
        <v>ludolab</v>
      </c>
    </row>
    <row r="37" ht="14.25" customHeight="1">
      <c r="A37" s="122" t="str">
        <f>IFERROR(__xludf.DUMMYFUNCTION("""COMPUTED_VALUE"""),"Mitch")</f>
        <v>Mitch</v>
      </c>
      <c r="B37" s="103">
        <v>36.0</v>
      </c>
      <c r="C37" s="123">
        <f t="shared" si="1"/>
        <v>295.1151786</v>
      </c>
      <c r="D37" s="124" t="str">
        <f>VLOOKUP(A37,'Classement S6'!$B$2:$C$150,1,0)</f>
        <v>Mitch</v>
      </c>
      <c r="E37" s="125" t="str">
        <f t="shared" si="2"/>
        <v/>
      </c>
      <c r="F37" s="120" t="str">
        <f>VLOOKUP(A37,'Classement Général'!$B$2:$B$146,1,0)</f>
        <v>Mitch</v>
      </c>
    </row>
    <row r="38" ht="14.25" customHeight="1">
      <c r="A38" s="122" t="str">
        <f>IFERROR(__xludf.DUMMYFUNCTION("""COMPUTED_VALUE"""),"Cataleya86")</f>
        <v>Cataleya86</v>
      </c>
      <c r="B38" s="103">
        <v>37.0</v>
      </c>
      <c r="C38" s="123">
        <f t="shared" si="1"/>
        <v>276.8172548</v>
      </c>
      <c r="D38" s="124" t="str">
        <f>VLOOKUP(A38,'Classement S6'!$B$2:$C$150,1,0)</f>
        <v>Cataleya86</v>
      </c>
      <c r="E38" s="125" t="str">
        <f t="shared" si="2"/>
        <v/>
      </c>
      <c r="F38" s="120" t="str">
        <f>VLOOKUP(A38,'Classement Général'!$B$2:$B$146,1,0)</f>
        <v>Cataleya86</v>
      </c>
    </row>
    <row r="39" ht="14.25" customHeight="1">
      <c r="A39" s="122" t="str">
        <f>IFERROR(__xludf.DUMMYFUNCTION("""COMPUTED_VALUE"""),"_Sale-Bet_")</f>
        <v>_Sale-Bet_</v>
      </c>
      <c r="B39" s="103">
        <v>38.0</v>
      </c>
      <c r="C39" s="123">
        <f t="shared" si="1"/>
        <v>258.8026689</v>
      </c>
      <c r="D39" s="124" t="str">
        <f>VLOOKUP(A39,'Classement S6'!$B$2:$C$150,1,0)</f>
        <v>_Sale-Bet_</v>
      </c>
      <c r="E39" s="125" t="str">
        <f t="shared" si="2"/>
        <v/>
      </c>
      <c r="F39" s="120" t="str">
        <f>VLOOKUP(A39,'Classement Général'!$B$2:$B$146,1,0)</f>
        <v>_Sale-Bet_</v>
      </c>
    </row>
    <row r="40" ht="14.25" customHeight="1">
      <c r="A40" s="122" t="str">
        <f>IFERROR(__xludf.DUMMYFUNCTION("""COMPUTED_VALUE"""),"cassius-86")</f>
        <v>cassius-86</v>
      </c>
      <c r="B40" s="103">
        <v>39.0</v>
      </c>
      <c r="C40" s="123">
        <f t="shared" si="1"/>
        <v>241.057015</v>
      </c>
      <c r="D40" s="124" t="str">
        <f>VLOOKUP(A40,'Classement S6'!$B$2:$C$150,1,0)</f>
        <v>cassius-86</v>
      </c>
      <c r="E40" s="125" t="str">
        <f t="shared" si="2"/>
        <v/>
      </c>
      <c r="F40" s="120" t="str">
        <f>VLOOKUP(A40,'Classement Général'!$B$2:$B$146,1,0)</f>
        <v>cassius-86</v>
      </c>
    </row>
    <row r="41" ht="14.25" customHeight="1">
      <c r="A41" s="122" t="str">
        <f>IFERROR(__xludf.DUMMYFUNCTION("""COMPUTED_VALUE"""),"Vaillant 86")</f>
        <v>Vaillant 86</v>
      </c>
      <c r="B41" s="103">
        <v>40.0</v>
      </c>
      <c r="C41" s="123">
        <f t="shared" si="1"/>
        <v>223.567003</v>
      </c>
      <c r="D41" s="124" t="str">
        <f>VLOOKUP(A41,'Classement S6'!$B$2:$C$150,1,0)</f>
        <v>Vaillant 86</v>
      </c>
      <c r="E41" s="125" t="str">
        <f t="shared" si="2"/>
        <v/>
      </c>
      <c r="F41" s="120" t="str">
        <f>VLOOKUP(A41,'Classement Général'!$B$2:$B$146,1,0)</f>
        <v>Vaillant 86</v>
      </c>
    </row>
    <row r="42" ht="14.25" customHeight="1">
      <c r="A42" s="122" t="str">
        <f>IFERROR(__xludf.DUMMYFUNCTION("""COMPUTED_VALUE"""),"KamehamehAS")</f>
        <v>KamehamehAS</v>
      </c>
      <c r="B42" s="103">
        <v>41.0</v>
      </c>
      <c r="C42" s="123">
        <f t="shared" si="1"/>
        <v>206.320345</v>
      </c>
      <c r="D42" s="124" t="str">
        <f>VLOOKUP(A42,'Classement S6'!$B$2:$C$150,1,0)</f>
        <v>KamehamehAS</v>
      </c>
      <c r="E42" s="125" t="str">
        <f t="shared" si="2"/>
        <v/>
      </c>
      <c r="F42" s="120" t="str">
        <f>VLOOKUP(A42,'Classement Général'!$B$2:$B$146,1,0)</f>
        <v>KamehamehAS</v>
      </c>
    </row>
    <row r="43" ht="14.25" customHeight="1">
      <c r="A43" s="122" t="str">
        <f>IFERROR(__xludf.DUMMYFUNCTION("""COMPUTED_VALUE"""),"imberbe")</f>
        <v>imberbe</v>
      </c>
      <c r="B43" s="103">
        <v>42.0</v>
      </c>
      <c r="C43" s="123">
        <f t="shared" si="1"/>
        <v>189.3056563</v>
      </c>
      <c r="D43" s="124" t="str">
        <f>VLOOKUP(A43,'Classement S6'!$B$2:$C$150,1,0)</f>
        <v>imberbe</v>
      </c>
      <c r="E43" s="125" t="str">
        <f t="shared" si="2"/>
        <v/>
      </c>
      <c r="F43" s="120" t="str">
        <f>VLOOKUP(A43,'Classement Général'!$B$2:$B$146,1,0)</f>
        <v>imberbe</v>
      </c>
    </row>
    <row r="44" ht="14.25" customHeight="1">
      <c r="A44" s="122" t="str">
        <f>IFERROR(__xludf.DUMMYFUNCTION("""COMPUTED_VALUE"""),"mailie86")</f>
        <v>mailie86</v>
      </c>
      <c r="B44" s="103">
        <v>43.0</v>
      </c>
      <c r="C44" s="123">
        <f t="shared" si="1"/>
        <v>172.5123687</v>
      </c>
      <c r="D44" s="124" t="str">
        <f>VLOOKUP(A44,'Classement S6'!$B$2:$C$150,1,0)</f>
        <v>mailie86</v>
      </c>
      <c r="E44" s="125" t="str">
        <f t="shared" si="2"/>
        <v/>
      </c>
      <c r="F44" s="120" t="str">
        <f>VLOOKUP(A44,'Classement Général'!$B$2:$B$146,1,0)</f>
        <v>mailie86</v>
      </c>
    </row>
    <row r="45" ht="14.25" customHeight="1">
      <c r="A45" s="122" t="str">
        <f>IFERROR(__xludf.DUMMYFUNCTION("""COMPUTED_VALUE"""),"gregmoore")</f>
        <v>gregmoore</v>
      </c>
      <c r="B45" s="103">
        <v>44.0</v>
      </c>
      <c r="C45" s="123">
        <f t="shared" si="1"/>
        <v>155.9306531</v>
      </c>
      <c r="D45" s="124" t="str">
        <f>VLOOKUP(A45,'Classement S6'!$B$2:$C$150,1,0)</f>
        <v>gregmoore</v>
      </c>
      <c r="E45" s="125" t="str">
        <f t="shared" si="2"/>
        <v/>
      </c>
      <c r="F45" s="120" t="str">
        <f>VLOOKUP(A45,'Classement Général'!$B$2:$B$146,1,0)</f>
        <v>gregmoore</v>
      </c>
    </row>
    <row r="46" ht="14.25" customHeight="1">
      <c r="A46" s="122" t="str">
        <f>IFERROR(__xludf.DUMMYFUNCTION("""COMPUTED_VALUE"""),"lifeofpark")</f>
        <v>lifeofpark</v>
      </c>
      <c r="B46" s="103">
        <v>45.0</v>
      </c>
      <c r="C46" s="123">
        <f t="shared" si="1"/>
        <v>139.5513519</v>
      </c>
      <c r="D46" s="124" t="str">
        <f>VLOOKUP(A46,'Classement S6'!$B$2:$C$150,1,0)</f>
        <v>lifeofpark</v>
      </c>
      <c r="E46" s="125" t="str">
        <f t="shared" si="2"/>
        <v/>
      </c>
      <c r="F46" s="120" t="str">
        <f>VLOOKUP(A46,'Classement Général'!$B$2:$B$146,1,0)</f>
        <v>lifeofpark</v>
      </c>
    </row>
    <row r="47" ht="14.25" customHeight="1">
      <c r="A47" s="122" t="str">
        <f>IFERROR(__xludf.DUMMYFUNCTION("""COMPUTED_VALUE"""),"Jennyyy8")</f>
        <v>Jennyyy8</v>
      </c>
      <c r="B47" s="103">
        <v>46.0</v>
      </c>
      <c r="C47" s="123">
        <f t="shared" si="1"/>
        <v>123.3659184</v>
      </c>
      <c r="D47" s="124" t="str">
        <f>VLOOKUP(A47,'Classement S6'!$B$2:$C$150,1,0)</f>
        <v>Jennyyy8</v>
      </c>
      <c r="E47" s="125" t="str">
        <f t="shared" si="2"/>
        <v/>
      </c>
      <c r="F47" s="120" t="str">
        <f>VLOOKUP(A47,'Classement Général'!$B$2:$B$146,1,0)</f>
        <v>Jennyyy8</v>
      </c>
    </row>
    <row r="48" ht="14.25" customHeight="1">
      <c r="A48" s="122" t="str">
        <f>IFERROR(__xludf.DUMMYFUNCTION("""COMPUTED_VALUE"""),"_VisMaVie_")</f>
        <v>_VisMaVie_</v>
      </c>
      <c r="B48" s="103">
        <v>47.0</v>
      </c>
      <c r="C48" s="123">
        <f t="shared" si="1"/>
        <v>107.3663632</v>
      </c>
      <c r="D48" s="124" t="str">
        <f>VLOOKUP(A48,'Classement S6'!$B$2:$C$150,1,0)</f>
        <v>_VisMaVie_</v>
      </c>
      <c r="E48" s="125" t="str">
        <f t="shared" si="2"/>
        <v/>
      </c>
      <c r="F48" s="120" t="str">
        <f>VLOOKUP(A48,'Classement Général'!$B$2:$B$146,1,0)</f>
        <v>_VisMaVie_</v>
      </c>
    </row>
    <row r="49" ht="14.25" customHeight="1">
      <c r="A49" s="122" t="str">
        <f>IFERROR(__xludf.DUMMYFUNCTION("""COMPUTED_VALUE"""),"fiodor86")</f>
        <v>fiodor86</v>
      </c>
      <c r="B49" s="103">
        <v>48.0</v>
      </c>
      <c r="C49" s="123">
        <f t="shared" si="1"/>
        <v>91.5452064</v>
      </c>
      <c r="D49" s="124" t="str">
        <f>VLOOKUP(A49,'Classement S6'!$B$2:$C$150,1,0)</f>
        <v>fiodor86</v>
      </c>
      <c r="E49" s="125" t="str">
        <f t="shared" si="2"/>
        <v/>
      </c>
      <c r="F49" s="120" t="str">
        <f>VLOOKUP(A49,'Classement Général'!$B$2:$B$146,1,0)</f>
        <v>fiodor86</v>
      </c>
    </row>
    <row r="50" ht="14.25" customHeight="1">
      <c r="A50" s="122" t="str">
        <f>IFERROR(__xludf.DUMMYFUNCTION("""COMPUTED_VALUE"""),"SINGE7")</f>
        <v>SINGE7</v>
      </c>
      <c r="B50" s="103">
        <v>49.0</v>
      </c>
      <c r="C50" s="123">
        <f t="shared" si="1"/>
        <v>75.89543447</v>
      </c>
      <c r="D50" s="124" t="str">
        <f>VLOOKUP(A50,'Classement S6'!$B$2:$C$150,1,0)</f>
        <v>SINGE7</v>
      </c>
      <c r="E50" s="125" t="str">
        <f t="shared" si="2"/>
        <v/>
      </c>
      <c r="F50" s="120" t="str">
        <f>VLOOKUP(A50,'Classement Général'!$B$2:$B$146,1,0)</f>
        <v>SINGE7</v>
      </c>
    </row>
    <row r="51" ht="14.25" customHeight="1">
      <c r="A51" s="122" t="str">
        <f>IFERROR(__xludf.DUMMYFUNCTION("""COMPUTED_VALUE"""),"Pachavi")</f>
        <v>Pachavi</v>
      </c>
      <c r="B51" s="103">
        <v>50.0</v>
      </c>
      <c r="C51" s="123">
        <f t="shared" si="1"/>
        <v>60.41046204</v>
      </c>
      <c r="D51" s="124" t="str">
        <f>VLOOKUP(A51,'Classement S6'!$B$2:$C$150,1,0)</f>
        <v>Pachavi</v>
      </c>
      <c r="E51" s="125" t="str">
        <f t="shared" si="2"/>
        <v/>
      </c>
      <c r="F51" s="120" t="str">
        <f>VLOOKUP(A51,'Classement Général'!$B$2:$B$146,1,0)</f>
        <v>Pachavi</v>
      </c>
    </row>
    <row r="52" ht="14.25" customHeight="1">
      <c r="A52" s="122" t="str">
        <f>IFERROR(__xludf.DUMMYFUNCTION("""COMPUTED_VALUE"""),"pablo")</f>
        <v>pablo</v>
      </c>
      <c r="B52" s="103">
        <v>51.0</v>
      </c>
      <c r="C52" s="123">
        <f t="shared" si="1"/>
        <v>45.08409724</v>
      </c>
      <c r="D52" s="124" t="str">
        <f>VLOOKUP(A52,'Classement S6'!$B$2:$C$150,1,0)</f>
        <v>pablo</v>
      </c>
      <c r="E52" s="125" t="str">
        <f t="shared" si="2"/>
        <v/>
      </c>
      <c r="F52" s="120" t="str">
        <f>VLOOKUP(A52,'Classement Général'!$B$2:$B$146,1,0)</f>
        <v>pablo</v>
      </c>
    </row>
    <row r="53" ht="14.25" customHeight="1">
      <c r="A53" s="122" t="str">
        <f>IFERROR(__xludf.DUMMYFUNCTION("""COMPUTED_VALUE"""),"FridAKahlo")</f>
        <v>FridAKahlo</v>
      </c>
      <c r="B53" s="103">
        <v>52.0</v>
      </c>
      <c r="C53" s="123">
        <f t="shared" si="1"/>
        <v>29.9105106</v>
      </c>
      <c r="D53" s="124" t="str">
        <f>VLOOKUP(A53,'Classement S6'!$B$2:$C$150,1,0)</f>
        <v>FridAKahlo</v>
      </c>
      <c r="E53" s="125" t="str">
        <f t="shared" si="2"/>
        <v/>
      </c>
      <c r="F53" s="120" t="str">
        <f>VLOOKUP(A53,'Classement Général'!$B$2:$B$146,1,0)</f>
        <v>FridAKahlo</v>
      </c>
    </row>
    <row r="54" ht="14.25" customHeight="1">
      <c r="A54" s="122" t="str">
        <f>IFERROR(__xludf.DUMMYFUNCTION("""COMPUTED_VALUE"""),"rastamokett")</f>
        <v>rastamokett</v>
      </c>
      <c r="B54" s="103">
        <v>53.0</v>
      </c>
      <c r="C54" s="123">
        <f t="shared" si="1"/>
        <v>14.88420695</v>
      </c>
      <c r="D54" s="124" t="str">
        <f>VLOOKUP(A54,'Classement S6'!$B$2:$C$150,1,0)</f>
        <v>rastamokett</v>
      </c>
      <c r="E54" s="125" t="str">
        <f t="shared" si="2"/>
        <v/>
      </c>
      <c r="F54" s="120" t="str">
        <f>VLOOKUP(A54,'Classement Général'!$B$2:$B$146,1,0)</f>
        <v>rastamokett</v>
      </c>
    </row>
    <row r="55" ht="14.25" customHeight="1">
      <c r="A55" s="122"/>
      <c r="B55" s="103">
        <v>54.0</v>
      </c>
      <c r="C55" s="123">
        <f t="shared" si="1"/>
        <v>0</v>
      </c>
      <c r="D55" s="124" t="str">
        <f>VLOOKUP(A55,'Classement S6'!$B$2:$C$150,1,0)</f>
        <v>#N/A</v>
      </c>
      <c r="E55" s="125" t="str">
        <f t="shared" si="2"/>
        <v>#N/A</v>
      </c>
      <c r="F55" s="120" t="str">
        <f>VLOOKUP(A55,'Classement Général'!$B$2:$B$146,1,0)</f>
        <v>#N/A</v>
      </c>
    </row>
    <row r="56" ht="14.25" customHeight="1">
      <c r="A56" s="122"/>
      <c r="B56" s="103">
        <v>55.0</v>
      </c>
      <c r="C56" s="123">
        <f t="shared" si="1"/>
        <v>-14.74701068</v>
      </c>
      <c r="D56" s="124" t="str">
        <f>VLOOKUP(A56,'Classement S6'!$B$2:$C$150,1,0)</f>
        <v>#N/A</v>
      </c>
      <c r="E56" s="125" t="str">
        <f t="shared" si="2"/>
        <v>#N/A</v>
      </c>
      <c r="F56" s="120" t="str">
        <f>VLOOKUP(A56,'Classement Général'!$B$2:$B$146,1,0)</f>
        <v>#N/A</v>
      </c>
    </row>
    <row r="57" ht="14.25" customHeight="1">
      <c r="A57" s="122"/>
      <c r="B57" s="103">
        <v>56.0</v>
      </c>
      <c r="C57" s="123">
        <f t="shared" si="1"/>
        <v>-29.3614606</v>
      </c>
      <c r="D57" s="124" t="str">
        <f>VLOOKUP(A57,'Classement S6'!$B$2:$C$150,1,0)</f>
        <v>#N/A</v>
      </c>
      <c r="E57" s="125" t="str">
        <f t="shared" si="2"/>
        <v>#N/A</v>
      </c>
      <c r="F57" s="120" t="str">
        <f>VLOOKUP(A57,'Classement Général'!$B$2:$B$146,1,0)</f>
        <v>#N/A</v>
      </c>
    </row>
    <row r="58" ht="14.25" customHeight="1">
      <c r="A58" s="122"/>
      <c r="B58" s="103">
        <v>57.0</v>
      </c>
      <c r="C58" s="123">
        <f t="shared" si="1"/>
        <v>-43.8477394</v>
      </c>
      <c r="D58" s="124" t="str">
        <f>VLOOKUP(A58,'Classement S6'!$B$2:$C$150,1,0)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22"/>
      <c r="B59" s="103">
        <v>58.0</v>
      </c>
      <c r="C59" s="123">
        <f t="shared" si="1"/>
        <v>-58.21000815</v>
      </c>
      <c r="D59" s="124" t="str">
        <f>VLOOKUP(A59,'Classement S6'!$B$2:$C$150,1,0)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22"/>
      <c r="B60" s="103">
        <v>59.0</v>
      </c>
      <c r="C60" s="123">
        <f t="shared" si="1"/>
        <v>-72.45221522</v>
      </c>
      <c r="D60" s="124" t="str">
        <f>VLOOKUP(A60,'Classement S6'!$B$2:$C$150,1,0)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22"/>
      <c r="B61" s="103">
        <v>60.0</v>
      </c>
      <c r="C61" s="123">
        <f t="shared" si="1"/>
        <v>-86.57811079</v>
      </c>
      <c r="D61" s="124" t="str">
        <f>VLOOKUP(A61,'Classement S6'!$B$2:$C$150,1,0)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22"/>
      <c r="B62" s="103">
        <v>61.0</v>
      </c>
      <c r="C62" s="123">
        <f t="shared" si="1"/>
        <v>-100.5912601</v>
      </c>
      <c r="D62" s="124" t="str">
        <f>VLOOKUP(A62,'Classement S6'!$B$2:$C$150,1,0)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22"/>
      <c r="B63" s="103">
        <v>62.0</v>
      </c>
      <c r="C63" s="123">
        <f t="shared" si="1"/>
        <v>-114.4950554</v>
      </c>
      <c r="D63" s="124" t="str">
        <f>VLOOKUP(A63,'Classement S6'!$B$2:$C$150,1,0)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22"/>
      <c r="B64" s="103">
        <v>63.0</v>
      </c>
      <c r="C64" s="123">
        <f t="shared" si="1"/>
        <v>-128.2927278</v>
      </c>
      <c r="D64" s="124" t="str">
        <f>VLOOKUP(A64,'Classement S6'!$B$2:$C$150,1,0)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22"/>
      <c r="B65" s="103">
        <v>64.0</v>
      </c>
      <c r="C65" s="123">
        <f t="shared" si="1"/>
        <v>-141.9873565</v>
      </c>
      <c r="D65" s="124" t="str">
        <f>VLOOKUP(A65,'Classement S6'!$B$2:$C$150,1,0)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22"/>
      <c r="B66" s="103">
        <v>65.0</v>
      </c>
      <c r="C66" s="123">
        <f t="shared" si="1"/>
        <v>-155.5818793</v>
      </c>
      <c r="D66" s="124" t="str">
        <f>VLOOKUP(A66,'Classement S6'!$B$2:$C$150,1,0)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22"/>
      <c r="B67" s="103">
        <v>66.0</v>
      </c>
      <c r="C67" s="123">
        <f t="shared" si="1"/>
        <v>-169.0791007</v>
      </c>
      <c r="D67" s="124" t="str">
        <f>VLOOKUP(A67,'Classement S6'!$B$2:$C$150,1,0)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22"/>
      <c r="B68" s="103">
        <v>67.0</v>
      </c>
      <c r="C68" s="123">
        <f t="shared" si="1"/>
        <v>-182.4817002</v>
      </c>
      <c r="D68" s="124" t="str">
        <f>VLOOKUP(A68,'Classement S6'!$B$2:$C$150,1,0)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22"/>
      <c r="B69" s="103">
        <v>68.0</v>
      </c>
      <c r="C69" s="123">
        <f t="shared" si="1"/>
        <v>-195.7922398</v>
      </c>
      <c r="D69" s="124" t="str">
        <f>VLOOKUP(A69,'Classement S6'!$B$2:$C$150,1,0)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22"/>
      <c r="B70" s="103">
        <v>69.0</v>
      </c>
      <c r="C70" s="123">
        <f t="shared" si="1"/>
        <v>-209.0131707</v>
      </c>
      <c r="D70" s="124" t="str">
        <f>VLOOKUP(A70,'Classement S6'!$B$2:$C$150,1,0)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22"/>
      <c r="B71" s="103">
        <v>70.0</v>
      </c>
      <c r="C71" s="123">
        <f t="shared" si="1"/>
        <v>-222.14684</v>
      </c>
      <c r="D71" s="124" t="str">
        <f>VLOOKUP(A71,'Classement S6'!$B$2:$C$150,1,0)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22"/>
      <c r="B72" s="103">
        <v>71.0</v>
      </c>
      <c r="C72" s="123">
        <f t="shared" si="1"/>
        <v>-235.1954963</v>
      </c>
      <c r="D72" s="124" t="str">
        <f>VLOOKUP(A72,'Classement S6'!$B$2:$C$150,1,0)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22"/>
      <c r="B73" s="103">
        <v>72.0</v>
      </c>
      <c r="C73" s="123">
        <f t="shared" si="1"/>
        <v>-248.1612958</v>
      </c>
      <c r="D73" s="124" t="str">
        <f>VLOOKUP(A73,'Classement S6'!$B$2:$C$150,1,0)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22"/>
      <c r="B74" s="103">
        <v>73.0</v>
      </c>
      <c r="C74" s="123">
        <f t="shared" si="1"/>
        <v>-261.0463066</v>
      </c>
      <c r="D74" s="124" t="str">
        <f>VLOOKUP(A74,'Classement S6'!$B$2:$C$150,1,0)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22"/>
      <c r="B75" s="103">
        <v>74.0</v>
      </c>
      <c r="C75" s="123">
        <f t="shared" si="1"/>
        <v>-273.8525144</v>
      </c>
      <c r="D75" s="124" t="str">
        <f>VLOOKUP(A75,'Classement S6'!$B$2:$C$150,1,0)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22"/>
      <c r="B76" s="103">
        <v>75.0</v>
      </c>
      <c r="C76" s="123">
        <f t="shared" si="1"/>
        <v>-286.5818263</v>
      </c>
      <c r="D76" s="124" t="str">
        <f>VLOOKUP(A76,'Classement S6'!$B$2:$C$150,1,0)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22"/>
      <c r="B77" s="103">
        <v>76.0</v>
      </c>
      <c r="C77" s="123">
        <f t="shared" si="1"/>
        <v>-299.2360752</v>
      </c>
      <c r="D77" s="124" t="str">
        <f>VLOOKUP(A77,'Classement S6'!$B$2:$C$150,1,0)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22"/>
      <c r="B78" s="103">
        <v>77.0</v>
      </c>
      <c r="C78" s="123">
        <f t="shared" si="1"/>
        <v>-311.8170237</v>
      </c>
      <c r="D78" s="124" t="str">
        <f>VLOOKUP(A78,'Classement S6'!$B$2:$C$150,1,0)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22"/>
      <c r="B79" s="103">
        <v>78.0</v>
      </c>
      <c r="C79" s="123">
        <f t="shared" si="1"/>
        <v>-324.3263677</v>
      </c>
      <c r="D79" s="124" t="str">
        <f>VLOOKUP(A79,'Classement S6'!$B$2:$C$150,1,0)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27"/>
      <c r="B80" s="103">
        <v>79.0</v>
      </c>
      <c r="C80" s="123">
        <f t="shared" si="1"/>
        <v>-336.7657398</v>
      </c>
      <c r="D80" s="124" t="str">
        <f>VLOOKUP(A80,'Classement S6'!$B$2:$C$150,1,0)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27"/>
      <c r="B81" s="103">
        <v>80.0</v>
      </c>
      <c r="C81" s="123">
        <f t="shared" si="1"/>
        <v>-349.1367126</v>
      </c>
      <c r="D81" s="124" t="str">
        <f>VLOOKUP(A81,'Classement S6'!$B$2:$C$150,1,0)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27"/>
      <c r="B82" s="103">
        <v>81.0</v>
      </c>
      <c r="C82" s="123">
        <f t="shared" si="1"/>
        <v>-361.4408014</v>
      </c>
      <c r="D82" s="124" t="str">
        <f>VLOOKUP(A82,'Classement S6'!$B$2:$C$150,1,0)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27"/>
      <c r="B83" s="103">
        <v>82.0</v>
      </c>
      <c r="C83" s="123">
        <f t="shared" si="1"/>
        <v>-373.6794675</v>
      </c>
      <c r="D83" s="124" t="str">
        <f>VLOOKUP(A83,'Classement S6'!$B$2:$C$150,1,0)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27"/>
      <c r="B84" s="103">
        <v>83.0</v>
      </c>
      <c r="C84" s="123">
        <f t="shared" si="1"/>
        <v>-385.8541201</v>
      </c>
      <c r="D84" s="124" t="str">
        <f>VLOOKUP(A84,'Classement S6'!$B$2:$C$150,1,0)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27"/>
      <c r="B85" s="103">
        <v>84.0</v>
      </c>
      <c r="C85" s="123">
        <f t="shared" si="1"/>
        <v>-397.9661195</v>
      </c>
      <c r="D85" s="124" t="str">
        <f>VLOOKUP(A85,'Classement S6'!$B$2:$C$150,1,0)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27"/>
      <c r="B86" s="103">
        <v>85.0</v>
      </c>
      <c r="C86" s="123">
        <f t="shared" si="1"/>
        <v>-410.0167789</v>
      </c>
      <c r="D86" s="124" t="str">
        <f>VLOOKUP(A86,'Classement S6'!$B$2:$C$150,1,0)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27"/>
      <c r="B87" s="103">
        <v>86.0</v>
      </c>
      <c r="C87" s="123">
        <f t="shared" si="1"/>
        <v>-422.0073671</v>
      </c>
      <c r="D87" s="124" t="str">
        <f>VLOOKUP(A87,'Classement S6'!$B$2:$C$150,1,0)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27"/>
      <c r="B88" s="103">
        <v>87.0</v>
      </c>
      <c r="C88" s="123">
        <f t="shared" si="1"/>
        <v>-433.9391099</v>
      </c>
      <c r="D88" s="124" t="str">
        <f>VLOOKUP(A88,'Classement S6'!$B$2:$C$150,1,0)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27"/>
      <c r="B89" s="103">
        <v>88.0</v>
      </c>
      <c r="C89" s="123">
        <f t="shared" si="1"/>
        <v>-445.8131927</v>
      </c>
      <c r="D89" s="124" t="str">
        <f>VLOOKUP(A89,'Classement S6'!$B$2:$C$150,1,0)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27"/>
      <c r="B90" s="103">
        <v>89.0</v>
      </c>
      <c r="C90" s="123">
        <f t="shared" si="1"/>
        <v>-457.6307617</v>
      </c>
      <c r="D90" s="124" t="str">
        <f>VLOOKUP(A90,'Classement S6'!$B$2:$C$150,1,0)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27"/>
      <c r="B91" s="103">
        <v>90.0</v>
      </c>
      <c r="C91" s="123">
        <f t="shared" si="1"/>
        <v>-469.3929263</v>
      </c>
      <c r="D91" s="124" t="str">
        <f>VLOOKUP(A91,'Classement S6'!$B$2:$C$150,1,0)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27"/>
      <c r="B92" s="103">
        <v>91.0</v>
      </c>
      <c r="C92" s="123">
        <f t="shared" si="1"/>
        <v>-481.1007602</v>
      </c>
      <c r="D92" s="124" t="str">
        <f>VLOOKUP(A92,'Classement S6'!$B$2:$C$150,1,0)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27"/>
      <c r="B93" s="103">
        <v>92.0</v>
      </c>
      <c r="C93" s="123">
        <f t="shared" si="1"/>
        <v>-492.7553031</v>
      </c>
      <c r="D93" s="124" t="str">
        <f>VLOOKUP(A93,'Classement S6'!$B$2:$C$150,1,0)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27"/>
      <c r="B94" s="103">
        <v>93.0</v>
      </c>
      <c r="C94" s="123">
        <f t="shared" si="1"/>
        <v>-504.3575623</v>
      </c>
      <c r="D94" s="124" t="str">
        <f>VLOOKUP(A94,'Classement S6'!$B$2:$C$150,1,0)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27"/>
      <c r="B95" s="103">
        <v>94.0</v>
      </c>
      <c r="C95" s="123">
        <f t="shared" si="1"/>
        <v>-515.908514</v>
      </c>
      <c r="D95" s="124" t="str">
        <f>VLOOKUP(A95,'Classement S6'!$B$2:$C$150,1,0)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27"/>
      <c r="B96" s="103">
        <v>95.0</v>
      </c>
      <c r="C96" s="123">
        <f t="shared" si="1"/>
        <v>-527.4091044</v>
      </c>
      <c r="D96" s="124" t="str">
        <f>VLOOKUP(A96,'Classement S6'!$B$2:$C$150,1,0)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27"/>
      <c r="B97" s="103">
        <v>96.0</v>
      </c>
      <c r="C97" s="123">
        <f t="shared" si="1"/>
        <v>-538.8602512</v>
      </c>
      <c r="D97" s="124" t="str">
        <f>VLOOKUP(A97,'Classement S6'!$B$2:$C$150,1,0)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27"/>
      <c r="B98" s="103">
        <v>97.0</v>
      </c>
      <c r="C98" s="123">
        <f t="shared" si="1"/>
        <v>-550.2628449</v>
      </c>
      <c r="D98" s="124" t="str">
        <f>VLOOKUP(A98,'Classement S6'!$B$2:$C$150,1,0)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27"/>
      <c r="B99" s="103">
        <v>98.0</v>
      </c>
      <c r="C99" s="123">
        <f t="shared" si="1"/>
        <v>-561.6177492</v>
      </c>
      <c r="D99" s="124" t="str">
        <f>VLOOKUP(A99,'Classement S6'!$B$2:$C$150,1,0)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27"/>
      <c r="B100" s="103">
        <v>99.0</v>
      </c>
      <c r="C100" s="123">
        <f t="shared" si="1"/>
        <v>-572.9258032</v>
      </c>
      <c r="D100" s="124" t="str">
        <f>VLOOKUP(A100,'Classement S6'!$B$2:$C$150,1,0)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27"/>
      <c r="B101" s="103">
        <v>100.0</v>
      </c>
      <c r="C101" s="123">
        <f t="shared" si="1"/>
        <v>-584.1878212</v>
      </c>
      <c r="D101" s="124" t="str">
        <f>VLOOKUP(A101,'Classement S6'!$B$2:$C$150,1,0)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27"/>
      <c r="B102" s="103">
        <v>101.0</v>
      </c>
      <c r="C102" s="123">
        <f t="shared" si="1"/>
        <v>-595.4045945</v>
      </c>
      <c r="D102" s="124" t="str">
        <f>VLOOKUP(A102,'Classement S6'!$B$2:$C$150,1,0)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27"/>
      <c r="B103" s="103">
        <v>102.0</v>
      </c>
      <c r="C103" s="123">
        <f t="shared" si="1"/>
        <v>-606.5768921</v>
      </c>
      <c r="D103" s="124" t="str">
        <f>VLOOKUP(A103,'Classement S6'!$B$2:$C$150,1,0)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27"/>
      <c r="B104" s="103">
        <v>103.0</v>
      </c>
      <c r="C104" s="123">
        <f t="shared" si="1"/>
        <v>-617.7054612</v>
      </c>
      <c r="D104" s="124" t="str">
        <f>VLOOKUP(A104,'Classement S6'!$B$2:$C$150,1,0)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27"/>
      <c r="B105" s="103">
        <v>104.0</v>
      </c>
      <c r="C105" s="123">
        <f t="shared" si="1"/>
        <v>-628.7910285</v>
      </c>
      <c r="D105" s="124" t="str">
        <f>VLOOKUP(A105,'Classement S6'!$B$2:$C$150,1,0)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27"/>
      <c r="B106" s="103">
        <v>105.0</v>
      </c>
      <c r="C106" s="123">
        <f t="shared" si="1"/>
        <v>-639.8343009</v>
      </c>
      <c r="D106" s="124" t="str">
        <f>VLOOKUP(A106,'Classement S6'!$B$2:$C$150,1,0)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27"/>
      <c r="B107" s="103">
        <v>106.0</v>
      </c>
      <c r="C107" s="123">
        <f t="shared" si="1"/>
        <v>-650.8359658</v>
      </c>
      <c r="D107" s="124" t="str">
        <f>VLOOKUP(A107,'Classement S6'!$B$2:$C$150,1,0)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27"/>
      <c r="B108" s="103">
        <v>107.0</v>
      </c>
      <c r="C108" s="123">
        <f t="shared" si="1"/>
        <v>-661.7966925</v>
      </c>
      <c r="D108" s="124" t="str">
        <f>VLOOKUP(A108,'Classement S6'!$B$2:$C$150,1,0)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27"/>
      <c r="B109" s="103">
        <v>108.0</v>
      </c>
      <c r="C109" s="123">
        <f t="shared" si="1"/>
        <v>-672.7171322</v>
      </c>
      <c r="D109" s="124" t="str">
        <f>VLOOKUP(A109,'Classement S6'!$B$2:$C$150,1,0)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27"/>
      <c r="B110" s="103">
        <v>109.0</v>
      </c>
      <c r="C110" s="123">
        <f t="shared" si="1"/>
        <v>-683.5979192</v>
      </c>
      <c r="D110" s="124" t="str">
        <f>VLOOKUP(A110,'Classement S6'!$B$2:$C$150,1,0)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27"/>
      <c r="B111" s="103">
        <v>110.0</v>
      </c>
      <c r="C111" s="123">
        <f t="shared" si="1"/>
        <v>-694.4396713</v>
      </c>
      <c r="D111" s="124" t="str">
        <f>VLOOKUP(A111,'Classement S6'!$B$2:$C$150,1,0)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27"/>
      <c r="B112" s="103">
        <v>111.0</v>
      </c>
      <c r="C112" s="123">
        <f t="shared" si="1"/>
        <v>-705.2429901</v>
      </c>
      <c r="D112" s="124" t="str">
        <f>VLOOKUP(A112,'Classement S6'!$B$2:$C$150,1,0)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27"/>
      <c r="B113" s="103">
        <v>112.0</v>
      </c>
      <c r="C113" s="123">
        <f t="shared" si="1"/>
        <v>-716.0084621</v>
      </c>
      <c r="D113" s="124" t="str">
        <f>VLOOKUP(A113,'Classement S6'!$B$2:$C$150,1,0)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27"/>
      <c r="B114" s="103">
        <v>113.0</v>
      </c>
      <c r="C114" s="123">
        <f t="shared" si="1"/>
        <v>-726.7366588</v>
      </c>
      <c r="D114" s="124" t="str">
        <f>VLOOKUP(A114,'Classement S6'!$B$2:$C$150,1,0)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27"/>
      <c r="B115" s="103">
        <v>114.0</v>
      </c>
      <c r="C115" s="123">
        <f t="shared" si="1"/>
        <v>-737.4281376</v>
      </c>
      <c r="D115" s="124" t="str">
        <f>VLOOKUP(A115,'Classement S6'!$B$2:$C$150,1,0)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27"/>
      <c r="B116" s="103">
        <v>115.0</v>
      </c>
      <c r="C116" s="123">
        <f t="shared" si="1"/>
        <v>-748.0834417</v>
      </c>
      <c r="D116" s="124" t="str">
        <f>VLOOKUP(A116,'Classement S6'!$B$2:$C$150,1,0)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27"/>
      <c r="B117" s="103">
        <v>116.0</v>
      </c>
      <c r="C117" s="123">
        <f t="shared" si="1"/>
        <v>-758.7031013</v>
      </c>
      <c r="D117" s="124" t="str">
        <f>VLOOKUP(A117,'Classement S6'!$B$2:$C$150,1,0)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27"/>
      <c r="B118" s="103">
        <v>117.0</v>
      </c>
      <c r="C118" s="123">
        <f t="shared" si="1"/>
        <v>-769.2876336</v>
      </c>
      <c r="D118" s="124" t="str">
        <f>VLOOKUP(A118,'Classement S6'!$B$2:$C$150,1,0)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27"/>
      <c r="B119" s="103">
        <v>118.0</v>
      </c>
      <c r="C119" s="123">
        <f t="shared" si="1"/>
        <v>-779.8375432</v>
      </c>
      <c r="D119" s="124" t="str">
        <f>VLOOKUP(A119,'Classement S6'!$B$2:$C$150,1,0)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27"/>
      <c r="B120" s="103">
        <v>119.0</v>
      </c>
      <c r="C120" s="123">
        <f t="shared" si="1"/>
        <v>-790.3533227</v>
      </c>
      <c r="D120" s="124" t="str">
        <f>VLOOKUP(A120,'Classement S6'!$B$2:$C$150,1,0)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27"/>
      <c r="B121" s="103">
        <v>120.0</v>
      </c>
      <c r="C121" s="123">
        <f t="shared" si="1"/>
        <v>-800.8354531</v>
      </c>
      <c r="D121" s="124" t="str">
        <f>VLOOKUP(A121,'Classement S6'!$B$2:$C$150,1,0)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27"/>
      <c r="B122" s="103">
        <v>121.0</v>
      </c>
      <c r="C122" s="123">
        <f t="shared" si="1"/>
        <v>-811.284404</v>
      </c>
      <c r="D122" s="124" t="str">
        <f>VLOOKUP(A122,'Classement S6'!$B$2:$C$150,1,0)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27"/>
      <c r="B123" s="103">
        <v>122.0</v>
      </c>
      <c r="C123" s="123">
        <f t="shared" si="1"/>
        <v>-821.7006342</v>
      </c>
      <c r="D123" s="124" t="str">
        <f>VLOOKUP(A123,'Classement S6'!$B$2:$C$150,1,0)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27"/>
      <c r="B124" s="103">
        <v>123.0</v>
      </c>
      <c r="C124" s="123">
        <f t="shared" si="1"/>
        <v>-832.0845918</v>
      </c>
      <c r="D124" s="124" t="str">
        <f>VLOOKUP(A124,'Classement S6'!$B$2:$C$150,1,0)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27"/>
      <c r="B125" s="103">
        <v>124.0</v>
      </c>
      <c r="C125" s="123">
        <f t="shared" si="1"/>
        <v>-842.4367148</v>
      </c>
      <c r="D125" s="124" t="str">
        <f>VLOOKUP(A125,'Classement S6'!$B$2:$C$150,1,0)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27"/>
      <c r="B126" s="103">
        <v>125.0</v>
      </c>
      <c r="C126" s="123">
        <f t="shared" si="1"/>
        <v>-852.757431</v>
      </c>
      <c r="D126" s="124" t="str">
        <f>VLOOKUP(A126,'Classement S6'!$B$2:$C$150,1,0)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27"/>
      <c r="B127" s="103">
        <v>126.0</v>
      </c>
      <c r="C127" s="123">
        <f t="shared" si="1"/>
        <v>-863.047159</v>
      </c>
      <c r="D127" s="124" t="str">
        <f>VLOOKUP(A127,'Classement S6'!$B$2:$C$150,1,0)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27"/>
      <c r="B128" s="103">
        <v>127.0</v>
      </c>
      <c r="C128" s="123">
        <f t="shared" si="1"/>
        <v>-873.3063077</v>
      </c>
      <c r="D128" s="124" t="str">
        <f>VLOOKUP(A128,'Classement S6'!$B$2:$C$150,1,0)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27"/>
      <c r="B129" s="103">
        <v>128.0</v>
      </c>
      <c r="C129" s="123">
        <f t="shared" si="1"/>
        <v>-883.5352773</v>
      </c>
      <c r="D129" s="124" t="str">
        <f>VLOOKUP(A129,'Classement S6'!$B$2:$C$150,1,0)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27"/>
      <c r="B130" s="103">
        <v>129.0</v>
      </c>
      <c r="C130" s="123">
        <f t="shared" si="1"/>
        <v>-893.7344589</v>
      </c>
      <c r="D130" s="124" t="str">
        <f>VLOOKUP(A130,'Classement S6'!$B$2:$C$150,1,0)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27"/>
      <c r="B131" s="103">
        <v>130.0</v>
      </c>
      <c r="C131" s="123">
        <f t="shared" si="1"/>
        <v>-903.9042353</v>
      </c>
      <c r="D131" s="124" t="str">
        <f>VLOOKUP(A131,'Classement S6'!$B$2:$C$150,1,0)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27"/>
      <c r="B132" s="103">
        <v>131.0</v>
      </c>
      <c r="C132" s="123">
        <f t="shared" si="1"/>
        <v>-914.0449812</v>
      </c>
      <c r="D132" s="124" t="str">
        <f>VLOOKUP(A132,'Classement S6'!$B$2:$C$150,1,0)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27"/>
      <c r="B133" s="103">
        <v>132.0</v>
      </c>
      <c r="C133" s="123">
        <f t="shared" si="1"/>
        <v>-924.157063</v>
      </c>
      <c r="D133" s="124" t="str">
        <f>VLOOKUP(A133,'Classement S6'!$B$2:$C$150,1,0)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27"/>
      <c r="B134" s="103">
        <v>133.0</v>
      </c>
      <c r="C134" s="123">
        <f t="shared" si="1"/>
        <v>-934.2408395</v>
      </c>
      <c r="D134" s="124" t="str">
        <f>VLOOKUP(A134,'Classement S6'!$B$2:$C$150,1,0)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27"/>
      <c r="B135" s="103">
        <v>134.0</v>
      </c>
      <c r="C135" s="123">
        <f t="shared" si="1"/>
        <v>-944.2966621</v>
      </c>
      <c r="D135" s="124" t="str">
        <f>VLOOKUP(A135,'Classement S6'!$B$2:$C$150,1,0)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27"/>
      <c r="B136" s="103">
        <v>135.0</v>
      </c>
      <c r="C136" s="123">
        <f t="shared" si="1"/>
        <v>-954.3248745</v>
      </c>
      <c r="D136" s="124" t="str">
        <f>VLOOKUP(A136,'Classement S6'!$B$2:$C$150,1,0)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27"/>
      <c r="B137" s="103">
        <v>136.0</v>
      </c>
      <c r="C137" s="123">
        <f t="shared" si="1"/>
        <v>-964.3258137</v>
      </c>
      <c r="D137" s="124" t="str">
        <f>VLOOKUP(A137,'Classement S6'!$B$2:$C$150,1,0)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27"/>
      <c r="B138" s="103">
        <v>137.0</v>
      </c>
      <c r="C138" s="123">
        <f t="shared" si="1"/>
        <v>-974.2998097</v>
      </c>
      <c r="D138" s="124" t="str">
        <f>VLOOKUP(A138,'Classement S6'!$B$2:$C$150,1,0)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27"/>
      <c r="B139" s="103">
        <v>138.0</v>
      </c>
      <c r="C139" s="123">
        <f t="shared" si="1"/>
        <v>-984.2471855</v>
      </c>
      <c r="D139" s="124" t="str">
        <f>VLOOKUP(A139,'Classement S6'!$B$2:$C$150,1,0)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27"/>
      <c r="B140" s="103">
        <v>139.0</v>
      </c>
      <c r="C140" s="123">
        <f t="shared" si="1"/>
        <v>-994.168258</v>
      </c>
      <c r="D140" s="124" t="str">
        <f>VLOOKUP(A140,'Classement S6'!$B$2:$C$150,1,0)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27"/>
      <c r="B141" s="103">
        <v>140.0</v>
      </c>
      <c r="C141" s="123">
        <f t="shared" si="1"/>
        <v>-1004.063337</v>
      </c>
      <c r="D141" s="124" t="str">
        <f>VLOOKUP(A141,'Classement S6'!$B$2:$C$150,1,0)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27"/>
      <c r="B142" s="103">
        <v>141.0</v>
      </c>
      <c r="C142" s="123">
        <f t="shared" si="1"/>
        <v>-1013.932728</v>
      </c>
      <c r="D142" s="124" t="str">
        <f>VLOOKUP(A142,'Classement S6'!$B$2:$C$150,1,0)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27"/>
      <c r="B143" s="103">
        <v>142.0</v>
      </c>
      <c r="C143" s="123">
        <f t="shared" si="1"/>
        <v>-1023.776728</v>
      </c>
      <c r="D143" s="124" t="str">
        <f>VLOOKUP(A143,'Classement S6'!$B$2:$C$150,1,0)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27"/>
      <c r="B144" s="103">
        <v>143.0</v>
      </c>
      <c r="C144" s="123">
        <f t="shared" si="1"/>
        <v>-1033.59563</v>
      </c>
      <c r="D144" s="124" t="str">
        <f>VLOOKUP(A144,'Classement S6'!$B$2:$C$150,1,0)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27"/>
      <c r="B145" s="103">
        <v>144.0</v>
      </c>
      <c r="C145" s="123">
        <f t="shared" si="1"/>
        <v>-1043.38972</v>
      </c>
      <c r="D145" s="124" t="str">
        <f>VLOOKUP(A145,'Classement S6'!$B$2:$C$150,1,0)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27"/>
      <c r="B146" s="103">
        <v>145.0</v>
      </c>
      <c r="C146" s="123">
        <f t="shared" si="1"/>
        <v>-1053.15928</v>
      </c>
      <c r="D146" s="124" t="str">
        <f>VLOOKUP(A146,'Classement S6'!$B$2:$C$150,1,0)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27"/>
      <c r="B147" s="103">
        <v>146.0</v>
      </c>
      <c r="C147" s="123">
        <f t="shared" si="1"/>
        <v>-1062.904585</v>
      </c>
      <c r="D147" s="124" t="str">
        <f>VLOOKUP(A147,'Classement S6'!$B$2:$C$150,1,0)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27"/>
      <c r="B148" s="103">
        <v>147.0</v>
      </c>
      <c r="C148" s="123">
        <f t="shared" si="1"/>
        <v>-1072.625906</v>
      </c>
      <c r="D148" s="124" t="str">
        <f>VLOOKUP(A148,'Classement S6'!$B$2:$C$150,1,0)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27"/>
      <c r="B149" s="103">
        <v>148.0</v>
      </c>
      <c r="C149" s="123">
        <f t="shared" si="1"/>
        <v>-1082.323509</v>
      </c>
      <c r="D149" s="124" t="str">
        <f>VLOOKUP(A149,'Classement S6'!$B$2:$C$150,1,0)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27"/>
      <c r="B150" s="103">
        <v>149.0</v>
      </c>
      <c r="C150" s="123">
        <f t="shared" si="1"/>
        <v>-1091.997654</v>
      </c>
      <c r="D150" s="124" t="str">
        <f>VLOOKUP(A150,'Classement S6'!$B$2:$C$150,1,0)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27"/>
      <c r="B151" s="103">
        <v>150.0</v>
      </c>
      <c r="C151" s="123">
        <f t="shared" si="1"/>
        <v>-1101.648596</v>
      </c>
      <c r="D151" s="124" t="str">
        <f>VLOOKUP(A151,'Classement S6'!$B$2:$C$150,1,0)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27"/>
      <c r="B152" s="103">
        <v>151.0</v>
      </c>
      <c r="C152" s="123">
        <f t="shared" si="1"/>
        <v>-1111.276587</v>
      </c>
      <c r="D152" s="124" t="str">
        <f>VLOOKUP(A152,'Classement S6'!$B$2:$C$150,1,0)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27"/>
      <c r="B153" s="103">
        <v>152.0</v>
      </c>
      <c r="C153" s="123">
        <f t="shared" si="1"/>
        <v>-1120.881873</v>
      </c>
      <c r="D153" s="124" t="str">
        <f>VLOOKUP(A153,'Classement S6'!$B$2:$C$150,1,0)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27"/>
      <c r="B154" s="103">
        <v>153.0</v>
      </c>
      <c r="C154" s="123">
        <f t="shared" si="1"/>
        <v>-1130.464696</v>
      </c>
      <c r="D154" s="124" t="str">
        <f>VLOOKUP(A154,'Classement S6'!$B$2:$C$150,1,0)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27"/>
      <c r="B155" s="103">
        <v>154.0</v>
      </c>
      <c r="C155" s="123">
        <f t="shared" si="1"/>
        <v>-1140.025293</v>
      </c>
      <c r="D155" s="124" t="str">
        <f>VLOOKUP(A155,'Classement S6'!$B$2:$C$150,1,0)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27"/>
      <c r="B156" s="103">
        <v>155.0</v>
      </c>
      <c r="C156" s="123">
        <f t="shared" si="1"/>
        <v>-1149.563898</v>
      </c>
      <c r="D156" s="124" t="str">
        <f>VLOOKUP(A156,'Classement S6'!$B$2:$C$150,1,0)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27"/>
      <c r="B157" s="103">
        <v>156.0</v>
      </c>
      <c r="C157" s="123">
        <f t="shared" si="1"/>
        <v>-1159.08074</v>
      </c>
      <c r="D157" s="124" t="str">
        <f>VLOOKUP(A157,'Classement S6'!$B$2:$C$150,1,0)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27"/>
      <c r="B158" s="103">
        <v>157.0</v>
      </c>
      <c r="C158" s="123">
        <f t="shared" si="1"/>
        <v>-1168.576043</v>
      </c>
      <c r="D158" s="124" t="str">
        <f>VLOOKUP(A158,'Classement S6'!$B$2:$C$150,1,0)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27"/>
      <c r="B159" s="103">
        <v>158.0</v>
      </c>
      <c r="C159" s="123">
        <f t="shared" si="1"/>
        <v>-1178.05003</v>
      </c>
      <c r="D159" s="124" t="str">
        <f>VLOOKUP(A159,'Classement S6'!$B$2:$C$150,1,0)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27"/>
      <c r="B160" s="103">
        <v>159.0</v>
      </c>
      <c r="C160" s="123">
        <f t="shared" si="1"/>
        <v>-1187.502917</v>
      </c>
      <c r="D160" s="124" t="str">
        <f>VLOOKUP(A160,'Classement S6'!$B$2:$C$150,1,0)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27"/>
      <c r="B161" s="103">
        <v>160.0</v>
      </c>
      <c r="C161" s="123">
        <f t="shared" si="1"/>
        <v>-1196.934918</v>
      </c>
      <c r="D161" s="124" t="str">
        <f>VLOOKUP(A161,'Classement S6'!$B$2:$C$150,1,0)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B162" s="128"/>
    </row>
    <row r="163" ht="14.25" customHeight="1">
      <c r="B163" s="128"/>
    </row>
    <row r="164" ht="14.25" customHeight="1">
      <c r="B164" s="128"/>
    </row>
    <row r="165" ht="14.25" customHeight="1">
      <c r="B165" s="128"/>
    </row>
    <row r="166" ht="14.25" customHeight="1">
      <c r="B166" s="128"/>
    </row>
    <row r="167" ht="14.25" customHeight="1">
      <c r="B167" s="128"/>
    </row>
    <row r="168" ht="14.25" customHeight="1">
      <c r="B168" s="128"/>
    </row>
    <row r="169" ht="14.25" customHeight="1">
      <c r="B169" s="128"/>
    </row>
    <row r="170" ht="14.25" customHeight="1">
      <c r="B170" s="128"/>
    </row>
    <row r="171" ht="14.25" customHeight="1">
      <c r="B171" s="128"/>
    </row>
    <row r="172" ht="14.25" customHeight="1">
      <c r="B172" s="128"/>
    </row>
    <row r="173" ht="14.25" customHeight="1">
      <c r="B173" s="128"/>
    </row>
    <row r="174" ht="14.25" customHeight="1">
      <c r="B174" s="128"/>
    </row>
    <row r="175" ht="14.25" customHeight="1">
      <c r="B175" s="128"/>
    </row>
    <row r="176" ht="14.25" customHeight="1">
      <c r="B176" s="128"/>
    </row>
    <row r="177" ht="14.25" customHeight="1">
      <c r="B177" s="128"/>
    </row>
    <row r="178" ht="14.25" customHeight="1">
      <c r="B178" s="128"/>
    </row>
    <row r="179" ht="14.25" customHeight="1">
      <c r="B179" s="128"/>
    </row>
    <row r="180" ht="14.25" customHeight="1">
      <c r="B180" s="128"/>
    </row>
    <row r="181" ht="14.25" customHeight="1">
      <c r="B181" s="128"/>
    </row>
    <row r="182" ht="14.25" customHeight="1">
      <c r="B182" s="128"/>
    </row>
    <row r="183" ht="14.25" customHeight="1">
      <c r="B183" s="128"/>
    </row>
    <row r="184" ht="14.25" customHeight="1">
      <c r="B184" s="128"/>
    </row>
    <row r="185" ht="14.25" customHeight="1">
      <c r="B185" s="128"/>
    </row>
    <row r="186" ht="14.25" customHeight="1">
      <c r="B186" s="128"/>
    </row>
    <row r="187" ht="14.25" customHeight="1">
      <c r="B187" s="128"/>
    </row>
    <row r="188" ht="14.25" customHeight="1">
      <c r="B188" s="128"/>
    </row>
    <row r="189" ht="14.25" customHeight="1">
      <c r="B189" s="128"/>
    </row>
    <row r="190" ht="14.25" customHeight="1">
      <c r="B190" s="128"/>
    </row>
    <row r="191" ht="14.25" customHeight="1">
      <c r="B191" s="128"/>
    </row>
    <row r="192" ht="14.25" customHeight="1">
      <c r="B192" s="128"/>
    </row>
    <row r="193" ht="14.25" customHeight="1">
      <c r="B193" s="128"/>
    </row>
    <row r="194" ht="14.25" customHeight="1">
      <c r="B194" s="128"/>
    </row>
    <row r="195" ht="14.25" customHeight="1">
      <c r="B195" s="128"/>
    </row>
    <row r="196" ht="14.25" customHeight="1">
      <c r="B196" s="128"/>
    </row>
    <row r="197" ht="14.25" customHeight="1">
      <c r="B197" s="128"/>
    </row>
    <row r="198" ht="14.25" customHeight="1">
      <c r="B198" s="128"/>
    </row>
    <row r="199" ht="14.25" customHeight="1">
      <c r="B199" s="128"/>
    </row>
    <row r="200" ht="14.25" customHeight="1">
      <c r="B200" s="128"/>
    </row>
    <row r="201" ht="14.25" customHeight="1">
      <c r="B201" s="128"/>
    </row>
    <row r="202" ht="14.25" customHeight="1">
      <c r="B202" s="128"/>
    </row>
    <row r="203" ht="14.25" customHeight="1">
      <c r="B203" s="128"/>
    </row>
    <row r="204" ht="14.25" customHeight="1">
      <c r="B204" s="128"/>
    </row>
    <row r="205" ht="14.25" customHeight="1">
      <c r="B205" s="128"/>
    </row>
    <row r="206" ht="14.25" customHeight="1">
      <c r="B206" s="128"/>
    </row>
    <row r="207" ht="14.25" customHeight="1">
      <c r="B207" s="128"/>
    </row>
    <row r="208" ht="14.25" customHeight="1">
      <c r="B208" s="128"/>
    </row>
    <row r="209" ht="14.25" customHeight="1">
      <c r="B209" s="128"/>
    </row>
    <row r="210" ht="14.25" customHeight="1">
      <c r="B210" s="128"/>
    </row>
    <row r="211" ht="14.25" customHeight="1">
      <c r="B211" s="128"/>
    </row>
    <row r="212" ht="14.25" customHeight="1">
      <c r="B212" s="128"/>
    </row>
    <row r="213" ht="14.25" customHeight="1">
      <c r="B213" s="128"/>
    </row>
    <row r="214" ht="14.25" customHeight="1">
      <c r="B214" s="128"/>
    </row>
    <row r="215" ht="14.25" customHeight="1">
      <c r="B215" s="128"/>
    </row>
    <row r="216" ht="14.25" customHeight="1">
      <c r="B216" s="128"/>
    </row>
    <row r="217" ht="14.25" customHeight="1">
      <c r="B217" s="128"/>
    </row>
    <row r="218" ht="14.25" customHeight="1">
      <c r="B218" s="128"/>
    </row>
    <row r="219" ht="14.25" customHeight="1">
      <c r="B219" s="128"/>
    </row>
    <row r="220" ht="14.25" customHeight="1">
      <c r="B220" s="128"/>
    </row>
    <row r="221" ht="14.25" customHeight="1">
      <c r="B221" s="128"/>
    </row>
    <row r="222" ht="14.25" customHeight="1">
      <c r="B222" s="128"/>
    </row>
    <row r="223" ht="14.25" customHeight="1">
      <c r="B223" s="128"/>
    </row>
    <row r="224" ht="14.25" customHeight="1">
      <c r="B224" s="128"/>
    </row>
    <row r="225" ht="14.25" customHeight="1">
      <c r="B225" s="128"/>
    </row>
    <row r="226" ht="14.25" customHeight="1">
      <c r="B226" s="128"/>
    </row>
    <row r="227" ht="14.25" customHeight="1">
      <c r="B227" s="128"/>
    </row>
    <row r="228" ht="14.25" customHeight="1">
      <c r="B228" s="128"/>
    </row>
    <row r="229" ht="14.25" customHeight="1">
      <c r="B229" s="128"/>
    </row>
    <row r="230" ht="14.25" customHeight="1">
      <c r="B230" s="128"/>
    </row>
    <row r="231" ht="14.25" customHeight="1">
      <c r="B231" s="128"/>
    </row>
    <row r="232" ht="14.25" customHeight="1">
      <c r="B232" s="128"/>
    </row>
    <row r="233" ht="14.25" customHeight="1">
      <c r="B233" s="128"/>
    </row>
    <row r="234" ht="14.25" customHeight="1">
      <c r="B234" s="128"/>
    </row>
    <row r="235" ht="14.25" customHeight="1">
      <c r="B235" s="128"/>
    </row>
    <row r="236" ht="14.25" customHeight="1">
      <c r="B236" s="128"/>
    </row>
    <row r="237" ht="14.25" customHeight="1">
      <c r="B237" s="128"/>
    </row>
    <row r="238" ht="14.25" customHeight="1">
      <c r="B238" s="128"/>
    </row>
    <row r="239" ht="14.25" customHeight="1">
      <c r="B239" s="128"/>
    </row>
    <row r="240" ht="14.25" customHeight="1">
      <c r="B240" s="128"/>
    </row>
    <row r="241" ht="14.25" customHeight="1">
      <c r="B241" s="128"/>
    </row>
    <row r="242" ht="14.25" customHeight="1">
      <c r="B242" s="128"/>
    </row>
    <row r="243" ht="14.25" customHeight="1">
      <c r="B243" s="128"/>
    </row>
    <row r="244" ht="14.25" customHeight="1">
      <c r="B244" s="128"/>
    </row>
    <row r="245" ht="14.25" customHeight="1">
      <c r="B245" s="128"/>
    </row>
    <row r="246" ht="14.25" customHeight="1">
      <c r="B246" s="128"/>
    </row>
    <row r="247" ht="14.25" customHeight="1">
      <c r="B247" s="128"/>
    </row>
    <row r="248" ht="14.25" customHeight="1">
      <c r="B248" s="128"/>
    </row>
    <row r="249" ht="14.25" customHeight="1">
      <c r="B249" s="128"/>
    </row>
    <row r="250" ht="14.25" customHeight="1">
      <c r="B250" s="128"/>
    </row>
    <row r="251" ht="14.25" customHeight="1">
      <c r="B251" s="128"/>
    </row>
    <row r="252" ht="14.25" customHeight="1">
      <c r="B252" s="128"/>
    </row>
    <row r="253" ht="14.25" customHeight="1">
      <c r="B253" s="128"/>
    </row>
    <row r="254" ht="14.25" customHeight="1">
      <c r="B254" s="128"/>
    </row>
    <row r="255" ht="14.25" customHeight="1">
      <c r="B255" s="128"/>
    </row>
    <row r="256" ht="14.25" customHeight="1">
      <c r="B256" s="128"/>
    </row>
    <row r="257" ht="14.25" customHeight="1">
      <c r="B257" s="128"/>
    </row>
    <row r="258" ht="14.25" customHeight="1">
      <c r="B258" s="128"/>
    </row>
    <row r="259" ht="14.25" customHeight="1">
      <c r="B259" s="128"/>
    </row>
    <row r="260" ht="14.25" customHeight="1">
      <c r="B260" s="128"/>
    </row>
    <row r="261" ht="14.25" customHeight="1">
      <c r="B261" s="128"/>
    </row>
    <row r="262" ht="14.25" customHeight="1">
      <c r="B262" s="128"/>
    </row>
    <row r="263" ht="14.25" customHeight="1">
      <c r="B263" s="128"/>
    </row>
    <row r="264" ht="14.25" customHeight="1">
      <c r="B264" s="128"/>
    </row>
    <row r="265" ht="14.25" customHeight="1">
      <c r="B265" s="128"/>
    </row>
    <row r="266" ht="14.25" customHeight="1">
      <c r="B266" s="128"/>
    </row>
    <row r="267" ht="14.25" customHeight="1">
      <c r="B267" s="128"/>
    </row>
    <row r="268" ht="14.25" customHeight="1">
      <c r="B268" s="128"/>
    </row>
    <row r="269" ht="14.25" customHeight="1">
      <c r="B269" s="128"/>
    </row>
    <row r="270" ht="14.25" customHeight="1">
      <c r="B270" s="128"/>
    </row>
    <row r="271" ht="14.25" customHeight="1">
      <c r="B271" s="128"/>
    </row>
    <row r="272" ht="14.25" customHeight="1">
      <c r="B272" s="128"/>
    </row>
    <row r="273" ht="14.25" customHeight="1">
      <c r="B273" s="128"/>
    </row>
    <row r="274" ht="14.25" customHeight="1">
      <c r="B274" s="128"/>
    </row>
    <row r="275" ht="14.25" customHeight="1">
      <c r="B275" s="128"/>
    </row>
    <row r="276" ht="14.25" customHeight="1">
      <c r="B276" s="128"/>
    </row>
    <row r="277" ht="14.25" customHeight="1">
      <c r="B277" s="128"/>
    </row>
    <row r="278" ht="14.25" customHeight="1">
      <c r="B278" s="128"/>
    </row>
    <row r="279" ht="14.25" customHeight="1">
      <c r="B279" s="128"/>
    </row>
    <row r="280" ht="14.25" customHeight="1">
      <c r="B280" s="128"/>
    </row>
    <row r="281" ht="14.25" customHeight="1">
      <c r="B281" s="128"/>
    </row>
    <row r="282" ht="14.25" customHeight="1">
      <c r="B282" s="128"/>
    </row>
    <row r="283" ht="14.25" customHeight="1">
      <c r="B283" s="128"/>
    </row>
    <row r="284" ht="14.25" customHeight="1">
      <c r="B284" s="128"/>
    </row>
    <row r="285" ht="14.25" customHeight="1">
      <c r="B285" s="128"/>
    </row>
    <row r="286" ht="14.25" customHeight="1">
      <c r="B286" s="128"/>
    </row>
    <row r="287" ht="14.25" customHeight="1">
      <c r="B287" s="128"/>
    </row>
    <row r="288" ht="14.25" customHeight="1">
      <c r="B288" s="128"/>
    </row>
    <row r="289" ht="14.25" customHeight="1">
      <c r="B289" s="128"/>
    </row>
    <row r="290" ht="14.25" customHeight="1">
      <c r="B290" s="128"/>
    </row>
    <row r="291" ht="14.25" customHeight="1">
      <c r="B291" s="128"/>
    </row>
    <row r="292" ht="14.25" customHeight="1">
      <c r="B292" s="128"/>
    </row>
    <row r="293" ht="14.25" customHeight="1">
      <c r="B293" s="128"/>
    </row>
    <row r="294" ht="14.25" customHeight="1">
      <c r="B294" s="128"/>
    </row>
    <row r="295" ht="14.25" customHeight="1">
      <c r="B295" s="128"/>
    </row>
    <row r="296" ht="14.25" customHeight="1">
      <c r="B296" s="128"/>
    </row>
    <row r="297" ht="14.25" customHeight="1">
      <c r="B297" s="128"/>
    </row>
    <row r="298" ht="14.25" customHeight="1">
      <c r="B298" s="128"/>
    </row>
    <row r="299" ht="14.25" customHeight="1">
      <c r="B299" s="128"/>
    </row>
    <row r="300" ht="14.25" customHeight="1">
      <c r="B300" s="128"/>
    </row>
    <row r="301" ht="14.25" customHeight="1">
      <c r="B301" s="128"/>
    </row>
    <row r="302" ht="14.25" customHeight="1">
      <c r="B302" s="128"/>
    </row>
    <row r="303" ht="14.25" customHeight="1">
      <c r="B303" s="128"/>
    </row>
    <row r="304" ht="14.25" customHeight="1">
      <c r="B304" s="128"/>
    </row>
    <row r="305" ht="14.25" customHeight="1">
      <c r="B305" s="128"/>
    </row>
    <row r="306" ht="14.25" customHeight="1">
      <c r="B306" s="128"/>
    </row>
    <row r="307" ht="14.25" customHeight="1">
      <c r="B307" s="128"/>
    </row>
    <row r="308" ht="14.25" customHeight="1">
      <c r="B308" s="128"/>
    </row>
    <row r="309" ht="14.25" customHeight="1">
      <c r="B309" s="128"/>
    </row>
    <row r="310" ht="14.25" customHeight="1">
      <c r="B310" s="128"/>
    </row>
    <row r="311" ht="14.25" customHeight="1">
      <c r="B311" s="128"/>
    </row>
    <row r="312" ht="14.25" customHeight="1">
      <c r="B312" s="128"/>
    </row>
    <row r="313" ht="14.25" customHeight="1">
      <c r="B313" s="128"/>
    </row>
    <row r="314" ht="14.25" customHeight="1">
      <c r="B314" s="128"/>
    </row>
    <row r="315" ht="14.25" customHeight="1">
      <c r="B315" s="128"/>
    </row>
    <row r="316" ht="14.25" customHeight="1">
      <c r="B316" s="128"/>
    </row>
    <row r="317" ht="14.25" customHeight="1">
      <c r="B317" s="128"/>
    </row>
    <row r="318" ht="14.25" customHeight="1">
      <c r="B318" s="128"/>
    </row>
    <row r="319" ht="14.25" customHeight="1">
      <c r="B319" s="128"/>
    </row>
    <row r="320" ht="14.25" customHeight="1">
      <c r="B320" s="128"/>
    </row>
    <row r="321" ht="14.25" customHeight="1">
      <c r="B321" s="128"/>
    </row>
    <row r="322" ht="14.25" customHeight="1">
      <c r="B322" s="128"/>
    </row>
    <row r="323" ht="14.25" customHeight="1">
      <c r="B323" s="128"/>
    </row>
    <row r="324" ht="14.25" customHeight="1">
      <c r="B324" s="128"/>
    </row>
    <row r="325" ht="14.25" customHeight="1">
      <c r="B325" s="128"/>
    </row>
    <row r="326" ht="14.25" customHeight="1">
      <c r="B326" s="128"/>
    </row>
    <row r="327" ht="14.25" customHeight="1">
      <c r="B327" s="128"/>
    </row>
    <row r="328" ht="14.25" customHeight="1">
      <c r="B328" s="128"/>
    </row>
    <row r="329" ht="14.25" customHeight="1">
      <c r="B329" s="128"/>
    </row>
    <row r="330" ht="14.25" customHeight="1">
      <c r="B330" s="128"/>
    </row>
    <row r="331" ht="14.25" customHeight="1">
      <c r="B331" s="128"/>
    </row>
    <row r="332" ht="14.25" customHeight="1">
      <c r="B332" s="128"/>
    </row>
    <row r="333" ht="14.25" customHeight="1">
      <c r="B333" s="128"/>
    </row>
    <row r="334" ht="14.25" customHeight="1">
      <c r="B334" s="128"/>
    </row>
    <row r="335" ht="14.25" customHeight="1">
      <c r="B335" s="128"/>
    </row>
    <row r="336" ht="14.25" customHeight="1">
      <c r="B336" s="128"/>
    </row>
    <row r="337" ht="14.25" customHeight="1">
      <c r="B337" s="128"/>
    </row>
    <row r="338" ht="14.25" customHeight="1">
      <c r="B338" s="128"/>
    </row>
    <row r="339" ht="14.25" customHeight="1">
      <c r="B339" s="128"/>
    </row>
    <row r="340" ht="14.25" customHeight="1">
      <c r="B340" s="128"/>
    </row>
    <row r="341" ht="14.25" customHeight="1">
      <c r="B341" s="128"/>
    </row>
    <row r="342" ht="14.25" customHeight="1">
      <c r="B342" s="128"/>
    </row>
    <row r="343" ht="14.25" customHeight="1">
      <c r="B343" s="128"/>
    </row>
    <row r="344" ht="14.25" customHeight="1">
      <c r="B344" s="128"/>
    </row>
    <row r="345" ht="14.25" customHeight="1">
      <c r="B345" s="128"/>
    </row>
    <row r="346" ht="14.25" customHeight="1">
      <c r="B346" s="128"/>
    </row>
    <row r="347" ht="14.25" customHeight="1">
      <c r="B347" s="128"/>
    </row>
    <row r="348" ht="14.25" customHeight="1">
      <c r="B348" s="128"/>
    </row>
    <row r="349" ht="14.25" customHeight="1">
      <c r="B349" s="128"/>
    </row>
    <row r="350" ht="14.25" customHeight="1">
      <c r="B350" s="128"/>
    </row>
    <row r="351" ht="14.25" customHeight="1">
      <c r="B351" s="128"/>
    </row>
    <row r="352" ht="14.25" customHeight="1">
      <c r="B352" s="128"/>
    </row>
    <row r="353" ht="14.25" customHeight="1">
      <c r="B353" s="128"/>
    </row>
    <row r="354" ht="14.25" customHeight="1">
      <c r="B354" s="128"/>
    </row>
    <row r="355" ht="14.25" customHeight="1">
      <c r="B355" s="128"/>
    </row>
    <row r="356" ht="14.25" customHeight="1">
      <c r="B356" s="128"/>
    </row>
    <row r="357" ht="14.25" customHeight="1">
      <c r="B357" s="128"/>
    </row>
    <row r="358" ht="14.25" customHeight="1">
      <c r="B358" s="128"/>
    </row>
    <row r="359" ht="14.25" customHeight="1">
      <c r="B359" s="128"/>
    </row>
    <row r="360" ht="14.25" customHeight="1">
      <c r="B360" s="128"/>
    </row>
    <row r="361" ht="14.25" customHeight="1"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L16:Z16">
    <cfRule type="expression" dxfId="0" priority="1">
      <formula>"si(0;;)"</formula>
    </cfRule>
  </conditionalFormatting>
  <conditionalFormatting sqref="L16:Z16">
    <cfRule type="expression" dxfId="0" priority="2">
      <formula>"si(0;;)"</formula>
    </cfRule>
  </conditionalFormatting>
  <conditionalFormatting sqref="A1:A1000">
    <cfRule type="containsText" dxfId="0" priority="3" operator="containsText" text="0">
      <formula>NOT(ISERROR(SEARCH(("0"),(A1))))</formula>
    </cfRule>
  </conditionalFormatting>
  <conditionalFormatting sqref="A1:A161">
    <cfRule type="containsText" dxfId="0" priority="4" operator="containsText" text="0">
      <formula>NOT(ISERROR(SEARCH(("0"),(A1))))</formula>
    </cfRule>
  </conditionalFormatting>
  <drawing r:id="rId1"/>
  <tableParts count="1">
    <tablePart r:id="rId3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54</v>
      </c>
    </row>
    <row r="2" ht="14.25" customHeight="1">
      <c r="A2" s="122" t="str">
        <f>IFERROR(__xludf.DUMMYFUNCTION(" IMPORTRANGE(""https://docs.google.com/spreadsheets/d/1XDluTUe9p3eNmInqgyevGSyjVL_ZESNjFIsIKYx9r5o/edit#gid=461505093"",""So6!A2:A161"")"),"Mako Lemore")</f>
        <v>Mako Lemore</v>
      </c>
      <c r="B2" s="103">
        <v>1.0</v>
      </c>
      <c r="C2" s="123">
        <f t="shared" ref="C2:C161" si="1">800*(1-(B2/($H$1+1)))*POWER((SQRT(($H$1+1)/B2)),1/2)</f>
        <v>2139.004655</v>
      </c>
      <c r="D2" s="124" t="str">
        <f>VLOOKUP(A2,'Classement S6'!$B$2:$C$150,1,0)</f>
        <v>Mako Lemore</v>
      </c>
      <c r="E2" s="125" t="str">
        <f t="shared" ref="E2:E161" si="2">IF(D2=A2,"","erreur")</f>
        <v/>
      </c>
      <c r="F2" s="120" t="str">
        <f>VLOOKUP(A2,'Classement Général'!$B$2:$B$146,1,0)</f>
        <v>Mako Lemore</v>
      </c>
    </row>
    <row r="3" ht="14.25" customHeight="1">
      <c r="A3" s="122" t="str">
        <f>IFERROR(__xludf.DUMMYFUNCTION("""COMPUTED_VALUE"""),"gregmoore")</f>
        <v>gregmoore</v>
      </c>
      <c r="B3" s="103">
        <v>2.0</v>
      </c>
      <c r="C3" s="123">
        <f t="shared" si="1"/>
        <v>1765.372433</v>
      </c>
      <c r="D3" s="124" t="str">
        <f>VLOOKUP(A3,'Classement S6'!$B$2:$C$150,1,0)</f>
        <v>gregmoore</v>
      </c>
      <c r="E3" s="125" t="str">
        <f t="shared" si="2"/>
        <v/>
      </c>
      <c r="F3" s="120" t="str">
        <f>VLOOKUP(A3,'Classement Général'!$B$2:$B$146,1,0)</f>
        <v>gregmoore</v>
      </c>
      <c r="G3" s="126"/>
    </row>
    <row r="4" ht="14.25" customHeight="1">
      <c r="A4" s="122" t="str">
        <f>IFERROR(__xludf.DUMMYFUNCTION("""COMPUTED_VALUE"""),"PrendmAmAin")</f>
        <v>PrendmAmAin</v>
      </c>
      <c r="B4" s="103">
        <v>3.0</v>
      </c>
      <c r="C4" s="123">
        <f t="shared" si="1"/>
        <v>1565.096066</v>
      </c>
      <c r="D4" s="124" t="str">
        <f>VLOOKUP(A4,'Classement S6'!$B$2:$C$150,1,0)</f>
        <v>PrendmAmAin</v>
      </c>
      <c r="E4" s="125" t="str">
        <f t="shared" si="2"/>
        <v/>
      </c>
      <c r="F4" s="120" t="str">
        <f>VLOOKUP(A4,'Classement Général'!$B$2:$B$146,1,0)</f>
        <v>PrendmAmAin</v>
      </c>
    </row>
    <row r="5" ht="14.25" customHeight="1">
      <c r="A5" s="122" t="str">
        <f>IFERROR(__xludf.DUMMYFUNCTION("""COMPUTED_VALUE"""),"DonnesTchips")</f>
        <v>DonnesTchips</v>
      </c>
      <c r="B5" s="103">
        <v>4.0</v>
      </c>
      <c r="C5" s="123">
        <f t="shared" si="1"/>
        <v>1428.476658</v>
      </c>
      <c r="D5" s="124" t="str">
        <f>VLOOKUP(A5,'Classement S6'!$B$2:$C$150,1,0)</f>
        <v>DonnesTchips</v>
      </c>
      <c r="E5" s="125" t="str">
        <f t="shared" si="2"/>
        <v/>
      </c>
      <c r="F5" s="120" t="str">
        <f>VLOOKUP(A5,'Classement Général'!$B$2:$B$146,1,0)</f>
        <v>DonnesTchips</v>
      </c>
    </row>
    <row r="6" ht="14.25" customHeight="1">
      <c r="A6" s="122" t="str">
        <f>IFERROR(__xludf.DUMMYFUNCTION("""COMPUTED_VALUE"""),"--WondeR--")</f>
        <v>--WondeR--</v>
      </c>
      <c r="B6" s="103">
        <v>5.0</v>
      </c>
      <c r="C6" s="123">
        <f t="shared" si="1"/>
        <v>1324.480209</v>
      </c>
      <c r="D6" s="124" t="str">
        <f>VLOOKUP(A6,'Classement S6'!$B$2:$C$150,1,0)</f>
        <v>--WondeR--</v>
      </c>
      <c r="E6" s="125" t="str">
        <f t="shared" si="2"/>
        <v/>
      </c>
      <c r="F6" s="120" t="str">
        <f>VLOOKUP(A6,'Classement Général'!$B$2:$B$146,1,0)</f>
        <v>--WondeR--</v>
      </c>
    </row>
    <row r="7" ht="14.25" customHeight="1">
      <c r="A7" s="122" t="str">
        <f>IFERROR(__xludf.DUMMYFUNCTION("""COMPUTED_VALUE"""),"Vaillant 86")</f>
        <v>Vaillant 86</v>
      </c>
      <c r="B7" s="103">
        <v>6.0</v>
      </c>
      <c r="C7" s="123">
        <f t="shared" si="1"/>
        <v>1240.155767</v>
      </c>
      <c r="D7" s="124" t="str">
        <f>VLOOKUP(A7,'Classement S6'!$B$2:$C$150,1,0)</f>
        <v>Vaillant 86</v>
      </c>
      <c r="E7" s="125" t="str">
        <f t="shared" si="2"/>
        <v/>
      </c>
      <c r="F7" s="120" t="str">
        <f>VLOOKUP(A7,'Classement Général'!$B$2:$B$146,1,0)</f>
        <v>Vaillant 86</v>
      </c>
    </row>
    <row r="8" ht="14.25" customHeight="1">
      <c r="A8" s="122" t="str">
        <f>IFERROR(__xludf.DUMMYFUNCTION("""COMPUTED_VALUE"""),"Ju")</f>
        <v>Ju</v>
      </c>
      <c r="B8" s="103">
        <v>7.0</v>
      </c>
      <c r="C8" s="123">
        <f t="shared" si="1"/>
        <v>1168.919752</v>
      </c>
      <c r="D8" s="124" t="str">
        <f>VLOOKUP(A8,'Classement S6'!$B$2:$C$150,1,0)</f>
        <v>Ju</v>
      </c>
      <c r="E8" s="125" t="str">
        <f t="shared" si="2"/>
        <v/>
      </c>
      <c r="F8" s="120" t="str">
        <f>VLOOKUP(A8,'Classement Général'!$B$2:$B$146,1,0)</f>
        <v>Ju</v>
      </c>
    </row>
    <row r="9" ht="14.25" customHeight="1">
      <c r="A9" s="122" t="str">
        <f>IFERROR(__xludf.DUMMYFUNCTION("""COMPUTED_VALUE"""),"Pachavi")</f>
        <v>Pachavi</v>
      </c>
      <c r="B9" s="103">
        <v>8.0</v>
      </c>
      <c r="C9" s="123">
        <f t="shared" si="1"/>
        <v>1106.989065</v>
      </c>
      <c r="D9" s="124" t="str">
        <f>VLOOKUP(A9,'Classement S6'!$B$2:$C$150,1,0)</f>
        <v>Pachavi</v>
      </c>
      <c r="E9" s="125" t="str">
        <f t="shared" si="2"/>
        <v/>
      </c>
      <c r="F9" s="120" t="str">
        <f>VLOOKUP(A9,'Classement Général'!$B$2:$B$146,1,0)</f>
        <v>Pachavi</v>
      </c>
    </row>
    <row r="10" ht="14.25" customHeight="1">
      <c r="A10" s="122" t="str">
        <f>IFERROR(__xludf.DUMMYFUNCTION("""COMPUTED_VALUE"""),"Dirty Bazaar")</f>
        <v>Dirty Bazaar</v>
      </c>
      <c r="B10" s="103">
        <v>9.0</v>
      </c>
      <c r="C10" s="123">
        <f t="shared" si="1"/>
        <v>1051.99863</v>
      </c>
      <c r="D10" s="124" t="str">
        <f>VLOOKUP(A10,'Classement S6'!$B$2:$C$150,1,0)</f>
        <v>Dirty Bazaar</v>
      </c>
      <c r="E10" s="125" t="str">
        <f t="shared" si="2"/>
        <v/>
      </c>
      <c r="F10" s="120" t="str">
        <f>VLOOKUP(A10,'Classement Général'!$B$2:$B$146,1,0)</f>
        <v>Dirty Bazaar</v>
      </c>
    </row>
    <row r="11" ht="14.25" customHeight="1">
      <c r="A11" s="122" t="str">
        <f>IFERROR(__xludf.DUMMYFUNCTION("""COMPUTED_VALUE"""),"BBH 75")</f>
        <v>BBH 75</v>
      </c>
      <c r="B11" s="103">
        <v>10.0</v>
      </c>
      <c r="C11" s="123">
        <f t="shared" si="1"/>
        <v>1002.375594</v>
      </c>
      <c r="D11" s="124" t="str">
        <f>VLOOKUP(A11,'Classement S6'!$B$2:$C$150,1,0)</f>
        <v>BBH 75</v>
      </c>
      <c r="E11" s="125" t="str">
        <f t="shared" si="2"/>
        <v/>
      </c>
      <c r="F11" s="120" t="str">
        <f>VLOOKUP(A11,'Classement Général'!$B$2:$B$146,1,0)</f>
        <v>BBH 75</v>
      </c>
    </row>
    <row r="12" ht="14.25" customHeight="1">
      <c r="A12" s="122" t="str">
        <f>IFERROR(__xludf.DUMMYFUNCTION("""COMPUTED_VALUE"""),"Mikalack")</f>
        <v>Mikalack</v>
      </c>
      <c r="B12" s="103">
        <v>11.0</v>
      </c>
      <c r="C12" s="123">
        <f t="shared" si="1"/>
        <v>957.02322</v>
      </c>
      <c r="D12" s="124" t="str">
        <f>VLOOKUP(A12,'Classement S6'!$B$2:$C$150,1,0)</f>
        <v>Mikalack</v>
      </c>
      <c r="E12" s="125" t="str">
        <f t="shared" si="2"/>
        <v/>
      </c>
      <c r="F12" s="120" t="str">
        <f>VLOOKUP(A12,'Classement Général'!$B$2:$B$146,1,0)</f>
        <v>Mikalack</v>
      </c>
      <c r="J12" s="131" t="s">
        <v>107</v>
      </c>
    </row>
    <row r="13" ht="14.25" customHeight="1">
      <c r="A13" s="122" t="str">
        <f>IFERROR(__xludf.DUMMYFUNCTION("""COMPUTED_VALUE"""),"ludolab")</f>
        <v>ludolab</v>
      </c>
      <c r="B13" s="103">
        <v>12.0</v>
      </c>
      <c r="C13" s="123">
        <f t="shared" si="1"/>
        <v>915.1475343</v>
      </c>
      <c r="D13" s="124" t="str">
        <f>VLOOKUP(A13,'Classement S6'!$B$2:$C$150,1,0)</f>
        <v>ludolab</v>
      </c>
      <c r="E13" s="125" t="str">
        <f t="shared" si="2"/>
        <v/>
      </c>
      <c r="F13" s="120" t="str">
        <f>VLOOKUP(A13,'Classement Général'!$B$2:$B$146,1,0)</f>
        <v>ludolab</v>
      </c>
      <c r="J13" s="130" t="s">
        <v>99</v>
      </c>
    </row>
    <row r="14" ht="14.25" customHeight="1">
      <c r="A14" s="122" t="str">
        <f>IFERROR(__xludf.DUMMYFUNCTION("""COMPUTED_VALUE"""),"waasp.")</f>
        <v>waasp.</v>
      </c>
      <c r="B14" s="103">
        <v>13.0</v>
      </c>
      <c r="C14" s="123">
        <f t="shared" si="1"/>
        <v>876.1559653</v>
      </c>
      <c r="D14" s="124" t="str">
        <f>VLOOKUP(A14,'Classement S6'!$B$2:$C$150,1,0)</f>
        <v>waasp.</v>
      </c>
      <c r="E14" s="125" t="str">
        <f t="shared" si="2"/>
        <v/>
      </c>
      <c r="F14" s="120" t="str">
        <f>VLOOKUP(A14,'Classement Général'!$B$2:$B$146,1,0)</f>
        <v>waasp.</v>
      </c>
    </row>
    <row r="15" ht="14.25" customHeight="1">
      <c r="A15" s="122" t="str">
        <f>IFERROR(__xludf.DUMMYFUNCTION("""COMPUTED_VALUE"""),"mailie86")</f>
        <v>mailie86</v>
      </c>
      <c r="B15" s="103">
        <v>14.0</v>
      </c>
      <c r="C15" s="123">
        <f t="shared" si="1"/>
        <v>839.5949499</v>
      </c>
      <c r="D15" s="124" t="str">
        <f>VLOOKUP(A15,'Classement S6'!$B$2:$C$150,1,0)</f>
        <v>mailie86</v>
      </c>
      <c r="E15" s="125" t="str">
        <f t="shared" si="2"/>
        <v/>
      </c>
      <c r="F15" s="120" t="str">
        <f>VLOOKUP(A15,'Classement Général'!$B$2:$B$146,1,0)</f>
        <v>mailie86</v>
      </c>
    </row>
    <row r="16" ht="14.25" customHeight="1">
      <c r="A16" s="122" t="str">
        <f>IFERROR(__xludf.DUMMYFUNCTION("""COMPUTED_VALUE"""),"Kiki Bazaar")</f>
        <v>Kiki Bazaar</v>
      </c>
      <c r="B16" s="103">
        <v>15.0</v>
      </c>
      <c r="C16" s="123">
        <f t="shared" si="1"/>
        <v>805.109862</v>
      </c>
      <c r="D16" s="124" t="str">
        <f>VLOOKUP(A16,'Classement S6'!$B$2:$C$150,1,0)</f>
        <v>Kiki Bazaar</v>
      </c>
      <c r="E16" s="125" t="str">
        <f t="shared" si="2"/>
        <v/>
      </c>
      <c r="F16" s="120" t="str">
        <f>VLOOKUP(A16,'Classement Général'!$B$2:$B$146,1,0)</f>
        <v>Kiki Bazaar</v>
      </c>
    </row>
    <row r="17" ht="14.25" customHeight="1">
      <c r="A17" s="122" t="str">
        <f>IFERROR(__xludf.DUMMYFUNCTION("""COMPUTED_VALUE"""),"LEGOLEGOTE")</f>
        <v>LEGOLEGOTE</v>
      </c>
      <c r="B17" s="103">
        <v>16.0</v>
      </c>
      <c r="C17" s="123">
        <f t="shared" si="1"/>
        <v>772.4183476</v>
      </c>
      <c r="D17" s="124" t="str">
        <f>VLOOKUP(A17,'Classement S6'!$B$2:$C$150,1,0)</f>
        <v>LEGOLEGOTE</v>
      </c>
      <c r="E17" s="125" t="str">
        <f t="shared" si="2"/>
        <v/>
      </c>
      <c r="F17" s="120" t="str">
        <f>VLOOKUP(A17,'Classement Général'!$B$2:$B$146,1,0)</f>
        <v>LEGOLEGOTE</v>
      </c>
    </row>
    <row r="18" ht="14.25" customHeight="1">
      <c r="A18" s="122" t="str">
        <f>IFERROR(__xludf.DUMMYFUNCTION("""COMPUTED_VALUE"""),"immond")</f>
        <v>immond</v>
      </c>
      <c r="B18" s="103">
        <v>17.0</v>
      </c>
      <c r="C18" s="123">
        <f t="shared" si="1"/>
        <v>741.2920391</v>
      </c>
      <c r="D18" s="124" t="str">
        <f>VLOOKUP(A18,'Classement S6'!$B$2:$C$150,1,0)</f>
        <v>immond</v>
      </c>
      <c r="E18" s="125" t="str">
        <f t="shared" si="2"/>
        <v/>
      </c>
      <c r="F18" s="120" t="str">
        <f>VLOOKUP(A18,'Classement Général'!$B$2:$B$146,1,0)</f>
        <v>immond</v>
      </c>
    </row>
    <row r="19" ht="14.25" customHeight="1">
      <c r="A19" s="122" t="str">
        <f>IFERROR(__xludf.DUMMYFUNCTION("""COMPUTED_VALUE"""),". BARBAPAPA66")</f>
        <v>. BARBAPAPA66</v>
      </c>
      <c r="B19" s="103">
        <v>18.0</v>
      </c>
      <c r="C19" s="123">
        <f t="shared" si="1"/>
        <v>711.5436834</v>
      </c>
      <c r="D19" s="124" t="str">
        <f>VLOOKUP(A19,'Classement S6'!$B$2:$C$150,1,0)</f>
        <v>. BARBAPAPA66</v>
      </c>
      <c r="E19" s="125" t="str">
        <f t="shared" si="2"/>
        <v/>
      </c>
      <c r="F19" s="120" t="str">
        <f>VLOOKUP(A19,'Classement Général'!$B$2:$B$146,1,0)</f>
        <v>. BARBAPAPA66</v>
      </c>
    </row>
    <row r="20" ht="14.25" customHeight="1">
      <c r="A20" s="122" t="str">
        <f>IFERROR(__xludf.DUMMYFUNCTION("""COMPUTED_VALUE"""),"kiki86 x")</f>
        <v>kiki86 x</v>
      </c>
      <c r="B20" s="103">
        <v>19.0</v>
      </c>
      <c r="C20" s="123">
        <f t="shared" si="1"/>
        <v>683.0178763</v>
      </c>
      <c r="D20" s="124" t="str">
        <f>VLOOKUP(A20,'Classement S6'!$B$2:$C$150,1,0)</f>
        <v>kiki86 x</v>
      </c>
      <c r="E20" s="125" t="str">
        <f t="shared" si="2"/>
        <v/>
      </c>
      <c r="F20" s="120" t="str">
        <f>VLOOKUP(A20,'Classement Général'!$B$2:$B$146,1,0)</f>
        <v>kiki86 x</v>
      </c>
    </row>
    <row r="21" ht="14.25" customHeight="1">
      <c r="A21" s="122" t="str">
        <f>IFERROR(__xludf.DUMMYFUNCTION("""COMPUTED_VALUE"""),"PocketBike")</f>
        <v>PocketBike</v>
      </c>
      <c r="B21" s="103">
        <v>20.0</v>
      </c>
      <c r="C21" s="123">
        <f t="shared" si="1"/>
        <v>655.5842559</v>
      </c>
      <c r="D21" s="124" t="str">
        <f>VLOOKUP(A21,'Classement S6'!$B$2:$C$150,1,0)</f>
        <v>PocketBike</v>
      </c>
      <c r="E21" s="125" t="str">
        <f t="shared" si="2"/>
        <v/>
      </c>
      <c r="F21" s="120" t="str">
        <f>VLOOKUP(A21,'Classement Général'!$B$2:$B$146,1,0)</f>
        <v>PocketBike</v>
      </c>
    </row>
    <row r="22" ht="14.25" customHeight="1">
      <c r="A22" s="122" t="str">
        <f>IFERROR(__xludf.DUMMYFUNCTION("""COMPUTED_VALUE"""),"FridAKahlo")</f>
        <v>FridAKahlo</v>
      </c>
      <c r="B22" s="103">
        <v>21.0</v>
      </c>
      <c r="C22" s="123">
        <f t="shared" si="1"/>
        <v>629.1324167</v>
      </c>
      <c r="D22" s="124" t="str">
        <f>VLOOKUP(A22,'Classement S6'!$B$2:$C$150,1,0)</f>
        <v>FridAKahlo</v>
      </c>
      <c r="E22" s="125" t="str">
        <f t="shared" si="2"/>
        <v/>
      </c>
      <c r="F22" s="120" t="str">
        <f>VLOOKUP(A22,'Classement Général'!$B$2:$B$146,1,0)</f>
        <v>FridAKahlo</v>
      </c>
    </row>
    <row r="23" ht="14.25" customHeight="1">
      <c r="A23" s="122" t="str">
        <f>IFERROR(__xludf.DUMMYFUNCTION("""COMPUTED_VALUE"""),"hmnyocleaver")</f>
        <v>hmnyocleaver</v>
      </c>
      <c r="B23" s="103">
        <v>22.0</v>
      </c>
      <c r="C23" s="123">
        <f t="shared" si="1"/>
        <v>603.5680462</v>
      </c>
      <c r="D23" s="124" t="str">
        <f>VLOOKUP(A23,'Classement S6'!$B$2:$C$150,1,0)</f>
        <v>hmnyocleaver</v>
      </c>
      <c r="E23" s="125" t="str">
        <f t="shared" si="2"/>
        <v/>
      </c>
      <c r="F23" s="120" t="str">
        <f>VLOOKUP(A23,'Classement Général'!$B$2:$B$146,1,0)</f>
        <v>hmnyocleaver</v>
      </c>
    </row>
    <row r="24" ht="14.25" customHeight="1">
      <c r="A24" s="122" t="str">
        <f>IFERROR(__xludf.DUMMYFUNCTION("""COMPUTED_VALUE"""),"Steprou86")</f>
        <v>Steprou86</v>
      </c>
      <c r="B24" s="103">
        <v>23.0</v>
      </c>
      <c r="C24" s="123">
        <f t="shared" si="1"/>
        <v>578.8099513</v>
      </c>
      <c r="D24" s="124" t="str">
        <f>VLOOKUP(A24,'Classement S6'!$B$2:$C$150,1,0)</f>
        <v>Steprou86</v>
      </c>
      <c r="E24" s="125" t="str">
        <f t="shared" si="2"/>
        <v/>
      </c>
      <c r="F24" s="120" t="str">
        <f>VLOOKUP(A24,'Classement Général'!$B$2:$B$146,1,0)</f>
        <v>Steprou86</v>
      </c>
    </row>
    <row r="25" ht="14.25" customHeight="1">
      <c r="A25" s="122" t="str">
        <f>IFERROR(__xludf.DUMMYFUNCTION("""COMPUTED_VALUE"""),"_Sale-Bet_")</f>
        <v>_Sale-Bet_</v>
      </c>
      <c r="B25" s="103">
        <v>24.0</v>
      </c>
      <c r="C25" s="123">
        <f t="shared" si="1"/>
        <v>554.7877375</v>
      </c>
      <c r="D25" s="124" t="str">
        <f>VLOOKUP(A25,'Classement S6'!$B$2:$C$150,1,0)</f>
        <v>_Sale-Bet_</v>
      </c>
      <c r="E25" s="125" t="str">
        <f t="shared" si="2"/>
        <v/>
      </c>
      <c r="F25" s="120" t="str">
        <f>VLOOKUP(A25,'Classement Général'!$B$2:$B$146,1,0)</f>
        <v>_Sale-Bet_</v>
      </c>
    </row>
    <row r="26" ht="14.25" customHeight="1">
      <c r="A26" s="122" t="str">
        <f>IFERROR(__xludf.DUMMYFUNCTION("""COMPUTED_VALUE"""),"_VisMaVie_")</f>
        <v>_VisMaVie_</v>
      </c>
      <c r="B26" s="103">
        <v>25.0</v>
      </c>
      <c r="C26" s="123">
        <f t="shared" si="1"/>
        <v>531.4399792</v>
      </c>
      <c r="D26" s="124" t="str">
        <f>VLOOKUP(A26,'Classement S6'!$B$2:$C$150,1,0)</f>
        <v>_VisMaVie_</v>
      </c>
      <c r="E26" s="125" t="str">
        <f t="shared" si="2"/>
        <v/>
      </c>
      <c r="F26" s="120" t="str">
        <f>VLOOKUP(A26,'Classement Général'!$B$2:$B$146,1,0)</f>
        <v>_VisMaVie_</v>
      </c>
    </row>
    <row r="27" ht="14.25" customHeight="1">
      <c r="A27" s="122" t="str">
        <f>IFERROR(__xludf.DUMMYFUNCTION("""COMPUTED_VALUE"""),"Fistipanda")</f>
        <v>Fistipanda</v>
      </c>
      <c r="B27" s="103">
        <v>26.0</v>
      </c>
      <c r="C27" s="123">
        <f t="shared" si="1"/>
        <v>508.7127596</v>
      </c>
      <c r="D27" s="124" t="str">
        <f>VLOOKUP(A27,'Classement S6'!$B$2:$C$150,1,0)</f>
        <v>Fistipanda</v>
      </c>
      <c r="E27" s="125" t="str">
        <f t="shared" si="2"/>
        <v/>
      </c>
      <c r="F27" s="120" t="str">
        <f>VLOOKUP(A27,'Classement Général'!$B$2:$B$146,1,0)</f>
        <v>Fistipanda</v>
      </c>
    </row>
    <row r="28" ht="14.25" customHeight="1">
      <c r="A28" s="122" t="str">
        <f>IFERROR(__xludf.DUMMYFUNCTION("""COMPUTED_VALUE"""),"Blochedu86")</f>
        <v>Blochedu86</v>
      </c>
      <c r="B28" s="103">
        <v>27.0</v>
      </c>
      <c r="C28" s="123">
        <f t="shared" si="1"/>
        <v>486.5584958</v>
      </c>
      <c r="D28" s="124" t="str">
        <f>VLOOKUP(A28,'Classement S6'!$B$2:$C$150,1,0)</f>
        <v>Blochedu86</v>
      </c>
      <c r="E28" s="125" t="str">
        <f t="shared" si="2"/>
        <v/>
      </c>
      <c r="F28" s="120" t="str">
        <f>VLOOKUP(A28,'Classement Général'!$B$2:$B$146,1,0)</f>
        <v>Blochedu86</v>
      </c>
    </row>
    <row r="29" ht="14.25" customHeight="1">
      <c r="A29" s="122" t="str">
        <f>IFERROR(__xludf.DUMMYFUNCTION("""COMPUTED_VALUE"""),"Le_Pictavien")</f>
        <v>Le_Pictavien</v>
      </c>
      <c r="B29" s="103">
        <v>28.0</v>
      </c>
      <c r="C29" s="123">
        <f t="shared" si="1"/>
        <v>464.9349843</v>
      </c>
      <c r="D29" s="124" t="str">
        <f>VLOOKUP(A29,'Classement S6'!$B$2:$C$150,1,0)</f>
        <v>Le_Pictavien</v>
      </c>
      <c r="E29" s="125" t="str">
        <f t="shared" si="2"/>
        <v/>
      </c>
      <c r="F29" s="120" t="str">
        <f>VLOOKUP(A29,'Classement Général'!$B$2:$B$146,1,0)</f>
        <v>Le_Pictavien</v>
      </c>
    </row>
    <row r="30" ht="14.25" customHeight="1">
      <c r="A30" s="122" t="str">
        <f>IFERROR(__xludf.DUMMYFUNCTION("""COMPUTED_VALUE"""),"KamehamehAS")</f>
        <v>KamehamehAS</v>
      </c>
      <c r="B30" s="103">
        <v>29.0</v>
      </c>
      <c r="C30" s="123">
        <f t="shared" si="1"/>
        <v>443.8046194</v>
      </c>
      <c r="D30" s="124" t="str">
        <f>VLOOKUP(A30,'Classement S6'!$B$2:$C$150,1,0)</f>
        <v>KamehamehAS</v>
      </c>
      <c r="E30" s="125" t="str">
        <f t="shared" si="2"/>
        <v/>
      </c>
      <c r="F30" s="120" t="str">
        <f>VLOOKUP(A30,'Classement Général'!$B$2:$B$146,1,0)</f>
        <v>KamehamehAS</v>
      </c>
    </row>
    <row r="31" ht="14.25" customHeight="1">
      <c r="A31" s="122" t="str">
        <f>IFERROR(__xludf.DUMMYFUNCTION("""COMPUTED_VALUE"""),"kleinseb")</f>
        <v>kleinseb</v>
      </c>
      <c r="B31" s="103">
        <v>30.0</v>
      </c>
      <c r="C31" s="123">
        <f t="shared" si="1"/>
        <v>423.133748</v>
      </c>
      <c r="D31" s="124" t="str">
        <f>VLOOKUP(A31,'Classement S6'!$B$2:$C$150,1,0)</f>
        <v>kleinseb</v>
      </c>
      <c r="E31" s="125" t="str">
        <f t="shared" si="2"/>
        <v/>
      </c>
      <c r="F31" s="120" t="str">
        <f>VLOOKUP(A31,'Classement Général'!$B$2:$B$146,1,0)</f>
        <v>kleinseb</v>
      </c>
    </row>
    <row r="32" ht="14.25" customHeight="1">
      <c r="A32" s="122" t="str">
        <f>IFERROR(__xludf.DUMMYFUNCTION("""COMPUTED_VALUE"""),"Patgaret")</f>
        <v>Patgaret</v>
      </c>
      <c r="B32" s="103">
        <v>31.0</v>
      </c>
      <c r="C32" s="123">
        <f t="shared" si="1"/>
        <v>402.8921338</v>
      </c>
      <c r="D32" s="124" t="str">
        <f>VLOOKUP(A32,'Classement S6'!$B$2:$C$150,1,0)</f>
        <v>Patgaret</v>
      </c>
      <c r="E32" s="125" t="str">
        <f t="shared" si="2"/>
        <v/>
      </c>
      <c r="F32" s="120" t="str">
        <f>VLOOKUP(A32,'Classement Général'!$B$2:$B$146,1,0)</f>
        <v>Patgaret</v>
      </c>
    </row>
    <row r="33" ht="14.25" customHeight="1">
      <c r="A33" s="122" t="str">
        <f>IFERROR(__xludf.DUMMYFUNCTION("""COMPUTED_VALUE"""),"Phil1308")</f>
        <v>Phil1308</v>
      </c>
      <c r="B33" s="103">
        <v>32.0</v>
      </c>
      <c r="C33" s="123">
        <f t="shared" si="1"/>
        <v>383.052509</v>
      </c>
      <c r="D33" s="124" t="str">
        <f>VLOOKUP(A33,'Classement S6'!$B$2:$C$150,1,0)</f>
        <v>Phil1308</v>
      </c>
      <c r="E33" s="125" t="str">
        <f t="shared" si="2"/>
        <v/>
      </c>
      <c r="F33" s="120" t="str">
        <f>VLOOKUP(A33,'Classement Général'!$B$2:$B$146,1,0)</f>
        <v>Phil1308</v>
      </c>
    </row>
    <row r="34" ht="14.25" customHeight="1">
      <c r="A34" s="122" t="str">
        <f>IFERROR(__xludf.DUMMYFUNCTION("""COMPUTED_VALUE"""),"Titounio")</f>
        <v>Titounio</v>
      </c>
      <c r="B34" s="103">
        <v>33.0</v>
      </c>
      <c r="C34" s="123">
        <f t="shared" si="1"/>
        <v>363.5901973</v>
      </c>
      <c r="D34" s="124" t="str">
        <f>VLOOKUP(A34,'Classement S6'!$B$2:$C$150,1,0)</f>
        <v>Titounio</v>
      </c>
      <c r="E34" s="125" t="str">
        <f t="shared" si="2"/>
        <v/>
      </c>
      <c r="F34" s="120" t="str">
        <f>VLOOKUP(A34,'Classement Général'!$B$2:$B$146,1,0)</f>
        <v>Titounio</v>
      </c>
    </row>
    <row r="35" ht="14.25" customHeight="1">
      <c r="A35" s="122" t="str">
        <f>IFERROR(__xludf.DUMMYFUNCTION("""COMPUTED_VALUE"""),"Mitch")</f>
        <v>Mitch</v>
      </c>
      <c r="B35" s="103">
        <v>34.0</v>
      </c>
      <c r="C35" s="123">
        <f t="shared" si="1"/>
        <v>344.4827943</v>
      </c>
      <c r="D35" s="124" t="str">
        <f>VLOOKUP(A35,'Classement S6'!$B$2:$C$150,1,0)</f>
        <v>Mitch</v>
      </c>
      <c r="E35" s="125" t="str">
        <f t="shared" si="2"/>
        <v/>
      </c>
      <c r="F35" s="120" t="str">
        <f>VLOOKUP(A35,'Classement Général'!$B$2:$B$146,1,0)</f>
        <v>Mitch</v>
      </c>
    </row>
    <row r="36" ht="14.25" customHeight="1">
      <c r="A36" s="122" t="str">
        <f>IFERROR(__xludf.DUMMYFUNCTION("""COMPUTED_VALUE"""),"Elfy")</f>
        <v>Elfy</v>
      </c>
      <c r="B36" s="103">
        <v>35.0</v>
      </c>
      <c r="C36" s="123">
        <f t="shared" si="1"/>
        <v>325.7098964</v>
      </c>
      <c r="D36" s="124" t="str">
        <f>VLOOKUP(A36,'Classement S6'!$B$2:$C$150,1,0)</f>
        <v>Elfy</v>
      </c>
      <c r="E36" s="125" t="str">
        <f t="shared" si="2"/>
        <v/>
      </c>
      <c r="F36" s="120" t="str">
        <f>VLOOKUP(A36,'Classement Général'!$B$2:$B$146,1,0)</f>
        <v>Elfy</v>
      </c>
    </row>
    <row r="37" ht="14.25" customHeight="1">
      <c r="A37" s="122" t="str">
        <f>IFERROR(__xludf.DUMMYFUNCTION("""COMPUTED_VALUE"""),"Tontonzgueg")</f>
        <v>Tontonzgueg</v>
      </c>
      <c r="B37" s="103">
        <v>36.0</v>
      </c>
      <c r="C37" s="123">
        <f t="shared" si="1"/>
        <v>307.2528681</v>
      </c>
      <c r="D37" s="124" t="str">
        <f>VLOOKUP(A37,'Classement S6'!$B$2:$C$150,1,0)</f>
        <v>Tontonzgueg</v>
      </c>
      <c r="E37" s="125" t="str">
        <f t="shared" si="2"/>
        <v/>
      </c>
      <c r="F37" s="120" t="str">
        <f>VLOOKUP(A37,'Classement Général'!$B$2:$B$146,1,0)</f>
        <v>Tontonzgueg</v>
      </c>
    </row>
    <row r="38" ht="14.25" customHeight="1">
      <c r="A38" s="122" t="str">
        <f>IFERROR(__xludf.DUMMYFUNCTION("""COMPUTED_VALUE"""),"8kinder6")</f>
        <v>8kinder6</v>
      </c>
      <c r="B38" s="103">
        <v>37.0</v>
      </c>
      <c r="C38" s="123">
        <f t="shared" si="1"/>
        <v>289.0946429</v>
      </c>
      <c r="D38" s="124" t="str">
        <f>VLOOKUP(A38,'Classement S6'!$B$2:$C$150,1,0)</f>
        <v>8kinder6</v>
      </c>
      <c r="E38" s="125" t="str">
        <f t="shared" si="2"/>
        <v/>
      </c>
      <c r="F38" s="120" t="str">
        <f>VLOOKUP(A38,'Classement Général'!$B$2:$B$146,1,0)</f>
        <v>8kinder6</v>
      </c>
    </row>
    <row r="39" ht="14.25" customHeight="1">
      <c r="A39" s="122" t="str">
        <f>IFERROR(__xludf.DUMMYFUNCTION("""COMPUTED_VALUE"""),"POMB1664")</f>
        <v>POMB1664</v>
      </c>
      <c r="B39" s="103">
        <v>38.0</v>
      </c>
      <c r="C39" s="123">
        <f t="shared" si="1"/>
        <v>271.2195506</v>
      </c>
      <c r="D39" s="124" t="str">
        <f>VLOOKUP(A39,'Classement S6'!$B$2:$C$150,1,0)</f>
        <v>POMB1664</v>
      </c>
      <c r="E39" s="125" t="str">
        <f t="shared" si="2"/>
        <v/>
      </c>
      <c r="F39" s="120" t="str">
        <f>VLOOKUP(A39,'Classement Général'!$B$2:$B$146,1,0)</f>
        <v>POMB1664</v>
      </c>
    </row>
    <row r="40" ht="14.25" customHeight="1">
      <c r="A40" s="122" t="str">
        <f>IFERROR(__xludf.DUMMYFUNCTION("""COMPUTED_VALUE"""),"fiodor86")</f>
        <v>fiodor86</v>
      </c>
      <c r="B40" s="103">
        <v>39.0</v>
      </c>
      <c r="C40" s="123">
        <f t="shared" si="1"/>
        <v>253.613169</v>
      </c>
      <c r="D40" s="124" t="str">
        <f>VLOOKUP(A40,'Classement S6'!$B$2:$C$150,1,0)</f>
        <v>fiodor86</v>
      </c>
      <c r="E40" s="125" t="str">
        <f t="shared" si="2"/>
        <v/>
      </c>
      <c r="F40" s="120" t="str">
        <f>VLOOKUP(A40,'Classement Général'!$B$2:$B$146,1,0)</f>
        <v>fiodor86</v>
      </c>
    </row>
    <row r="41" ht="14.25" customHeight="1">
      <c r="A41" s="122" t="str">
        <f>IFERROR(__xludf.DUMMYFUNCTION("""COMPUTED_VALUE"""),"rastamokett")</f>
        <v>rastamokett</v>
      </c>
      <c r="B41" s="103">
        <v>40.0</v>
      </c>
      <c r="C41" s="123">
        <f t="shared" si="1"/>
        <v>236.2621932</v>
      </c>
      <c r="D41" s="124" t="str">
        <f>VLOOKUP(A41,'Classement S6'!$B$2:$C$150,1,0)</f>
        <v>rastamokett</v>
      </c>
      <c r="E41" s="125" t="str">
        <f t="shared" si="2"/>
        <v/>
      </c>
      <c r="F41" s="120" t="str">
        <f>VLOOKUP(A41,'Classement Général'!$B$2:$B$146,1,0)</f>
        <v>rastamokett</v>
      </c>
    </row>
    <row r="42" ht="14.25" customHeight="1">
      <c r="A42" s="122" t="str">
        <f>IFERROR(__xludf.DUMMYFUNCTION("""COMPUTED_VALUE"""),"cassius-86")</f>
        <v>cassius-86</v>
      </c>
      <c r="B42" s="103">
        <v>41.0</v>
      </c>
      <c r="C42" s="123">
        <f t="shared" si="1"/>
        <v>219.1543227</v>
      </c>
      <c r="D42" s="124" t="str">
        <f>VLOOKUP(A42,'Classement S6'!$B$2:$C$150,1,0)</f>
        <v>cassius-86</v>
      </c>
      <c r="E42" s="125" t="str">
        <f t="shared" si="2"/>
        <v/>
      </c>
      <c r="F42" s="120" t="str">
        <f>VLOOKUP(A42,'Classement Général'!$B$2:$B$146,1,0)</f>
        <v>cassius-86</v>
      </c>
    </row>
    <row r="43" ht="14.25" customHeight="1">
      <c r="A43" s="122" t="str">
        <f>IFERROR(__xludf.DUMMYFUNCTION("""COMPUTED_VALUE"""),"chatouill86")</f>
        <v>chatouill86</v>
      </c>
      <c r="B43" s="103">
        <v>42.0</v>
      </c>
      <c r="C43" s="123">
        <f t="shared" si="1"/>
        <v>202.2781624</v>
      </c>
      <c r="D43" s="124" t="str">
        <f>VLOOKUP(A43,'Classement S6'!$B$2:$C$150,1,0)</f>
        <v>chatouill86</v>
      </c>
      <c r="E43" s="125" t="str">
        <f t="shared" si="2"/>
        <v/>
      </c>
      <c r="F43" s="120" t="str">
        <f>VLOOKUP(A43,'Classement Général'!$B$2:$B$146,1,0)</f>
        <v>chatouill86</v>
      </c>
    </row>
    <row r="44" ht="14.25" customHeight="1">
      <c r="A44" s="122" t="str">
        <f>IFERROR(__xludf.DUMMYFUNCTION("""COMPUTED_VALUE"""),"Redblood92")</f>
        <v>Redblood92</v>
      </c>
      <c r="B44" s="103">
        <v>43.0</v>
      </c>
      <c r="C44" s="123">
        <f t="shared" si="1"/>
        <v>185.6231345</v>
      </c>
      <c r="D44" s="124" t="str">
        <f>VLOOKUP(A44,'Classement S6'!$B$2:$C$150,1,0)</f>
        <v>Redblood92</v>
      </c>
      <c r="E44" s="125" t="str">
        <f t="shared" si="2"/>
        <v/>
      </c>
      <c r="F44" s="120" t="str">
        <f>VLOOKUP(A44,'Classement Général'!$B$2:$B$146,1,0)</f>
        <v>Redblood92</v>
      </c>
    </row>
    <row r="45" ht="14.25" customHeight="1">
      <c r="A45" s="122" t="str">
        <f>IFERROR(__xludf.DUMMYFUNCTION("""COMPUTED_VALUE"""),"ledids")</f>
        <v>ledids</v>
      </c>
      <c r="B45" s="103">
        <v>44.0</v>
      </c>
      <c r="C45" s="123">
        <f t="shared" si="1"/>
        <v>169.1794022</v>
      </c>
      <c r="D45" s="124" t="str">
        <f>VLOOKUP(A45,'Classement S6'!$B$2:$C$150,1,0)</f>
        <v>ledids</v>
      </c>
      <c r="E45" s="125" t="str">
        <f t="shared" si="2"/>
        <v/>
      </c>
      <c r="F45" s="120" t="str">
        <f>VLOOKUP(A45,'Classement Général'!$B$2:$B$146,1,0)</f>
        <v>ledids</v>
      </c>
    </row>
    <row r="46" ht="14.25" customHeight="1">
      <c r="A46" s="122" t="str">
        <f>IFERROR(__xludf.DUMMYFUNCTION("""COMPUTED_VALUE"""),"JM-Chatte")</f>
        <v>JM-Chatte</v>
      </c>
      <c r="B46" s="103">
        <v>45.0</v>
      </c>
      <c r="C46" s="123">
        <f t="shared" si="1"/>
        <v>152.937801</v>
      </c>
      <c r="D46" s="124" t="str">
        <f>VLOOKUP(A46,'Classement S6'!$B$2:$C$150,1,0)</f>
        <v>JM-Chatte</v>
      </c>
      <c r="E46" s="125" t="str">
        <f t="shared" si="2"/>
        <v/>
      </c>
      <c r="F46" s="120" t="str">
        <f>VLOOKUP(A46,'Classement Général'!$B$2:$B$146,1,0)</f>
        <v>JM-Chatte</v>
      </c>
    </row>
    <row r="47" ht="14.25" customHeight="1">
      <c r="A47" s="122" t="str">
        <f>IFERROR(__xludf.DUMMYFUNCTION("""COMPUTED_VALUE"""),"PSGJM")</f>
        <v>PSGJM</v>
      </c>
      <c r="B47" s="103">
        <v>46.0</v>
      </c>
      <c r="C47" s="123">
        <f t="shared" si="1"/>
        <v>136.8897787</v>
      </c>
      <c r="D47" s="124" t="str">
        <f>VLOOKUP(A47,'Classement S6'!$B$2:$C$150,1,0)</f>
        <v>PSGJM</v>
      </c>
      <c r="E47" s="125" t="str">
        <f t="shared" si="2"/>
        <v/>
      </c>
      <c r="F47" s="120" t="str">
        <f>VLOOKUP(A47,'Classement Général'!$B$2:$B$146,1,0)</f>
        <v>PSGJM</v>
      </c>
    </row>
    <row r="48" ht="14.25" customHeight="1">
      <c r="A48" s="122" t="str">
        <f>IFERROR(__xludf.DUMMYFUNCTION("""COMPUTED_VALUE"""),"Kevfurious")</f>
        <v>Kevfurious</v>
      </c>
      <c r="B48" s="103">
        <v>47.0</v>
      </c>
      <c r="C48" s="123">
        <f t="shared" si="1"/>
        <v>121.0273412</v>
      </c>
      <c r="D48" s="124" t="str">
        <f>VLOOKUP(A48,'Classement S6'!$B$2:$C$150,1,0)</f>
        <v>Kevfurious</v>
      </c>
      <c r="E48" s="125" t="str">
        <f t="shared" si="2"/>
        <v/>
      </c>
      <c r="F48" s="120" t="str">
        <f>VLOOKUP(A48,'Classement Général'!$B$2:$B$146,1,0)</f>
        <v>Kevfurious</v>
      </c>
    </row>
    <row r="49" ht="14.25" customHeight="1">
      <c r="A49" s="122" t="str">
        <f>IFERROR(__xludf.DUMMYFUNCTION("""COMPUTED_VALUE"""),"jejehehe")</f>
        <v>jejehehe</v>
      </c>
      <c r="B49" s="103">
        <v>48.0</v>
      </c>
      <c r="C49" s="123">
        <f t="shared" si="1"/>
        <v>105.3430044</v>
      </c>
      <c r="D49" s="124" t="str">
        <f>VLOOKUP(A49,'Classement S6'!$B$2:$C$150,1,0)</f>
        <v>jejehehe</v>
      </c>
      <c r="E49" s="125" t="str">
        <f t="shared" si="2"/>
        <v/>
      </c>
      <c r="F49" s="120" t="str">
        <f>VLOOKUP(A49,'Classement Général'!$B$2:$B$146,1,0)</f>
        <v>jejehehe</v>
      </c>
    </row>
    <row r="50" ht="14.25" customHeight="1">
      <c r="A50" s="122" t="str">
        <f>IFERROR(__xludf.DUMMYFUNCTION("""COMPUTED_VALUE"""),"erniedog56x")</f>
        <v>erniedog56x</v>
      </c>
      <c r="B50" s="103">
        <v>49.0</v>
      </c>
      <c r="C50" s="123">
        <f t="shared" si="1"/>
        <v>89.82975191</v>
      </c>
      <c r="D50" s="124" t="str">
        <f>VLOOKUP(A50,'Classement S6'!$B$2:$C$150,1,0)</f>
        <v>erniedog56x</v>
      </c>
      <c r="E50" s="125" t="str">
        <f t="shared" si="2"/>
        <v/>
      </c>
      <c r="F50" s="120" t="str">
        <f>VLOOKUP(A50,'Classement Général'!$B$2:$B$146,1,0)</f>
        <v>erniedog56x</v>
      </c>
    </row>
    <row r="51" ht="14.25" customHeight="1">
      <c r="A51" s="122" t="str">
        <f>IFERROR(__xludf.DUMMYFUNCTION("""COMPUTED_VALUE"""),"vicmackey86")</f>
        <v>vicmackey86</v>
      </c>
      <c r="B51" s="103">
        <v>50.0</v>
      </c>
      <c r="C51" s="123">
        <f t="shared" si="1"/>
        <v>74.48099557</v>
      </c>
      <c r="D51" s="124" t="str">
        <f>VLOOKUP(A51,'Classement S6'!$B$2:$C$150,1,0)</f>
        <v>vicmackey86</v>
      </c>
      <c r="E51" s="125" t="str">
        <f t="shared" si="2"/>
        <v/>
      </c>
      <c r="F51" s="120" t="str">
        <f>VLOOKUP(A51,'Classement Général'!$B$2:$B$146,1,0)</f>
        <v>vicmackey86</v>
      </c>
    </row>
    <row r="52" ht="14.25" customHeight="1">
      <c r="A52" s="122" t="str">
        <f>IFERROR(__xludf.DUMMYFUNCTION("""COMPUTED_VALUE"""),"NezuKO-demon")</f>
        <v>NezuKO-demon</v>
      </c>
      <c r="B52" s="103">
        <v>51.0</v>
      </c>
      <c r="C52" s="123">
        <f t="shared" si="1"/>
        <v>59.29054156</v>
      </c>
      <c r="D52" s="124" t="str">
        <f>VLOOKUP(A52,'Classement S6'!$B$2:$C$150,1,0)</f>
        <v>NezuKO-demon</v>
      </c>
      <c r="E52" s="125" t="str">
        <f t="shared" si="2"/>
        <v/>
      </c>
      <c r="F52" s="120" t="str">
        <f>VLOOKUP(A52,'Classement Général'!$B$2:$B$146,1,0)</f>
        <v>NezuKO-demon</v>
      </c>
    </row>
    <row r="53" ht="14.25" customHeight="1">
      <c r="A53" s="122" t="str">
        <f>IFERROR(__xludf.DUMMYFUNCTION("""COMPUTED_VALUE"""),"A_iniesta")</f>
        <v>A_iniesta</v>
      </c>
      <c r="B53" s="103">
        <v>52.0</v>
      </c>
      <c r="C53" s="123">
        <f t="shared" si="1"/>
        <v>44.25255889</v>
      </c>
      <c r="D53" s="124" t="str">
        <f>VLOOKUP(A53,'Classement S6'!$B$2:$C$150,1,0)</f>
        <v>A_iniesta</v>
      </c>
      <c r="E53" s="125" t="str">
        <f t="shared" si="2"/>
        <v/>
      </c>
      <c r="F53" s="120" t="str">
        <f>VLOOKUP(A53,'Classement Général'!$B$2:$B$146,1,0)</f>
        <v>A_iniesta</v>
      </c>
    </row>
    <row r="54" ht="14.25" customHeight="1">
      <c r="A54" s="122" t="str">
        <f>IFERROR(__xludf.DUMMYFUNCTION("""COMPUTED_VALUE"""),"VietNems86")</f>
        <v>VietNems86</v>
      </c>
      <c r="B54" s="103">
        <v>53.0</v>
      </c>
      <c r="C54" s="123">
        <f t="shared" si="1"/>
        <v>29.36155134</v>
      </c>
      <c r="D54" s="124" t="str">
        <f>VLOOKUP(A54,'Classement S6'!$B$2:$C$150,1,0)</f>
        <v>VietNems86</v>
      </c>
      <c r="E54" s="125" t="str">
        <f t="shared" si="2"/>
        <v/>
      </c>
      <c r="F54" s="120" t="str">
        <f>VLOOKUP(A54,'Classement Général'!$B$2:$B$146,1,0)</f>
        <v>VietNems86</v>
      </c>
    </row>
    <row r="55" ht="14.25" customHeight="1">
      <c r="A55" s="122" t="str">
        <f>IFERROR(__xludf.DUMMYFUNCTION("""COMPUTED_VALUE"""),"SINGE7")</f>
        <v>SINGE7</v>
      </c>
      <c r="B55" s="103">
        <v>54.0</v>
      </c>
      <c r="C55" s="123">
        <f t="shared" si="1"/>
        <v>14.61233196</v>
      </c>
      <c r="D55" s="124" t="str">
        <f>VLOOKUP(A55,'Classement S6'!$B$2:$C$150,1,0)</f>
        <v>SINGE7</v>
      </c>
      <c r="E55" s="125" t="str">
        <f t="shared" si="2"/>
        <v/>
      </c>
      <c r="F55" s="120" t="str">
        <f>VLOOKUP(A55,'Classement Général'!$B$2:$B$146,1,0)</f>
        <v>SINGE7</v>
      </c>
    </row>
    <row r="56" ht="14.25" customHeight="1">
      <c r="A56" s="122"/>
      <c r="B56" s="103">
        <v>55.0</v>
      </c>
      <c r="C56" s="123">
        <f t="shared" si="1"/>
        <v>0</v>
      </c>
      <c r="D56" s="124" t="str">
        <f>VLOOKUP(A56,'Classement S6'!$B$2:$C$150,1,0)</f>
        <v>#N/A</v>
      </c>
      <c r="E56" s="125" t="str">
        <f t="shared" si="2"/>
        <v>#N/A</v>
      </c>
      <c r="F56" s="120" t="str">
        <f>VLOOKUP(A56,'Classement Général'!$B$2:$B$146,1,0)</f>
        <v>#N/A</v>
      </c>
    </row>
    <row r="57" ht="14.25" customHeight="1">
      <c r="A57" s="122"/>
      <c r="B57" s="103">
        <v>56.0</v>
      </c>
      <c r="C57" s="123">
        <f t="shared" si="1"/>
        <v>-14.48008006</v>
      </c>
      <c r="D57" s="124" t="str">
        <f>VLOOKUP(A57,'Classement S6'!$B$2:$C$150,1,0)</f>
        <v>#N/A</v>
      </c>
      <c r="E57" s="125" t="str">
        <f t="shared" si="2"/>
        <v>#N/A</v>
      </c>
      <c r="F57" s="120" t="str">
        <f>VLOOKUP(A57,'Classement Général'!$B$2:$B$146,1,0)</f>
        <v>#N/A</v>
      </c>
    </row>
    <row r="58" ht="14.25" customHeight="1">
      <c r="A58" s="122"/>
      <c r="B58" s="103">
        <v>57.0</v>
      </c>
      <c r="C58" s="123">
        <f t="shared" si="1"/>
        <v>-28.83229757</v>
      </c>
      <c r="D58" s="124" t="str">
        <f>VLOOKUP(A58,'Classement S6'!$B$2:$C$150,1,0)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22"/>
      <c r="B59" s="103">
        <v>58.0</v>
      </c>
      <c r="C59" s="123">
        <f t="shared" si="1"/>
        <v>-43.0608131</v>
      </c>
      <c r="D59" s="124" t="str">
        <f>VLOOKUP(A59,'Classement S6'!$B$2:$C$150,1,0)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22"/>
      <c r="B60" s="103">
        <v>59.0</v>
      </c>
      <c r="C60" s="123">
        <f t="shared" si="1"/>
        <v>-57.16957429</v>
      </c>
      <c r="D60" s="124" t="str">
        <f>VLOOKUP(A60,'Classement S6'!$B$2:$C$150,1,0)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22"/>
      <c r="B61" s="103">
        <v>60.0</v>
      </c>
      <c r="C61" s="123">
        <f t="shared" si="1"/>
        <v>-71.16233037</v>
      </c>
      <c r="D61" s="124" t="str">
        <f>VLOOKUP(A61,'Classement S6'!$B$2:$C$150,1,0)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22"/>
      <c r="B62" s="103">
        <v>61.0</v>
      </c>
      <c r="C62" s="123">
        <f t="shared" si="1"/>
        <v>-85.04264546</v>
      </c>
      <c r="D62" s="124" t="str">
        <f>VLOOKUP(A62,'Classement S6'!$B$2:$C$150,1,0)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22"/>
      <c r="B63" s="103">
        <v>62.0</v>
      </c>
      <c r="C63" s="123">
        <f t="shared" si="1"/>
        <v>-98.81391071</v>
      </c>
      <c r="D63" s="124" t="str">
        <f>VLOOKUP(A63,'Classement S6'!$B$2:$C$150,1,0)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22"/>
      <c r="B64" s="103">
        <v>63.0</v>
      </c>
      <c r="C64" s="123">
        <f t="shared" si="1"/>
        <v>-112.4793556</v>
      </c>
      <c r="D64" s="124" t="str">
        <f>VLOOKUP(A64,'Classement S6'!$B$2:$C$150,1,0)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22"/>
      <c r="B65" s="103">
        <v>64.0</v>
      </c>
      <c r="C65" s="123">
        <f t="shared" si="1"/>
        <v>-126.042058</v>
      </c>
      <c r="D65" s="124" t="str">
        <f>VLOOKUP(A65,'Classement S6'!$B$2:$C$150,1,0)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22"/>
      <c r="B66" s="103">
        <v>65.0</v>
      </c>
      <c r="C66" s="123">
        <f t="shared" si="1"/>
        <v>-139.5049542</v>
      </c>
      <c r="D66" s="124" t="str">
        <f>VLOOKUP(A66,'Classement S6'!$B$2:$C$150,1,0)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22"/>
      <c r="B67" s="103">
        <v>66.0</v>
      </c>
      <c r="C67" s="123">
        <f t="shared" si="1"/>
        <v>-152.8708468</v>
      </c>
      <c r="D67" s="124" t="str">
        <f>VLOOKUP(A67,'Classement S6'!$B$2:$C$150,1,0)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22"/>
      <c r="B68" s="103">
        <v>67.0</v>
      </c>
      <c r="C68" s="123">
        <f t="shared" si="1"/>
        <v>-166.1424136</v>
      </c>
      <c r="D68" s="124" t="str">
        <f>VLOOKUP(A68,'Classement S6'!$B$2:$C$150,1,0)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22"/>
      <c r="B69" s="103">
        <v>68.0</v>
      </c>
      <c r="C69" s="123">
        <f t="shared" si="1"/>
        <v>-179.3222147</v>
      </c>
      <c r="D69" s="124" t="str">
        <f>VLOOKUP(A69,'Classement S6'!$B$2:$C$150,1,0)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22"/>
      <c r="B70" s="103">
        <v>69.0</v>
      </c>
      <c r="C70" s="123">
        <f t="shared" si="1"/>
        <v>-192.4126996</v>
      </c>
      <c r="D70" s="124" t="str">
        <f>VLOOKUP(A70,'Classement S6'!$B$2:$C$150,1,0)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22"/>
      <c r="B71" s="103">
        <v>70.0</v>
      </c>
      <c r="C71" s="123">
        <f t="shared" si="1"/>
        <v>-205.4162132</v>
      </c>
      <c r="D71" s="124" t="str">
        <f>VLOOKUP(A71,'Classement S6'!$B$2:$C$150,1,0)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22"/>
      <c r="B72" s="103">
        <v>71.0</v>
      </c>
      <c r="C72" s="123">
        <f t="shared" si="1"/>
        <v>-218.3350024</v>
      </c>
      <c r="D72" s="124" t="str">
        <f>VLOOKUP(A72,'Classement S6'!$B$2:$C$150,1,0)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22"/>
      <c r="B73" s="103">
        <v>72.0</v>
      </c>
      <c r="C73" s="123">
        <f t="shared" si="1"/>
        <v>-231.1712211</v>
      </c>
      <c r="D73" s="124" t="str">
        <f>VLOOKUP(A73,'Classement S6'!$B$2:$C$150,1,0)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22"/>
      <c r="B74" s="103">
        <v>73.0</v>
      </c>
      <c r="C74" s="123">
        <f t="shared" si="1"/>
        <v>-243.9269356</v>
      </c>
      <c r="D74" s="124" t="str">
        <f>VLOOKUP(A74,'Classement S6'!$B$2:$C$150,1,0)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22"/>
      <c r="B75" s="103">
        <v>74.0</v>
      </c>
      <c r="C75" s="123">
        <f t="shared" si="1"/>
        <v>-256.6041294</v>
      </c>
      <c r="D75" s="124" t="str">
        <f>VLOOKUP(A75,'Classement S6'!$B$2:$C$150,1,0)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22"/>
      <c r="B76" s="103">
        <v>75.0</v>
      </c>
      <c r="C76" s="123">
        <f t="shared" si="1"/>
        <v>-269.2047073</v>
      </c>
      <c r="D76" s="124" t="str">
        <f>VLOOKUP(A76,'Classement S6'!$B$2:$C$150,1,0)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22"/>
      <c r="B77" s="103">
        <v>76.0</v>
      </c>
      <c r="C77" s="123">
        <f t="shared" si="1"/>
        <v>-281.7305003</v>
      </c>
      <c r="D77" s="124" t="str">
        <f>VLOOKUP(A77,'Classement S6'!$B$2:$C$150,1,0)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22"/>
      <c r="B78" s="103">
        <v>77.0</v>
      </c>
      <c r="C78" s="123">
        <f t="shared" si="1"/>
        <v>-294.1832689</v>
      </c>
      <c r="D78" s="124" t="str">
        <f>VLOOKUP(A78,'Classement S6'!$B$2:$C$150,1,0)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22"/>
      <c r="B79" s="103">
        <v>78.0</v>
      </c>
      <c r="C79" s="123">
        <f t="shared" si="1"/>
        <v>-306.5647067</v>
      </c>
      <c r="D79" s="124" t="str">
        <f>VLOOKUP(A79,'Classement S6'!$B$2:$C$150,1,0)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27"/>
      <c r="B80" s="103">
        <v>79.0</v>
      </c>
      <c r="C80" s="123">
        <f t="shared" si="1"/>
        <v>-318.8764444</v>
      </c>
      <c r="D80" s="124" t="str">
        <f>VLOOKUP(A80,'Classement S6'!$B$2:$C$150,1,0)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27"/>
      <c r="B81" s="103">
        <v>80.0</v>
      </c>
      <c r="C81" s="123">
        <f t="shared" si="1"/>
        <v>-331.1200522</v>
      </c>
      <c r="D81" s="124" t="str">
        <f>VLOOKUP(A81,'Classement S6'!$B$2:$C$150,1,0)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27"/>
      <c r="B82" s="103">
        <v>81.0</v>
      </c>
      <c r="C82" s="123">
        <f t="shared" si="1"/>
        <v>-343.2970434</v>
      </c>
      <c r="D82" s="124" t="str">
        <f>VLOOKUP(A82,'Classement S6'!$B$2:$C$150,1,0)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27"/>
      <c r="B83" s="103">
        <v>82.0</v>
      </c>
      <c r="C83" s="123">
        <f t="shared" si="1"/>
        <v>-355.408877</v>
      </c>
      <c r="D83" s="124" t="str">
        <f>VLOOKUP(A83,'Classement S6'!$B$2:$C$150,1,0)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27"/>
      <c r="B84" s="103">
        <v>83.0</v>
      </c>
      <c r="C84" s="123">
        <f t="shared" si="1"/>
        <v>-367.4569603</v>
      </c>
      <c r="D84" s="124" t="str">
        <f>VLOOKUP(A84,'Classement S6'!$B$2:$C$150,1,0)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27"/>
      <c r="B85" s="103">
        <v>84.0</v>
      </c>
      <c r="C85" s="123">
        <f t="shared" si="1"/>
        <v>-379.4426513</v>
      </c>
      <c r="D85" s="124" t="str">
        <f>VLOOKUP(A85,'Classement S6'!$B$2:$C$150,1,0)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27"/>
      <c r="B86" s="103">
        <v>85.0</v>
      </c>
      <c r="C86" s="123">
        <f t="shared" si="1"/>
        <v>-391.3672613</v>
      </c>
      <c r="D86" s="124" t="str">
        <f>VLOOKUP(A86,'Classement S6'!$B$2:$C$150,1,0)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27"/>
      <c r="B87" s="103">
        <v>86.0</v>
      </c>
      <c r="C87" s="123">
        <f t="shared" si="1"/>
        <v>-403.2320566</v>
      </c>
      <c r="D87" s="124" t="str">
        <f>VLOOKUP(A87,'Classement S6'!$B$2:$C$150,1,0)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27"/>
      <c r="B88" s="103">
        <v>87.0</v>
      </c>
      <c r="C88" s="123">
        <f t="shared" si="1"/>
        <v>-415.0382613</v>
      </c>
      <c r="D88" s="124" t="str">
        <f>VLOOKUP(A88,'Classement S6'!$B$2:$C$150,1,0)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27"/>
      <c r="B89" s="103">
        <v>88.0</v>
      </c>
      <c r="C89" s="123">
        <f t="shared" si="1"/>
        <v>-426.7870584</v>
      </c>
      <c r="D89" s="124" t="str">
        <f>VLOOKUP(A89,'Classement S6'!$B$2:$C$150,1,0)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27"/>
      <c r="B90" s="103">
        <v>89.0</v>
      </c>
      <c r="C90" s="123">
        <f t="shared" si="1"/>
        <v>-438.4795923</v>
      </c>
      <c r="D90" s="124" t="str">
        <f>VLOOKUP(A90,'Classement S6'!$B$2:$C$150,1,0)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27"/>
      <c r="B91" s="103">
        <v>90.0</v>
      </c>
      <c r="C91" s="123">
        <f t="shared" si="1"/>
        <v>-450.1169701</v>
      </c>
      <c r="D91" s="124" t="str">
        <f>VLOOKUP(A91,'Classement S6'!$B$2:$C$150,1,0)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27"/>
      <c r="B92" s="103">
        <v>91.0</v>
      </c>
      <c r="C92" s="123">
        <f t="shared" si="1"/>
        <v>-461.7002637</v>
      </c>
      <c r="D92" s="124" t="str">
        <f>VLOOKUP(A92,'Classement S6'!$B$2:$C$150,1,0)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27"/>
      <c r="B93" s="103">
        <v>92.0</v>
      </c>
      <c r="C93" s="123">
        <f t="shared" si="1"/>
        <v>-473.2305106</v>
      </c>
      <c r="D93" s="124" t="str">
        <f>VLOOKUP(A93,'Classement S6'!$B$2:$C$150,1,0)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27"/>
      <c r="B94" s="103">
        <v>93.0</v>
      </c>
      <c r="C94" s="123">
        <f t="shared" si="1"/>
        <v>-484.7087161</v>
      </c>
      <c r="D94" s="124" t="str">
        <f>VLOOKUP(A94,'Classement S6'!$B$2:$C$150,1,0)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27"/>
      <c r="B95" s="103">
        <v>94.0</v>
      </c>
      <c r="C95" s="123">
        <f t="shared" si="1"/>
        <v>-496.1358544</v>
      </c>
      <c r="D95" s="124" t="str">
        <f>VLOOKUP(A95,'Classement S6'!$B$2:$C$150,1,0)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27"/>
      <c r="B96" s="103">
        <v>95.0</v>
      </c>
      <c r="C96" s="123">
        <f t="shared" si="1"/>
        <v>-507.5128699</v>
      </c>
      <c r="D96" s="124" t="str">
        <f>VLOOKUP(A96,'Classement S6'!$B$2:$C$150,1,0)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27"/>
      <c r="B97" s="103">
        <v>96.0</v>
      </c>
      <c r="C97" s="123">
        <f t="shared" si="1"/>
        <v>-518.8406782</v>
      </c>
      <c r="D97" s="124" t="str">
        <f>VLOOKUP(A97,'Classement S6'!$B$2:$C$150,1,0)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27"/>
      <c r="B98" s="103">
        <v>97.0</v>
      </c>
      <c r="C98" s="123">
        <f t="shared" si="1"/>
        <v>-530.1201677</v>
      </c>
      <c r="D98" s="124" t="str">
        <f>VLOOKUP(A98,'Classement S6'!$B$2:$C$150,1,0)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27"/>
      <c r="B99" s="103">
        <v>98.0</v>
      </c>
      <c r="C99" s="123">
        <f t="shared" si="1"/>
        <v>-541.3522006</v>
      </c>
      <c r="D99" s="124" t="str">
        <f>VLOOKUP(A99,'Classement S6'!$B$2:$C$150,1,0)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27"/>
      <c r="B100" s="103">
        <v>99.0</v>
      </c>
      <c r="C100" s="123">
        <f t="shared" si="1"/>
        <v>-552.5376137</v>
      </c>
      <c r="D100" s="124" t="str">
        <f>VLOOKUP(A100,'Classement S6'!$B$2:$C$150,1,0)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27"/>
      <c r="B101" s="103">
        <v>100.0</v>
      </c>
      <c r="C101" s="123">
        <f t="shared" si="1"/>
        <v>-563.6772196</v>
      </c>
      <c r="D101" s="124" t="str">
        <f>VLOOKUP(A101,'Classement S6'!$B$2:$C$150,1,0)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27"/>
      <c r="B102" s="103">
        <v>101.0</v>
      </c>
      <c r="C102" s="123">
        <f t="shared" si="1"/>
        <v>-574.7718078</v>
      </c>
      <c r="D102" s="124" t="str">
        <f>VLOOKUP(A102,'Classement S6'!$B$2:$C$150,1,0)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27"/>
      <c r="B103" s="103">
        <v>102.0</v>
      </c>
      <c r="C103" s="123">
        <f t="shared" si="1"/>
        <v>-585.8221453</v>
      </c>
      <c r="D103" s="124" t="str">
        <f>VLOOKUP(A103,'Classement S6'!$B$2:$C$150,1,0)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27"/>
      <c r="B104" s="103">
        <v>103.0</v>
      </c>
      <c r="C104" s="123">
        <f t="shared" si="1"/>
        <v>-596.8289776</v>
      </c>
      <c r="D104" s="124" t="str">
        <f>VLOOKUP(A104,'Classement S6'!$B$2:$C$150,1,0)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27"/>
      <c r="B105" s="103">
        <v>104.0</v>
      </c>
      <c r="C105" s="123">
        <f t="shared" si="1"/>
        <v>-607.7930295</v>
      </c>
      <c r="D105" s="124" t="str">
        <f>VLOOKUP(A105,'Classement S6'!$B$2:$C$150,1,0)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27"/>
      <c r="B106" s="103">
        <v>105.0</v>
      </c>
      <c r="C106" s="123">
        <f t="shared" si="1"/>
        <v>-618.7150062</v>
      </c>
      <c r="D106" s="124" t="str">
        <f>VLOOKUP(A106,'Classement S6'!$B$2:$C$150,1,0)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27"/>
      <c r="B107" s="103">
        <v>106.0</v>
      </c>
      <c r="C107" s="123">
        <f t="shared" si="1"/>
        <v>-629.5955933</v>
      </c>
      <c r="D107" s="124" t="str">
        <f>VLOOKUP(A107,'Classement S6'!$B$2:$C$150,1,0)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27"/>
      <c r="B108" s="103">
        <v>107.0</v>
      </c>
      <c r="C108" s="123">
        <f t="shared" si="1"/>
        <v>-640.4354584</v>
      </c>
      <c r="D108" s="124" t="str">
        <f>VLOOKUP(A108,'Classement S6'!$B$2:$C$150,1,0)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27"/>
      <c r="B109" s="103">
        <v>108.0</v>
      </c>
      <c r="C109" s="123">
        <f t="shared" si="1"/>
        <v>-651.2352509</v>
      </c>
      <c r="D109" s="124" t="str">
        <f>VLOOKUP(A109,'Classement S6'!$B$2:$C$150,1,0)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27"/>
      <c r="B110" s="103">
        <v>109.0</v>
      </c>
      <c r="C110" s="123">
        <f t="shared" si="1"/>
        <v>-661.9956035</v>
      </c>
      <c r="D110" s="124" t="str">
        <f>VLOOKUP(A110,'Classement S6'!$B$2:$C$150,1,0)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27"/>
      <c r="B111" s="103">
        <v>110.0</v>
      </c>
      <c r="C111" s="123">
        <f t="shared" si="1"/>
        <v>-672.7171322</v>
      </c>
      <c r="D111" s="124" t="str">
        <f>VLOOKUP(A111,'Classement S6'!$B$2:$C$150,1,0)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27"/>
      <c r="B112" s="103">
        <v>111.0</v>
      </c>
      <c r="C112" s="123">
        <f t="shared" si="1"/>
        <v>-683.400437</v>
      </c>
      <c r="D112" s="124" t="str">
        <f>VLOOKUP(A112,'Classement S6'!$B$2:$C$150,1,0)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27"/>
      <c r="B113" s="103">
        <v>112.0</v>
      </c>
      <c r="C113" s="123">
        <f t="shared" si="1"/>
        <v>-694.0461027</v>
      </c>
      <c r="D113" s="124" t="str">
        <f>VLOOKUP(A113,'Classement S6'!$B$2:$C$150,1,0)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27"/>
      <c r="B114" s="103">
        <v>113.0</v>
      </c>
      <c r="C114" s="123">
        <f t="shared" si="1"/>
        <v>-704.6546993</v>
      </c>
      <c r="D114" s="124" t="str">
        <f>VLOOKUP(A114,'Classement S6'!$B$2:$C$150,1,0)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27"/>
      <c r="B115" s="103">
        <v>114.0</v>
      </c>
      <c r="C115" s="123">
        <f t="shared" si="1"/>
        <v>-715.2267824</v>
      </c>
      <c r="D115" s="124" t="str">
        <f>VLOOKUP(A115,'Classement S6'!$B$2:$C$150,1,0)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27"/>
      <c r="B116" s="103">
        <v>115.0</v>
      </c>
      <c r="C116" s="123">
        <f t="shared" si="1"/>
        <v>-725.7628938</v>
      </c>
      <c r="D116" s="124" t="str">
        <f>VLOOKUP(A116,'Classement S6'!$B$2:$C$150,1,0)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27"/>
      <c r="B117" s="103">
        <v>116.0</v>
      </c>
      <c r="C117" s="123">
        <f t="shared" si="1"/>
        <v>-736.263562</v>
      </c>
      <c r="D117" s="124" t="str">
        <f>VLOOKUP(A117,'Classement S6'!$B$2:$C$150,1,0)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27"/>
      <c r="B118" s="103">
        <v>117.0</v>
      </c>
      <c r="C118" s="123">
        <f t="shared" si="1"/>
        <v>-746.7293026</v>
      </c>
      <c r="D118" s="124" t="str">
        <f>VLOOKUP(A118,'Classement S6'!$B$2:$C$150,1,0)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27"/>
      <c r="B119" s="103">
        <v>118.0</v>
      </c>
      <c r="C119" s="123">
        <f t="shared" si="1"/>
        <v>-757.1606188</v>
      </c>
      <c r="D119" s="124" t="str">
        <f>VLOOKUP(A119,'Classement S6'!$B$2:$C$150,1,0)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27"/>
      <c r="B120" s="103">
        <v>119.0</v>
      </c>
      <c r="C120" s="123">
        <f t="shared" si="1"/>
        <v>-767.5580017</v>
      </c>
      <c r="D120" s="124" t="str">
        <f>VLOOKUP(A120,'Classement S6'!$B$2:$C$150,1,0)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27"/>
      <c r="B121" s="103">
        <v>120.0</v>
      </c>
      <c r="C121" s="123">
        <f t="shared" si="1"/>
        <v>-777.9219307</v>
      </c>
      <c r="D121" s="124" t="str">
        <f>VLOOKUP(A121,'Classement S6'!$B$2:$C$150,1,0)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27"/>
      <c r="B122" s="103">
        <v>121.0</v>
      </c>
      <c r="C122" s="123">
        <f t="shared" si="1"/>
        <v>-788.2528739</v>
      </c>
      <c r="D122" s="124" t="str">
        <f>VLOOKUP(A122,'Classement S6'!$B$2:$C$150,1,0)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27"/>
      <c r="B123" s="103">
        <v>122.0</v>
      </c>
      <c r="C123" s="123">
        <f t="shared" si="1"/>
        <v>-798.5512887</v>
      </c>
      <c r="D123" s="124" t="str">
        <f>VLOOKUP(A123,'Classement S6'!$B$2:$C$150,1,0)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27"/>
      <c r="B124" s="103">
        <v>123.0</v>
      </c>
      <c r="C124" s="123">
        <f t="shared" si="1"/>
        <v>-808.8176218</v>
      </c>
      <c r="D124" s="124" t="str">
        <f>VLOOKUP(A124,'Classement S6'!$B$2:$C$150,1,0)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27"/>
      <c r="B125" s="103">
        <v>124.0</v>
      </c>
      <c r="C125" s="123">
        <f t="shared" si="1"/>
        <v>-819.0523096</v>
      </c>
      <c r="D125" s="124" t="str">
        <f>VLOOKUP(A125,'Classement S6'!$B$2:$C$150,1,0)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27"/>
      <c r="B126" s="103">
        <v>125.0</v>
      </c>
      <c r="C126" s="123">
        <f t="shared" si="1"/>
        <v>-829.2557788</v>
      </c>
      <c r="D126" s="124" t="str">
        <f>VLOOKUP(A126,'Classement S6'!$B$2:$C$150,1,0)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27"/>
      <c r="B127" s="103">
        <v>126.0</v>
      </c>
      <c r="C127" s="123">
        <f t="shared" si="1"/>
        <v>-839.4284462</v>
      </c>
      <c r="D127" s="124" t="str">
        <f>VLOOKUP(A127,'Classement S6'!$B$2:$C$150,1,0)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27"/>
      <c r="B128" s="103">
        <v>127.0</v>
      </c>
      <c r="C128" s="123">
        <f t="shared" si="1"/>
        <v>-849.5707196</v>
      </c>
      <c r="D128" s="124" t="str">
        <f>VLOOKUP(A128,'Classement S6'!$B$2:$C$150,1,0)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27"/>
      <c r="B129" s="103">
        <v>128.0</v>
      </c>
      <c r="C129" s="123">
        <f t="shared" si="1"/>
        <v>-859.6829977</v>
      </c>
      <c r="D129" s="124" t="str">
        <f>VLOOKUP(A129,'Classement S6'!$B$2:$C$150,1,0)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27"/>
      <c r="B130" s="103">
        <v>129.0</v>
      </c>
      <c r="C130" s="123">
        <f t="shared" si="1"/>
        <v>-869.7656703</v>
      </c>
      <c r="D130" s="124" t="str">
        <f>VLOOKUP(A130,'Classement S6'!$B$2:$C$150,1,0)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27"/>
      <c r="B131" s="103">
        <v>130.0</v>
      </c>
      <c r="C131" s="123">
        <f t="shared" si="1"/>
        <v>-879.8191189</v>
      </c>
      <c r="D131" s="124" t="str">
        <f>VLOOKUP(A131,'Classement S6'!$B$2:$C$150,1,0)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27"/>
      <c r="B132" s="103">
        <v>131.0</v>
      </c>
      <c r="C132" s="123">
        <f t="shared" si="1"/>
        <v>-889.8437168</v>
      </c>
      <c r="D132" s="124" t="str">
        <f>VLOOKUP(A132,'Classement S6'!$B$2:$C$150,1,0)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27"/>
      <c r="B133" s="103">
        <v>132.0</v>
      </c>
      <c r="C133" s="123">
        <f t="shared" si="1"/>
        <v>-899.8398292</v>
      </c>
      <c r="D133" s="124" t="str">
        <f>VLOOKUP(A133,'Classement S6'!$B$2:$C$150,1,0)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27"/>
      <c r="B134" s="103">
        <v>133.0</v>
      </c>
      <c r="C134" s="123">
        <f t="shared" si="1"/>
        <v>-909.8078136</v>
      </c>
      <c r="D134" s="124" t="str">
        <f>VLOOKUP(A134,'Classement S6'!$B$2:$C$150,1,0)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27"/>
      <c r="B135" s="103">
        <v>134.0</v>
      </c>
      <c r="C135" s="123">
        <f t="shared" si="1"/>
        <v>-919.74802</v>
      </c>
      <c r="D135" s="124" t="str">
        <f>VLOOKUP(A135,'Classement S6'!$B$2:$C$150,1,0)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27"/>
      <c r="B136" s="103">
        <v>135.0</v>
      </c>
      <c r="C136" s="123">
        <f t="shared" si="1"/>
        <v>-929.6607911</v>
      </c>
      <c r="D136" s="124" t="str">
        <f>VLOOKUP(A136,'Classement S6'!$B$2:$C$150,1,0)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27"/>
      <c r="B137" s="103">
        <v>136.0</v>
      </c>
      <c r="C137" s="123">
        <f t="shared" si="1"/>
        <v>-939.5464624</v>
      </c>
      <c r="D137" s="124" t="str">
        <f>VLOOKUP(A137,'Classement S6'!$B$2:$C$150,1,0)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27"/>
      <c r="B138" s="103">
        <v>137.0</v>
      </c>
      <c r="C138" s="123">
        <f t="shared" si="1"/>
        <v>-949.4053626</v>
      </c>
      <c r="D138" s="124" t="str">
        <f>VLOOKUP(A138,'Classement S6'!$B$2:$C$150,1,0)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27"/>
      <c r="B139" s="103">
        <v>138.0</v>
      </c>
      <c r="C139" s="123">
        <f t="shared" si="1"/>
        <v>-959.2378139</v>
      </c>
      <c r="D139" s="124" t="str">
        <f>VLOOKUP(A139,'Classement S6'!$B$2:$C$150,1,0)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27"/>
      <c r="B140" s="103">
        <v>139.0</v>
      </c>
      <c r="C140" s="123">
        <f t="shared" si="1"/>
        <v>-969.0441316</v>
      </c>
      <c r="D140" s="124" t="str">
        <f>VLOOKUP(A140,'Classement S6'!$B$2:$C$150,1,0)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27"/>
      <c r="B141" s="103">
        <v>140.0</v>
      </c>
      <c r="C141" s="123">
        <f t="shared" si="1"/>
        <v>-978.824625</v>
      </c>
      <c r="D141" s="124" t="str">
        <f>VLOOKUP(A141,'Classement S6'!$B$2:$C$150,1,0)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27"/>
      <c r="B142" s="103">
        <v>141.0</v>
      </c>
      <c r="C142" s="123">
        <f t="shared" si="1"/>
        <v>-988.579597</v>
      </c>
      <c r="D142" s="124" t="str">
        <f>VLOOKUP(A142,'Classement S6'!$B$2:$C$150,1,0)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27"/>
      <c r="B143" s="103">
        <v>142.0</v>
      </c>
      <c r="C143" s="123">
        <f t="shared" si="1"/>
        <v>-998.3093448</v>
      </c>
      <c r="D143" s="124" t="str">
        <f>VLOOKUP(A143,'Classement S6'!$B$2:$C$150,1,0)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27"/>
      <c r="B144" s="103">
        <v>143.0</v>
      </c>
      <c r="C144" s="123">
        <f t="shared" si="1"/>
        <v>-1008.01416</v>
      </c>
      <c r="D144" s="124" t="str">
        <f>VLOOKUP(A144,'Classement S6'!$B$2:$C$150,1,0)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27"/>
      <c r="B145" s="103">
        <v>144.0</v>
      </c>
      <c r="C145" s="123">
        <f t="shared" si="1"/>
        <v>-1017.694327</v>
      </c>
      <c r="D145" s="124" t="str">
        <f>VLOOKUP(A145,'Classement S6'!$B$2:$C$150,1,0)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27"/>
      <c r="B146" s="103">
        <v>145.0</v>
      </c>
      <c r="C146" s="123">
        <f t="shared" si="1"/>
        <v>-1027.350127</v>
      </c>
      <c r="D146" s="124" t="str">
        <f>VLOOKUP(A146,'Classement S6'!$B$2:$C$150,1,0)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27"/>
      <c r="B147" s="103">
        <v>146.0</v>
      </c>
      <c r="C147" s="123">
        <f t="shared" si="1"/>
        <v>-1036.981834</v>
      </c>
      <c r="D147" s="124" t="str">
        <f>VLOOKUP(A147,'Classement S6'!$B$2:$C$150,1,0)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27"/>
      <c r="B148" s="103">
        <v>147.0</v>
      </c>
      <c r="C148" s="123">
        <f t="shared" si="1"/>
        <v>-1046.589717</v>
      </c>
      <c r="D148" s="124" t="str">
        <f>VLOOKUP(A148,'Classement S6'!$B$2:$C$150,1,0)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27"/>
      <c r="B149" s="103">
        <v>148.0</v>
      </c>
      <c r="C149" s="123">
        <f t="shared" si="1"/>
        <v>-1056.174042</v>
      </c>
      <c r="D149" s="124" t="str">
        <f>VLOOKUP(A149,'Classement S6'!$B$2:$C$150,1,0)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27"/>
      <c r="B150" s="103">
        <v>149.0</v>
      </c>
      <c r="C150" s="123">
        <f t="shared" si="1"/>
        <v>-1065.735068</v>
      </c>
      <c r="D150" s="124" t="str">
        <f>VLOOKUP(A150,'Classement S6'!$B$2:$C$150,1,0)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27"/>
      <c r="B151" s="103">
        <v>150.0</v>
      </c>
      <c r="C151" s="123">
        <f t="shared" si="1"/>
        <v>-1075.273048</v>
      </c>
      <c r="D151" s="124" t="str">
        <f>VLOOKUP(A151,'Classement S6'!$B$2:$C$150,1,0)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27"/>
      <c r="B152" s="103">
        <v>151.0</v>
      </c>
      <c r="C152" s="123">
        <f t="shared" si="1"/>
        <v>-1084.788234</v>
      </c>
      <c r="D152" s="124" t="str">
        <f>VLOOKUP(A152,'Classement S6'!$B$2:$C$150,1,0)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27"/>
      <c r="B153" s="103">
        <v>152.0</v>
      </c>
      <c r="C153" s="123">
        <f t="shared" si="1"/>
        <v>-1094.28087</v>
      </c>
      <c r="D153" s="124" t="str">
        <f>VLOOKUP(A153,'Classement S6'!$B$2:$C$150,1,0)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27"/>
      <c r="B154" s="103">
        <v>153.0</v>
      </c>
      <c r="C154" s="123">
        <f t="shared" si="1"/>
        <v>-1103.751198</v>
      </c>
      <c r="D154" s="124" t="str">
        <f>VLOOKUP(A154,'Classement S6'!$B$2:$C$150,1,0)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27"/>
      <c r="B155" s="103">
        <v>154.0</v>
      </c>
      <c r="C155" s="123">
        <f t="shared" si="1"/>
        <v>-1113.199453</v>
      </c>
      <c r="D155" s="124" t="str">
        <f>VLOOKUP(A155,'Classement S6'!$B$2:$C$150,1,0)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27"/>
      <c r="B156" s="103">
        <v>155.0</v>
      </c>
      <c r="C156" s="123">
        <f t="shared" si="1"/>
        <v>-1122.625868</v>
      </c>
      <c r="D156" s="124" t="str">
        <f>VLOOKUP(A156,'Classement S6'!$B$2:$C$150,1,0)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27"/>
      <c r="B157" s="103">
        <v>156.0</v>
      </c>
      <c r="C157" s="123">
        <f t="shared" si="1"/>
        <v>-1132.030672</v>
      </c>
      <c r="D157" s="124" t="str">
        <f>VLOOKUP(A157,'Classement S6'!$B$2:$C$150,1,0)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27"/>
      <c r="B158" s="103">
        <v>157.0</v>
      </c>
      <c r="C158" s="123">
        <f t="shared" si="1"/>
        <v>-1141.414088</v>
      </c>
      <c r="D158" s="124" t="str">
        <f>VLOOKUP(A158,'Classement S6'!$B$2:$C$150,1,0)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27"/>
      <c r="B159" s="103">
        <v>158.0</v>
      </c>
      <c r="C159" s="123">
        <f t="shared" si="1"/>
        <v>-1150.776336</v>
      </c>
      <c r="D159" s="124" t="str">
        <f>VLOOKUP(A159,'Classement S6'!$B$2:$C$150,1,0)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27"/>
      <c r="B160" s="103">
        <v>159.0</v>
      </c>
      <c r="C160" s="123">
        <f t="shared" si="1"/>
        <v>-1160.117634</v>
      </c>
      <c r="D160" s="124" t="str">
        <f>VLOOKUP(A160,'Classement S6'!$B$2:$C$150,1,0)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27"/>
      <c r="B161" s="103">
        <v>160.0</v>
      </c>
      <c r="C161" s="123">
        <f t="shared" si="1"/>
        <v>-1169.438192</v>
      </c>
      <c r="D161" s="124" t="str">
        <f>VLOOKUP(A161,'Classement S6'!$B$2:$C$150,1,0)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B162" s="128"/>
    </row>
    <row r="163" ht="14.25" customHeight="1">
      <c r="B163" s="128"/>
    </row>
    <row r="164" ht="14.25" customHeight="1">
      <c r="B164" s="128"/>
    </row>
    <row r="165" ht="14.25" customHeight="1">
      <c r="B165" s="128"/>
    </row>
    <row r="166" ht="14.25" customHeight="1">
      <c r="B166" s="128"/>
    </row>
    <row r="167" ht="14.25" customHeight="1">
      <c r="B167" s="128"/>
    </row>
    <row r="168" ht="14.25" customHeight="1">
      <c r="B168" s="128"/>
    </row>
    <row r="169" ht="14.25" customHeight="1">
      <c r="B169" s="128"/>
    </row>
    <row r="170" ht="14.25" customHeight="1">
      <c r="B170" s="128"/>
    </row>
    <row r="171" ht="14.25" customHeight="1">
      <c r="B171" s="128"/>
    </row>
    <row r="172" ht="14.25" customHeight="1">
      <c r="B172" s="128"/>
    </row>
    <row r="173" ht="14.25" customHeight="1">
      <c r="B173" s="128"/>
    </row>
    <row r="174" ht="14.25" customHeight="1">
      <c r="B174" s="128"/>
    </row>
    <row r="175" ht="14.25" customHeight="1">
      <c r="B175" s="128"/>
    </row>
    <row r="176" ht="14.25" customHeight="1">
      <c r="B176" s="128"/>
    </row>
    <row r="177" ht="14.25" customHeight="1">
      <c r="B177" s="128"/>
    </row>
    <row r="178" ht="14.25" customHeight="1">
      <c r="B178" s="128"/>
    </row>
    <row r="179" ht="14.25" customHeight="1">
      <c r="B179" s="128"/>
    </row>
    <row r="180" ht="14.25" customHeight="1">
      <c r="B180" s="128"/>
    </row>
    <row r="181" ht="14.25" customHeight="1">
      <c r="B181" s="128"/>
    </row>
    <row r="182" ht="14.25" customHeight="1">
      <c r="B182" s="128"/>
    </row>
    <row r="183" ht="14.25" customHeight="1">
      <c r="B183" s="128"/>
    </row>
    <row r="184" ht="14.25" customHeight="1">
      <c r="B184" s="128"/>
    </row>
    <row r="185" ht="14.25" customHeight="1">
      <c r="B185" s="128"/>
    </row>
    <row r="186" ht="14.25" customHeight="1">
      <c r="B186" s="128"/>
    </row>
    <row r="187" ht="14.25" customHeight="1">
      <c r="B187" s="128"/>
    </row>
    <row r="188" ht="14.25" customHeight="1">
      <c r="B188" s="128"/>
    </row>
    <row r="189" ht="14.25" customHeight="1">
      <c r="B189" s="128"/>
    </row>
    <row r="190" ht="14.25" customHeight="1">
      <c r="B190" s="128"/>
    </row>
    <row r="191" ht="14.25" customHeight="1">
      <c r="B191" s="128"/>
    </row>
    <row r="192" ht="14.25" customHeight="1">
      <c r="B192" s="128"/>
    </row>
    <row r="193" ht="14.25" customHeight="1">
      <c r="B193" s="128"/>
    </row>
    <row r="194" ht="14.25" customHeight="1">
      <c r="B194" s="128"/>
    </row>
    <row r="195" ht="14.25" customHeight="1">
      <c r="B195" s="128"/>
    </row>
    <row r="196" ht="14.25" customHeight="1">
      <c r="B196" s="128"/>
    </row>
    <row r="197" ht="14.25" customHeight="1">
      <c r="B197" s="128"/>
    </row>
    <row r="198" ht="14.25" customHeight="1">
      <c r="B198" s="128"/>
    </row>
    <row r="199" ht="14.25" customHeight="1">
      <c r="B199" s="128"/>
    </row>
    <row r="200" ht="14.25" customHeight="1">
      <c r="B200" s="128"/>
    </row>
    <row r="201" ht="14.25" customHeight="1">
      <c r="B201" s="128"/>
    </row>
    <row r="202" ht="14.25" customHeight="1">
      <c r="B202" s="128"/>
    </row>
    <row r="203" ht="14.25" customHeight="1">
      <c r="B203" s="128"/>
    </row>
    <row r="204" ht="14.25" customHeight="1">
      <c r="B204" s="128"/>
    </row>
    <row r="205" ht="14.25" customHeight="1">
      <c r="B205" s="128"/>
    </row>
    <row r="206" ht="14.25" customHeight="1">
      <c r="B206" s="128"/>
    </row>
    <row r="207" ht="14.25" customHeight="1">
      <c r="B207" s="128"/>
    </row>
    <row r="208" ht="14.25" customHeight="1">
      <c r="B208" s="128"/>
    </row>
    <row r="209" ht="14.25" customHeight="1">
      <c r="B209" s="128"/>
    </row>
    <row r="210" ht="14.25" customHeight="1">
      <c r="B210" s="128"/>
    </row>
    <row r="211" ht="14.25" customHeight="1">
      <c r="B211" s="128"/>
    </row>
    <row r="212" ht="14.25" customHeight="1">
      <c r="B212" s="128"/>
    </row>
    <row r="213" ht="14.25" customHeight="1">
      <c r="B213" s="128"/>
    </row>
    <row r="214" ht="14.25" customHeight="1">
      <c r="B214" s="128"/>
    </row>
    <row r="215" ht="14.25" customHeight="1">
      <c r="B215" s="128"/>
    </row>
    <row r="216" ht="14.25" customHeight="1">
      <c r="B216" s="128"/>
    </row>
    <row r="217" ht="14.25" customHeight="1">
      <c r="B217" s="128"/>
    </row>
    <row r="218" ht="14.25" customHeight="1">
      <c r="B218" s="128"/>
    </row>
    <row r="219" ht="14.25" customHeight="1">
      <c r="B219" s="128"/>
    </row>
    <row r="220" ht="14.25" customHeight="1">
      <c r="B220" s="128"/>
    </row>
    <row r="221" ht="14.25" customHeight="1">
      <c r="B221" s="128"/>
    </row>
    <row r="222" ht="14.25" customHeight="1">
      <c r="B222" s="128"/>
    </row>
    <row r="223" ht="14.25" customHeight="1">
      <c r="B223" s="128"/>
    </row>
    <row r="224" ht="14.25" customHeight="1">
      <c r="B224" s="128"/>
    </row>
    <row r="225" ht="14.25" customHeight="1">
      <c r="B225" s="128"/>
    </row>
    <row r="226" ht="14.25" customHeight="1">
      <c r="B226" s="128"/>
    </row>
    <row r="227" ht="14.25" customHeight="1">
      <c r="B227" s="128"/>
    </row>
    <row r="228" ht="14.25" customHeight="1">
      <c r="B228" s="128"/>
    </row>
    <row r="229" ht="14.25" customHeight="1">
      <c r="B229" s="128"/>
    </row>
    <row r="230" ht="14.25" customHeight="1">
      <c r="B230" s="128"/>
    </row>
    <row r="231" ht="14.25" customHeight="1">
      <c r="B231" s="128"/>
    </row>
    <row r="232" ht="14.25" customHeight="1">
      <c r="B232" s="128"/>
    </row>
    <row r="233" ht="14.25" customHeight="1">
      <c r="B233" s="128"/>
    </row>
    <row r="234" ht="14.25" customHeight="1">
      <c r="B234" s="128"/>
    </row>
    <row r="235" ht="14.25" customHeight="1">
      <c r="B235" s="128"/>
    </row>
    <row r="236" ht="14.25" customHeight="1">
      <c r="B236" s="128"/>
    </row>
    <row r="237" ht="14.25" customHeight="1">
      <c r="B237" s="128"/>
    </row>
    <row r="238" ht="14.25" customHeight="1">
      <c r="B238" s="128"/>
    </row>
    <row r="239" ht="14.25" customHeight="1">
      <c r="B239" s="128"/>
    </row>
    <row r="240" ht="14.25" customHeight="1">
      <c r="B240" s="128"/>
    </row>
    <row r="241" ht="14.25" customHeight="1">
      <c r="B241" s="128"/>
    </row>
    <row r="242" ht="14.25" customHeight="1">
      <c r="B242" s="128"/>
    </row>
    <row r="243" ht="14.25" customHeight="1">
      <c r="B243" s="128"/>
    </row>
    <row r="244" ht="14.25" customHeight="1">
      <c r="B244" s="128"/>
    </row>
    <row r="245" ht="14.25" customHeight="1">
      <c r="B245" s="128"/>
    </row>
    <row r="246" ht="14.25" customHeight="1">
      <c r="B246" s="128"/>
    </row>
    <row r="247" ht="14.25" customHeight="1">
      <c r="B247" s="128"/>
    </row>
    <row r="248" ht="14.25" customHeight="1">
      <c r="B248" s="128"/>
    </row>
    <row r="249" ht="14.25" customHeight="1">
      <c r="B249" s="128"/>
    </row>
    <row r="250" ht="14.25" customHeight="1">
      <c r="B250" s="128"/>
    </row>
    <row r="251" ht="14.25" customHeight="1">
      <c r="B251" s="128"/>
    </row>
    <row r="252" ht="14.25" customHeight="1">
      <c r="B252" s="128"/>
    </row>
    <row r="253" ht="14.25" customHeight="1">
      <c r="B253" s="128"/>
    </row>
    <row r="254" ht="14.25" customHeight="1">
      <c r="B254" s="128"/>
    </row>
    <row r="255" ht="14.25" customHeight="1">
      <c r="B255" s="128"/>
    </row>
    <row r="256" ht="14.25" customHeight="1">
      <c r="B256" s="128"/>
    </row>
    <row r="257" ht="14.25" customHeight="1">
      <c r="B257" s="128"/>
    </row>
    <row r="258" ht="14.25" customHeight="1">
      <c r="B258" s="128"/>
    </row>
    <row r="259" ht="14.25" customHeight="1">
      <c r="B259" s="128"/>
    </row>
    <row r="260" ht="14.25" customHeight="1">
      <c r="B260" s="128"/>
    </row>
    <row r="261" ht="14.25" customHeight="1">
      <c r="B261" s="128"/>
    </row>
    <row r="262" ht="14.25" customHeight="1">
      <c r="B262" s="128"/>
    </row>
    <row r="263" ht="14.25" customHeight="1">
      <c r="B263" s="128"/>
    </row>
    <row r="264" ht="14.25" customHeight="1">
      <c r="B264" s="128"/>
    </row>
    <row r="265" ht="14.25" customHeight="1">
      <c r="B265" s="128"/>
    </row>
    <row r="266" ht="14.25" customHeight="1">
      <c r="B266" s="128"/>
    </row>
    <row r="267" ht="14.25" customHeight="1">
      <c r="B267" s="128"/>
    </row>
    <row r="268" ht="14.25" customHeight="1">
      <c r="B268" s="128"/>
    </row>
    <row r="269" ht="14.25" customHeight="1">
      <c r="B269" s="128"/>
    </row>
    <row r="270" ht="14.25" customHeight="1">
      <c r="B270" s="128"/>
    </row>
    <row r="271" ht="14.25" customHeight="1">
      <c r="B271" s="128"/>
    </row>
    <row r="272" ht="14.25" customHeight="1">
      <c r="B272" s="128"/>
    </row>
    <row r="273" ht="14.25" customHeight="1">
      <c r="B273" s="128"/>
    </row>
    <row r="274" ht="14.25" customHeight="1">
      <c r="B274" s="128"/>
    </row>
    <row r="275" ht="14.25" customHeight="1">
      <c r="B275" s="128"/>
    </row>
    <row r="276" ht="14.25" customHeight="1">
      <c r="B276" s="128"/>
    </row>
    <row r="277" ht="14.25" customHeight="1">
      <c r="B277" s="128"/>
    </row>
    <row r="278" ht="14.25" customHeight="1">
      <c r="B278" s="128"/>
    </row>
    <row r="279" ht="14.25" customHeight="1">
      <c r="B279" s="128"/>
    </row>
    <row r="280" ht="14.25" customHeight="1">
      <c r="B280" s="128"/>
    </row>
    <row r="281" ht="14.25" customHeight="1">
      <c r="B281" s="128"/>
    </row>
    <row r="282" ht="14.25" customHeight="1">
      <c r="B282" s="128"/>
    </row>
    <row r="283" ht="14.25" customHeight="1">
      <c r="B283" s="128"/>
    </row>
    <row r="284" ht="14.25" customHeight="1">
      <c r="B284" s="128"/>
    </row>
    <row r="285" ht="14.25" customHeight="1">
      <c r="B285" s="128"/>
    </row>
    <row r="286" ht="14.25" customHeight="1">
      <c r="B286" s="128"/>
    </row>
    <row r="287" ht="14.25" customHeight="1">
      <c r="B287" s="128"/>
    </row>
    <row r="288" ht="14.25" customHeight="1">
      <c r="B288" s="128"/>
    </row>
    <row r="289" ht="14.25" customHeight="1">
      <c r="B289" s="128"/>
    </row>
    <row r="290" ht="14.25" customHeight="1">
      <c r="B290" s="128"/>
    </row>
    <row r="291" ht="14.25" customHeight="1">
      <c r="B291" s="128"/>
    </row>
    <row r="292" ht="14.25" customHeight="1">
      <c r="B292" s="128"/>
    </row>
    <row r="293" ht="14.25" customHeight="1">
      <c r="B293" s="128"/>
    </row>
    <row r="294" ht="14.25" customHeight="1">
      <c r="B294" s="128"/>
    </row>
    <row r="295" ht="14.25" customHeight="1">
      <c r="B295" s="128"/>
    </row>
    <row r="296" ht="14.25" customHeight="1">
      <c r="B296" s="128"/>
    </row>
    <row r="297" ht="14.25" customHeight="1">
      <c r="B297" s="128"/>
    </row>
    <row r="298" ht="14.25" customHeight="1">
      <c r="B298" s="128"/>
    </row>
    <row r="299" ht="14.25" customHeight="1">
      <c r="B299" s="128"/>
    </row>
    <row r="300" ht="14.25" customHeight="1">
      <c r="B300" s="128"/>
    </row>
    <row r="301" ht="14.25" customHeight="1">
      <c r="B301" s="128"/>
    </row>
    <row r="302" ht="14.25" customHeight="1">
      <c r="B302" s="128"/>
    </row>
    <row r="303" ht="14.25" customHeight="1">
      <c r="B303" s="128"/>
    </row>
    <row r="304" ht="14.25" customHeight="1">
      <c r="B304" s="128"/>
    </row>
    <row r="305" ht="14.25" customHeight="1">
      <c r="B305" s="128"/>
    </row>
    <row r="306" ht="14.25" customHeight="1">
      <c r="B306" s="128"/>
    </row>
    <row r="307" ht="14.25" customHeight="1">
      <c r="B307" s="128"/>
    </row>
    <row r="308" ht="14.25" customHeight="1">
      <c r="B308" s="128"/>
    </row>
    <row r="309" ht="14.25" customHeight="1">
      <c r="B309" s="128"/>
    </row>
    <row r="310" ht="14.25" customHeight="1">
      <c r="B310" s="128"/>
    </row>
    <row r="311" ht="14.25" customHeight="1">
      <c r="B311" s="128"/>
    </row>
    <row r="312" ht="14.25" customHeight="1">
      <c r="B312" s="128"/>
    </row>
    <row r="313" ht="14.25" customHeight="1">
      <c r="B313" s="128"/>
    </row>
    <row r="314" ht="14.25" customHeight="1">
      <c r="B314" s="128"/>
    </row>
    <row r="315" ht="14.25" customHeight="1">
      <c r="B315" s="128"/>
    </row>
    <row r="316" ht="14.25" customHeight="1">
      <c r="B316" s="128"/>
    </row>
    <row r="317" ht="14.25" customHeight="1">
      <c r="B317" s="128"/>
    </row>
    <row r="318" ht="14.25" customHeight="1">
      <c r="B318" s="128"/>
    </row>
    <row r="319" ht="14.25" customHeight="1">
      <c r="B319" s="128"/>
    </row>
    <row r="320" ht="14.25" customHeight="1">
      <c r="B320" s="128"/>
    </row>
    <row r="321" ht="14.25" customHeight="1">
      <c r="B321" s="128"/>
    </row>
    <row r="322" ht="14.25" customHeight="1">
      <c r="B322" s="128"/>
    </row>
    <row r="323" ht="14.25" customHeight="1">
      <c r="B323" s="128"/>
    </row>
    <row r="324" ht="14.25" customHeight="1">
      <c r="B324" s="128"/>
    </row>
    <row r="325" ht="14.25" customHeight="1">
      <c r="B325" s="128"/>
    </row>
    <row r="326" ht="14.25" customHeight="1">
      <c r="B326" s="128"/>
    </row>
    <row r="327" ht="14.25" customHeight="1">
      <c r="B327" s="128"/>
    </row>
    <row r="328" ht="14.25" customHeight="1">
      <c r="B328" s="128"/>
    </row>
    <row r="329" ht="14.25" customHeight="1">
      <c r="B329" s="128"/>
    </row>
    <row r="330" ht="14.25" customHeight="1">
      <c r="B330" s="128"/>
    </row>
    <row r="331" ht="14.25" customHeight="1">
      <c r="B331" s="128"/>
    </row>
    <row r="332" ht="14.25" customHeight="1">
      <c r="B332" s="128"/>
    </row>
    <row r="333" ht="14.25" customHeight="1">
      <c r="B333" s="128"/>
    </row>
    <row r="334" ht="14.25" customHeight="1">
      <c r="B334" s="128"/>
    </row>
    <row r="335" ht="14.25" customHeight="1">
      <c r="B335" s="128"/>
    </row>
    <row r="336" ht="14.25" customHeight="1">
      <c r="B336" s="128"/>
    </row>
    <row r="337" ht="14.25" customHeight="1">
      <c r="B337" s="128"/>
    </row>
    <row r="338" ht="14.25" customHeight="1">
      <c r="B338" s="128"/>
    </row>
    <row r="339" ht="14.25" customHeight="1">
      <c r="B339" s="128"/>
    </row>
    <row r="340" ht="14.25" customHeight="1">
      <c r="B340" s="128"/>
    </row>
    <row r="341" ht="14.25" customHeight="1">
      <c r="B341" s="128"/>
    </row>
    <row r="342" ht="14.25" customHeight="1">
      <c r="B342" s="128"/>
    </row>
    <row r="343" ht="14.25" customHeight="1">
      <c r="B343" s="128"/>
    </row>
    <row r="344" ht="14.25" customHeight="1">
      <c r="B344" s="128"/>
    </row>
    <row r="345" ht="14.25" customHeight="1">
      <c r="B345" s="128"/>
    </row>
    <row r="346" ht="14.25" customHeight="1">
      <c r="B346" s="128"/>
    </row>
    <row r="347" ht="14.25" customHeight="1">
      <c r="B347" s="128"/>
    </row>
    <row r="348" ht="14.25" customHeight="1">
      <c r="B348" s="128"/>
    </row>
    <row r="349" ht="14.25" customHeight="1">
      <c r="B349" s="128"/>
    </row>
    <row r="350" ht="14.25" customHeight="1">
      <c r="B350" s="128"/>
    </row>
    <row r="351" ht="14.25" customHeight="1">
      <c r="B351" s="128"/>
    </row>
    <row r="352" ht="14.25" customHeight="1">
      <c r="B352" s="128"/>
    </row>
    <row r="353" ht="14.25" customHeight="1">
      <c r="B353" s="128"/>
    </row>
    <row r="354" ht="14.25" customHeight="1">
      <c r="B354" s="128"/>
    </row>
    <row r="355" ht="14.25" customHeight="1">
      <c r="B355" s="128"/>
    </row>
    <row r="356" ht="14.25" customHeight="1">
      <c r="B356" s="128"/>
    </row>
    <row r="357" ht="14.25" customHeight="1">
      <c r="B357" s="128"/>
    </row>
    <row r="358" ht="14.25" customHeight="1">
      <c r="B358" s="128"/>
    </row>
    <row r="359" ht="14.25" customHeight="1">
      <c r="B359" s="128"/>
    </row>
    <row r="360" ht="14.25" customHeight="1">
      <c r="B360" s="128"/>
    </row>
    <row r="361" ht="14.25" customHeight="1"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L16:Z16">
    <cfRule type="expression" dxfId="0" priority="1">
      <formula>"si(0;;)"</formula>
    </cfRule>
  </conditionalFormatting>
  <conditionalFormatting sqref="L16:Z16">
    <cfRule type="expression" dxfId="0" priority="2">
      <formula>"si(0;;)"</formula>
    </cfRule>
  </conditionalFormatting>
  <conditionalFormatting sqref="A1:A1000">
    <cfRule type="containsText" dxfId="0" priority="3" operator="containsText" text="0">
      <formula>NOT(ISERROR(SEARCH(("0"),(A1))))</formula>
    </cfRule>
  </conditionalFormatting>
  <conditionalFormatting sqref="A1:A161">
    <cfRule type="containsText" dxfId="0" priority="4" operator="containsText" text="0">
      <formula>NOT(ISERROR(SEARCH(("0"),(A1))))</formula>
    </cfRule>
  </conditionalFormatting>
  <drawing r:id="rId1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51</v>
      </c>
    </row>
    <row r="2" ht="14.25" customHeight="1">
      <c r="A2" s="122" t="str">
        <f>IFERROR(__xludf.DUMMYFUNCTION(" IMPORTRANGE(""https://docs.google.com/spreadsheets/d/1nCOeVihTXHxN9mLCPZuwNWYctojLExBOs4JlePYREC0/edit#gid=1155179395"",""So6!A2:A161"")"),"fiodor86")</f>
        <v>fiodor86</v>
      </c>
      <c r="B2" s="103">
        <v>1.0</v>
      </c>
      <c r="C2" s="123">
        <f t="shared" ref="C2:C161" si="1">800*(1-(B2/($H$1+1)))*POWER((SQRT(($H$1+1)/B2)),1/2)</f>
        <v>2106.96662</v>
      </c>
      <c r="D2" s="124" t="str">
        <f>VLOOKUP(A2,'Classement S6'!$B$2:$C$150,1,0)</f>
        <v>fiodor86</v>
      </c>
      <c r="E2" s="125" t="str">
        <f t="shared" ref="E2:E161" si="2">IF(D2=A2,"","erreur")</f>
        <v/>
      </c>
      <c r="F2" s="120" t="str">
        <f>VLOOKUP(A2,'Classement Général'!$B$2:$B$146,1,0)</f>
        <v>fiodor86</v>
      </c>
    </row>
    <row r="3" ht="14.25" customHeight="1">
      <c r="A3" s="122" t="str">
        <f>IFERROR(__xludf.DUMMYFUNCTION("""COMPUTED_VALUE"""),"rastamokett")</f>
        <v>rastamokett</v>
      </c>
      <c r="B3" s="103">
        <v>2.0</v>
      </c>
      <c r="C3" s="123">
        <f t="shared" si="1"/>
        <v>1737.000665</v>
      </c>
      <c r="D3" s="124" t="str">
        <f>VLOOKUP(A3,'Classement S6'!$B$2:$C$150,1,0)</f>
        <v>rastamokett</v>
      </c>
      <c r="E3" s="125" t="str">
        <f t="shared" si="2"/>
        <v/>
      </c>
      <c r="F3" s="120" t="str">
        <f>VLOOKUP(A3,'Classement Général'!$B$2:$B$146,1,0)</f>
        <v>rastamokett</v>
      </c>
      <c r="G3" s="126"/>
    </row>
    <row r="4" ht="14.25" customHeight="1">
      <c r="A4" s="122" t="str">
        <f>IFERROR(__xludf.DUMMYFUNCTION("""COMPUTED_VALUE"""),"Kevfurious")</f>
        <v>Kevfurious</v>
      </c>
      <c r="B4" s="103">
        <v>3.0</v>
      </c>
      <c r="C4" s="123">
        <f t="shared" si="1"/>
        <v>1538.166135</v>
      </c>
      <c r="D4" s="124" t="str">
        <f>VLOOKUP(A4,'Classement S6'!$B$2:$C$150,1,0)</f>
        <v>Kevfurious</v>
      </c>
      <c r="E4" s="125" t="str">
        <f t="shared" si="2"/>
        <v/>
      </c>
      <c r="F4" s="120" t="str">
        <f>VLOOKUP(A4,'Classement Général'!$B$2:$B$146,1,0)</f>
        <v>Kevfurious</v>
      </c>
    </row>
    <row r="5" ht="14.25" customHeight="1">
      <c r="A5" s="122" t="str">
        <f>IFERROR(__xludf.DUMMYFUNCTION("""COMPUTED_VALUE"""),"DonnesTchips")</f>
        <v>DonnesTchips</v>
      </c>
      <c r="B5" s="103">
        <v>4.0</v>
      </c>
      <c r="C5" s="123">
        <f t="shared" si="1"/>
        <v>1402.212127</v>
      </c>
      <c r="D5" s="124" t="str">
        <f>VLOOKUP(A5,'Classement S6'!$B$2:$C$150,1,0)</f>
        <v>DonnesTchips</v>
      </c>
      <c r="E5" s="125" t="str">
        <f t="shared" si="2"/>
        <v/>
      </c>
      <c r="F5" s="120" t="str">
        <f>VLOOKUP(A5,'Classement Général'!$B$2:$B$146,1,0)</f>
        <v>DonnesTchips</v>
      </c>
    </row>
    <row r="6" ht="14.25" customHeight="1">
      <c r="A6" s="122" t="str">
        <f>IFERROR(__xludf.DUMMYFUNCTION("""COMPUTED_VALUE"""),"christ86000")</f>
        <v>christ86000</v>
      </c>
      <c r="B6" s="103">
        <v>5.0</v>
      </c>
      <c r="C6" s="123">
        <f t="shared" si="1"/>
        <v>1298.502638</v>
      </c>
      <c r="D6" s="124" t="str">
        <f>VLOOKUP(A6,'Classement S6'!$B$2:$C$150,1,0)</f>
        <v>christ86000</v>
      </c>
      <c r="E6" s="125" t="str">
        <f t="shared" si="2"/>
        <v/>
      </c>
      <c r="F6" s="120" t="str">
        <f>VLOOKUP(A6,'Classement Général'!$B$2:$B$146,1,0)</f>
        <v>christ86000</v>
      </c>
    </row>
    <row r="7" ht="14.25" customHeight="1">
      <c r="A7" s="122" t="str">
        <f>IFERROR(__xludf.DUMMYFUNCTION("""COMPUTED_VALUE"""),"kiki86 x")</f>
        <v>kiki86 x</v>
      </c>
      <c r="B7" s="103">
        <v>6.0</v>
      </c>
      <c r="C7" s="123">
        <f t="shared" si="1"/>
        <v>1214.248284</v>
      </c>
      <c r="D7" s="124" t="str">
        <f>VLOOKUP(A7,'Classement S6'!$B$2:$C$150,1,0)</f>
        <v>kiki86 x</v>
      </c>
      <c r="E7" s="125" t="str">
        <f t="shared" si="2"/>
        <v/>
      </c>
      <c r="F7" s="120" t="str">
        <f>VLOOKUP(A7,'Classement Général'!$B$2:$B$146,1,0)</f>
        <v>kiki86 x</v>
      </c>
    </row>
    <row r="8" ht="14.25" customHeight="1">
      <c r="A8" s="122" t="str">
        <f>IFERROR(__xludf.DUMMYFUNCTION("""COMPUTED_VALUE"""),"BRUNOWINNER")</f>
        <v>BRUNOWINNER</v>
      </c>
      <c r="B8" s="103">
        <v>7.0</v>
      </c>
      <c r="C8" s="123">
        <f t="shared" si="1"/>
        <v>1142.945397</v>
      </c>
      <c r="D8" s="124" t="str">
        <f>VLOOKUP(A8,'Classement S6'!$B$2:$C$150,1,0)</f>
        <v>BRUNOWINNER</v>
      </c>
      <c r="E8" s="125" t="str">
        <f t="shared" si="2"/>
        <v/>
      </c>
      <c r="F8" s="120" t="str">
        <f>VLOOKUP(A8,'Classement Général'!$B$2:$B$146,1,0)</f>
        <v>BRUNOWINNER</v>
      </c>
    </row>
    <row r="9" ht="14.25" customHeight="1">
      <c r="A9" s="122" t="str">
        <f>IFERROR(__xludf.DUMMYFUNCTION("""COMPUTED_VALUE"""),"jejehehe")</f>
        <v>jejehehe</v>
      </c>
      <c r="B9" s="103">
        <v>8.0</v>
      </c>
      <c r="C9" s="123">
        <f t="shared" si="1"/>
        <v>1080.855555</v>
      </c>
      <c r="D9" s="124" t="str">
        <f>VLOOKUP(A9,'Classement S6'!$B$2:$C$150,1,0)</f>
        <v>jejehehe</v>
      </c>
      <c r="E9" s="125" t="str">
        <f t="shared" si="2"/>
        <v/>
      </c>
      <c r="F9" s="120" t="str">
        <f>VLOOKUP(A9,'Classement Général'!$B$2:$B$146,1,0)</f>
        <v>jejehehe</v>
      </c>
    </row>
    <row r="10" ht="14.25" customHeight="1">
      <c r="A10" s="122" t="str">
        <f>IFERROR(__xludf.DUMMYFUNCTION("""COMPUTED_VALUE"""),"A_iniesta")</f>
        <v>A_iniesta</v>
      </c>
      <c r="B10" s="103">
        <v>9.0</v>
      </c>
      <c r="C10" s="123">
        <f t="shared" si="1"/>
        <v>1025.640844</v>
      </c>
      <c r="D10" s="124" t="str">
        <f>VLOOKUP(A10,'Classement S6'!$B$2:$C$150,1,0)</f>
        <v>A_iniesta</v>
      </c>
      <c r="E10" s="125" t="str">
        <f t="shared" si="2"/>
        <v/>
      </c>
      <c r="F10" s="120" t="str">
        <f>VLOOKUP(A10,'Classement Général'!$B$2:$B$146,1,0)</f>
        <v>A_iniesta</v>
      </c>
    </row>
    <row r="11" ht="14.25" customHeight="1">
      <c r="A11" s="122" t="str">
        <f>IFERROR(__xludf.DUMMYFUNCTION("""COMPUTED_VALUE"""),"immond")</f>
        <v>immond</v>
      </c>
      <c r="B11" s="103">
        <v>10.0</v>
      </c>
      <c r="C11" s="123">
        <f t="shared" si="1"/>
        <v>975.7459777</v>
      </c>
      <c r="D11" s="124" t="str">
        <f>VLOOKUP(A11,'Classement S6'!$B$2:$C$150,1,0)</f>
        <v>immond</v>
      </c>
      <c r="E11" s="125" t="str">
        <f t="shared" si="2"/>
        <v/>
      </c>
      <c r="F11" s="120" t="str">
        <f>VLOOKUP(A11,'Classement Général'!$B$2:$B$146,1,0)</f>
        <v>immond</v>
      </c>
    </row>
    <row r="12" ht="14.25" customHeight="1">
      <c r="A12" s="122" t="str">
        <f>IFERROR(__xludf.DUMMYFUNCTION("""COMPUTED_VALUE"""),"--WondeR--")</f>
        <v>--WondeR--</v>
      </c>
      <c r="B12" s="103">
        <v>11.0</v>
      </c>
      <c r="C12" s="123">
        <f t="shared" si="1"/>
        <v>930.086123</v>
      </c>
      <c r="D12" s="124" t="str">
        <f>VLOOKUP(A12,'Classement S6'!$B$2:$C$150,1,0)</f>
        <v>--WondeR--</v>
      </c>
      <c r="E12" s="125" t="str">
        <f t="shared" si="2"/>
        <v/>
      </c>
      <c r="F12" s="120" t="str">
        <f>VLOOKUP(A12,'Classement Général'!$B$2:$B$146,1,0)</f>
        <v>--WondeR--</v>
      </c>
    </row>
    <row r="13" ht="14.25" customHeight="1">
      <c r="A13" s="122" t="str">
        <f>IFERROR(__xludf.DUMMYFUNCTION("""COMPUTED_VALUE"""),"AKlibur")</f>
        <v>AKlibur</v>
      </c>
      <c r="B13" s="103">
        <v>12.0</v>
      </c>
      <c r="C13" s="123">
        <f t="shared" si="1"/>
        <v>887.8756775</v>
      </c>
      <c r="D13" s="124" t="str">
        <f>VLOOKUP(A13,'Classement S6'!$B$2:$C$150,1,0)</f>
        <v>AKlibur</v>
      </c>
      <c r="E13" s="125" t="str">
        <f t="shared" si="2"/>
        <v/>
      </c>
      <c r="F13" s="120" t="str">
        <f>VLOOKUP(A13,'Classement Général'!$B$2:$B$146,1,0)</f>
        <v>AKlibur</v>
      </c>
    </row>
    <row r="14" ht="14.25" customHeight="1">
      <c r="A14" s="122" t="str">
        <f>IFERROR(__xludf.DUMMYFUNCTION("""COMPUTED_VALUE"""),"JM-Chatte")</f>
        <v>JM-Chatte</v>
      </c>
      <c r="B14" s="103">
        <v>13.0</v>
      </c>
      <c r="C14" s="123">
        <f t="shared" si="1"/>
        <v>848.5281374</v>
      </c>
      <c r="D14" s="124" t="str">
        <f>VLOOKUP(A14,'Classement S6'!$B$2:$C$150,1,0)</f>
        <v>JM-Chatte</v>
      </c>
      <c r="E14" s="125" t="str">
        <f t="shared" si="2"/>
        <v/>
      </c>
      <c r="F14" s="120" t="str">
        <f>VLOOKUP(A14,'Classement Général'!$B$2:$B$146,1,0)</f>
        <v>JM-Chatte</v>
      </c>
    </row>
    <row r="15" ht="14.25" customHeight="1">
      <c r="A15" s="122" t="str">
        <f>IFERROR(__xludf.DUMMYFUNCTION("""COMPUTED_VALUE"""),"FridAKahlo")</f>
        <v>FridAKahlo</v>
      </c>
      <c r="B15" s="103">
        <v>14.0</v>
      </c>
      <c r="C15" s="123">
        <f t="shared" si="1"/>
        <v>811.5944471</v>
      </c>
      <c r="D15" s="124" t="str">
        <f>VLOOKUP(A15,'Classement S6'!$B$2:$C$150,1,0)</f>
        <v>FridAKahlo</v>
      </c>
      <c r="E15" s="125" t="str">
        <f t="shared" si="2"/>
        <v/>
      </c>
      <c r="F15" s="120" t="str">
        <f>VLOOKUP(A15,'Classement Général'!$B$2:$B$146,1,0)</f>
        <v>FridAKahlo</v>
      </c>
    </row>
    <row r="16" ht="14.25" customHeight="1">
      <c r="A16" s="122" t="str">
        <f>IFERROR(__xludf.DUMMYFUNCTION("""COMPUTED_VALUE"""),". BARBAPAPA66")</f>
        <v>. BARBAPAPA66</v>
      </c>
      <c r="B16" s="103">
        <v>15.0</v>
      </c>
      <c r="C16" s="123">
        <f t="shared" si="1"/>
        <v>776.723399</v>
      </c>
      <c r="D16" s="124" t="str">
        <f>VLOOKUP(A16,'Classement S6'!$B$2:$C$150,1,0)</f>
        <v>. BARBAPAPA66</v>
      </c>
      <c r="E16" s="125" t="str">
        <f t="shared" si="2"/>
        <v/>
      </c>
      <c r="F16" s="120" t="str">
        <f>VLOOKUP(A16,'Classement Général'!$B$2:$B$146,1,0)</f>
        <v>. BARBAPAPA66</v>
      </c>
    </row>
    <row r="17" ht="14.25" customHeight="1">
      <c r="A17" s="122" t="str">
        <f>IFERROR(__xludf.DUMMYFUNCTION("""COMPUTED_VALUE"""),"Garou du 86")</f>
        <v>Garou du 86</v>
      </c>
      <c r="B17" s="103">
        <v>16.0</v>
      </c>
      <c r="C17" s="123">
        <f t="shared" si="1"/>
        <v>743.6352778</v>
      </c>
      <c r="D17" s="124" t="str">
        <f>VLOOKUP(A17,'Classement S6'!$B$2:$C$150,1,0)</f>
        <v>Garou du 86</v>
      </c>
      <c r="E17" s="125" t="str">
        <f t="shared" si="2"/>
        <v/>
      </c>
      <c r="F17" s="120" t="str">
        <f>VLOOKUP(A17,'Classement Général'!$B$2:$B$146,1,0)</f>
        <v>Garou du 86</v>
      </c>
    </row>
    <row r="18" ht="14.25" customHeight="1">
      <c r="A18" s="122" t="str">
        <f>IFERROR(__xludf.DUMMYFUNCTION("""COMPUTED_VALUE"""),".choco")</f>
        <v>.choco</v>
      </c>
      <c r="B18" s="103">
        <v>17.0</v>
      </c>
      <c r="C18" s="123">
        <f t="shared" si="1"/>
        <v>712.1037836</v>
      </c>
      <c r="D18" s="124" t="str">
        <f>VLOOKUP(A18,'Classement S6'!$B$2:$C$150,1,0)</f>
        <v>.choco</v>
      </c>
      <c r="E18" s="125" t="str">
        <f t="shared" si="2"/>
        <v/>
      </c>
      <c r="F18" s="120" t="str">
        <f>VLOOKUP(A18,'Classement Général'!$B$2:$B$146,1,0)</f>
        <v>.choco</v>
      </c>
    </row>
    <row r="19" ht="14.25" customHeight="1">
      <c r="A19" s="122" t="str">
        <f>IFERROR(__xludf.DUMMYFUNCTION("""COMPUTED_VALUE"""),"Redblood92")</f>
        <v>Redblood92</v>
      </c>
      <c r="B19" s="103">
        <v>18.0</v>
      </c>
      <c r="C19" s="123">
        <f t="shared" si="1"/>
        <v>681.943305</v>
      </c>
      <c r="D19" s="124" t="str">
        <f>VLOOKUP(A19,'Classement S6'!$B$2:$C$150,1,0)</f>
        <v>Redblood92</v>
      </c>
      <c r="E19" s="125" t="str">
        <f t="shared" si="2"/>
        <v/>
      </c>
      <c r="F19" s="120" t="str">
        <f>VLOOKUP(A19,'Classement Général'!$B$2:$B$146,1,0)</f>
        <v>Redblood92</v>
      </c>
    </row>
    <row r="20" ht="14.25" customHeight="1">
      <c r="A20" s="122" t="str">
        <f>IFERROR(__xludf.DUMMYFUNCTION("""COMPUTED_VALUE"""),"Titounio")</f>
        <v>Titounio</v>
      </c>
      <c r="B20" s="103">
        <v>19.0</v>
      </c>
      <c r="C20" s="123">
        <f t="shared" si="1"/>
        <v>652.9997559</v>
      </c>
      <c r="D20" s="124" t="str">
        <f>VLOOKUP(A20,'Classement S6'!$B$2:$C$150,1,0)</f>
        <v>Titounio</v>
      </c>
      <c r="E20" s="125" t="str">
        <f t="shared" si="2"/>
        <v/>
      </c>
      <c r="F20" s="120" t="str">
        <f>VLOOKUP(A20,'Classement Général'!$B$2:$B$146,1,0)</f>
        <v>Titounio</v>
      </c>
    </row>
    <row r="21" ht="14.25" customHeight="1">
      <c r="A21" s="122" t="str">
        <f>IFERROR(__xludf.DUMMYFUNCTION("""COMPUTED_VALUE"""),"Dirty Bazaar")</f>
        <v>Dirty Bazaar</v>
      </c>
      <c r="B21" s="103">
        <v>20.0</v>
      </c>
      <c r="C21" s="123">
        <f t="shared" si="1"/>
        <v>625.1438437</v>
      </c>
      <c r="D21" s="124" t="str">
        <f>VLOOKUP(A21,'Classement S6'!$B$2:$C$150,1,0)</f>
        <v>Dirty Bazaar</v>
      </c>
      <c r="E21" s="125" t="str">
        <f t="shared" si="2"/>
        <v/>
      </c>
      <c r="F21" s="120" t="str">
        <f>VLOOKUP(A21,'Classement Général'!$B$2:$B$146,1,0)</f>
        <v>Dirty Bazaar</v>
      </c>
      <c r="J21" s="130" t="s">
        <v>196</v>
      </c>
    </row>
    <row r="22" ht="14.25" customHeight="1">
      <c r="A22" s="122" t="str">
        <f>IFERROR(__xludf.DUMMYFUNCTION("""COMPUTED_VALUE"""),"Pachavi")</f>
        <v>Pachavi</v>
      </c>
      <c r="B22" s="103">
        <v>21.0</v>
      </c>
      <c r="C22" s="123">
        <f t="shared" si="1"/>
        <v>598.2660375</v>
      </c>
      <c r="D22" s="124" t="str">
        <f>VLOOKUP(A22,'Classement S6'!$B$2:$C$150,1,0)</f>
        <v>Pachavi</v>
      </c>
      <c r="E22" s="125" t="str">
        <f t="shared" si="2"/>
        <v/>
      </c>
      <c r="F22" s="120" t="str">
        <f>VLOOKUP(A22,'Classement Général'!$B$2:$B$146,1,0)</f>
        <v>Pachavi</v>
      </c>
      <c r="J22" s="130" t="s">
        <v>95</v>
      </c>
    </row>
    <row r="23" ht="14.25" customHeight="1">
      <c r="A23" s="122" t="str">
        <f>IFERROR(__xludf.DUMMYFUNCTION("""COMPUTED_VALUE"""),"POMB1664")</f>
        <v>POMB1664</v>
      </c>
      <c r="B23" s="103">
        <v>22.0</v>
      </c>
      <c r="C23" s="123">
        <f t="shared" si="1"/>
        <v>572.2727464</v>
      </c>
      <c r="D23" s="124" t="str">
        <f>VLOOKUP(A23,'Classement S6'!$B$2:$C$150,1,0)</f>
        <v>POMB1664</v>
      </c>
      <c r="E23" s="125" t="str">
        <f t="shared" si="2"/>
        <v/>
      </c>
      <c r="F23" s="120" t="str">
        <f>VLOOKUP(A23,'Classement Général'!$B$2:$B$146,1,0)</f>
        <v>POMB1664</v>
      </c>
    </row>
    <row r="24" ht="14.25" customHeight="1">
      <c r="A24" s="122" t="str">
        <f>IFERROR(__xludf.DUMMYFUNCTION("""COMPUTED_VALUE"""),"ledids")</f>
        <v>ledids</v>
      </c>
      <c r="B24" s="103">
        <v>23.0</v>
      </c>
      <c r="C24" s="123">
        <f t="shared" si="1"/>
        <v>547.0833759</v>
      </c>
      <c r="D24" s="124" t="str">
        <f>VLOOKUP(A24,'Classement S6'!$B$2:$C$150,1,0)</f>
        <v>ledids</v>
      </c>
      <c r="E24" s="125" t="str">
        <f t="shared" si="2"/>
        <v/>
      </c>
      <c r="F24" s="120" t="str">
        <f>VLOOKUP(A24,'Classement Général'!$B$2:$B$146,1,0)</f>
        <v>ledids</v>
      </c>
    </row>
    <row r="25" ht="14.25" customHeight="1">
      <c r="A25" s="122" t="str">
        <f>IFERROR(__xludf.DUMMYFUNCTION("""COMPUTED_VALUE"""),"Mikalack")</f>
        <v>Mikalack</v>
      </c>
      <c r="B25" s="103">
        <v>24.0</v>
      </c>
      <c r="C25" s="123">
        <f t="shared" si="1"/>
        <v>522.6280321</v>
      </c>
      <c r="D25" s="124" t="str">
        <f>VLOOKUP(A25,'Classement S6'!$B$2:$C$150,1,0)</f>
        <v>Mikalack</v>
      </c>
      <c r="E25" s="125" t="str">
        <f t="shared" si="2"/>
        <v/>
      </c>
      <c r="F25" s="120" t="str">
        <f>VLOOKUP(A25,'Classement Général'!$B$2:$B$146,1,0)</f>
        <v>Mikalack</v>
      </c>
    </row>
    <row r="26" ht="14.25" customHeight="1">
      <c r="A26" s="122" t="str">
        <f>IFERROR(__xludf.DUMMYFUNCTION("""COMPUTED_VALUE"""),"_Sale-Bet_")</f>
        <v>_Sale-Bet_</v>
      </c>
      <c r="B26" s="103">
        <v>25.0</v>
      </c>
      <c r="C26" s="123">
        <f t="shared" si="1"/>
        <v>498.8457095</v>
      </c>
      <c r="D26" s="124" t="str">
        <f>VLOOKUP(A26,'Classement S6'!$B$2:$C$150,1,0)</f>
        <v>_Sale-Bet_</v>
      </c>
      <c r="E26" s="125" t="str">
        <f t="shared" si="2"/>
        <v/>
      </c>
      <c r="F26" s="120" t="str">
        <f>VLOOKUP(A26,'Classement Général'!$B$2:$B$146,1,0)</f>
        <v>_Sale-Bet_</v>
      </c>
    </row>
    <row r="27" ht="14.25" customHeight="1">
      <c r="A27" s="122" t="str">
        <f>IFERROR(__xludf.DUMMYFUNCTION("""COMPUTED_VALUE"""),"sativaL")</f>
        <v>sativaL</v>
      </c>
      <c r="B27" s="103">
        <v>26.0</v>
      </c>
      <c r="C27" s="123">
        <f t="shared" si="1"/>
        <v>475.682846</v>
      </c>
      <c r="D27" s="124" t="str">
        <f>VLOOKUP(A27,'Classement S6'!$B$2:$C$150,1,0)</f>
        <v>sativaL</v>
      </c>
      <c r="E27" s="125" t="str">
        <f t="shared" si="2"/>
        <v/>
      </c>
      <c r="F27" s="120" t="str">
        <f>VLOOKUP(A27,'Classement Général'!$B$2:$B$146,1,0)</f>
        <v>#N/A</v>
      </c>
    </row>
    <row r="28" ht="14.25" customHeight="1">
      <c r="A28" s="122" t="str">
        <f>IFERROR(__xludf.DUMMYFUNCTION("""COMPUTED_VALUE"""),"lifeofpark")</f>
        <v>lifeofpark</v>
      </c>
      <c r="B28" s="103">
        <v>27.0</v>
      </c>
      <c r="C28" s="123">
        <f t="shared" si="1"/>
        <v>453.0921594</v>
      </c>
      <c r="D28" s="124" t="str">
        <f>VLOOKUP(A28,'Classement S6'!$B$2:$C$150,1,0)</f>
        <v>lifeofpark</v>
      </c>
      <c r="E28" s="125" t="str">
        <f t="shared" si="2"/>
        <v/>
      </c>
      <c r="F28" s="120" t="str">
        <f>VLOOKUP(A28,'Classement Général'!$B$2:$B$146,1,0)</f>
        <v>lifeofpark</v>
      </c>
    </row>
    <row r="29" ht="14.25" customHeight="1">
      <c r="A29" s="122" t="str">
        <f>IFERROR(__xludf.DUMMYFUNCTION("""COMPUTED_VALUE"""),"Bratake")</f>
        <v>Bratake</v>
      </c>
      <c r="B29" s="103">
        <v>28.0</v>
      </c>
      <c r="C29" s="123">
        <f t="shared" si="1"/>
        <v>431.0317018</v>
      </c>
      <c r="D29" s="124" t="str">
        <f>VLOOKUP(A29,'Classement S6'!$B$2:$C$150,1,0)</f>
        <v>Bratake</v>
      </c>
      <c r="E29" s="125" t="str">
        <f t="shared" si="2"/>
        <v/>
      </c>
      <c r="F29" s="120" t="str">
        <f>VLOOKUP(A29,'Classement Général'!$B$2:$B$146,1,0)</f>
        <v>Bratake</v>
      </c>
    </row>
    <row r="30" ht="14.25" customHeight="1">
      <c r="A30" s="122" t="str">
        <f>IFERROR(__xludf.DUMMYFUNCTION("""COMPUTED_VALUE"""),"Kiki Bazaar")</f>
        <v>Kiki Bazaar</v>
      </c>
      <c r="B30" s="103">
        <v>29.0</v>
      </c>
      <c r="C30" s="123">
        <f t="shared" si="1"/>
        <v>409.4640859</v>
      </c>
      <c r="D30" s="124" t="str">
        <f>VLOOKUP(A30,'Classement S6'!$B$2:$C$150,1,0)</f>
        <v>Kiki Bazaar</v>
      </c>
      <c r="E30" s="125" t="str">
        <f t="shared" si="2"/>
        <v/>
      </c>
      <c r="F30" s="120" t="str">
        <f>VLOOKUP(A30,'Classement Général'!$B$2:$B$146,1,0)</f>
        <v>Kiki Bazaar</v>
      </c>
    </row>
    <row r="31" ht="14.25" customHeight="1">
      <c r="A31" s="122" t="str">
        <f>IFERROR(__xludf.DUMMYFUNCTION("""COMPUTED_VALUE"""),"pablo")</f>
        <v>pablo</v>
      </c>
      <c r="B31" s="103">
        <v>30.0</v>
      </c>
      <c r="C31" s="123">
        <f t="shared" si="1"/>
        <v>388.3558454</v>
      </c>
      <c r="D31" s="124" t="str">
        <f>VLOOKUP(A31,'Classement S6'!$B$2:$C$150,1,0)</f>
        <v>pablo</v>
      </c>
      <c r="E31" s="125" t="str">
        <f t="shared" si="2"/>
        <v/>
      </c>
      <c r="F31" s="120" t="str">
        <f>VLOOKUP(A31,'Classement Général'!$B$2:$B$146,1,0)</f>
        <v>pablo</v>
      </c>
    </row>
    <row r="32" ht="14.25" customHeight="1">
      <c r="A32" s="122" t="str">
        <f>IFERROR(__xludf.DUMMYFUNCTION("""COMPUTED_VALUE"""),"Rod_John_VI")</f>
        <v>Rod_John_VI</v>
      </c>
      <c r="B32" s="103">
        <v>31.0</v>
      </c>
      <c r="C32" s="123">
        <f t="shared" si="1"/>
        <v>367.6769044</v>
      </c>
      <c r="D32" s="124" t="str">
        <f>VLOOKUP(A32,'Classement S6'!$B$2:$C$150,1,0)</f>
        <v>Rod_John_VI</v>
      </c>
      <c r="E32" s="125" t="str">
        <f t="shared" si="2"/>
        <v/>
      </c>
      <c r="F32" s="120" t="str">
        <f>VLOOKUP(A32,'Classement Général'!$B$2:$B$146,1,0)</f>
        <v>Rod_John_VI</v>
      </c>
    </row>
    <row r="33" ht="14.25" customHeight="1">
      <c r="A33" s="122" t="str">
        <f>IFERROR(__xludf.DUMMYFUNCTION("""COMPUTED_VALUE"""),"LEGOLEGOTE")</f>
        <v>LEGOLEGOTE</v>
      </c>
      <c r="B33" s="103">
        <v>32.0</v>
      </c>
      <c r="C33" s="123">
        <f t="shared" si="1"/>
        <v>347.400133</v>
      </c>
      <c r="D33" s="124" t="str">
        <f>VLOOKUP(A33,'Classement S6'!$B$2:$C$150,1,0)</f>
        <v>LEGOLEGOTE</v>
      </c>
      <c r="E33" s="125" t="str">
        <f t="shared" si="2"/>
        <v/>
      </c>
      <c r="F33" s="120" t="str">
        <f>VLOOKUP(A33,'Classement Général'!$B$2:$B$146,1,0)</f>
        <v>LEGOLEGOTE</v>
      </c>
    </row>
    <row r="34" ht="14.25" customHeight="1">
      <c r="A34" s="122" t="str">
        <f>IFERROR(__xludf.DUMMYFUNCTION("""COMPUTED_VALUE"""),"NezuKO-demon")</f>
        <v>NezuKO-demon</v>
      </c>
      <c r="B34" s="103">
        <v>33.0</v>
      </c>
      <c r="C34" s="123">
        <f t="shared" si="1"/>
        <v>327.5009735</v>
      </c>
      <c r="D34" s="124" t="str">
        <f>VLOOKUP(A34,'Classement S6'!$B$2:$C$150,1,0)</f>
        <v>NezuKO-demon</v>
      </c>
      <c r="E34" s="125" t="str">
        <f t="shared" si="2"/>
        <v/>
      </c>
      <c r="F34" s="120" t="str">
        <f>VLOOKUP(A34,'Classement Général'!$B$2:$B$146,1,0)</f>
        <v>NezuKO-demon</v>
      </c>
    </row>
    <row r="35" ht="14.25" customHeight="1">
      <c r="A35" s="122" t="str">
        <f>IFERROR(__xludf.DUMMYFUNCTION("""COMPUTED_VALUE"""),"StephBoss05")</f>
        <v>StephBoss05</v>
      </c>
      <c r="B35" s="103">
        <v>34.0</v>
      </c>
      <c r="C35" s="123">
        <f t="shared" si="1"/>
        <v>307.957124</v>
      </c>
      <c r="D35" s="124" t="str">
        <f>VLOOKUP(A35,'Classement S6'!$B$2:$C$150,1,0)</f>
        <v>StephBoss05</v>
      </c>
      <c r="E35" s="125" t="str">
        <f t="shared" si="2"/>
        <v/>
      </c>
      <c r="F35" s="120" t="str">
        <f>VLOOKUP(A35,'Classement Général'!$B$2:$B$146,1,0)</f>
        <v>StephBoss05</v>
      </c>
    </row>
    <row r="36" ht="14.25" customHeight="1">
      <c r="A36" s="122" t="str">
        <f>IFERROR(__xludf.DUMMYFUNCTION("""COMPUTED_VALUE"""),"Fistipanda")</f>
        <v>Fistipanda</v>
      </c>
      <c r="B36" s="103">
        <v>35.0</v>
      </c>
      <c r="C36" s="123">
        <f t="shared" si="1"/>
        <v>288.7482691</v>
      </c>
      <c r="D36" s="124" t="str">
        <f>VLOOKUP(A36,'Classement S6'!$B$2:$C$150,1,0)</f>
        <v>Fistipanda</v>
      </c>
      <c r="E36" s="125" t="str">
        <f t="shared" si="2"/>
        <v/>
      </c>
      <c r="F36" s="120" t="str">
        <f>VLOOKUP(A36,'Classement Général'!$B$2:$B$146,1,0)</f>
        <v>Fistipanda</v>
      </c>
    </row>
    <row r="37" ht="14.25" customHeight="1">
      <c r="A37" s="122" t="str">
        <f>IFERROR(__xludf.DUMMYFUNCTION("""COMPUTED_VALUE"""),"Elfy")</f>
        <v>Elfy</v>
      </c>
      <c r="B37" s="103">
        <v>36.0</v>
      </c>
      <c r="C37" s="123">
        <f t="shared" si="1"/>
        <v>269.8558497</v>
      </c>
      <c r="D37" s="124" t="str">
        <f>VLOOKUP(A37,'Classement S6'!$B$2:$C$150,1,0)</f>
        <v>Elfy</v>
      </c>
      <c r="E37" s="125" t="str">
        <f t="shared" si="2"/>
        <v/>
      </c>
      <c r="F37" s="120" t="str">
        <f>VLOOKUP(A37,'Classement Général'!$B$2:$B$146,1,0)</f>
        <v>Elfy</v>
      </c>
    </row>
    <row r="38" ht="14.25" customHeight="1">
      <c r="A38" s="122" t="str">
        <f>IFERROR(__xludf.DUMMYFUNCTION("""COMPUTED_VALUE"""),"cassius-86")</f>
        <v>cassius-86</v>
      </c>
      <c r="B38" s="103">
        <v>37.0</v>
      </c>
      <c r="C38" s="123">
        <f t="shared" si="1"/>
        <v>251.2628649</v>
      </c>
      <c r="D38" s="124" t="str">
        <f>VLOOKUP(A38,'Classement S6'!$B$2:$C$150,1,0)</f>
        <v>cassius-86</v>
      </c>
      <c r="E38" s="125" t="str">
        <f t="shared" si="2"/>
        <v/>
      </c>
      <c r="F38" s="120" t="str">
        <f>VLOOKUP(A38,'Classement Général'!$B$2:$B$146,1,0)</f>
        <v>cassius-86</v>
      </c>
    </row>
    <row r="39" ht="14.25" customHeight="1">
      <c r="A39" s="122" t="str">
        <f>IFERROR(__xludf.DUMMYFUNCTION("""COMPUTED_VALUE"""),"S.coco")</f>
        <v>S.coco</v>
      </c>
      <c r="B39" s="103">
        <v>38.0</v>
      </c>
      <c r="C39" s="123">
        <f t="shared" si="1"/>
        <v>232.9537016</v>
      </c>
      <c r="D39" s="124" t="str">
        <f>VLOOKUP(A39,'Classement S6'!$B$2:$C$150,1,0)</f>
        <v>S.coco</v>
      </c>
      <c r="E39" s="125" t="str">
        <f t="shared" si="2"/>
        <v/>
      </c>
      <c r="F39" s="120" t="str">
        <f>VLOOKUP(A39,'Classement Général'!$B$2:$B$146,1,0)</f>
        <v>S.coco</v>
      </c>
    </row>
    <row r="40" ht="14.25" customHeight="1">
      <c r="A40" s="122" t="str">
        <f>IFERROR(__xludf.DUMMYFUNCTION("""COMPUTED_VALUE"""),"Like_A_Fish")</f>
        <v>Like_A_Fish</v>
      </c>
      <c r="B40" s="103">
        <v>39.0</v>
      </c>
      <c r="C40" s="123">
        <f t="shared" si="1"/>
        <v>214.9139864</v>
      </c>
      <c r="D40" s="124" t="str">
        <f>VLOOKUP(A40,'Classement S6'!$B$2:$C$150,1,0)</f>
        <v>Like_A_Fish</v>
      </c>
      <c r="E40" s="125" t="str">
        <f t="shared" si="2"/>
        <v/>
      </c>
      <c r="F40" s="120" t="str">
        <f>VLOOKUP(A40,'Classement Général'!$B$2:$B$146,1,0)</f>
        <v>Like_A_Fish</v>
      </c>
    </row>
    <row r="41" ht="14.25" customHeight="1">
      <c r="A41" s="122" t="str">
        <f>IFERROR(__xludf.DUMMYFUNCTION("""COMPUTED_VALUE"""),"_VisMaVie_")</f>
        <v>_VisMaVie_</v>
      </c>
      <c r="B41" s="103">
        <v>40.0</v>
      </c>
      <c r="C41" s="123">
        <f t="shared" si="1"/>
        <v>197.1304564</v>
      </c>
      <c r="D41" s="124" t="str">
        <f>VLOOKUP(A41,'Classement S6'!$B$2:$C$150,1,0)</f>
        <v>_VisMaVie_</v>
      </c>
      <c r="E41" s="125" t="str">
        <f t="shared" si="2"/>
        <v/>
      </c>
      <c r="F41" s="120" t="str">
        <f>VLOOKUP(A41,'Classement Général'!$B$2:$B$146,1,0)</f>
        <v>_VisMaVie_</v>
      </c>
    </row>
    <row r="42" ht="14.25" customHeight="1">
      <c r="A42" s="122" t="str">
        <f>IFERROR(__xludf.DUMMYFUNCTION("""COMPUTED_VALUE"""),"Blochedu86")</f>
        <v>Blochedu86</v>
      </c>
      <c r="B42" s="103">
        <v>41.0</v>
      </c>
      <c r="C42" s="123">
        <f t="shared" si="1"/>
        <v>179.5908476</v>
      </c>
      <c r="D42" s="124" t="str">
        <f>VLOOKUP(A42,'Classement S6'!$B$2:$C$150,1,0)</f>
        <v>Blochedu86</v>
      </c>
      <c r="E42" s="125" t="str">
        <f t="shared" si="2"/>
        <v/>
      </c>
      <c r="F42" s="120" t="str">
        <f>VLOOKUP(A42,'Classement Général'!$B$2:$B$146,1,0)</f>
        <v>Blochedu86</v>
      </c>
    </row>
    <row r="43" ht="14.25" customHeight="1">
      <c r="A43" s="122" t="str">
        <f>IFERROR(__xludf.DUMMYFUNCTION("""COMPUTED_VALUE"""),"Phil1308")</f>
        <v>Phil1308</v>
      </c>
      <c r="B43" s="103">
        <v>42.0</v>
      </c>
      <c r="C43" s="123">
        <f t="shared" si="1"/>
        <v>162.2837956</v>
      </c>
      <c r="D43" s="124" t="str">
        <f>VLOOKUP(A43,'Classement S6'!$B$2:$C$150,1,0)</f>
        <v>Phil1308</v>
      </c>
      <c r="E43" s="125" t="str">
        <f t="shared" si="2"/>
        <v/>
      </c>
      <c r="F43" s="120" t="str">
        <f>VLOOKUP(A43,'Classement Général'!$B$2:$B$146,1,0)</f>
        <v>Phil1308</v>
      </c>
    </row>
    <row r="44" ht="14.25" customHeight="1">
      <c r="A44" s="122" t="str">
        <f>IFERROR(__xludf.DUMMYFUNCTION("""COMPUTED_VALUE"""),"8kinder6")</f>
        <v>8kinder6</v>
      </c>
      <c r="B44" s="103">
        <v>43.0</v>
      </c>
      <c r="C44" s="123">
        <f t="shared" si="1"/>
        <v>145.1987491</v>
      </c>
      <c r="D44" s="124" t="str">
        <f>VLOOKUP(A44,'Classement S6'!$B$2:$C$150,1,0)</f>
        <v>8kinder6</v>
      </c>
      <c r="E44" s="125" t="str">
        <f t="shared" si="2"/>
        <v/>
      </c>
      <c r="F44" s="120" t="str">
        <f>VLOOKUP(A44,'Classement Général'!$B$2:$B$146,1,0)</f>
        <v>8kinder6</v>
      </c>
    </row>
    <row r="45" ht="14.25" customHeight="1">
      <c r="A45" s="122" t="str">
        <f>IFERROR(__xludf.DUMMYFUNCTION("""COMPUTED_VALUE"""),"Le_Pictavien")</f>
        <v>Le_Pictavien</v>
      </c>
      <c r="B45" s="103">
        <v>44.0</v>
      </c>
      <c r="C45" s="123">
        <f t="shared" si="1"/>
        <v>128.3258936</v>
      </c>
      <c r="D45" s="124" t="str">
        <f>VLOOKUP(A45,'Classement S6'!$B$2:$C$150,1,0)</f>
        <v>Le_Pictavien</v>
      </c>
      <c r="E45" s="125" t="str">
        <f t="shared" si="2"/>
        <v/>
      </c>
      <c r="F45" s="120" t="str">
        <f>VLOOKUP(A45,'Classement Général'!$B$2:$B$146,1,0)</f>
        <v>Le_Pictavien</v>
      </c>
    </row>
    <row r="46" ht="14.25" customHeight="1">
      <c r="A46" s="122" t="str">
        <f>IFERROR(__xludf.DUMMYFUNCTION("""COMPUTED_VALUE"""),"ariba")</f>
        <v>ariba</v>
      </c>
      <c r="B46" s="103">
        <v>45.0</v>
      </c>
      <c r="C46" s="123">
        <f t="shared" si="1"/>
        <v>111.6560836</v>
      </c>
      <c r="D46" s="124" t="str">
        <f>VLOOKUP(A46,'Classement S6'!$B$2:$C$150,1,0)</f>
        <v>ariba</v>
      </c>
      <c r="E46" s="125" t="str">
        <f t="shared" si="2"/>
        <v/>
      </c>
      <c r="F46" s="120" t="str">
        <f>VLOOKUP(A46,'Classement Général'!$B$2:$B$146,1,0)</f>
        <v>ariba</v>
      </c>
    </row>
    <row r="47" ht="14.25" customHeight="1">
      <c r="A47" s="122" t="str">
        <f>IFERROR(__xludf.DUMMYFUNCTION("""COMPUTED_VALUE"""),"Tontonzgueg")</f>
        <v>Tontonzgueg</v>
      </c>
      <c r="B47" s="103">
        <v>46.0</v>
      </c>
      <c r="C47" s="123">
        <f t="shared" si="1"/>
        <v>95.18078268</v>
      </c>
      <c r="D47" s="124" t="str">
        <f>VLOOKUP(A47,'Classement S6'!$B$2:$C$150,1,0)</f>
        <v>Tontonzgueg</v>
      </c>
      <c r="E47" s="125" t="str">
        <f t="shared" si="2"/>
        <v/>
      </c>
      <c r="F47" s="120" t="str">
        <f>VLOOKUP(A47,'Classement Général'!$B$2:$B$146,1,0)</f>
        <v>Tontonzgueg</v>
      </c>
    </row>
    <row r="48" ht="14.25" customHeight="1">
      <c r="A48" s="122" t="str">
        <f>IFERROR(__xludf.DUMMYFUNCTION("""COMPUTED_VALUE"""),"Mako Lemore")</f>
        <v>Mako Lemore</v>
      </c>
      <c r="B48" s="103">
        <v>47.0</v>
      </c>
      <c r="C48" s="123">
        <f t="shared" si="1"/>
        <v>78.89200964</v>
      </c>
      <c r="D48" s="124" t="str">
        <f>VLOOKUP(A48,'Classement S6'!$B$2:$C$150,1,0)</f>
        <v>Mako Lemore</v>
      </c>
      <c r="E48" s="125" t="str">
        <f t="shared" si="2"/>
        <v/>
      </c>
      <c r="F48" s="120" t="str">
        <f>VLOOKUP(A48,'Classement Général'!$B$2:$B$146,1,0)</f>
        <v>Mako Lemore</v>
      </c>
    </row>
    <row r="49" ht="14.25" customHeight="1">
      <c r="A49" s="122" t="str">
        <f>IFERROR(__xludf.DUMMYFUNCTION("""COMPUTED_VALUE"""),"SINGE7")</f>
        <v>SINGE7</v>
      </c>
      <c r="B49" s="103">
        <v>48.0</v>
      </c>
      <c r="C49" s="123">
        <f t="shared" si="1"/>
        <v>62.78229124</v>
      </c>
      <c r="D49" s="124" t="str">
        <f>VLOOKUP(A49,'Classement S6'!$B$2:$C$150,1,0)</f>
        <v>SINGE7</v>
      </c>
      <c r="E49" s="125" t="str">
        <f t="shared" si="2"/>
        <v/>
      </c>
      <c r="F49" s="120" t="str">
        <f>VLOOKUP(A49,'Classement Général'!$B$2:$B$146,1,0)</f>
        <v>SINGE7</v>
      </c>
    </row>
    <row r="50" ht="14.25" customHeight="1">
      <c r="A50" s="122" t="str">
        <f>IFERROR(__xludf.DUMMYFUNCTION("""COMPUTED_VALUE"""),"Butterfly-as")</f>
        <v>Butterfly-as</v>
      </c>
      <c r="B50" s="103">
        <v>49.0</v>
      </c>
      <c r="C50" s="123">
        <f t="shared" si="1"/>
        <v>46.84461931</v>
      </c>
      <c r="D50" s="124" t="str">
        <f>VLOOKUP(A50,'Classement S6'!$B$2:$C$150,1,0)</f>
        <v>Butterfly-as</v>
      </c>
      <c r="E50" s="125" t="str">
        <f t="shared" si="2"/>
        <v/>
      </c>
      <c r="F50" s="120" t="str">
        <f>VLOOKUP(A50,'Classement Général'!$B$2:$B$146,1,0)</f>
        <v>Butterfly-as</v>
      </c>
    </row>
    <row r="51" ht="14.25" customHeight="1">
      <c r="A51" s="122" t="str">
        <f>IFERROR(__xludf.DUMMYFUNCTION("""COMPUTED_VALUE"""),"Legabodu86")</f>
        <v>Legabodu86</v>
      </c>
      <c r="B51" s="103">
        <v>50.0</v>
      </c>
      <c r="C51" s="123">
        <f t="shared" si="1"/>
        <v>31.07241251</v>
      </c>
      <c r="D51" s="124" t="str">
        <f>VLOOKUP(A51,'Classement S6'!$B$2:$C$150,1,0)</f>
        <v>Legabodu86</v>
      </c>
      <c r="E51" s="125" t="str">
        <f t="shared" si="2"/>
        <v/>
      </c>
      <c r="F51" s="120" t="str">
        <f>VLOOKUP(A51,'Classement Général'!$B$2:$B$146,1,0)</f>
        <v>Legabodu86</v>
      </c>
    </row>
    <row r="52" ht="14.25" customHeight="1">
      <c r="A52" s="122" t="str">
        <f>IFERROR(__xludf.DUMMYFUNCTION("""COMPUTED_VALUE"""),"KKPTETYO")</f>
        <v>KKPTETYO</v>
      </c>
      <c r="B52" s="103">
        <v>51.0</v>
      </c>
      <c r="C52" s="123">
        <f t="shared" si="1"/>
        <v>15.4594819</v>
      </c>
      <c r="D52" s="124" t="str">
        <f>VLOOKUP(A52,'Classement S6'!$B$2:$C$150,1,0)</f>
        <v>KKPTETYO</v>
      </c>
      <c r="E52" s="125" t="str">
        <f t="shared" si="2"/>
        <v/>
      </c>
      <c r="F52" s="120" t="str">
        <f>VLOOKUP(A52,'Classement Général'!$B$2:$B$146,1,0)</f>
        <v>KKPTETYO</v>
      </c>
    </row>
    <row r="53" ht="14.25" customHeight="1">
      <c r="A53" s="122"/>
      <c r="B53" s="103">
        <v>52.0</v>
      </c>
      <c r="C53" s="123">
        <f t="shared" si="1"/>
        <v>0</v>
      </c>
      <c r="D53" s="124" t="str">
        <f>VLOOKUP(A53,'Classement S6'!$B$2:$C$150,1,0)</f>
        <v>#N/A</v>
      </c>
      <c r="E53" s="125" t="str">
        <f t="shared" si="2"/>
        <v>#N/A</v>
      </c>
      <c r="F53" s="120" t="str">
        <f>VLOOKUP(A53,'Classement Général'!$B$2:$B$146,1,0)</f>
        <v>#N/A</v>
      </c>
    </row>
    <row r="54" ht="14.25" customHeight="1">
      <c r="A54" s="122"/>
      <c r="B54" s="103">
        <v>53.0</v>
      </c>
      <c r="C54" s="123">
        <f t="shared" si="1"/>
        <v>-15.31152726</v>
      </c>
      <c r="D54" s="124" t="str">
        <f>VLOOKUP(A54,'Classement S6'!$B$2:$C$150,1,0)</f>
        <v>#N/A</v>
      </c>
      <c r="E54" s="125" t="str">
        <f t="shared" si="2"/>
        <v>#N/A</v>
      </c>
      <c r="F54" s="120" t="str">
        <f>VLOOKUP(A54,'Classement Général'!$B$2:$B$146,1,0)</f>
        <v>#N/A</v>
      </c>
    </row>
    <row r="55" ht="14.25" customHeight="1">
      <c r="A55" s="122"/>
      <c r="B55" s="103">
        <v>54.0</v>
      </c>
      <c r="C55" s="123">
        <f t="shared" si="1"/>
        <v>-30.48028581</v>
      </c>
      <c r="D55" s="124" t="str">
        <f>VLOOKUP(A55,'Classement S6'!$B$2:$C$150,1,0)</f>
        <v>#N/A</v>
      </c>
      <c r="E55" s="125" t="str">
        <f t="shared" si="2"/>
        <v>#N/A</v>
      </c>
      <c r="F55" s="120" t="str">
        <f>VLOOKUP(A55,'Classement Général'!$B$2:$B$146,1,0)</f>
        <v>#N/A</v>
      </c>
    </row>
    <row r="56" ht="14.25" customHeight="1">
      <c r="A56" s="122"/>
      <c r="B56" s="103">
        <v>55.0</v>
      </c>
      <c r="C56" s="123">
        <f t="shared" si="1"/>
        <v>-45.51117641</v>
      </c>
      <c r="D56" s="124" t="str">
        <f>VLOOKUP(A56,'Classement S6'!$B$2:$C$150,1,0)</f>
        <v>#N/A</v>
      </c>
      <c r="E56" s="125" t="str">
        <f t="shared" si="2"/>
        <v>#N/A</v>
      </c>
      <c r="F56" s="120" t="str">
        <f>VLOOKUP(A56,'Classement Général'!$B$2:$B$146,1,0)</f>
        <v>#N/A</v>
      </c>
    </row>
    <row r="57" ht="14.25" customHeight="1">
      <c r="A57" s="122"/>
      <c r="B57" s="103">
        <v>56.0</v>
      </c>
      <c r="C57" s="123">
        <f t="shared" si="1"/>
        <v>-60.40883549</v>
      </c>
      <c r="D57" s="124" t="str">
        <f>VLOOKUP(A57,'Classement S6'!$B$2:$C$150,1,0)</f>
        <v>#N/A</v>
      </c>
      <c r="E57" s="125" t="str">
        <f t="shared" si="2"/>
        <v>#N/A</v>
      </c>
      <c r="F57" s="120" t="str">
        <f>VLOOKUP(A57,'Classement Général'!$B$2:$B$146,1,0)</f>
        <v>#N/A</v>
      </c>
    </row>
    <row r="58" ht="14.25" customHeight="1">
      <c r="A58" s="122"/>
      <c r="B58" s="103">
        <v>57.0</v>
      </c>
      <c r="C58" s="123">
        <f t="shared" si="1"/>
        <v>-75.17765413</v>
      </c>
      <c r="D58" s="124" t="str">
        <f>VLOOKUP(A58,'Classement S6'!$B$2:$C$150,1,0)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22"/>
      <c r="B59" s="103">
        <v>58.0</v>
      </c>
      <c r="C59" s="123">
        <f t="shared" si="1"/>
        <v>-89.82179531</v>
      </c>
      <c r="D59" s="124" t="str">
        <f>VLOOKUP(A59,'Classement S6'!$B$2:$C$150,1,0)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22"/>
      <c r="B60" s="103">
        <v>59.0</v>
      </c>
      <c r="C60" s="123">
        <f t="shared" si="1"/>
        <v>-104.3452097</v>
      </c>
      <c r="D60" s="124" t="str">
        <f>VLOOKUP(A60,'Classement S6'!$B$2:$C$150,1,0)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22"/>
      <c r="B61" s="103">
        <v>60.0</v>
      </c>
      <c r="C61" s="123">
        <f t="shared" si="1"/>
        <v>-118.7516503</v>
      </c>
      <c r="D61" s="124" t="str">
        <f>VLOOKUP(A61,'Classement S6'!$B$2:$C$150,1,0)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22"/>
      <c r="B62" s="103">
        <v>61.0</v>
      </c>
      <c r="C62" s="123">
        <f t="shared" si="1"/>
        <v>-133.0446851</v>
      </c>
      <c r="D62" s="124" t="str">
        <f>VLOOKUP(A62,'Classement S6'!$B$2:$C$150,1,0)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22"/>
      <c r="B63" s="103">
        <v>62.0</v>
      </c>
      <c r="C63" s="123">
        <f t="shared" si="1"/>
        <v>-147.2277099</v>
      </c>
      <c r="D63" s="124" t="str">
        <f>VLOOKUP(A63,'Classement S6'!$B$2:$C$150,1,0)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22"/>
      <c r="B64" s="103">
        <v>63.0</v>
      </c>
      <c r="C64" s="123">
        <f t="shared" si="1"/>
        <v>-161.3039591</v>
      </c>
      <c r="D64" s="124" t="str">
        <f>VLOOKUP(A64,'Classement S6'!$B$2:$C$150,1,0)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22"/>
      <c r="B65" s="103">
        <v>64.0</v>
      </c>
      <c r="C65" s="123">
        <f t="shared" si="1"/>
        <v>-175.2765159</v>
      </c>
      <c r="D65" s="124" t="str">
        <f>VLOOKUP(A65,'Classement S6'!$B$2:$C$150,1,0)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22"/>
      <c r="B66" s="103">
        <v>65.0</v>
      </c>
      <c r="C66" s="123">
        <f t="shared" si="1"/>
        <v>-189.1483218</v>
      </c>
      <c r="D66" s="124" t="str">
        <f>VLOOKUP(A66,'Classement S6'!$B$2:$C$150,1,0)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22"/>
      <c r="B67" s="103">
        <v>66.0</v>
      </c>
      <c r="C67" s="123">
        <f t="shared" si="1"/>
        <v>-202.9221855</v>
      </c>
      <c r="D67" s="124" t="str">
        <f>VLOOKUP(A67,'Classement S6'!$B$2:$C$150,1,0)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22"/>
      <c r="B68" s="103">
        <v>67.0</v>
      </c>
      <c r="C68" s="123">
        <f t="shared" si="1"/>
        <v>-216.6007907</v>
      </c>
      <c r="D68" s="124" t="str">
        <f>VLOOKUP(A68,'Classement S6'!$B$2:$C$150,1,0)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22"/>
      <c r="B69" s="103">
        <v>68.0</v>
      </c>
      <c r="C69" s="123">
        <f t="shared" si="1"/>
        <v>-230.1867037</v>
      </c>
      <c r="D69" s="124" t="str">
        <f>VLOOKUP(A69,'Classement S6'!$B$2:$C$150,1,0)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22"/>
      <c r="B70" s="103">
        <v>69.0</v>
      </c>
      <c r="C70" s="123">
        <f t="shared" si="1"/>
        <v>-243.6823802</v>
      </c>
      <c r="D70" s="124" t="str">
        <f>VLOOKUP(A70,'Classement S6'!$B$2:$C$150,1,0)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22"/>
      <c r="B71" s="103">
        <v>70.0</v>
      </c>
      <c r="C71" s="123">
        <f t="shared" si="1"/>
        <v>-257.0901717</v>
      </c>
      <c r="D71" s="124" t="str">
        <f>VLOOKUP(A71,'Classement S6'!$B$2:$C$150,1,0)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22"/>
      <c r="B72" s="103">
        <v>71.0</v>
      </c>
      <c r="C72" s="123">
        <f t="shared" si="1"/>
        <v>-270.4123317</v>
      </c>
      <c r="D72" s="124" t="str">
        <f>VLOOKUP(A72,'Classement S6'!$B$2:$C$150,1,0)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22"/>
      <c r="B73" s="103">
        <v>72.0</v>
      </c>
      <c r="C73" s="123">
        <f t="shared" si="1"/>
        <v>-283.6510208</v>
      </c>
      <c r="D73" s="124" t="str">
        <f>VLOOKUP(A73,'Classement S6'!$B$2:$C$150,1,0)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22"/>
      <c r="B74" s="103">
        <v>73.0</v>
      </c>
      <c r="C74" s="123">
        <f t="shared" si="1"/>
        <v>-296.808312</v>
      </c>
      <c r="D74" s="124" t="str">
        <f>VLOOKUP(A74,'Classement S6'!$B$2:$C$150,1,0)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22"/>
      <c r="B75" s="103">
        <v>74.0</v>
      </c>
      <c r="C75" s="123">
        <f t="shared" si="1"/>
        <v>-309.8861955</v>
      </c>
      <c r="D75" s="124" t="str">
        <f>VLOOKUP(A75,'Classement S6'!$B$2:$C$150,1,0)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22"/>
      <c r="B76" s="103">
        <v>75.0</v>
      </c>
      <c r="C76" s="123">
        <f t="shared" si="1"/>
        <v>-322.8865833</v>
      </c>
      <c r="D76" s="124" t="str">
        <f>VLOOKUP(A76,'Classement S6'!$B$2:$C$150,1,0)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22"/>
      <c r="B77" s="103">
        <v>76.0</v>
      </c>
      <c r="C77" s="123">
        <f t="shared" si="1"/>
        <v>-335.8113131</v>
      </c>
      <c r="D77" s="124" t="str">
        <f>VLOOKUP(A77,'Classement S6'!$B$2:$C$150,1,0)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22"/>
      <c r="B78" s="103">
        <v>77.0</v>
      </c>
      <c r="C78" s="123">
        <f t="shared" si="1"/>
        <v>-348.6621522</v>
      </c>
      <c r="D78" s="124" t="str">
        <f>VLOOKUP(A78,'Classement S6'!$B$2:$C$150,1,0)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22"/>
      <c r="B79" s="103">
        <v>78.0</v>
      </c>
      <c r="C79" s="123">
        <f t="shared" si="1"/>
        <v>-361.4408014</v>
      </c>
      <c r="D79" s="124" t="str">
        <f>VLOOKUP(A79,'Classement S6'!$B$2:$C$150,1,0)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27"/>
      <c r="B80" s="103">
        <v>79.0</v>
      </c>
      <c r="C80" s="123">
        <f t="shared" si="1"/>
        <v>-374.1488982</v>
      </c>
      <c r="D80" s="124" t="str">
        <f>VLOOKUP(A80,'Classement S6'!$B$2:$C$150,1,0)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27"/>
      <c r="B81" s="103">
        <v>80.0</v>
      </c>
      <c r="C81" s="123">
        <f t="shared" si="1"/>
        <v>-386.7880197</v>
      </c>
      <c r="D81" s="124" t="str">
        <f>VLOOKUP(A81,'Classement S6'!$B$2:$C$150,1,0)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27"/>
      <c r="B82" s="103">
        <v>81.0</v>
      </c>
      <c r="C82" s="123">
        <f t="shared" si="1"/>
        <v>-399.3596862</v>
      </c>
      <c r="D82" s="124" t="str">
        <f>VLOOKUP(A82,'Classement S6'!$B$2:$C$150,1,0)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27"/>
      <c r="B83" s="103">
        <v>82.0</v>
      </c>
      <c r="C83" s="123">
        <f t="shared" si="1"/>
        <v>-411.8653636</v>
      </c>
      <c r="D83" s="124" t="str">
        <f>VLOOKUP(A83,'Classement S6'!$B$2:$C$150,1,0)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27"/>
      <c r="B84" s="103">
        <v>83.0</v>
      </c>
      <c r="C84" s="123">
        <f t="shared" si="1"/>
        <v>-424.306466</v>
      </c>
      <c r="D84" s="124" t="str">
        <f>VLOOKUP(A84,'Classement S6'!$B$2:$C$150,1,0)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27"/>
      <c r="B85" s="103">
        <v>84.0</v>
      </c>
      <c r="C85" s="123">
        <f t="shared" si="1"/>
        <v>-436.6843583</v>
      </c>
      <c r="D85" s="124" t="str">
        <f>VLOOKUP(A85,'Classement S6'!$B$2:$C$150,1,0)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27"/>
      <c r="B86" s="103">
        <v>85.0</v>
      </c>
      <c r="C86" s="123">
        <f t="shared" si="1"/>
        <v>-449.0003585</v>
      </c>
      <c r="D86" s="124" t="str">
        <f>VLOOKUP(A86,'Classement S6'!$B$2:$C$150,1,0)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27"/>
      <c r="B87" s="103">
        <v>86.0</v>
      </c>
      <c r="C87" s="123">
        <f t="shared" si="1"/>
        <v>-461.2557398</v>
      </c>
      <c r="D87" s="124" t="str">
        <f>VLOOKUP(A87,'Classement S6'!$B$2:$C$150,1,0)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27"/>
      <c r="B88" s="103">
        <v>87.0</v>
      </c>
      <c r="C88" s="123">
        <f t="shared" si="1"/>
        <v>-473.4517329</v>
      </c>
      <c r="D88" s="124" t="str">
        <f>VLOOKUP(A88,'Classement S6'!$B$2:$C$150,1,0)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27"/>
      <c r="B89" s="103">
        <v>88.0</v>
      </c>
      <c r="C89" s="123">
        <f t="shared" si="1"/>
        <v>-485.5895276</v>
      </c>
      <c r="D89" s="124" t="str">
        <f>VLOOKUP(A89,'Classement S6'!$B$2:$C$150,1,0)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27"/>
      <c r="B90" s="103">
        <v>89.0</v>
      </c>
      <c r="C90" s="123">
        <f t="shared" si="1"/>
        <v>-497.6702748</v>
      </c>
      <c r="D90" s="124" t="str">
        <f>VLOOKUP(A90,'Classement S6'!$B$2:$C$150,1,0)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27"/>
      <c r="B91" s="103">
        <v>90.0</v>
      </c>
      <c r="C91" s="123">
        <f t="shared" si="1"/>
        <v>-509.6950883</v>
      </c>
      <c r="D91" s="124" t="str">
        <f>VLOOKUP(A91,'Classement S6'!$B$2:$C$150,1,0)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27"/>
      <c r="B92" s="103">
        <v>91.0</v>
      </c>
      <c r="C92" s="123">
        <f t="shared" si="1"/>
        <v>-521.6650463</v>
      </c>
      <c r="D92" s="124" t="str">
        <f>VLOOKUP(A92,'Classement S6'!$B$2:$C$150,1,0)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27"/>
      <c r="B93" s="103">
        <v>92.0</v>
      </c>
      <c r="C93" s="123">
        <f t="shared" si="1"/>
        <v>-533.5811931</v>
      </c>
      <c r="D93" s="124" t="str">
        <f>VLOOKUP(A93,'Classement S6'!$B$2:$C$150,1,0)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27"/>
      <c r="B94" s="103">
        <v>93.0</v>
      </c>
      <c r="C94" s="123">
        <f t="shared" si="1"/>
        <v>-545.4445401</v>
      </c>
      <c r="D94" s="124" t="str">
        <f>VLOOKUP(A94,'Classement S6'!$B$2:$C$150,1,0)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27"/>
      <c r="B95" s="103">
        <v>94.0</v>
      </c>
      <c r="C95" s="123">
        <f t="shared" si="1"/>
        <v>-557.256068</v>
      </c>
      <c r="D95" s="124" t="str">
        <f>VLOOKUP(A95,'Classement S6'!$B$2:$C$150,1,0)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27"/>
      <c r="B96" s="103">
        <v>95.0</v>
      </c>
      <c r="C96" s="123">
        <f t="shared" si="1"/>
        <v>-569.0167274</v>
      </c>
      <c r="D96" s="124" t="str">
        <f>VLOOKUP(A96,'Classement S6'!$B$2:$C$150,1,0)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27"/>
      <c r="B97" s="103">
        <v>96.0</v>
      </c>
      <c r="C97" s="123">
        <f t="shared" si="1"/>
        <v>-580.7274401</v>
      </c>
      <c r="D97" s="124" t="str">
        <f>VLOOKUP(A97,'Classement S6'!$B$2:$C$150,1,0)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27"/>
      <c r="B98" s="103">
        <v>97.0</v>
      </c>
      <c r="C98" s="123">
        <f t="shared" si="1"/>
        <v>-592.3891008</v>
      </c>
      <c r="D98" s="124" t="str">
        <f>VLOOKUP(A98,'Classement S6'!$B$2:$C$150,1,0)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27"/>
      <c r="B99" s="103">
        <v>98.0</v>
      </c>
      <c r="C99" s="123">
        <f t="shared" si="1"/>
        <v>-604.0025776</v>
      </c>
      <c r="D99" s="124" t="str">
        <f>VLOOKUP(A99,'Classement S6'!$B$2:$C$150,1,0)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27"/>
      <c r="B100" s="103">
        <v>99.0</v>
      </c>
      <c r="C100" s="123">
        <f t="shared" si="1"/>
        <v>-615.5687135</v>
      </c>
      <c r="D100" s="124" t="str">
        <f>VLOOKUP(A100,'Classement S6'!$B$2:$C$150,1,0)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27"/>
      <c r="B101" s="103">
        <v>100.0</v>
      </c>
      <c r="C101" s="123">
        <f t="shared" si="1"/>
        <v>-627.088327</v>
      </c>
      <c r="D101" s="124" t="str">
        <f>VLOOKUP(A101,'Classement S6'!$B$2:$C$150,1,0)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27"/>
      <c r="B102" s="103">
        <v>101.0</v>
      </c>
      <c r="C102" s="123">
        <f t="shared" si="1"/>
        <v>-638.5622135</v>
      </c>
      <c r="D102" s="124" t="str">
        <f>VLOOKUP(A102,'Classement S6'!$B$2:$C$150,1,0)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27"/>
      <c r="B103" s="103">
        <v>102.0</v>
      </c>
      <c r="C103" s="123">
        <f t="shared" si="1"/>
        <v>-649.9911457</v>
      </c>
      <c r="D103" s="124" t="str">
        <f>VLOOKUP(A103,'Classement S6'!$B$2:$C$150,1,0)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27"/>
      <c r="B104" s="103">
        <v>103.0</v>
      </c>
      <c r="C104" s="123">
        <f t="shared" si="1"/>
        <v>-661.3758751</v>
      </c>
      <c r="D104" s="124" t="str">
        <f>VLOOKUP(A104,'Classement S6'!$B$2:$C$150,1,0)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27"/>
      <c r="B105" s="103">
        <v>104.0</v>
      </c>
      <c r="C105" s="123">
        <f t="shared" si="1"/>
        <v>-672.7171322</v>
      </c>
      <c r="D105" s="124" t="str">
        <f>VLOOKUP(A105,'Classement S6'!$B$2:$C$150,1,0)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27"/>
      <c r="B106" s="103">
        <v>105.0</v>
      </c>
      <c r="C106" s="123">
        <f t="shared" si="1"/>
        <v>-684.0156276</v>
      </c>
      <c r="D106" s="124" t="str">
        <f>VLOOKUP(A106,'Classement S6'!$B$2:$C$150,1,0)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27"/>
      <c r="B107" s="103">
        <v>106.0</v>
      </c>
      <c r="C107" s="123">
        <f t="shared" si="1"/>
        <v>-695.2720527</v>
      </c>
      <c r="D107" s="124" t="str">
        <f>VLOOKUP(A107,'Classement S6'!$B$2:$C$150,1,0)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27"/>
      <c r="B108" s="103">
        <v>107.0</v>
      </c>
      <c r="C108" s="123">
        <f t="shared" si="1"/>
        <v>-706.4870805</v>
      </c>
      <c r="D108" s="124" t="str">
        <f>VLOOKUP(A108,'Classement S6'!$B$2:$C$150,1,0)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27"/>
      <c r="B109" s="103">
        <v>108.0</v>
      </c>
      <c r="C109" s="123">
        <f t="shared" si="1"/>
        <v>-717.661366</v>
      </c>
      <c r="D109" s="124" t="str">
        <f>VLOOKUP(A109,'Classement S6'!$B$2:$C$150,1,0)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27"/>
      <c r="B110" s="103">
        <v>109.0</v>
      </c>
      <c r="C110" s="123">
        <f t="shared" si="1"/>
        <v>-728.7955471</v>
      </c>
      <c r="D110" s="124" t="str">
        <f>VLOOKUP(A110,'Classement S6'!$B$2:$C$150,1,0)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27"/>
      <c r="B111" s="103">
        <v>110.0</v>
      </c>
      <c r="C111" s="123">
        <f t="shared" si="1"/>
        <v>-739.8902451</v>
      </c>
      <c r="D111" s="124" t="str">
        <f>VLOOKUP(A111,'Classement S6'!$B$2:$C$150,1,0)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27"/>
      <c r="B112" s="103">
        <v>111.0</v>
      </c>
      <c r="C112" s="123">
        <f t="shared" si="1"/>
        <v>-750.9460655</v>
      </c>
      <c r="D112" s="124" t="str">
        <f>VLOOKUP(A112,'Classement S6'!$B$2:$C$150,1,0)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27"/>
      <c r="B113" s="103">
        <v>112.0</v>
      </c>
      <c r="C113" s="123">
        <f t="shared" si="1"/>
        <v>-761.9635982</v>
      </c>
      <c r="D113" s="124" t="str">
        <f>VLOOKUP(A113,'Classement S6'!$B$2:$C$150,1,0)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27"/>
      <c r="B114" s="103">
        <v>113.0</v>
      </c>
      <c r="C114" s="123">
        <f t="shared" si="1"/>
        <v>-772.9434182</v>
      </c>
      <c r="D114" s="124" t="str">
        <f>VLOOKUP(A114,'Classement S6'!$B$2:$C$150,1,0)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27"/>
      <c r="B115" s="103">
        <v>114.0</v>
      </c>
      <c r="C115" s="123">
        <f t="shared" si="1"/>
        <v>-783.8860863</v>
      </c>
      <c r="D115" s="124" t="str">
        <f>VLOOKUP(A115,'Classement S6'!$B$2:$C$150,1,0)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27"/>
      <c r="B116" s="103">
        <v>115.0</v>
      </c>
      <c r="C116" s="123">
        <f t="shared" si="1"/>
        <v>-794.7921493</v>
      </c>
      <c r="D116" s="124" t="str">
        <f>VLOOKUP(A116,'Classement S6'!$B$2:$C$150,1,0)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27"/>
      <c r="B117" s="103">
        <v>116.0</v>
      </c>
      <c r="C117" s="123">
        <f t="shared" si="1"/>
        <v>-805.6621407</v>
      </c>
      <c r="D117" s="124" t="str">
        <f>VLOOKUP(A117,'Classement S6'!$B$2:$C$150,1,0)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27"/>
      <c r="B118" s="103">
        <v>117.0</v>
      </c>
      <c r="C118" s="123">
        <f t="shared" si="1"/>
        <v>-816.4965809</v>
      </c>
      <c r="D118" s="124" t="str">
        <f>VLOOKUP(A118,'Classement S6'!$B$2:$C$150,1,0)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27"/>
      <c r="B119" s="103">
        <v>118.0</v>
      </c>
      <c r="C119" s="123">
        <f t="shared" si="1"/>
        <v>-827.295978</v>
      </c>
      <c r="D119" s="124" t="str">
        <f>VLOOKUP(A119,'Classement S6'!$B$2:$C$150,1,0)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27"/>
      <c r="B120" s="103">
        <v>119.0</v>
      </c>
      <c r="C120" s="123">
        <f t="shared" si="1"/>
        <v>-838.0608279</v>
      </c>
      <c r="D120" s="124" t="str">
        <f>VLOOKUP(A120,'Classement S6'!$B$2:$C$150,1,0)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27"/>
      <c r="B121" s="103">
        <v>120.0</v>
      </c>
      <c r="C121" s="123">
        <f t="shared" si="1"/>
        <v>-848.7916147</v>
      </c>
      <c r="D121" s="124" t="str">
        <f>VLOOKUP(A121,'Classement S6'!$B$2:$C$150,1,0)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27"/>
      <c r="B122" s="103">
        <v>121.0</v>
      </c>
      <c r="C122" s="123">
        <f t="shared" si="1"/>
        <v>-859.4888112</v>
      </c>
      <c r="D122" s="124" t="str">
        <f>VLOOKUP(A122,'Classement S6'!$B$2:$C$150,1,0)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27"/>
      <c r="B123" s="103">
        <v>122.0</v>
      </c>
      <c r="C123" s="123">
        <f t="shared" si="1"/>
        <v>-870.1528793</v>
      </c>
      <c r="D123" s="124" t="str">
        <f>VLOOKUP(A123,'Classement S6'!$B$2:$C$150,1,0)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27"/>
      <c r="B124" s="103">
        <v>123.0</v>
      </c>
      <c r="C124" s="123">
        <f t="shared" si="1"/>
        <v>-880.7842704</v>
      </c>
      <c r="D124" s="124" t="str">
        <f>VLOOKUP(A124,'Classement S6'!$B$2:$C$150,1,0)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27"/>
      <c r="B125" s="103">
        <v>124.0</v>
      </c>
      <c r="C125" s="123">
        <f t="shared" si="1"/>
        <v>-891.3834253</v>
      </c>
      <c r="D125" s="124" t="str">
        <f>VLOOKUP(A125,'Classement S6'!$B$2:$C$150,1,0)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27"/>
      <c r="B126" s="103">
        <v>125.0</v>
      </c>
      <c r="C126" s="123">
        <f t="shared" si="1"/>
        <v>-901.9507751</v>
      </c>
      <c r="D126" s="124" t="str">
        <f>VLOOKUP(A126,'Classement S6'!$B$2:$C$150,1,0)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27"/>
      <c r="B127" s="103">
        <v>126.0</v>
      </c>
      <c r="C127" s="123">
        <f t="shared" si="1"/>
        <v>-912.4867412</v>
      </c>
      <c r="D127" s="124" t="str">
        <f>VLOOKUP(A127,'Classement S6'!$B$2:$C$150,1,0)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27"/>
      <c r="B128" s="103">
        <v>127.0</v>
      </c>
      <c r="C128" s="123">
        <f t="shared" si="1"/>
        <v>-922.9917356</v>
      </c>
      <c r="D128" s="124" t="str">
        <f>VLOOKUP(A128,'Classement S6'!$B$2:$C$150,1,0)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27"/>
      <c r="B129" s="103">
        <v>128.0</v>
      </c>
      <c r="C129" s="123">
        <f t="shared" si="1"/>
        <v>-933.4661613</v>
      </c>
      <c r="D129" s="124" t="str">
        <f>VLOOKUP(A129,'Classement S6'!$B$2:$C$150,1,0)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27"/>
      <c r="B130" s="103">
        <v>129.0</v>
      </c>
      <c r="C130" s="123">
        <f t="shared" si="1"/>
        <v>-943.9104124</v>
      </c>
      <c r="D130" s="124" t="str">
        <f>VLOOKUP(A130,'Classement S6'!$B$2:$C$150,1,0)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27"/>
      <c r="B131" s="103">
        <v>130.0</v>
      </c>
      <c r="C131" s="123">
        <f t="shared" si="1"/>
        <v>-954.3248745</v>
      </c>
      <c r="D131" s="124" t="str">
        <f>VLOOKUP(A131,'Classement S6'!$B$2:$C$150,1,0)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27"/>
      <c r="B132" s="103">
        <v>131.0</v>
      </c>
      <c r="C132" s="123">
        <f t="shared" si="1"/>
        <v>-964.7099251</v>
      </c>
      <c r="D132" s="124" t="str">
        <f>VLOOKUP(A132,'Classement S6'!$B$2:$C$150,1,0)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27"/>
      <c r="B133" s="103">
        <v>132.0</v>
      </c>
      <c r="C133" s="123">
        <f t="shared" si="1"/>
        <v>-975.0659334</v>
      </c>
      <c r="D133" s="124" t="str">
        <f>VLOOKUP(A133,'Classement S6'!$B$2:$C$150,1,0)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27"/>
      <c r="B134" s="103">
        <v>133.0</v>
      </c>
      <c r="C134" s="123">
        <f t="shared" si="1"/>
        <v>-985.3932611</v>
      </c>
      <c r="D134" s="124" t="str">
        <f>VLOOKUP(A134,'Classement S6'!$B$2:$C$150,1,0)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27"/>
      <c r="B135" s="103">
        <v>134.0</v>
      </c>
      <c r="C135" s="123">
        <f t="shared" si="1"/>
        <v>-995.6922621</v>
      </c>
      <c r="D135" s="124" t="str">
        <f>VLOOKUP(A135,'Classement S6'!$B$2:$C$150,1,0)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27"/>
      <c r="B136" s="103">
        <v>135.0</v>
      </c>
      <c r="C136" s="123">
        <f t="shared" si="1"/>
        <v>-1005.963283</v>
      </c>
      <c r="D136" s="124" t="str">
        <f>VLOOKUP(A136,'Classement S6'!$B$2:$C$150,1,0)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27"/>
      <c r="B137" s="103">
        <v>136.0</v>
      </c>
      <c r="C137" s="123">
        <f t="shared" si="1"/>
        <v>-1016.206663</v>
      </c>
      <c r="D137" s="124" t="str">
        <f>VLOOKUP(A137,'Classement S6'!$B$2:$C$150,1,0)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27"/>
      <c r="B138" s="103">
        <v>137.0</v>
      </c>
      <c r="C138" s="123">
        <f t="shared" si="1"/>
        <v>-1026.422735</v>
      </c>
      <c r="D138" s="124" t="str">
        <f>VLOOKUP(A138,'Classement S6'!$B$2:$C$150,1,0)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27"/>
      <c r="B139" s="103">
        <v>138.0</v>
      </c>
      <c r="C139" s="123">
        <f t="shared" si="1"/>
        <v>-1036.611826</v>
      </c>
      <c r="D139" s="124" t="str">
        <f>VLOOKUP(A139,'Classement S6'!$B$2:$C$150,1,0)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27"/>
      <c r="B140" s="103">
        <v>139.0</v>
      </c>
      <c r="C140" s="123">
        <f t="shared" si="1"/>
        <v>-1046.774253</v>
      </c>
      <c r="D140" s="124" t="str">
        <f>VLOOKUP(A140,'Classement S6'!$B$2:$C$150,1,0)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27"/>
      <c r="B141" s="103">
        <v>140.0</v>
      </c>
      <c r="C141" s="123">
        <f t="shared" si="1"/>
        <v>-1056.91033</v>
      </c>
      <c r="D141" s="124" t="str">
        <f>VLOOKUP(A141,'Classement S6'!$B$2:$C$150,1,0)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27"/>
      <c r="B142" s="103">
        <v>141.0</v>
      </c>
      <c r="C142" s="123">
        <f t="shared" si="1"/>
        <v>-1067.020363</v>
      </c>
      <c r="D142" s="124" t="str">
        <f>VLOOKUP(A142,'Classement S6'!$B$2:$C$150,1,0)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27"/>
      <c r="B143" s="103">
        <v>142.0</v>
      </c>
      <c r="C143" s="123">
        <f t="shared" si="1"/>
        <v>-1077.104654</v>
      </c>
      <c r="D143" s="124" t="str">
        <f>VLOOKUP(A143,'Classement S6'!$B$2:$C$150,1,0)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27"/>
      <c r="B144" s="103">
        <v>143.0</v>
      </c>
      <c r="C144" s="123">
        <f t="shared" si="1"/>
        <v>-1087.163498</v>
      </c>
      <c r="D144" s="124" t="str">
        <f>VLOOKUP(A144,'Classement S6'!$B$2:$C$150,1,0)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27"/>
      <c r="B145" s="103">
        <v>144.0</v>
      </c>
      <c r="C145" s="123">
        <f t="shared" si="1"/>
        <v>-1097.197182</v>
      </c>
      <c r="D145" s="124" t="str">
        <f>VLOOKUP(A145,'Classement S6'!$B$2:$C$150,1,0)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27"/>
      <c r="B146" s="103">
        <v>145.0</v>
      </c>
      <c r="C146" s="123">
        <f t="shared" si="1"/>
        <v>-1107.205992</v>
      </c>
      <c r="D146" s="124" t="str">
        <f>VLOOKUP(A146,'Classement S6'!$B$2:$C$150,1,0)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27"/>
      <c r="B147" s="103">
        <v>146.0</v>
      </c>
      <c r="C147" s="123">
        <f t="shared" si="1"/>
        <v>-1117.190204</v>
      </c>
      <c r="D147" s="124" t="str">
        <f>VLOOKUP(A147,'Classement S6'!$B$2:$C$150,1,0)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27"/>
      <c r="B148" s="103">
        <v>147.0</v>
      </c>
      <c r="C148" s="123">
        <f t="shared" si="1"/>
        <v>-1127.150092</v>
      </c>
      <c r="D148" s="124" t="str">
        <f>VLOOKUP(A148,'Classement S6'!$B$2:$C$150,1,0)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27"/>
      <c r="B149" s="103">
        <v>148.0</v>
      </c>
      <c r="C149" s="123">
        <f t="shared" si="1"/>
        <v>-1137.085924</v>
      </c>
      <c r="D149" s="124" t="str">
        <f>VLOOKUP(A149,'Classement S6'!$B$2:$C$150,1,0)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27"/>
      <c r="B150" s="103">
        <v>149.0</v>
      </c>
      <c r="C150" s="123">
        <f t="shared" si="1"/>
        <v>-1146.997962</v>
      </c>
      <c r="D150" s="124" t="str">
        <f>VLOOKUP(A150,'Classement S6'!$B$2:$C$150,1,0)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27"/>
      <c r="B151" s="103">
        <v>150.0</v>
      </c>
      <c r="C151" s="123">
        <f t="shared" si="1"/>
        <v>-1156.886465</v>
      </c>
      <c r="D151" s="124" t="str">
        <f>VLOOKUP(A151,'Classement S6'!$B$2:$C$150,1,0)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27"/>
      <c r="B152" s="103">
        <v>151.0</v>
      </c>
      <c r="C152" s="123">
        <f t="shared" si="1"/>
        <v>-1166.751686</v>
      </c>
      <c r="D152" s="124" t="str">
        <f>VLOOKUP(A152,'Classement S6'!$B$2:$C$150,1,0)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27"/>
      <c r="B153" s="103">
        <v>152.0</v>
      </c>
      <c r="C153" s="123">
        <f t="shared" si="1"/>
        <v>-1176.593872</v>
      </c>
      <c r="D153" s="124" t="str">
        <f>VLOOKUP(A153,'Classement S6'!$B$2:$C$150,1,0)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27"/>
      <c r="B154" s="103">
        <v>153.0</v>
      </c>
      <c r="C154" s="123">
        <f t="shared" si="1"/>
        <v>-1186.413269</v>
      </c>
      <c r="D154" s="124" t="str">
        <f>VLOOKUP(A154,'Classement S6'!$B$2:$C$150,1,0)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27"/>
      <c r="B155" s="103">
        <v>154.0</v>
      </c>
      <c r="C155" s="123">
        <f t="shared" si="1"/>
        <v>-1196.210116</v>
      </c>
      <c r="D155" s="124" t="str">
        <f>VLOOKUP(A155,'Classement S6'!$B$2:$C$150,1,0)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27"/>
      <c r="B156" s="103">
        <v>155.0</v>
      </c>
      <c r="C156" s="123">
        <f t="shared" si="1"/>
        <v>-1205.984648</v>
      </c>
      <c r="D156" s="124" t="str">
        <f>VLOOKUP(A156,'Classement S6'!$B$2:$C$150,1,0)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27"/>
      <c r="B157" s="103">
        <v>156.0</v>
      </c>
      <c r="C157" s="123">
        <f t="shared" si="1"/>
        <v>-1215.737097</v>
      </c>
      <c r="D157" s="124" t="str">
        <f>VLOOKUP(A157,'Classement S6'!$B$2:$C$150,1,0)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27"/>
      <c r="B158" s="103">
        <v>157.0</v>
      </c>
      <c r="C158" s="123">
        <f t="shared" si="1"/>
        <v>-1225.46769</v>
      </c>
      <c r="D158" s="124" t="str">
        <f>VLOOKUP(A158,'Classement S6'!$B$2:$C$150,1,0)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27"/>
      <c r="B159" s="103">
        <v>158.0</v>
      </c>
      <c r="C159" s="123">
        <f t="shared" si="1"/>
        <v>-1235.176649</v>
      </c>
      <c r="D159" s="124" t="str">
        <f>VLOOKUP(A159,'Classement S6'!$B$2:$C$150,1,0)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27"/>
      <c r="B160" s="103">
        <v>159.0</v>
      </c>
      <c r="C160" s="123">
        <f t="shared" si="1"/>
        <v>-1244.864195</v>
      </c>
      <c r="D160" s="124" t="str">
        <f>VLOOKUP(A160,'Classement S6'!$B$2:$C$150,1,0)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27"/>
      <c r="B161" s="103">
        <v>160.0</v>
      </c>
      <c r="C161" s="123">
        <f t="shared" si="1"/>
        <v>-1254.530543</v>
      </c>
      <c r="D161" s="124" t="str">
        <f>VLOOKUP(A161,'Classement S6'!$B$2:$C$150,1,0)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B162" s="128"/>
    </row>
    <row r="163" ht="14.25" customHeight="1">
      <c r="B163" s="128"/>
    </row>
    <row r="164" ht="14.25" customHeight="1">
      <c r="B164" s="128"/>
    </row>
    <row r="165" ht="14.25" customHeight="1">
      <c r="B165" s="128"/>
    </row>
    <row r="166" ht="14.25" customHeight="1">
      <c r="B166" s="128"/>
    </row>
    <row r="167" ht="14.25" customHeight="1">
      <c r="B167" s="128"/>
    </row>
    <row r="168" ht="14.25" customHeight="1">
      <c r="B168" s="128"/>
    </row>
    <row r="169" ht="14.25" customHeight="1">
      <c r="B169" s="128"/>
    </row>
    <row r="170" ht="14.25" customHeight="1">
      <c r="B170" s="128"/>
    </row>
    <row r="171" ht="14.25" customHeight="1">
      <c r="B171" s="128"/>
    </row>
    <row r="172" ht="14.25" customHeight="1">
      <c r="B172" s="128"/>
    </row>
    <row r="173" ht="14.25" customHeight="1">
      <c r="B173" s="128"/>
    </row>
    <row r="174" ht="14.25" customHeight="1">
      <c r="B174" s="128"/>
    </row>
    <row r="175" ht="14.25" customHeight="1">
      <c r="B175" s="128"/>
    </row>
    <row r="176" ht="14.25" customHeight="1">
      <c r="B176" s="128"/>
    </row>
    <row r="177" ht="14.25" customHeight="1">
      <c r="B177" s="128"/>
    </row>
    <row r="178" ht="14.25" customHeight="1">
      <c r="B178" s="128"/>
    </row>
    <row r="179" ht="14.25" customHeight="1">
      <c r="B179" s="128"/>
    </row>
    <row r="180" ht="14.25" customHeight="1">
      <c r="B180" s="128"/>
    </row>
    <row r="181" ht="14.25" customHeight="1">
      <c r="B181" s="128"/>
    </row>
    <row r="182" ht="14.25" customHeight="1">
      <c r="B182" s="128"/>
    </row>
    <row r="183" ht="14.25" customHeight="1">
      <c r="B183" s="128"/>
    </row>
    <row r="184" ht="14.25" customHeight="1">
      <c r="B184" s="128"/>
    </row>
    <row r="185" ht="14.25" customHeight="1">
      <c r="B185" s="128"/>
    </row>
    <row r="186" ht="14.25" customHeight="1">
      <c r="B186" s="128"/>
    </row>
    <row r="187" ht="14.25" customHeight="1">
      <c r="B187" s="128"/>
    </row>
    <row r="188" ht="14.25" customHeight="1">
      <c r="B188" s="128"/>
    </row>
    <row r="189" ht="14.25" customHeight="1">
      <c r="B189" s="128"/>
    </row>
    <row r="190" ht="14.25" customHeight="1">
      <c r="B190" s="128"/>
    </row>
    <row r="191" ht="14.25" customHeight="1">
      <c r="B191" s="128"/>
    </row>
    <row r="192" ht="14.25" customHeight="1">
      <c r="B192" s="128"/>
    </row>
    <row r="193" ht="14.25" customHeight="1">
      <c r="B193" s="128"/>
    </row>
    <row r="194" ht="14.25" customHeight="1">
      <c r="B194" s="128"/>
    </row>
    <row r="195" ht="14.25" customHeight="1">
      <c r="B195" s="128"/>
    </row>
    <row r="196" ht="14.25" customHeight="1">
      <c r="B196" s="128"/>
    </row>
    <row r="197" ht="14.25" customHeight="1">
      <c r="B197" s="128"/>
    </row>
    <row r="198" ht="14.25" customHeight="1">
      <c r="B198" s="128"/>
    </row>
    <row r="199" ht="14.25" customHeight="1">
      <c r="B199" s="128"/>
    </row>
    <row r="200" ht="14.25" customHeight="1">
      <c r="B200" s="128"/>
    </row>
    <row r="201" ht="14.25" customHeight="1">
      <c r="B201" s="128"/>
    </row>
    <row r="202" ht="14.25" customHeight="1">
      <c r="B202" s="128"/>
    </row>
    <row r="203" ht="14.25" customHeight="1">
      <c r="B203" s="128"/>
    </row>
    <row r="204" ht="14.25" customHeight="1">
      <c r="B204" s="128"/>
    </row>
    <row r="205" ht="14.25" customHeight="1">
      <c r="B205" s="128"/>
    </row>
    <row r="206" ht="14.25" customHeight="1">
      <c r="B206" s="128"/>
    </row>
    <row r="207" ht="14.25" customHeight="1">
      <c r="B207" s="128"/>
    </row>
    <row r="208" ht="14.25" customHeight="1">
      <c r="B208" s="128"/>
    </row>
    <row r="209" ht="14.25" customHeight="1">
      <c r="B209" s="128"/>
    </row>
    <row r="210" ht="14.25" customHeight="1">
      <c r="B210" s="128"/>
    </row>
    <row r="211" ht="14.25" customHeight="1">
      <c r="B211" s="128"/>
    </row>
    <row r="212" ht="14.25" customHeight="1">
      <c r="B212" s="128"/>
    </row>
    <row r="213" ht="14.25" customHeight="1">
      <c r="B213" s="128"/>
    </row>
    <row r="214" ht="14.25" customHeight="1">
      <c r="B214" s="128"/>
    </row>
    <row r="215" ht="14.25" customHeight="1">
      <c r="B215" s="128"/>
    </row>
    <row r="216" ht="14.25" customHeight="1">
      <c r="B216" s="128"/>
    </row>
    <row r="217" ht="14.25" customHeight="1">
      <c r="B217" s="128"/>
    </row>
    <row r="218" ht="14.25" customHeight="1">
      <c r="B218" s="128"/>
    </row>
    <row r="219" ht="14.25" customHeight="1">
      <c r="B219" s="128"/>
    </row>
    <row r="220" ht="14.25" customHeight="1">
      <c r="B220" s="128"/>
    </row>
    <row r="221" ht="14.25" customHeight="1">
      <c r="B221" s="128"/>
    </row>
    <row r="222" ht="14.25" customHeight="1">
      <c r="B222" s="128"/>
    </row>
    <row r="223" ht="14.25" customHeight="1">
      <c r="B223" s="128"/>
    </row>
    <row r="224" ht="14.25" customHeight="1">
      <c r="B224" s="128"/>
    </row>
    <row r="225" ht="14.25" customHeight="1">
      <c r="B225" s="128"/>
    </row>
    <row r="226" ht="14.25" customHeight="1">
      <c r="B226" s="128"/>
    </row>
    <row r="227" ht="14.25" customHeight="1">
      <c r="B227" s="128"/>
    </row>
    <row r="228" ht="14.25" customHeight="1">
      <c r="B228" s="128"/>
    </row>
    <row r="229" ht="14.25" customHeight="1">
      <c r="B229" s="128"/>
    </row>
    <row r="230" ht="14.25" customHeight="1">
      <c r="B230" s="128"/>
    </row>
    <row r="231" ht="14.25" customHeight="1">
      <c r="B231" s="128"/>
    </row>
    <row r="232" ht="14.25" customHeight="1">
      <c r="B232" s="128"/>
    </row>
    <row r="233" ht="14.25" customHeight="1">
      <c r="B233" s="128"/>
    </row>
    <row r="234" ht="14.25" customHeight="1">
      <c r="B234" s="128"/>
    </row>
    <row r="235" ht="14.25" customHeight="1">
      <c r="B235" s="128"/>
    </row>
    <row r="236" ht="14.25" customHeight="1">
      <c r="B236" s="128"/>
    </row>
    <row r="237" ht="14.25" customHeight="1">
      <c r="B237" s="128"/>
    </row>
    <row r="238" ht="14.25" customHeight="1">
      <c r="B238" s="128"/>
    </row>
    <row r="239" ht="14.25" customHeight="1">
      <c r="B239" s="128"/>
    </row>
    <row r="240" ht="14.25" customHeight="1">
      <c r="B240" s="128"/>
    </row>
    <row r="241" ht="14.25" customHeight="1">
      <c r="B241" s="128"/>
    </row>
    <row r="242" ht="14.25" customHeight="1">
      <c r="B242" s="128"/>
    </row>
    <row r="243" ht="14.25" customHeight="1">
      <c r="B243" s="128"/>
    </row>
    <row r="244" ht="14.25" customHeight="1">
      <c r="B244" s="128"/>
    </row>
    <row r="245" ht="14.25" customHeight="1">
      <c r="B245" s="128"/>
    </row>
    <row r="246" ht="14.25" customHeight="1">
      <c r="B246" s="128"/>
    </row>
    <row r="247" ht="14.25" customHeight="1">
      <c r="B247" s="128"/>
    </row>
    <row r="248" ht="14.25" customHeight="1">
      <c r="B248" s="128"/>
    </row>
    <row r="249" ht="14.25" customHeight="1">
      <c r="B249" s="128"/>
    </row>
    <row r="250" ht="14.25" customHeight="1">
      <c r="B250" s="128"/>
    </row>
    <row r="251" ht="14.25" customHeight="1">
      <c r="B251" s="128"/>
    </row>
    <row r="252" ht="14.25" customHeight="1">
      <c r="B252" s="128"/>
    </row>
    <row r="253" ht="14.25" customHeight="1">
      <c r="B253" s="128"/>
    </row>
    <row r="254" ht="14.25" customHeight="1">
      <c r="B254" s="128"/>
    </row>
    <row r="255" ht="14.25" customHeight="1">
      <c r="B255" s="128"/>
    </row>
    <row r="256" ht="14.25" customHeight="1">
      <c r="B256" s="128"/>
    </row>
    <row r="257" ht="14.25" customHeight="1">
      <c r="B257" s="128"/>
    </row>
    <row r="258" ht="14.25" customHeight="1">
      <c r="B258" s="128"/>
    </row>
    <row r="259" ht="14.25" customHeight="1">
      <c r="B259" s="128"/>
    </row>
    <row r="260" ht="14.25" customHeight="1">
      <c r="B260" s="128"/>
    </row>
    <row r="261" ht="14.25" customHeight="1">
      <c r="B261" s="128"/>
    </row>
    <row r="262" ht="14.25" customHeight="1">
      <c r="B262" s="128"/>
    </row>
    <row r="263" ht="14.25" customHeight="1">
      <c r="B263" s="128"/>
    </row>
    <row r="264" ht="14.25" customHeight="1">
      <c r="B264" s="128"/>
    </row>
    <row r="265" ht="14.25" customHeight="1">
      <c r="B265" s="128"/>
    </row>
    <row r="266" ht="14.25" customHeight="1">
      <c r="B266" s="128"/>
    </row>
    <row r="267" ht="14.25" customHeight="1">
      <c r="B267" s="128"/>
    </row>
    <row r="268" ht="14.25" customHeight="1">
      <c r="B268" s="128"/>
    </row>
    <row r="269" ht="14.25" customHeight="1">
      <c r="B269" s="128"/>
    </row>
    <row r="270" ht="14.25" customHeight="1">
      <c r="B270" s="128"/>
    </row>
    <row r="271" ht="14.25" customHeight="1">
      <c r="B271" s="128"/>
    </row>
    <row r="272" ht="14.25" customHeight="1">
      <c r="B272" s="128"/>
    </row>
    <row r="273" ht="14.25" customHeight="1">
      <c r="B273" s="128"/>
    </row>
    <row r="274" ht="14.25" customHeight="1">
      <c r="B274" s="128"/>
    </row>
    <row r="275" ht="14.25" customHeight="1">
      <c r="B275" s="128"/>
    </row>
    <row r="276" ht="14.25" customHeight="1">
      <c r="B276" s="128"/>
    </row>
    <row r="277" ht="14.25" customHeight="1">
      <c r="B277" s="128"/>
    </row>
    <row r="278" ht="14.25" customHeight="1">
      <c r="B278" s="128"/>
    </row>
    <row r="279" ht="14.25" customHeight="1">
      <c r="B279" s="128"/>
    </row>
    <row r="280" ht="14.25" customHeight="1">
      <c r="B280" s="128"/>
    </row>
    <row r="281" ht="14.25" customHeight="1">
      <c r="B281" s="128"/>
    </row>
    <row r="282" ht="14.25" customHeight="1">
      <c r="B282" s="128"/>
    </row>
    <row r="283" ht="14.25" customHeight="1">
      <c r="B283" s="128"/>
    </row>
    <row r="284" ht="14.25" customHeight="1">
      <c r="B284" s="128"/>
    </row>
    <row r="285" ht="14.25" customHeight="1">
      <c r="B285" s="128"/>
    </row>
    <row r="286" ht="14.25" customHeight="1">
      <c r="B286" s="128"/>
    </row>
    <row r="287" ht="14.25" customHeight="1">
      <c r="B287" s="128"/>
    </row>
    <row r="288" ht="14.25" customHeight="1">
      <c r="B288" s="128"/>
    </row>
    <row r="289" ht="14.25" customHeight="1">
      <c r="B289" s="128"/>
    </row>
    <row r="290" ht="14.25" customHeight="1">
      <c r="B290" s="128"/>
    </row>
    <row r="291" ht="14.25" customHeight="1">
      <c r="B291" s="128"/>
    </row>
    <row r="292" ht="14.25" customHeight="1">
      <c r="B292" s="128"/>
    </row>
    <row r="293" ht="14.25" customHeight="1">
      <c r="B293" s="128"/>
    </row>
    <row r="294" ht="14.25" customHeight="1">
      <c r="B294" s="128"/>
    </row>
    <row r="295" ht="14.25" customHeight="1">
      <c r="B295" s="128"/>
    </row>
    <row r="296" ht="14.25" customHeight="1">
      <c r="B296" s="128"/>
    </row>
    <row r="297" ht="14.25" customHeight="1">
      <c r="B297" s="128"/>
    </row>
    <row r="298" ht="14.25" customHeight="1">
      <c r="B298" s="128"/>
    </row>
    <row r="299" ht="14.25" customHeight="1">
      <c r="B299" s="128"/>
    </row>
    <row r="300" ht="14.25" customHeight="1">
      <c r="B300" s="128"/>
    </row>
    <row r="301" ht="14.25" customHeight="1">
      <c r="B301" s="128"/>
    </row>
    <row r="302" ht="14.25" customHeight="1">
      <c r="B302" s="128"/>
    </row>
    <row r="303" ht="14.25" customHeight="1">
      <c r="B303" s="128"/>
    </row>
    <row r="304" ht="14.25" customHeight="1">
      <c r="B304" s="128"/>
    </row>
    <row r="305" ht="14.25" customHeight="1">
      <c r="B305" s="128"/>
    </row>
    <row r="306" ht="14.25" customHeight="1">
      <c r="B306" s="128"/>
    </row>
    <row r="307" ht="14.25" customHeight="1">
      <c r="B307" s="128"/>
    </row>
    <row r="308" ht="14.25" customHeight="1">
      <c r="B308" s="128"/>
    </row>
    <row r="309" ht="14.25" customHeight="1">
      <c r="B309" s="128"/>
    </row>
    <row r="310" ht="14.25" customHeight="1">
      <c r="B310" s="128"/>
    </row>
    <row r="311" ht="14.25" customHeight="1">
      <c r="B311" s="128"/>
    </row>
    <row r="312" ht="14.25" customHeight="1">
      <c r="B312" s="128"/>
    </row>
    <row r="313" ht="14.25" customHeight="1">
      <c r="B313" s="128"/>
    </row>
    <row r="314" ht="14.25" customHeight="1">
      <c r="B314" s="128"/>
    </row>
    <row r="315" ht="14.25" customHeight="1">
      <c r="B315" s="128"/>
    </row>
    <row r="316" ht="14.25" customHeight="1">
      <c r="B316" s="128"/>
    </row>
    <row r="317" ht="14.25" customHeight="1">
      <c r="B317" s="128"/>
    </row>
    <row r="318" ht="14.25" customHeight="1">
      <c r="B318" s="128"/>
    </row>
    <row r="319" ht="14.25" customHeight="1">
      <c r="B319" s="128"/>
    </row>
    <row r="320" ht="14.25" customHeight="1">
      <c r="B320" s="128"/>
    </row>
    <row r="321" ht="14.25" customHeight="1">
      <c r="B321" s="128"/>
    </row>
    <row r="322" ht="14.25" customHeight="1">
      <c r="B322" s="128"/>
    </row>
    <row r="323" ht="14.25" customHeight="1">
      <c r="B323" s="128"/>
    </row>
    <row r="324" ht="14.25" customHeight="1">
      <c r="B324" s="128"/>
    </row>
    <row r="325" ht="14.25" customHeight="1">
      <c r="B325" s="128"/>
    </row>
    <row r="326" ht="14.25" customHeight="1">
      <c r="B326" s="128"/>
    </row>
    <row r="327" ht="14.25" customHeight="1">
      <c r="B327" s="128"/>
    </row>
    <row r="328" ht="14.25" customHeight="1">
      <c r="B328" s="128"/>
    </row>
    <row r="329" ht="14.25" customHeight="1">
      <c r="B329" s="128"/>
    </row>
    <row r="330" ht="14.25" customHeight="1">
      <c r="B330" s="128"/>
    </row>
    <row r="331" ht="14.25" customHeight="1">
      <c r="B331" s="128"/>
    </row>
    <row r="332" ht="14.25" customHeight="1">
      <c r="B332" s="128"/>
    </row>
    <row r="333" ht="14.25" customHeight="1">
      <c r="B333" s="128"/>
    </row>
    <row r="334" ht="14.25" customHeight="1">
      <c r="B334" s="128"/>
    </row>
    <row r="335" ht="14.25" customHeight="1">
      <c r="B335" s="128"/>
    </row>
    <row r="336" ht="14.25" customHeight="1">
      <c r="B336" s="128"/>
    </row>
    <row r="337" ht="14.25" customHeight="1">
      <c r="B337" s="128"/>
    </row>
    <row r="338" ht="14.25" customHeight="1">
      <c r="B338" s="128"/>
    </row>
    <row r="339" ht="14.25" customHeight="1">
      <c r="B339" s="128"/>
    </row>
    <row r="340" ht="14.25" customHeight="1">
      <c r="B340" s="128"/>
    </row>
    <row r="341" ht="14.25" customHeight="1">
      <c r="B341" s="128"/>
    </row>
    <row r="342" ht="14.25" customHeight="1">
      <c r="B342" s="128"/>
    </row>
    <row r="343" ht="14.25" customHeight="1">
      <c r="B343" s="128"/>
    </row>
    <row r="344" ht="14.25" customHeight="1">
      <c r="B344" s="128"/>
    </row>
    <row r="345" ht="14.25" customHeight="1">
      <c r="B345" s="128"/>
    </row>
    <row r="346" ht="14.25" customHeight="1">
      <c r="B346" s="128"/>
    </row>
    <row r="347" ht="14.25" customHeight="1">
      <c r="B347" s="128"/>
    </row>
    <row r="348" ht="14.25" customHeight="1">
      <c r="B348" s="128"/>
    </row>
    <row r="349" ht="14.25" customHeight="1">
      <c r="B349" s="128"/>
    </row>
    <row r="350" ht="14.25" customHeight="1">
      <c r="B350" s="128"/>
    </row>
    <row r="351" ht="14.25" customHeight="1">
      <c r="B351" s="128"/>
    </row>
    <row r="352" ht="14.25" customHeight="1">
      <c r="B352" s="128"/>
    </row>
    <row r="353" ht="14.25" customHeight="1">
      <c r="B353" s="128"/>
    </row>
    <row r="354" ht="14.25" customHeight="1">
      <c r="B354" s="128"/>
    </row>
    <row r="355" ht="14.25" customHeight="1">
      <c r="B355" s="128"/>
    </row>
    <row r="356" ht="14.25" customHeight="1">
      <c r="B356" s="128"/>
    </row>
    <row r="357" ht="14.25" customHeight="1">
      <c r="B357" s="128"/>
    </row>
    <row r="358" ht="14.25" customHeight="1">
      <c r="B358" s="128"/>
    </row>
    <row r="359" ht="14.25" customHeight="1">
      <c r="B359" s="128"/>
    </row>
    <row r="360" ht="14.25" customHeight="1">
      <c r="B360" s="128"/>
    </row>
    <row r="361" ht="14.25" customHeight="1"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1:A1000">
    <cfRule type="containsText" dxfId="0" priority="1" operator="containsText" text="0">
      <formula>NOT(ISERROR(SEARCH(("0"),(A1))))</formula>
    </cfRule>
  </conditionalFormatting>
  <conditionalFormatting sqref="L16:Z16">
    <cfRule type="expression" dxfId="0" priority="2">
      <formula>"si(0;;)"</formula>
    </cfRule>
  </conditionalFormatting>
  <conditionalFormatting sqref="A1:A1000">
    <cfRule type="containsText" dxfId="0" priority="3" operator="containsText" text="0">
      <formula>NOT(ISERROR(SEARCH(("0"),(A1))))</formula>
    </cfRule>
  </conditionalFormatting>
  <conditionalFormatting sqref="L16:Z16">
    <cfRule type="expression" dxfId="0" priority="4">
      <formula>"si(0;;)"</formula>
    </cfRule>
  </conditionalFormatting>
  <drawing r:id="rId1"/>
  <tableParts count="1">
    <tablePart r:id="rId3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48</v>
      </c>
    </row>
    <row r="2" ht="14.25" customHeight="1">
      <c r="A2" s="122" t="str">
        <f>IFERROR(__xludf.DUMMYFUNCTION(" IMPORTRANGE(""https://docs.google.com/spreadsheets/d/1HANg5dEzve-fa-x5IiQY5Ls7iuoMfmReUoS-9S99tL8/edit#gid=824097351"",""So6!A2:A161"")"),"Dirty Bazaar")</f>
        <v>Dirty Bazaar</v>
      </c>
      <c r="B2" s="103">
        <v>1.0</v>
      </c>
      <c r="C2" s="123">
        <f t="shared" ref="C2:C161" si="1">800*(1-(B2/($H$1+1)))*POWER((SQRT(($H$1+1)/B2)),1/2)</f>
        <v>2073.405109</v>
      </c>
      <c r="D2" s="124" t="str">
        <f>VLOOKUP(A2,'Classement S6'!$B$2:$C$150,1,0)</f>
        <v>Dirty Bazaar</v>
      </c>
      <c r="E2" s="125" t="str">
        <f t="shared" ref="E2:E161" si="2">IF(D2=A2,"","erreur")</f>
        <v/>
      </c>
      <c r="F2" s="120" t="str">
        <f>VLOOKUP(A2,'Classement Général'!$B$2:$B$146,1,0)</f>
        <v>Dirty Bazaar</v>
      </c>
    </row>
    <row r="3" ht="14.25" customHeight="1">
      <c r="A3" s="122" t="str">
        <f>IFERROR(__xludf.DUMMYFUNCTION("""COMPUTED_VALUE"""),"Kevfurious")</f>
        <v>Kevfurious</v>
      </c>
      <c r="B3" s="103">
        <v>2.0</v>
      </c>
      <c r="C3" s="123">
        <f t="shared" si="1"/>
        <v>1707.195613</v>
      </c>
      <c r="D3" s="124" t="str">
        <f>VLOOKUP(A3,'Classement S6'!$B$2:$C$150,1,0)</f>
        <v>Kevfurious</v>
      </c>
      <c r="E3" s="125" t="str">
        <f t="shared" si="2"/>
        <v/>
      </c>
      <c r="F3" s="120" t="str">
        <f>VLOOKUP(A3,'Classement Général'!$B$2:$B$146,1,0)</f>
        <v>Kevfurious</v>
      </c>
      <c r="G3" s="126"/>
    </row>
    <row r="4" ht="14.25" customHeight="1">
      <c r="A4" s="122" t="str">
        <f>IFERROR(__xludf.DUMMYFUNCTION("""COMPUTED_VALUE"""),"M2TH__off")</f>
        <v>M2TH__off</v>
      </c>
      <c r="B4" s="103">
        <v>3.0</v>
      </c>
      <c r="C4" s="123">
        <f t="shared" si="1"/>
        <v>1509.80356</v>
      </c>
      <c r="D4" s="124" t="str">
        <f>VLOOKUP(A4,'Classement S6'!$B$2:$C$150,1,0)</f>
        <v>M2TH__off</v>
      </c>
      <c r="E4" s="125" t="str">
        <f t="shared" si="2"/>
        <v/>
      </c>
      <c r="F4" s="120" t="str">
        <f>VLOOKUP(A4,'Classement Général'!$B$2:$B$146,1,0)</f>
        <v>M2TH__off</v>
      </c>
    </row>
    <row r="5" ht="14.25" customHeight="1">
      <c r="A5" s="122" t="str">
        <f>IFERROR(__xludf.DUMMYFUNCTION("""COMPUTED_VALUE"""),"JM-Chatte")</f>
        <v>JM-Chatte</v>
      </c>
      <c r="B5" s="103">
        <v>4.0</v>
      </c>
      <c r="C5" s="123">
        <f t="shared" si="1"/>
        <v>1374.486387</v>
      </c>
      <c r="D5" s="124" t="str">
        <f>VLOOKUP(A5,'Classement S6'!$B$2:$C$150,1,0)</f>
        <v>JM-Chatte</v>
      </c>
      <c r="E5" s="125" t="str">
        <f t="shared" si="2"/>
        <v/>
      </c>
      <c r="F5" s="120" t="str">
        <f>VLOOKUP(A5,'Classement Général'!$B$2:$B$146,1,0)</f>
        <v>JM-Chatte</v>
      </c>
    </row>
    <row r="6" ht="14.25" customHeight="1">
      <c r="A6" s="122" t="str">
        <f>IFERROR(__xludf.DUMMYFUNCTION("""COMPUTED_VALUE"""),"Rod_John_VI")</f>
        <v>Rod_John_VI</v>
      </c>
      <c r="B6" s="103">
        <v>5.0</v>
      </c>
      <c r="C6" s="123">
        <f t="shared" si="1"/>
        <v>1271.022101</v>
      </c>
      <c r="D6" s="124" t="str">
        <f>VLOOKUP(A6,'Classement S6'!$B$2:$C$150,1,0)</f>
        <v>Rod_John_VI</v>
      </c>
      <c r="E6" s="125" t="str">
        <f t="shared" si="2"/>
        <v/>
      </c>
      <c r="F6" s="120" t="str">
        <f>VLOOKUP(A6,'Classement Général'!$B$2:$B$146,1,0)</f>
        <v>Rod_John_VI</v>
      </c>
    </row>
    <row r="7" ht="14.25" customHeight="1">
      <c r="A7" s="122" t="str">
        <f>IFERROR(__xludf.DUMMYFUNCTION("""COMPUTED_VALUE"""),"8kinder6")</f>
        <v>8kinder6</v>
      </c>
      <c r="B7" s="103">
        <v>6.0</v>
      </c>
      <c r="C7" s="123">
        <f t="shared" si="1"/>
        <v>1186.789158</v>
      </c>
      <c r="D7" s="124" t="str">
        <f>VLOOKUP(A7,'Classement S6'!$B$2:$C$150,1,0)</f>
        <v>8kinder6</v>
      </c>
      <c r="E7" s="125" t="str">
        <f t="shared" si="2"/>
        <v/>
      </c>
      <c r="F7" s="120" t="str">
        <f>VLOOKUP(A7,'Classement Général'!$B$2:$B$146,1,0)</f>
        <v>8kinder6</v>
      </c>
    </row>
    <row r="8" ht="14.25" customHeight="1">
      <c r="A8" s="122" t="str">
        <f>IFERROR(__xludf.DUMMYFUNCTION("""COMPUTED_VALUE"""),"Le_Pictavien")</f>
        <v>Le_Pictavien</v>
      </c>
      <c r="B8" s="103">
        <v>7.0</v>
      </c>
      <c r="C8" s="123">
        <f t="shared" si="1"/>
        <v>1115.366785</v>
      </c>
      <c r="D8" s="124" t="str">
        <f>VLOOKUP(A8,'Classement S6'!$B$2:$C$150,1,0)</f>
        <v>Le_Pictavien</v>
      </c>
      <c r="E8" s="125" t="str">
        <f t="shared" si="2"/>
        <v/>
      </c>
      <c r="F8" s="120" t="str">
        <f>VLOOKUP(A8,'Classement Général'!$B$2:$B$146,1,0)</f>
        <v>Le_Pictavien</v>
      </c>
    </row>
    <row r="9" ht="14.25" customHeight="1">
      <c r="A9" s="122" t="str">
        <f>IFERROR(__xludf.DUMMYFUNCTION("""COMPUTED_VALUE"""),"chatouill86")</f>
        <v>chatouill86</v>
      </c>
      <c r="B9" s="103">
        <v>8.0</v>
      </c>
      <c r="C9" s="123">
        <f t="shared" si="1"/>
        <v>1053.062838</v>
      </c>
      <c r="D9" s="124" t="str">
        <f>VLOOKUP(A9,'Classement S6'!$B$2:$C$150,1,0)</f>
        <v>chatouill86</v>
      </c>
      <c r="E9" s="125" t="str">
        <f t="shared" si="2"/>
        <v/>
      </c>
      <c r="F9" s="120" t="str">
        <f>VLOOKUP(A9,'Classement Général'!$B$2:$B$146,1,0)</f>
        <v>chatouill86</v>
      </c>
    </row>
    <row r="10" ht="14.25" customHeight="1">
      <c r="A10" s="122" t="str">
        <f>IFERROR(__xludf.DUMMYFUNCTION("""COMPUTED_VALUE"""),"FridAKahlo")</f>
        <v>FridAKahlo</v>
      </c>
      <c r="B10" s="103">
        <v>9.0</v>
      </c>
      <c r="C10" s="123">
        <f t="shared" si="1"/>
        <v>997.5674982</v>
      </c>
      <c r="D10" s="124" t="str">
        <f>VLOOKUP(A10,'Classement S6'!$B$2:$C$150,1,0)</f>
        <v>FridAKahlo</v>
      </c>
      <c r="E10" s="125" t="str">
        <f t="shared" si="2"/>
        <v/>
      </c>
      <c r="F10" s="120" t="str">
        <f>VLOOKUP(A10,'Classement Général'!$B$2:$B$146,1,0)</f>
        <v>FridAKahlo</v>
      </c>
    </row>
    <row r="11" ht="14.25" customHeight="1">
      <c r="A11" s="122" t="str">
        <f>IFERROR(__xludf.DUMMYFUNCTION("""COMPUTED_VALUE"""),"rastamokett")</f>
        <v>rastamokett</v>
      </c>
      <c r="B11" s="103">
        <v>10.0</v>
      </c>
      <c r="C11" s="123">
        <f t="shared" si="1"/>
        <v>947.3436186</v>
      </c>
      <c r="D11" s="124" t="str">
        <f>VLOOKUP(A11,'Classement S6'!$B$2:$C$150,1,0)</f>
        <v>rastamokett</v>
      </c>
      <c r="E11" s="125" t="str">
        <f t="shared" si="2"/>
        <v/>
      </c>
      <c r="F11" s="120" t="str">
        <f>VLOOKUP(A11,'Classement Général'!$B$2:$B$146,1,0)</f>
        <v>rastamokett</v>
      </c>
    </row>
    <row r="12" ht="14.25" customHeight="1">
      <c r="A12" s="122" t="str">
        <f>IFERROR(__xludf.DUMMYFUNCTION("""COMPUTED_VALUE"""),"PrendmAmAin")</f>
        <v>PrendmAmAin</v>
      </c>
      <c r="B12" s="103">
        <v>11.0</v>
      </c>
      <c r="C12" s="123">
        <f t="shared" si="1"/>
        <v>901.3186391</v>
      </c>
      <c r="D12" s="124" t="str">
        <f>VLOOKUP(A12,'Classement S6'!$B$2:$C$150,1,0)</f>
        <v>PrendmAmAin</v>
      </c>
      <c r="E12" s="125" t="str">
        <f t="shared" si="2"/>
        <v/>
      </c>
      <c r="F12" s="120" t="str">
        <f>VLOOKUP(A12,'Classement Général'!$B$2:$B$146,1,0)</f>
        <v>PrendmAmAin</v>
      </c>
    </row>
    <row r="13" ht="14.25" customHeight="1">
      <c r="A13" s="122" t="str">
        <f>IFERROR(__xludf.DUMMYFUNCTION("""COMPUTED_VALUE"""),"POMB1664")</f>
        <v>POMB1664</v>
      </c>
      <c r="B13" s="103">
        <v>12.0</v>
      </c>
      <c r="C13" s="123">
        <f t="shared" si="1"/>
        <v>858.715574</v>
      </c>
      <c r="D13" s="124" t="str">
        <f>VLOOKUP(A13,'Classement S6'!$B$2:$C$150,1,0)</f>
        <v>POMB1664</v>
      </c>
      <c r="E13" s="125" t="str">
        <f t="shared" si="2"/>
        <v/>
      </c>
      <c r="F13" s="120" t="str">
        <f>VLOOKUP(A13,'Classement Général'!$B$2:$B$146,1,0)</f>
        <v>POMB1664</v>
      </c>
    </row>
    <row r="14" ht="14.25" customHeight="1">
      <c r="A14" s="122" t="str">
        <f>IFERROR(__xludf.DUMMYFUNCTION("""COMPUTED_VALUE"""),"A_iniesta")</f>
        <v>A_iniesta</v>
      </c>
      <c r="B14" s="103">
        <v>13.0</v>
      </c>
      <c r="C14" s="123">
        <f t="shared" si="1"/>
        <v>818.9541531</v>
      </c>
      <c r="D14" s="124" t="str">
        <f>VLOOKUP(A14,'Classement S6'!$B$2:$C$150,1,0)</f>
        <v>A_iniesta</v>
      </c>
      <c r="E14" s="125" t="str">
        <f t="shared" si="2"/>
        <v/>
      </c>
      <c r="F14" s="120" t="str">
        <f>VLOOKUP(A14,'Classement Général'!$B$2:$B$146,1,0)</f>
        <v>A_iniesta</v>
      </c>
    </row>
    <row r="15" ht="14.25" customHeight="1">
      <c r="A15" s="122" t="str">
        <f>IFERROR(__xludf.DUMMYFUNCTION("""COMPUTED_VALUE"""),"Like_A_Fish")</f>
        <v>Like_A_Fish</v>
      </c>
      <c r="B15" s="103">
        <v>14.0</v>
      </c>
      <c r="C15" s="123">
        <f t="shared" si="1"/>
        <v>781.5899428</v>
      </c>
      <c r="D15" s="124" t="str">
        <f>VLOOKUP(A15,'Classement S6'!$B$2:$C$150,1,0)</f>
        <v>Like_A_Fish</v>
      </c>
      <c r="E15" s="125" t="str">
        <f t="shared" si="2"/>
        <v/>
      </c>
      <c r="F15" s="120" t="str">
        <f>VLOOKUP(A15,'Classement Général'!$B$2:$B$146,1,0)</f>
        <v>Like_A_Fish</v>
      </c>
    </row>
    <row r="16" ht="14.25" customHeight="1">
      <c r="A16" s="122" t="str">
        <f>IFERROR(__xludf.DUMMYFUNCTION("""COMPUTED_VALUE"""),"DonnesTchips")</f>
        <v>DonnesTchips</v>
      </c>
      <c r="B16" s="103">
        <v>15.0</v>
      </c>
      <c r="C16" s="123">
        <f t="shared" si="1"/>
        <v>746.2752339</v>
      </c>
      <c r="D16" s="124" t="str">
        <f>VLOOKUP(A16,'Classement S6'!$B$2:$C$150,1,0)</f>
        <v>DonnesTchips</v>
      </c>
      <c r="E16" s="125" t="str">
        <f t="shared" si="2"/>
        <v/>
      </c>
      <c r="F16" s="120" t="str">
        <f>VLOOKUP(A16,'Classement Général'!$B$2:$B$146,1,0)</f>
        <v>DonnesTchips</v>
      </c>
    </row>
    <row r="17" ht="14.25" customHeight="1">
      <c r="A17" s="122" t="str">
        <f>IFERROR(__xludf.DUMMYFUNCTION("""COMPUTED_VALUE"""),"Vaillant 86")</f>
        <v>Vaillant 86</v>
      </c>
      <c r="B17" s="103">
        <v>16.0</v>
      </c>
      <c r="C17" s="123">
        <f t="shared" si="1"/>
        <v>712.7330062</v>
      </c>
      <c r="D17" s="124" t="str">
        <f>VLOOKUP(A17,'Classement S6'!$B$2:$C$150,1,0)</f>
        <v>Vaillant 86</v>
      </c>
      <c r="E17" s="125" t="str">
        <f t="shared" si="2"/>
        <v/>
      </c>
      <c r="F17" s="120" t="str">
        <f>VLOOKUP(A17,'Classement Général'!$B$2:$B$146,1,0)</f>
        <v>Vaillant 86</v>
      </c>
    </row>
    <row r="18" ht="14.25" customHeight="1">
      <c r="A18" s="122" t="str">
        <f>IFERROR(__xludf.DUMMYFUNCTION("""COMPUTED_VALUE"""),"erniedog56x")</f>
        <v>erniedog56x</v>
      </c>
      <c r="B18" s="103">
        <v>17.0</v>
      </c>
      <c r="C18" s="123">
        <f t="shared" si="1"/>
        <v>680.7390668</v>
      </c>
      <c r="D18" s="124" t="str">
        <f>VLOOKUP(A18,'Classement S6'!$B$2:$C$150,1,0)</f>
        <v>erniedog56x</v>
      </c>
      <c r="E18" s="125" t="str">
        <f t="shared" si="2"/>
        <v/>
      </c>
      <c r="F18" s="120" t="str">
        <f>VLOOKUP(A18,'Classement Général'!$B$2:$B$146,1,0)</f>
        <v>erniedog56x</v>
      </c>
    </row>
    <row r="19" ht="14.25" customHeight="1">
      <c r="A19" s="122" t="str">
        <f>IFERROR(__xludf.DUMMYFUNCTION("""COMPUTED_VALUE"""),"StephBoss05")</f>
        <v>StephBoss05</v>
      </c>
      <c r="B19" s="103">
        <v>18.0</v>
      </c>
      <c r="C19" s="123">
        <f t="shared" si="1"/>
        <v>650.1094733</v>
      </c>
      <c r="D19" s="124" t="str">
        <f>VLOOKUP(A19,'Classement S6'!$B$2:$C$150,1,0)</f>
        <v>StephBoss05</v>
      </c>
      <c r="E19" s="125" t="str">
        <f t="shared" si="2"/>
        <v/>
      </c>
      <c r="F19" s="120" t="str">
        <f>VLOOKUP(A19,'Classement Général'!$B$2:$B$146,1,0)</f>
        <v>StephBoss05</v>
      </c>
    </row>
    <row r="20" ht="14.25" customHeight="1">
      <c r="A20" s="122" t="str">
        <f>IFERROR(__xludf.DUMMYFUNCTION("""COMPUTED_VALUE"""),"immond")</f>
        <v>immond</v>
      </c>
      <c r="B20" s="103">
        <v>19.0</v>
      </c>
      <c r="C20" s="123">
        <f t="shared" si="1"/>
        <v>620.6914763</v>
      </c>
      <c r="D20" s="124" t="str">
        <f>VLOOKUP(A20,'Classement S6'!$B$2:$C$150,1,0)</f>
        <v>immond</v>
      </c>
      <c r="E20" s="125" t="str">
        <f t="shared" si="2"/>
        <v/>
      </c>
      <c r="F20" s="120" t="str">
        <f>VLOOKUP(A20,'Classement Général'!$B$2:$B$146,1,0)</f>
        <v>immond</v>
      </c>
    </row>
    <row r="21" ht="14.25" customHeight="1">
      <c r="A21" s="122" t="str">
        <f>IFERROR(__xludf.DUMMYFUNCTION("""COMPUTED_VALUE"""),"ledids")</f>
        <v>ledids</v>
      </c>
      <c r="B21" s="103">
        <v>20.0</v>
      </c>
      <c r="C21" s="123">
        <f t="shared" si="1"/>
        <v>592.356865</v>
      </c>
      <c r="D21" s="124" t="str">
        <f>VLOOKUP(A21,'Classement S6'!$B$2:$C$150,1,0)</f>
        <v>ledids</v>
      </c>
      <c r="E21" s="125" t="str">
        <f t="shared" si="2"/>
        <v/>
      </c>
      <c r="F21" s="120" t="str">
        <f>VLOOKUP(A21,'Classement Général'!$B$2:$B$146,1,0)</f>
        <v>ledids</v>
      </c>
    </row>
    <row r="22" ht="14.25" customHeight="1">
      <c r="A22" s="122" t="str">
        <f>IFERROR(__xludf.DUMMYFUNCTION("""COMPUTED_VALUE"""),"KamehamehAS")</f>
        <v>KamehamehAS</v>
      </c>
      <c r="B22" s="103">
        <v>21.0</v>
      </c>
      <c r="C22" s="123">
        <f t="shared" si="1"/>
        <v>564.9969906</v>
      </c>
      <c r="D22" s="124" t="str">
        <f>VLOOKUP(A22,'Classement S6'!$B$2:$C$150,1,0)</f>
        <v>KamehamehAS</v>
      </c>
      <c r="E22" s="125" t="str">
        <f t="shared" si="2"/>
        <v/>
      </c>
      <c r="F22" s="120" t="str">
        <f>VLOOKUP(A22,'Classement Général'!$B$2:$B$146,1,0)</f>
        <v>KamehamehAS</v>
      </c>
    </row>
    <row r="23" ht="14.25" customHeight="1">
      <c r="A23" s="122" t="str">
        <f>IFERROR(__xludf.DUMMYFUNCTION("""COMPUTED_VALUE"""),"UnPetitJaune")</f>
        <v>UnPetitJaune</v>
      </c>
      <c r="B23" s="103">
        <v>22.0</v>
      </c>
      <c r="C23" s="123">
        <f t="shared" si="1"/>
        <v>538.5189879</v>
      </c>
      <c r="D23" s="124" t="str">
        <f>VLOOKUP(A23,'Classement S6'!$B$2:$C$150,1,0)</f>
        <v>UnPetitJaune</v>
      </c>
      <c r="E23" s="125" t="str">
        <f t="shared" si="2"/>
        <v/>
      </c>
      <c r="F23" s="120" t="str">
        <f>VLOOKUP(A23,'Classement Général'!$B$2:$B$146,1,0)</f>
        <v>UnPetitJaune</v>
      </c>
    </row>
    <row r="24" ht="14.25" customHeight="1">
      <c r="A24" s="122" t="str">
        <f>IFERROR(__xludf.DUMMYFUNCTION("""COMPUTED_VALUE"""),"S.coco")</f>
        <v>S.coco</v>
      </c>
      <c r="B24" s="103">
        <v>23.0</v>
      </c>
      <c r="C24" s="123">
        <f t="shared" si="1"/>
        <v>512.8428629</v>
      </c>
      <c r="D24" s="124" t="str">
        <f>VLOOKUP(A24,'Classement S6'!$B$2:$C$150,1,0)</f>
        <v>S.coco</v>
      </c>
      <c r="E24" s="125" t="str">
        <f t="shared" si="2"/>
        <v/>
      </c>
      <c r="F24" s="120" t="str">
        <f>VLOOKUP(A24,'Classement Général'!$B$2:$B$146,1,0)</f>
        <v>S.coco</v>
      </c>
    </row>
    <row r="25" ht="14.25" customHeight="1">
      <c r="A25" s="122" t="str">
        <f>IFERROR(__xludf.DUMMYFUNCTION("""COMPUTED_VALUE"""),"SINGE7")</f>
        <v>SINGE7</v>
      </c>
      <c r="B25" s="103">
        <v>24.0</v>
      </c>
      <c r="C25" s="123">
        <f t="shared" si="1"/>
        <v>487.8992216</v>
      </c>
      <c r="D25" s="124" t="str">
        <f>VLOOKUP(A25,'Classement S6'!$B$2:$C$150,1,0)</f>
        <v>SINGE7</v>
      </c>
      <c r="E25" s="125" t="str">
        <f t="shared" si="2"/>
        <v/>
      </c>
      <c r="F25" s="120" t="str">
        <f>VLOOKUP(A25,'Classement Général'!$B$2:$B$146,1,0)</f>
        <v>SINGE7</v>
      </c>
    </row>
    <row r="26" ht="14.25" customHeight="1">
      <c r="A26" s="122" t="str">
        <f>IFERROR(__xludf.DUMMYFUNCTION("""COMPUTED_VALUE"""),"pablo")</f>
        <v>pablo</v>
      </c>
      <c r="B26" s="103">
        <v>25.0</v>
      </c>
      <c r="C26" s="123">
        <f t="shared" si="1"/>
        <v>463.6274769</v>
      </c>
      <c r="D26" s="124" t="str">
        <f>VLOOKUP(A26,'Classement S6'!$B$2:$C$150,1,0)</f>
        <v>pablo</v>
      </c>
      <c r="E26" s="125" t="str">
        <f t="shared" si="2"/>
        <v/>
      </c>
      <c r="F26" s="120" t="str">
        <f>VLOOKUP(A26,'Classement Général'!$B$2:$B$146,1,0)</f>
        <v>pablo</v>
      </c>
    </row>
    <row r="27" ht="14.25" customHeight="1">
      <c r="A27" s="122" t="str">
        <f>IFERROR(__xludf.DUMMYFUNCTION("""COMPUTED_VALUE"""),"Phil1308")</f>
        <v>Phil1308</v>
      </c>
      <c r="B27" s="103">
        <v>26.0</v>
      </c>
      <c r="C27" s="123">
        <f t="shared" si="1"/>
        <v>439.9744185</v>
      </c>
      <c r="D27" s="124" t="str">
        <f>VLOOKUP(A27,'Classement S6'!$B$2:$C$150,1,0)</f>
        <v>Phil1308</v>
      </c>
      <c r="E27" s="125" t="str">
        <f t="shared" si="2"/>
        <v/>
      </c>
      <c r="F27" s="120" t="str">
        <f>VLOOKUP(A27,'Classement Général'!$B$2:$B$146,1,0)</f>
        <v>Phil1308</v>
      </c>
    </row>
    <row r="28" ht="14.25" customHeight="1">
      <c r="A28" s="122" t="str">
        <f>IFERROR(__xludf.DUMMYFUNCTION("""COMPUTED_VALUE"""),"Redblood92")</f>
        <v>Redblood92</v>
      </c>
      <c r="B28" s="103">
        <v>27.0</v>
      </c>
      <c r="C28" s="123">
        <f t="shared" si="1"/>
        <v>416.8930612</v>
      </c>
      <c r="D28" s="124" t="str">
        <f>VLOOKUP(A28,'Classement S6'!$B$2:$C$150,1,0)</f>
        <v>Redblood92</v>
      </c>
      <c r="E28" s="125" t="str">
        <f t="shared" si="2"/>
        <v/>
      </c>
      <c r="F28" s="120" t="str">
        <f>VLOOKUP(A28,'Classement Général'!$B$2:$B$146,1,0)</f>
        <v>Redblood92</v>
      </c>
    </row>
    <row r="29" ht="14.25" customHeight="1">
      <c r="A29" s="122" t="str">
        <f>IFERROR(__xludf.DUMMYFUNCTION("""COMPUTED_VALUE"""),"Kiki Bazaar")</f>
        <v>Kiki Bazaar</v>
      </c>
      <c r="B29" s="103">
        <v>28.0</v>
      </c>
      <c r="C29" s="123">
        <f t="shared" si="1"/>
        <v>394.3417086</v>
      </c>
      <c r="D29" s="124" t="str">
        <f>VLOOKUP(A29,'Classement S6'!$B$2:$C$150,1,0)</f>
        <v>Kiki Bazaar</v>
      </c>
      <c r="E29" s="125" t="str">
        <f t="shared" si="2"/>
        <v/>
      </c>
      <c r="F29" s="120" t="str">
        <f>VLOOKUP(A29,'Classement Général'!$B$2:$B$146,1,0)</f>
        <v>Kiki Bazaar</v>
      </c>
    </row>
    <row r="30" ht="14.25" customHeight="1">
      <c r="A30" s="122" t="str">
        <f>IFERROR(__xludf.DUMMYFUNCTION("""COMPUTED_VALUE"""),"Odile2Raise")</f>
        <v>Odile2Raise</v>
      </c>
      <c r="B30" s="103">
        <v>29.0</v>
      </c>
      <c r="C30" s="123">
        <f t="shared" si="1"/>
        <v>372.283187</v>
      </c>
      <c r="D30" s="124" t="str">
        <f>VLOOKUP(A30,'Classement S6'!$B$2:$C$150,1,0)</f>
        <v>Odile2Raise</v>
      </c>
      <c r="E30" s="125" t="str">
        <f t="shared" si="2"/>
        <v/>
      </c>
      <c r="F30" s="120" t="str">
        <f>VLOOKUP(A30,'Classement Général'!$B$2:$B$146,1,0)</f>
        <v>Odile2Raise</v>
      </c>
    </row>
    <row r="31" ht="14.25" customHeight="1">
      <c r="A31" s="122" t="str">
        <f>IFERROR(__xludf.DUMMYFUNCTION("""COMPUTED_VALUE"""),"NezuKO-demon")</f>
        <v>NezuKO-demon</v>
      </c>
      <c r="B31" s="103">
        <v>30.0</v>
      </c>
      <c r="C31" s="123">
        <f t="shared" si="1"/>
        <v>350.6842121</v>
      </c>
      <c r="D31" s="124" t="str">
        <f>VLOOKUP(A31,'Classement S6'!$B$2:$C$150,1,0)</f>
        <v>NezuKO-demon</v>
      </c>
      <c r="E31" s="125" t="str">
        <f t="shared" si="2"/>
        <v/>
      </c>
      <c r="F31" s="120" t="str">
        <f>VLOOKUP(A31,'Classement Général'!$B$2:$B$146,1,0)</f>
        <v>NezuKO-demon</v>
      </c>
    </row>
    <row r="32" ht="14.25" customHeight="1">
      <c r="A32" s="122" t="str">
        <f>IFERROR(__xludf.DUMMYFUNCTION("""COMPUTED_VALUE"""),"fiodor86")</f>
        <v>fiodor86</v>
      </c>
      <c r="B32" s="103">
        <v>31.0</v>
      </c>
      <c r="C32" s="123">
        <f t="shared" si="1"/>
        <v>329.5148631</v>
      </c>
      <c r="D32" s="124" t="str">
        <f>VLOOKUP(A32,'Classement S6'!$B$2:$C$150,1,0)</f>
        <v>fiodor86</v>
      </c>
      <c r="E32" s="125" t="str">
        <f t="shared" si="2"/>
        <v/>
      </c>
      <c r="F32" s="120" t="str">
        <f>VLOOKUP(A32,'Classement Général'!$B$2:$B$146,1,0)</f>
        <v>fiodor86</v>
      </c>
    </row>
    <row r="33" ht="14.25" customHeight="1">
      <c r="A33" s="122" t="str">
        <f>IFERROR(__xludf.DUMMYFUNCTION("""COMPUTED_VALUE"""),"Cataleya86")</f>
        <v>Cataleya86</v>
      </c>
      <c r="B33" s="103">
        <v>32.0</v>
      </c>
      <c r="C33" s="123">
        <f t="shared" si="1"/>
        <v>308.7481427</v>
      </c>
      <c r="D33" s="124" t="str">
        <f>VLOOKUP(A33,'Classement S6'!$B$2:$C$150,1,0)</f>
        <v>Cataleya86</v>
      </c>
      <c r="E33" s="125" t="str">
        <f t="shared" si="2"/>
        <v/>
      </c>
      <c r="F33" s="120" t="str">
        <f>VLOOKUP(A33,'Classement Général'!$B$2:$B$146,1,0)</f>
        <v>Cataleya86</v>
      </c>
    </row>
    <row r="34" ht="14.25" customHeight="1">
      <c r="A34" s="122" t="str">
        <f>IFERROR(__xludf.DUMMYFUNCTION("""COMPUTED_VALUE"""),"-Feline")</f>
        <v>-Feline</v>
      </c>
      <c r="B34" s="103">
        <v>33.0</v>
      </c>
      <c r="C34" s="123">
        <f t="shared" si="1"/>
        <v>288.3596068</v>
      </c>
      <c r="D34" s="124" t="str">
        <f>VLOOKUP(A34,'Classement S6'!$B$2:$C$150,1,0)</f>
        <v>-Feline</v>
      </c>
      <c r="E34" s="125" t="str">
        <f t="shared" si="2"/>
        <v/>
      </c>
      <c r="F34" s="120" t="str">
        <f>VLOOKUP(A34,'Classement Général'!$B$2:$B$146,1,0)</f>
        <v>-Feline</v>
      </c>
    </row>
    <row r="35" ht="14.25" customHeight="1">
      <c r="A35" s="122" t="str">
        <f>IFERROR(__xludf.DUMMYFUNCTION("""COMPUTED_VALUE"""),"Or&amp;l1")</f>
        <v>Or&amp;l1</v>
      </c>
      <c r="B35" s="103">
        <v>34.0</v>
      </c>
      <c r="C35" s="123">
        <f t="shared" si="1"/>
        <v>268.3270505</v>
      </c>
      <c r="D35" s="124" t="str">
        <f>VLOOKUP(A35,'Classement S6'!$B$2:$C$150,1,0)</f>
        <v>Or&amp;l1</v>
      </c>
      <c r="E35" s="125" t="str">
        <f t="shared" si="2"/>
        <v/>
      </c>
      <c r="F35" s="120" t="str">
        <f>VLOOKUP(A35,'Classement Général'!$B$2:$B$146,1,0)</f>
        <v>Or&amp;l1</v>
      </c>
    </row>
    <row r="36" ht="14.25" customHeight="1">
      <c r="A36" s="122" t="str">
        <f>IFERROR(__xludf.DUMMYFUNCTION("""COMPUTED_VALUE"""),"Mako Lemore")</f>
        <v>Mako Lemore</v>
      </c>
      <c r="B36" s="103">
        <v>35.0</v>
      </c>
      <c r="C36" s="123">
        <f t="shared" si="1"/>
        <v>248.6302414</v>
      </c>
      <c r="D36" s="124" t="str">
        <f>VLOOKUP(A36,'Classement S6'!$B$2:$C$150,1,0)</f>
        <v>Mako Lemore</v>
      </c>
      <c r="E36" s="125" t="str">
        <f t="shared" si="2"/>
        <v/>
      </c>
      <c r="F36" s="120" t="str">
        <f>VLOOKUP(A36,'Classement Général'!$B$2:$B$146,1,0)</f>
        <v>Mako Lemore</v>
      </c>
    </row>
    <row r="37" ht="14.25" customHeight="1">
      <c r="A37" s="122" t="str">
        <f>IFERROR(__xludf.DUMMYFUNCTION("""COMPUTED_VALUE"""),"Patgaret")</f>
        <v>Patgaret</v>
      </c>
      <c r="B37" s="103">
        <v>36.0</v>
      </c>
      <c r="C37" s="123">
        <f t="shared" si="1"/>
        <v>229.2506914</v>
      </c>
      <c r="D37" s="124" t="str">
        <f>VLOOKUP(A37,'Classement S6'!$B$2:$C$150,1,0)</f>
        <v>Patgaret</v>
      </c>
      <c r="E37" s="125" t="str">
        <f t="shared" si="2"/>
        <v/>
      </c>
      <c r="F37" s="120" t="str">
        <f>VLOOKUP(A37,'Classement Général'!$B$2:$B$146,1,0)</f>
        <v>Patgaret</v>
      </c>
    </row>
    <row r="38" ht="14.25" customHeight="1">
      <c r="A38" s="122" t="str">
        <f>IFERROR(__xludf.DUMMYFUNCTION("""COMPUTED_VALUE"""),"sonic86")</f>
        <v>sonic86</v>
      </c>
      <c r="B38" s="103">
        <v>37.0</v>
      </c>
      <c r="C38" s="123">
        <f t="shared" si="1"/>
        <v>210.1714604</v>
      </c>
      <c r="D38" s="124" t="str">
        <f>VLOOKUP(A38,'Classement S6'!$B$2:$C$150,1,0)</f>
        <v>sonic86</v>
      </c>
      <c r="E38" s="125" t="str">
        <f t="shared" si="2"/>
        <v/>
      </c>
      <c r="F38" s="120" t="str">
        <f>VLOOKUP(A38,'Classement Général'!$B$2:$B$146,1,0)</f>
        <v>sonic86</v>
      </c>
    </row>
    <row r="39" ht="14.25" customHeight="1">
      <c r="A39" s="122" t="str">
        <f>IFERROR(__xludf.DUMMYFUNCTION("""COMPUTED_VALUE"""),"BBH 75")</f>
        <v>BBH 75</v>
      </c>
      <c r="B39" s="103">
        <v>38.0</v>
      </c>
      <c r="C39" s="123">
        <f t="shared" si="1"/>
        <v>191.3769871</v>
      </c>
      <c r="D39" s="124" t="str">
        <f>VLOOKUP(A39,'Classement S6'!$B$2:$C$150,1,0)</f>
        <v>BBH 75</v>
      </c>
      <c r="E39" s="125" t="str">
        <f t="shared" si="2"/>
        <v/>
      </c>
      <c r="F39" s="120" t="str">
        <f>VLOOKUP(A39,'Classement Général'!$B$2:$B$146,1,0)</f>
        <v>BBH 75</v>
      </c>
    </row>
    <row r="40" ht="14.25" customHeight="1">
      <c r="A40" s="122" t="str">
        <f>IFERROR(__xludf.DUMMYFUNCTION("""COMPUTED_VALUE"""),"Pachavi")</f>
        <v>Pachavi</v>
      </c>
      <c r="B40" s="103">
        <v>39.0</v>
      </c>
      <c r="C40" s="123">
        <f t="shared" si="1"/>
        <v>172.8529418</v>
      </c>
      <c r="D40" s="124" t="str">
        <f>VLOOKUP(A40,'Classement S6'!$B$2:$C$150,1,0)</f>
        <v>Pachavi</v>
      </c>
      <c r="E40" s="125" t="str">
        <f t="shared" si="2"/>
        <v/>
      </c>
      <c r="F40" s="120" t="str">
        <f>VLOOKUP(A40,'Classement Général'!$B$2:$B$146,1,0)</f>
        <v>Pachavi</v>
      </c>
    </row>
    <row r="41" ht="14.25" customHeight="1">
      <c r="A41" s="122" t="str">
        <f>IFERROR(__xludf.DUMMYFUNCTION("""COMPUTED_VALUE"""),"Bratake")</f>
        <v>Bratake</v>
      </c>
      <c r="B41" s="103">
        <v>40.0</v>
      </c>
      <c r="C41" s="123">
        <f t="shared" si="1"/>
        <v>154.5860993</v>
      </c>
      <c r="D41" s="124" t="str">
        <f>VLOOKUP(A41,'Classement S6'!$B$2:$C$150,1,0)</f>
        <v>Bratake</v>
      </c>
      <c r="E41" s="125" t="str">
        <f t="shared" si="2"/>
        <v/>
      </c>
      <c r="F41" s="120" t="str">
        <f>VLOOKUP(A41,'Classement Général'!$B$2:$B$146,1,0)</f>
        <v>Bratake</v>
      </c>
    </row>
    <row r="42" ht="14.25" customHeight="1">
      <c r="A42" s="122" t="str">
        <f>IFERROR(__xludf.DUMMYFUNCTION("""COMPUTED_VALUE"""),"cassius-86")</f>
        <v>cassius-86</v>
      </c>
      <c r="B42" s="103">
        <v>41.0</v>
      </c>
      <c r="C42" s="123">
        <f t="shared" si="1"/>
        <v>136.5642267</v>
      </c>
      <c r="D42" s="124" t="str">
        <f>VLOOKUP(A42,'Classement S6'!$B$2:$C$150,1,0)</f>
        <v>cassius-86</v>
      </c>
      <c r="E42" s="125" t="str">
        <f t="shared" si="2"/>
        <v/>
      </c>
      <c r="F42" s="120" t="str">
        <f>VLOOKUP(A42,'Classement Général'!$B$2:$B$146,1,0)</f>
        <v>cassius-86</v>
      </c>
    </row>
    <row r="43" ht="14.25" customHeight="1">
      <c r="A43" s="122" t="str">
        <f>IFERROR(__xludf.DUMMYFUNCTION("""COMPUTED_VALUE"""),"Elfy")</f>
        <v>Elfy</v>
      </c>
      <c r="B43" s="103">
        <v>42.0</v>
      </c>
      <c r="C43" s="123">
        <f t="shared" si="1"/>
        <v>118.775986</v>
      </c>
      <c r="D43" s="124" t="str">
        <f>VLOOKUP(A43,'Classement S6'!$B$2:$C$150,1,0)</f>
        <v>Elfy</v>
      </c>
      <c r="E43" s="125" t="str">
        <f t="shared" si="2"/>
        <v/>
      </c>
      <c r="F43" s="120" t="str">
        <f>VLOOKUP(A43,'Classement Général'!$B$2:$B$146,1,0)</f>
        <v>Elfy</v>
      </c>
    </row>
    <row r="44" ht="14.25" customHeight="1">
      <c r="A44" s="122" t="str">
        <f>IFERROR(__xludf.DUMMYFUNCTION("""COMPUTED_VALUE"""),"Mitch")</f>
        <v>Mitch</v>
      </c>
      <c r="B44" s="103">
        <v>43.0</v>
      </c>
      <c r="C44" s="123">
        <f t="shared" si="1"/>
        <v>101.210848</v>
      </c>
      <c r="D44" s="124" t="str">
        <f>VLOOKUP(A44,'Classement S6'!$B$2:$C$150,1,0)</f>
        <v>Mitch</v>
      </c>
      <c r="E44" s="125" t="str">
        <f t="shared" si="2"/>
        <v/>
      </c>
      <c r="F44" s="120" t="str">
        <f>VLOOKUP(A44,'Classement Général'!$B$2:$B$146,1,0)</f>
        <v>Mitch</v>
      </c>
    </row>
    <row r="45" ht="14.25" customHeight="1">
      <c r="A45" s="122" t="str">
        <f>IFERROR(__xludf.DUMMYFUNCTION("""COMPUTED_VALUE"""),"AKlibur")</f>
        <v>AKlibur</v>
      </c>
      <c r="B45" s="103">
        <v>44.0</v>
      </c>
      <c r="C45" s="123">
        <f t="shared" si="1"/>
        <v>83.85901602</v>
      </c>
      <c r="D45" s="124" t="str">
        <f>VLOOKUP(A45,'Classement S6'!$B$2:$C$150,1,0)</f>
        <v>AKlibur</v>
      </c>
      <c r="E45" s="125" t="str">
        <f t="shared" si="2"/>
        <v/>
      </c>
      <c r="F45" s="120" t="str">
        <f>VLOOKUP(A45,'Classement Général'!$B$2:$B$146,1,0)</f>
        <v>AKlibur</v>
      </c>
    </row>
    <row r="46" ht="14.25" customHeight="1">
      <c r="A46" s="122" t="str">
        <f>IFERROR(__xludf.DUMMYFUNCTION("""COMPUTED_VALUE"""),"BRUNOWINNER")</f>
        <v>BRUNOWINNER</v>
      </c>
      <c r="B46" s="103">
        <v>45.0</v>
      </c>
      <c r="C46" s="123">
        <f t="shared" si="1"/>
        <v>66.7113593</v>
      </c>
      <c r="D46" s="124" t="str">
        <f>VLOOKUP(A46,'Classement S6'!$B$2:$C$150,1,0)</f>
        <v>BRUNOWINNER</v>
      </c>
      <c r="E46" s="125" t="str">
        <f t="shared" si="2"/>
        <v/>
      </c>
      <c r="F46" s="120" t="str">
        <f>VLOOKUP(A46,'Classement Général'!$B$2:$B$146,1,0)</f>
        <v>BRUNOWINNER</v>
      </c>
    </row>
    <row r="47" ht="14.25" customHeight="1">
      <c r="A47" s="122" t="str">
        <f>IFERROR(__xludf.DUMMYFUNCTION("""COMPUTED_VALUE"""),". BARBAPAPA66")</f>
        <v>. BARBAPAPA66</v>
      </c>
      <c r="B47" s="103">
        <v>46.0</v>
      </c>
      <c r="C47" s="123">
        <f t="shared" si="1"/>
        <v>49.75935289</v>
      </c>
      <c r="D47" s="124" t="str">
        <f>VLOOKUP(A47,'Classement S6'!$B$2:$C$150,1,0)</f>
        <v>. BARBAPAPA66</v>
      </c>
      <c r="E47" s="125" t="str">
        <f t="shared" si="2"/>
        <v/>
      </c>
      <c r="F47" s="120" t="str">
        <f>VLOOKUP(A47,'Classement Général'!$B$2:$B$146,1,0)</f>
        <v>. BARBAPAPA66</v>
      </c>
    </row>
    <row r="48" ht="14.25" customHeight="1">
      <c r="A48" s="122" t="str">
        <f>IFERROR(__xludf.DUMMYFUNCTION("""COMPUTED_VALUE"""),"gregmoore")</f>
        <v>gregmoore</v>
      </c>
      <c r="B48" s="103">
        <v>47.0</v>
      </c>
      <c r="C48" s="123">
        <f t="shared" si="1"/>
        <v>32.99502473</v>
      </c>
      <c r="D48" s="124" t="str">
        <f>VLOOKUP(A48,'Classement S6'!$B$2:$C$150,1,0)</f>
        <v>gregmoore</v>
      </c>
      <c r="E48" s="125" t="str">
        <f t="shared" si="2"/>
        <v/>
      </c>
      <c r="F48" s="120" t="str">
        <f>VLOOKUP(A48,'Classement Général'!$B$2:$B$146,1,0)</f>
        <v>gregmoore</v>
      </c>
    </row>
    <row r="49" ht="14.25" customHeight="1">
      <c r="A49" s="122" t="str">
        <f>IFERROR(__xludf.DUMMYFUNCTION("""COMPUTED_VALUE"""),"lifeofpark")</f>
        <v>lifeofpark</v>
      </c>
      <c r="B49" s="103">
        <v>48.0</v>
      </c>
      <c r="C49" s="123">
        <f t="shared" si="1"/>
        <v>16.41090826</v>
      </c>
      <c r="D49" s="124" t="str">
        <f>VLOOKUP(A49,'Classement S6'!$B$2:$C$150,1,0)</f>
        <v>lifeofpark</v>
      </c>
      <c r="E49" s="125" t="str">
        <f t="shared" si="2"/>
        <v/>
      </c>
      <c r="F49" s="120" t="str">
        <f>VLOOKUP(A49,'Classement Général'!$B$2:$B$146,1,0)</f>
        <v>lifeofpark</v>
      </c>
    </row>
    <row r="50" ht="14.25" customHeight="1">
      <c r="A50" s="122"/>
      <c r="B50" s="103">
        <v>49.0</v>
      </c>
      <c r="C50" s="123">
        <f t="shared" si="1"/>
        <v>0</v>
      </c>
      <c r="D50" s="124" t="str">
        <f>VLOOKUP(A50,'Classement S6'!$B$2:$C$150,1,0)</f>
        <v>#N/A</v>
      </c>
      <c r="E50" s="125" t="str">
        <f t="shared" si="2"/>
        <v>#N/A</v>
      </c>
      <c r="F50" s="120" t="str">
        <f>VLOOKUP(A50,'Classement Général'!$B$2:$B$146,1,0)</f>
        <v>#N/A</v>
      </c>
    </row>
    <row r="51" ht="14.25" customHeight="1">
      <c r="A51" s="122"/>
      <c r="B51" s="103">
        <v>50.0</v>
      </c>
      <c r="C51" s="123">
        <f t="shared" si="1"/>
        <v>-16.24427847</v>
      </c>
      <c r="D51" s="124" t="str">
        <f>VLOOKUP(A51,'Classement S6'!$B$2:$C$150,1,0)</f>
        <v>#N/A</v>
      </c>
      <c r="E51" s="125" t="str">
        <f t="shared" si="2"/>
        <v>#N/A</v>
      </c>
      <c r="F51" s="120" t="str">
        <f>VLOOKUP(A51,'Classement Général'!$B$2:$B$146,1,0)</f>
        <v>#N/A</v>
      </c>
    </row>
    <row r="52" ht="14.25" customHeight="1">
      <c r="A52" s="122"/>
      <c r="B52" s="103">
        <v>51.0</v>
      </c>
      <c r="C52" s="123">
        <f t="shared" si="1"/>
        <v>-32.32811472</v>
      </c>
      <c r="D52" s="124" t="str">
        <f>VLOOKUP(A52,'Classement S6'!$B$2:$C$150,1,0)</f>
        <v>#N/A</v>
      </c>
      <c r="E52" s="125" t="str">
        <f t="shared" si="2"/>
        <v>#N/A</v>
      </c>
      <c r="F52" s="120" t="str">
        <f>VLOOKUP(A52,'Classement Général'!$B$2:$B$146,1,0)</f>
        <v>#N/A</v>
      </c>
    </row>
    <row r="53" ht="14.25" customHeight="1">
      <c r="A53" s="122"/>
      <c r="B53" s="103">
        <v>52.0</v>
      </c>
      <c r="C53" s="123">
        <f t="shared" si="1"/>
        <v>-48.25733626</v>
      </c>
      <c r="D53" s="124" t="str">
        <f>VLOOKUP(A53,'Classement S6'!$B$2:$C$150,1,0)</f>
        <v>#N/A</v>
      </c>
      <c r="E53" s="125" t="str">
        <f t="shared" si="2"/>
        <v>#N/A</v>
      </c>
      <c r="F53" s="120" t="str">
        <f>VLOOKUP(A53,'Classement Général'!$B$2:$B$146,1,0)</f>
        <v>#N/A</v>
      </c>
    </row>
    <row r="54" ht="14.25" customHeight="1">
      <c r="A54" s="122"/>
      <c r="B54" s="103">
        <v>53.0</v>
      </c>
      <c r="C54" s="123">
        <f t="shared" si="1"/>
        <v>-64.03743837</v>
      </c>
      <c r="D54" s="124" t="str">
        <f>VLOOKUP(A54,'Classement S6'!$B$2:$C$150,1,0)</f>
        <v>#N/A</v>
      </c>
      <c r="E54" s="125" t="str">
        <f t="shared" si="2"/>
        <v>#N/A</v>
      </c>
      <c r="F54" s="120" t="str">
        <f>VLOOKUP(A54,'Classement Général'!$B$2:$B$146,1,0)</f>
        <v>#N/A</v>
      </c>
    </row>
    <row r="55" ht="14.25" customHeight="1">
      <c r="A55" s="122"/>
      <c r="B55" s="103">
        <v>54.0</v>
      </c>
      <c r="C55" s="123">
        <f t="shared" si="1"/>
        <v>-79.67360925</v>
      </c>
      <c r="D55" s="124" t="str">
        <f>VLOOKUP(A55,'Classement S6'!$B$2:$C$150,1,0)</f>
        <v>#N/A</v>
      </c>
      <c r="E55" s="125" t="str">
        <f t="shared" si="2"/>
        <v>#N/A</v>
      </c>
      <c r="F55" s="120" t="str">
        <f>VLOOKUP(A55,'Classement Général'!$B$2:$B$146,1,0)</f>
        <v>#N/A</v>
      </c>
    </row>
    <row r="56" ht="14.25" customHeight="1">
      <c r="A56" s="122"/>
      <c r="B56" s="103">
        <v>55.0</v>
      </c>
      <c r="C56" s="123">
        <f t="shared" si="1"/>
        <v>-95.17075289</v>
      </c>
      <c r="D56" s="124" t="str">
        <f>VLOOKUP(A56,'Classement S6'!$B$2:$C$150,1,0)</f>
        <v>#N/A</v>
      </c>
      <c r="E56" s="125" t="str">
        <f t="shared" si="2"/>
        <v>#N/A</v>
      </c>
      <c r="F56" s="120" t="str">
        <f>VLOOKUP(A56,'Classement Général'!$B$2:$B$146,1,0)</f>
        <v>#N/A</v>
      </c>
    </row>
    <row r="57" ht="14.25" customHeight="1">
      <c r="A57" s="122"/>
      <c r="B57" s="103">
        <v>56.0</v>
      </c>
      <c r="C57" s="123">
        <f t="shared" si="1"/>
        <v>-110.5335097</v>
      </c>
      <c r="D57" s="124" t="str">
        <f>VLOOKUP(A57,'Classement S6'!$B$2:$C$150,1,0)</f>
        <v>#N/A</v>
      </c>
      <c r="E57" s="125" t="str">
        <f t="shared" si="2"/>
        <v>#N/A</v>
      </c>
      <c r="F57" s="120" t="str">
        <f>VLOOKUP(A57,'Classement Général'!$B$2:$B$146,1,0)</f>
        <v>#N/A</v>
      </c>
    </row>
    <row r="58" ht="14.25" customHeight="1">
      <c r="A58" s="122"/>
      <c r="B58" s="103">
        <v>57.0</v>
      </c>
      <c r="C58" s="123">
        <f t="shared" si="1"/>
        <v>-125.7662756</v>
      </c>
      <c r="D58" s="124" t="str">
        <f>VLOOKUP(A58,'Classement S6'!$B$2:$C$150,1,0)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22"/>
      <c r="B59" s="103">
        <v>58.0</v>
      </c>
      <c r="C59" s="123">
        <f t="shared" si="1"/>
        <v>-140.8732188</v>
      </c>
      <c r="D59" s="124" t="str">
        <f>VLOOKUP(A59,'Classement S6'!$B$2:$C$150,1,0)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22"/>
      <c r="B60" s="103">
        <v>59.0</v>
      </c>
      <c r="C60" s="123">
        <f t="shared" si="1"/>
        <v>-155.8582961</v>
      </c>
      <c r="D60" s="124" t="str">
        <f>VLOOKUP(A60,'Classement S6'!$B$2:$C$150,1,0)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22"/>
      <c r="B61" s="103">
        <v>60.0</v>
      </c>
      <c r="C61" s="123">
        <f t="shared" si="1"/>
        <v>-170.7252666</v>
      </c>
      <c r="D61" s="124" t="str">
        <f>VLOOKUP(A61,'Classement S6'!$B$2:$C$150,1,0)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22"/>
      <c r="B62" s="103">
        <v>61.0</v>
      </c>
      <c r="C62" s="123">
        <f t="shared" si="1"/>
        <v>-185.4777053</v>
      </c>
      <c r="D62" s="124" t="str">
        <f>VLOOKUP(A62,'Classement S6'!$B$2:$C$150,1,0)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22"/>
      <c r="B63" s="103">
        <v>62.0</v>
      </c>
      <c r="C63" s="123">
        <f t="shared" si="1"/>
        <v>-200.1190151</v>
      </c>
      <c r="D63" s="124" t="str">
        <f>VLOOKUP(A63,'Classement S6'!$B$2:$C$150,1,0)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22"/>
      <c r="B64" s="103">
        <v>63.0</v>
      </c>
      <c r="C64" s="123">
        <f t="shared" si="1"/>
        <v>-214.6524379</v>
      </c>
      <c r="D64" s="124" t="str">
        <f>VLOOKUP(A64,'Classement S6'!$B$2:$C$150,1,0)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22"/>
      <c r="B65" s="103">
        <v>64.0</v>
      </c>
      <c r="C65" s="123">
        <f t="shared" si="1"/>
        <v>-229.0810645</v>
      </c>
      <c r="D65" s="124" t="str">
        <f>VLOOKUP(A65,'Classement S6'!$B$2:$C$150,1,0)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22"/>
      <c r="B66" s="103">
        <v>65.0</v>
      </c>
      <c r="C66" s="123">
        <f t="shared" si="1"/>
        <v>-243.4078445</v>
      </c>
      <c r="D66" s="124" t="str">
        <f>VLOOKUP(A66,'Classement S6'!$B$2:$C$150,1,0)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22"/>
      <c r="B67" s="103">
        <v>66.0</v>
      </c>
      <c r="C67" s="123">
        <f t="shared" si="1"/>
        <v>-257.6355946</v>
      </c>
      <c r="D67" s="124" t="str">
        <f>VLOOKUP(A67,'Classement S6'!$B$2:$C$150,1,0)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22"/>
      <c r="B68" s="103">
        <v>67.0</v>
      </c>
      <c r="C68" s="123">
        <f t="shared" si="1"/>
        <v>-271.767007</v>
      </c>
      <c r="D68" s="124" t="str">
        <f>VLOOKUP(A68,'Classement S6'!$B$2:$C$150,1,0)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22"/>
      <c r="B69" s="103">
        <v>68.0</v>
      </c>
      <c r="C69" s="123">
        <f t="shared" si="1"/>
        <v>-285.8046561</v>
      </c>
      <c r="D69" s="124" t="str">
        <f>VLOOKUP(A69,'Classement S6'!$B$2:$C$150,1,0)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22"/>
      <c r="B70" s="103">
        <v>69.0</v>
      </c>
      <c r="C70" s="123">
        <f t="shared" si="1"/>
        <v>-299.7510064</v>
      </c>
      <c r="D70" s="124" t="str">
        <f>VLOOKUP(A70,'Classement S6'!$B$2:$C$150,1,0)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22"/>
      <c r="B71" s="103">
        <v>70.0</v>
      </c>
      <c r="C71" s="123">
        <f t="shared" si="1"/>
        <v>-313.608418</v>
      </c>
      <c r="D71" s="124" t="str">
        <f>VLOOKUP(A71,'Classement S6'!$B$2:$C$150,1,0)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22"/>
      <c r="B72" s="103">
        <v>71.0</v>
      </c>
      <c r="C72" s="123">
        <f t="shared" si="1"/>
        <v>-327.3791529</v>
      </c>
      <c r="D72" s="124" t="str">
        <f>VLOOKUP(A72,'Classement S6'!$B$2:$C$150,1,0)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22"/>
      <c r="B73" s="103">
        <v>72.0</v>
      </c>
      <c r="C73" s="123">
        <f t="shared" si="1"/>
        <v>-341.0653804</v>
      </c>
      <c r="D73" s="124" t="str">
        <f>VLOOKUP(A73,'Classement S6'!$B$2:$C$150,1,0)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22"/>
      <c r="B74" s="103">
        <v>73.0</v>
      </c>
      <c r="C74" s="123">
        <f t="shared" si="1"/>
        <v>-354.6691823</v>
      </c>
      <c r="D74" s="124" t="str">
        <f>VLOOKUP(A74,'Classement S6'!$B$2:$C$150,1,0)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22"/>
      <c r="B75" s="103">
        <v>74.0</v>
      </c>
      <c r="C75" s="123">
        <f t="shared" si="1"/>
        <v>-368.1925576</v>
      </c>
      <c r="D75" s="124" t="str">
        <f>VLOOKUP(A75,'Classement S6'!$B$2:$C$150,1,0)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22"/>
      <c r="B76" s="103">
        <v>75.0</v>
      </c>
      <c r="C76" s="123">
        <f t="shared" si="1"/>
        <v>-381.6374269</v>
      </c>
      <c r="D76" s="124" t="str">
        <f>VLOOKUP(A76,'Classement S6'!$B$2:$C$150,1,0)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22"/>
      <c r="B77" s="103">
        <v>76.0</v>
      </c>
      <c r="C77" s="123">
        <f t="shared" si="1"/>
        <v>-395.0056367</v>
      </c>
      <c r="D77" s="124" t="str">
        <f>VLOOKUP(A77,'Classement S6'!$B$2:$C$150,1,0)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22"/>
      <c r="B78" s="103">
        <v>77.0</v>
      </c>
      <c r="C78" s="123">
        <f t="shared" si="1"/>
        <v>-408.2989631</v>
      </c>
      <c r="D78" s="124" t="str">
        <f>VLOOKUP(A78,'Classement S6'!$B$2:$C$150,1,0)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22"/>
      <c r="B79" s="103">
        <v>78.0</v>
      </c>
      <c r="C79" s="123">
        <f t="shared" si="1"/>
        <v>-421.5191154</v>
      </c>
      <c r="D79" s="124" t="str">
        <f>VLOOKUP(A79,'Classement S6'!$B$2:$C$150,1,0)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27"/>
      <c r="B80" s="103">
        <v>79.0</v>
      </c>
      <c r="C80" s="123">
        <f t="shared" si="1"/>
        <v>-434.6677398</v>
      </c>
      <c r="D80" s="124" t="str">
        <f>VLOOKUP(A80,'Classement S6'!$B$2:$C$150,1,0)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27"/>
      <c r="B81" s="103">
        <v>80.0</v>
      </c>
      <c r="C81" s="123">
        <f t="shared" si="1"/>
        <v>-447.746422</v>
      </c>
      <c r="D81" s="124" t="str">
        <f>VLOOKUP(A81,'Classement S6'!$B$2:$C$150,1,0)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27"/>
      <c r="B82" s="103">
        <v>81.0</v>
      </c>
      <c r="C82" s="123">
        <f t="shared" si="1"/>
        <v>-460.7566909</v>
      </c>
      <c r="D82" s="124" t="str">
        <f>VLOOKUP(A82,'Classement S6'!$B$2:$C$150,1,0)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27"/>
      <c r="B83" s="103">
        <v>82.0</v>
      </c>
      <c r="C83" s="123">
        <f t="shared" si="1"/>
        <v>-473.7000208</v>
      </c>
      <c r="D83" s="124" t="str">
        <f>VLOOKUP(A83,'Classement S6'!$B$2:$C$150,1,0)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27"/>
      <c r="B84" s="103">
        <v>83.0</v>
      </c>
      <c r="C84" s="123">
        <f t="shared" si="1"/>
        <v>-486.5778341</v>
      </c>
      <c r="D84" s="124" t="str">
        <f>VLOOKUP(A84,'Classement S6'!$B$2:$C$150,1,0)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27"/>
      <c r="B85" s="103">
        <v>84.0</v>
      </c>
      <c r="C85" s="123">
        <f t="shared" si="1"/>
        <v>-499.3915043</v>
      </c>
      <c r="D85" s="124" t="str">
        <f>VLOOKUP(A85,'Classement S6'!$B$2:$C$150,1,0)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27"/>
      <c r="B86" s="103">
        <v>85.0</v>
      </c>
      <c r="C86" s="123">
        <f t="shared" si="1"/>
        <v>-512.1423575</v>
      </c>
      <c r="D86" s="124" t="str">
        <f>VLOOKUP(A86,'Classement S6'!$B$2:$C$150,1,0)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27"/>
      <c r="B87" s="103">
        <v>86.0</v>
      </c>
      <c r="C87" s="123">
        <f t="shared" si="1"/>
        <v>-524.8316753</v>
      </c>
      <c r="D87" s="124" t="str">
        <f>VLOOKUP(A87,'Classement S6'!$B$2:$C$150,1,0)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27"/>
      <c r="B88" s="103">
        <v>87.0</v>
      </c>
      <c r="C88" s="123">
        <f t="shared" si="1"/>
        <v>-537.4606963</v>
      </c>
      <c r="D88" s="124" t="str">
        <f>VLOOKUP(A88,'Classement S6'!$B$2:$C$150,1,0)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27"/>
      <c r="B89" s="103">
        <v>88.0</v>
      </c>
      <c r="C89" s="123">
        <f t="shared" si="1"/>
        <v>-550.0306185</v>
      </c>
      <c r="D89" s="124" t="str">
        <f>VLOOKUP(A89,'Classement S6'!$B$2:$C$150,1,0)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27"/>
      <c r="B90" s="103">
        <v>89.0</v>
      </c>
      <c r="C90" s="123">
        <f t="shared" si="1"/>
        <v>-562.5426007</v>
      </c>
      <c r="D90" s="124" t="str">
        <f>VLOOKUP(A90,'Classement S6'!$B$2:$C$150,1,0)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27"/>
      <c r="B91" s="103">
        <v>90.0</v>
      </c>
      <c r="C91" s="123">
        <f t="shared" si="1"/>
        <v>-574.9977646</v>
      </c>
      <c r="D91" s="124" t="str">
        <f>VLOOKUP(A91,'Classement S6'!$B$2:$C$150,1,0)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27"/>
      <c r="B92" s="103">
        <v>91.0</v>
      </c>
      <c r="C92" s="123">
        <f t="shared" si="1"/>
        <v>-587.3971963</v>
      </c>
      <c r="D92" s="124" t="str">
        <f>VLOOKUP(A92,'Classement S6'!$B$2:$C$150,1,0)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27"/>
      <c r="B93" s="103">
        <v>92.0</v>
      </c>
      <c r="C93" s="123">
        <f t="shared" si="1"/>
        <v>-599.7419477</v>
      </c>
      <c r="D93" s="124" t="str">
        <f>VLOOKUP(A93,'Classement S6'!$B$2:$C$150,1,0)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27"/>
      <c r="B94" s="103">
        <v>93.0</v>
      </c>
      <c r="C94" s="123">
        <f t="shared" si="1"/>
        <v>-612.033038</v>
      </c>
      <c r="D94" s="124" t="str">
        <f>VLOOKUP(A94,'Classement S6'!$B$2:$C$150,1,0)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27"/>
      <c r="B95" s="103">
        <v>94.0</v>
      </c>
      <c r="C95" s="123">
        <f t="shared" si="1"/>
        <v>-624.2714553</v>
      </c>
      <c r="D95" s="124" t="str">
        <f>VLOOKUP(A95,'Classement S6'!$B$2:$C$150,1,0)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27"/>
      <c r="B96" s="103">
        <v>95.0</v>
      </c>
      <c r="C96" s="123">
        <f t="shared" si="1"/>
        <v>-636.4581577</v>
      </c>
      <c r="D96" s="124" t="str">
        <f>VLOOKUP(A96,'Classement S6'!$B$2:$C$150,1,0)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27"/>
      <c r="B97" s="103">
        <v>96.0</v>
      </c>
      <c r="C97" s="123">
        <f t="shared" si="1"/>
        <v>-648.5940745</v>
      </c>
      <c r="D97" s="124" t="str">
        <f>VLOOKUP(A97,'Classement S6'!$B$2:$C$150,1,0)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27"/>
      <c r="B98" s="103">
        <v>97.0</v>
      </c>
      <c r="C98" s="123">
        <f t="shared" si="1"/>
        <v>-660.6801075</v>
      </c>
      <c r="D98" s="124" t="str">
        <f>VLOOKUP(A98,'Classement S6'!$B$2:$C$150,1,0)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27"/>
      <c r="B99" s="103">
        <v>98.0</v>
      </c>
      <c r="C99" s="123">
        <f t="shared" si="1"/>
        <v>-672.7171322</v>
      </c>
      <c r="D99" s="124" t="str">
        <f>VLOOKUP(A99,'Classement S6'!$B$2:$C$150,1,0)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27"/>
      <c r="B100" s="103">
        <v>99.0</v>
      </c>
      <c r="C100" s="123">
        <f t="shared" si="1"/>
        <v>-684.7059986</v>
      </c>
      <c r="D100" s="124" t="str">
        <f>VLOOKUP(A100,'Classement S6'!$B$2:$C$150,1,0)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27"/>
      <c r="B101" s="103">
        <v>100.0</v>
      </c>
      <c r="C101" s="123">
        <f t="shared" si="1"/>
        <v>-696.6475323</v>
      </c>
      <c r="D101" s="124" t="str">
        <f>VLOOKUP(A101,'Classement S6'!$B$2:$C$150,1,0)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27"/>
      <c r="B102" s="103">
        <v>101.0</v>
      </c>
      <c r="C102" s="123">
        <f t="shared" si="1"/>
        <v>-708.5425356</v>
      </c>
      <c r="D102" s="124" t="str">
        <f>VLOOKUP(A102,'Classement S6'!$B$2:$C$150,1,0)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27"/>
      <c r="B103" s="103">
        <v>102.0</v>
      </c>
      <c r="C103" s="123">
        <f t="shared" si="1"/>
        <v>-720.3917882</v>
      </c>
      <c r="D103" s="124" t="str">
        <f>VLOOKUP(A103,'Classement S6'!$B$2:$C$150,1,0)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27"/>
      <c r="B104" s="103">
        <v>103.0</v>
      </c>
      <c r="C104" s="123">
        <f t="shared" si="1"/>
        <v>-732.1960483</v>
      </c>
      <c r="D104" s="124" t="str">
        <f>VLOOKUP(A104,'Classement S6'!$B$2:$C$150,1,0)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27"/>
      <c r="B105" s="103">
        <v>104.0</v>
      </c>
      <c r="C105" s="123">
        <f t="shared" si="1"/>
        <v>-743.956053</v>
      </c>
      <c r="D105" s="124" t="str">
        <f>VLOOKUP(A105,'Classement S6'!$B$2:$C$150,1,0)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27"/>
      <c r="B106" s="103">
        <v>105.0</v>
      </c>
      <c r="C106" s="123">
        <f t="shared" si="1"/>
        <v>-755.6725197</v>
      </c>
      <c r="D106" s="124" t="str">
        <f>VLOOKUP(A106,'Classement S6'!$B$2:$C$150,1,0)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27"/>
      <c r="B107" s="103">
        <v>106.0</v>
      </c>
      <c r="C107" s="123">
        <f t="shared" si="1"/>
        <v>-767.3461462</v>
      </c>
      <c r="D107" s="124" t="str">
        <f>VLOOKUP(A107,'Classement S6'!$B$2:$C$150,1,0)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27"/>
      <c r="B108" s="103">
        <v>107.0</v>
      </c>
      <c r="C108" s="123">
        <f t="shared" si="1"/>
        <v>-778.977612</v>
      </c>
      <c r="D108" s="124" t="str">
        <f>VLOOKUP(A108,'Classement S6'!$B$2:$C$150,1,0)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27"/>
      <c r="B109" s="103">
        <v>108.0</v>
      </c>
      <c r="C109" s="123">
        <f t="shared" si="1"/>
        <v>-790.5675784</v>
      </c>
      <c r="D109" s="124" t="str">
        <f>VLOOKUP(A109,'Classement S6'!$B$2:$C$150,1,0)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27"/>
      <c r="B110" s="103">
        <v>109.0</v>
      </c>
      <c r="C110" s="123">
        <f t="shared" si="1"/>
        <v>-802.1166898</v>
      </c>
      <c r="D110" s="124" t="str">
        <f>VLOOKUP(A110,'Classement S6'!$B$2:$C$150,1,0)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27"/>
      <c r="B111" s="103">
        <v>110.0</v>
      </c>
      <c r="C111" s="123">
        <f t="shared" si="1"/>
        <v>-813.6255735</v>
      </c>
      <c r="D111" s="124" t="str">
        <f>VLOOKUP(A111,'Classement S6'!$B$2:$C$150,1,0)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27"/>
      <c r="B112" s="103">
        <v>111.0</v>
      </c>
      <c r="C112" s="123">
        <f t="shared" si="1"/>
        <v>-825.0948412</v>
      </c>
      <c r="D112" s="124" t="str">
        <f>VLOOKUP(A112,'Classement S6'!$B$2:$C$150,1,0)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27"/>
      <c r="B113" s="103">
        <v>112.0</v>
      </c>
      <c r="C113" s="123">
        <f t="shared" si="1"/>
        <v>-836.5250889</v>
      </c>
      <c r="D113" s="124" t="str">
        <f>VLOOKUP(A113,'Classement S6'!$B$2:$C$150,1,0)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27"/>
      <c r="B114" s="103">
        <v>113.0</v>
      </c>
      <c r="C114" s="123">
        <f t="shared" si="1"/>
        <v>-847.9168975</v>
      </c>
      <c r="D114" s="124" t="str">
        <f>VLOOKUP(A114,'Classement S6'!$B$2:$C$150,1,0)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27"/>
      <c r="B115" s="103">
        <v>114.0</v>
      </c>
      <c r="C115" s="123">
        <f t="shared" si="1"/>
        <v>-859.2708338</v>
      </c>
      <c r="D115" s="124" t="str">
        <f>VLOOKUP(A115,'Classement S6'!$B$2:$C$150,1,0)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27"/>
      <c r="B116" s="103">
        <v>115.0</v>
      </c>
      <c r="C116" s="123">
        <f t="shared" si="1"/>
        <v>-870.5874503</v>
      </c>
      <c r="D116" s="124" t="str">
        <f>VLOOKUP(A116,'Classement S6'!$B$2:$C$150,1,0)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27"/>
      <c r="B117" s="103">
        <v>116.0</v>
      </c>
      <c r="C117" s="123">
        <f t="shared" si="1"/>
        <v>-881.8672864</v>
      </c>
      <c r="D117" s="124" t="str">
        <f>VLOOKUP(A117,'Classement S6'!$B$2:$C$150,1,0)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27"/>
      <c r="B118" s="103">
        <v>117.0</v>
      </c>
      <c r="C118" s="123">
        <f t="shared" si="1"/>
        <v>-893.1108681</v>
      </c>
      <c r="D118" s="124" t="str">
        <f>VLOOKUP(A118,'Classement S6'!$B$2:$C$150,1,0)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27"/>
      <c r="B119" s="103">
        <v>118.0</v>
      </c>
      <c r="C119" s="123">
        <f t="shared" si="1"/>
        <v>-904.3187091</v>
      </c>
      <c r="D119" s="124" t="str">
        <f>VLOOKUP(A119,'Classement S6'!$B$2:$C$150,1,0)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27"/>
      <c r="B120" s="103">
        <v>119.0</v>
      </c>
      <c r="C120" s="123">
        <f t="shared" si="1"/>
        <v>-915.4913108</v>
      </c>
      <c r="D120" s="124" t="str">
        <f>VLOOKUP(A120,'Classement S6'!$B$2:$C$150,1,0)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27"/>
      <c r="B121" s="103">
        <v>120.0</v>
      </c>
      <c r="C121" s="123">
        <f t="shared" si="1"/>
        <v>-926.6291628</v>
      </c>
      <c r="D121" s="124" t="str">
        <f>VLOOKUP(A121,'Classement S6'!$B$2:$C$150,1,0)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27"/>
      <c r="B122" s="103">
        <v>121.0</v>
      </c>
      <c r="C122" s="123">
        <f t="shared" si="1"/>
        <v>-937.7327434</v>
      </c>
      <c r="D122" s="124" t="str">
        <f>VLOOKUP(A122,'Classement S6'!$B$2:$C$150,1,0)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27"/>
      <c r="B123" s="103">
        <v>122.0</v>
      </c>
      <c r="C123" s="123">
        <f t="shared" si="1"/>
        <v>-948.8025198</v>
      </c>
      <c r="D123" s="124" t="str">
        <f>VLOOKUP(A123,'Classement S6'!$B$2:$C$150,1,0)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27"/>
      <c r="B124" s="103">
        <v>123.0</v>
      </c>
      <c r="C124" s="123">
        <f t="shared" si="1"/>
        <v>-959.8389485</v>
      </c>
      <c r="D124" s="124" t="str">
        <f>VLOOKUP(A124,'Classement S6'!$B$2:$C$150,1,0)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27"/>
      <c r="B125" s="103">
        <v>124.0</v>
      </c>
      <c r="C125" s="123">
        <f t="shared" si="1"/>
        <v>-970.8424757</v>
      </c>
      <c r="D125" s="124" t="str">
        <f>VLOOKUP(A125,'Classement S6'!$B$2:$C$150,1,0)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27"/>
      <c r="B126" s="103">
        <v>125.0</v>
      </c>
      <c r="C126" s="123">
        <f t="shared" si="1"/>
        <v>-981.8135376</v>
      </c>
      <c r="D126" s="124" t="str">
        <f>VLOOKUP(A126,'Classement S6'!$B$2:$C$150,1,0)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27"/>
      <c r="B127" s="103">
        <v>126.0</v>
      </c>
      <c r="C127" s="123">
        <f t="shared" si="1"/>
        <v>-992.7525605</v>
      </c>
      <c r="D127" s="124" t="str">
        <f>VLOOKUP(A127,'Classement S6'!$B$2:$C$150,1,0)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27"/>
      <c r="B128" s="103">
        <v>127.0</v>
      </c>
      <c r="C128" s="123">
        <f t="shared" si="1"/>
        <v>-1003.659962</v>
      </c>
      <c r="D128" s="124" t="str">
        <f>VLOOKUP(A128,'Classement S6'!$B$2:$C$150,1,0)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27"/>
      <c r="B129" s="103">
        <v>128.0</v>
      </c>
      <c r="C129" s="123">
        <f t="shared" si="1"/>
        <v>-1014.536149</v>
      </c>
      <c r="D129" s="124" t="str">
        <f>VLOOKUP(A129,'Classement S6'!$B$2:$C$150,1,0)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27"/>
      <c r="B130" s="103">
        <v>129.0</v>
      </c>
      <c r="C130" s="123">
        <f t="shared" si="1"/>
        <v>-1025.381521</v>
      </c>
      <c r="D130" s="124" t="str">
        <f>VLOOKUP(A130,'Classement S6'!$B$2:$C$150,1,0)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27"/>
      <c r="B131" s="103">
        <v>130.0</v>
      </c>
      <c r="C131" s="123">
        <f t="shared" si="1"/>
        <v>-1036.196468</v>
      </c>
      <c r="D131" s="124" t="str">
        <f>VLOOKUP(A131,'Classement S6'!$B$2:$C$150,1,0)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27"/>
      <c r="B132" s="103">
        <v>131.0</v>
      </c>
      <c r="C132" s="123">
        <f t="shared" si="1"/>
        <v>-1046.981374</v>
      </c>
      <c r="D132" s="124" t="str">
        <f>VLOOKUP(A132,'Classement S6'!$B$2:$C$150,1,0)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27"/>
      <c r="B133" s="103">
        <v>132.0</v>
      </c>
      <c r="C133" s="123">
        <f t="shared" si="1"/>
        <v>-1057.736611</v>
      </c>
      <c r="D133" s="124" t="str">
        <f>VLOOKUP(A133,'Classement S6'!$B$2:$C$150,1,0)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27"/>
      <c r="B134" s="103">
        <v>133.0</v>
      </c>
      <c r="C134" s="123">
        <f t="shared" si="1"/>
        <v>-1068.462546</v>
      </c>
      <c r="D134" s="124" t="str">
        <f>VLOOKUP(A134,'Classement S6'!$B$2:$C$150,1,0)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27"/>
      <c r="B135" s="103">
        <v>134.0</v>
      </c>
      <c r="C135" s="123">
        <f t="shared" si="1"/>
        <v>-1079.159537</v>
      </c>
      <c r="D135" s="124" t="str">
        <f>VLOOKUP(A135,'Classement S6'!$B$2:$C$150,1,0)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27"/>
      <c r="B136" s="103">
        <v>135.0</v>
      </c>
      <c r="C136" s="123">
        <f t="shared" si="1"/>
        <v>-1089.827936</v>
      </c>
      <c r="D136" s="124" t="str">
        <f>VLOOKUP(A136,'Classement S6'!$B$2:$C$150,1,0)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27"/>
      <c r="B137" s="103">
        <v>136.0</v>
      </c>
      <c r="C137" s="123">
        <f t="shared" si="1"/>
        <v>-1100.468086</v>
      </c>
      <c r="D137" s="124" t="str">
        <f>VLOOKUP(A137,'Classement S6'!$B$2:$C$150,1,0)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27"/>
      <c r="B138" s="103">
        <v>137.0</v>
      </c>
      <c r="C138" s="123">
        <f t="shared" si="1"/>
        <v>-1111.080325</v>
      </c>
      <c r="D138" s="124" t="str">
        <f>VLOOKUP(A138,'Classement S6'!$B$2:$C$150,1,0)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27"/>
      <c r="B139" s="103">
        <v>138.0</v>
      </c>
      <c r="C139" s="123">
        <f t="shared" si="1"/>
        <v>-1121.664983</v>
      </c>
      <c r="D139" s="124" t="str">
        <f>VLOOKUP(A139,'Classement S6'!$B$2:$C$150,1,0)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27"/>
      <c r="B140" s="103">
        <v>139.0</v>
      </c>
      <c r="C140" s="123">
        <f t="shared" si="1"/>
        <v>-1132.222383</v>
      </c>
      <c r="D140" s="124" t="str">
        <f>VLOOKUP(A140,'Classement S6'!$B$2:$C$150,1,0)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27"/>
      <c r="B141" s="103">
        <v>140.0</v>
      </c>
      <c r="C141" s="123">
        <f t="shared" si="1"/>
        <v>-1142.752843</v>
      </c>
      <c r="D141" s="124" t="str">
        <f>VLOOKUP(A141,'Classement S6'!$B$2:$C$150,1,0)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27"/>
      <c r="B142" s="103">
        <v>141.0</v>
      </c>
      <c r="C142" s="123">
        <f t="shared" si="1"/>
        <v>-1153.256673</v>
      </c>
      <c r="D142" s="124" t="str">
        <f>VLOOKUP(A142,'Classement S6'!$B$2:$C$150,1,0)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27"/>
      <c r="B143" s="103">
        <v>142.0</v>
      </c>
      <c r="C143" s="123">
        <f t="shared" si="1"/>
        <v>-1163.734178</v>
      </c>
      <c r="D143" s="124" t="str">
        <f>VLOOKUP(A143,'Classement S6'!$B$2:$C$150,1,0)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27"/>
      <c r="B144" s="103">
        <v>143.0</v>
      </c>
      <c r="C144" s="123">
        <f t="shared" si="1"/>
        <v>-1174.185657</v>
      </c>
      <c r="D144" s="124" t="str">
        <f>VLOOKUP(A144,'Classement S6'!$B$2:$C$150,1,0)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27"/>
      <c r="B145" s="103">
        <v>144.0</v>
      </c>
      <c r="C145" s="123">
        <f t="shared" si="1"/>
        <v>-1184.611404</v>
      </c>
      <c r="D145" s="124" t="str">
        <f>VLOOKUP(A145,'Classement S6'!$B$2:$C$150,1,0)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27"/>
      <c r="B146" s="103">
        <v>145.0</v>
      </c>
      <c r="C146" s="123">
        <f t="shared" si="1"/>
        <v>-1195.011706</v>
      </c>
      <c r="D146" s="124" t="str">
        <f>VLOOKUP(A146,'Classement S6'!$B$2:$C$150,1,0)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27"/>
      <c r="B147" s="103">
        <v>146.0</v>
      </c>
      <c r="C147" s="123">
        <f t="shared" si="1"/>
        <v>-1205.386844</v>
      </c>
      <c r="D147" s="124" t="str">
        <f>VLOOKUP(A147,'Classement S6'!$B$2:$C$150,1,0)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27"/>
      <c r="B148" s="103">
        <v>147.0</v>
      </c>
      <c r="C148" s="123">
        <f t="shared" si="1"/>
        <v>-1215.737097</v>
      </c>
      <c r="D148" s="124" t="str">
        <f>VLOOKUP(A148,'Classement S6'!$B$2:$C$150,1,0)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27"/>
      <c r="B149" s="103">
        <v>148.0</v>
      </c>
      <c r="C149" s="123">
        <f t="shared" si="1"/>
        <v>-1226.062735</v>
      </c>
      <c r="D149" s="124" t="str">
        <f>VLOOKUP(A149,'Classement S6'!$B$2:$C$150,1,0)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27"/>
      <c r="B150" s="103">
        <v>149.0</v>
      </c>
      <c r="C150" s="123">
        <f t="shared" si="1"/>
        <v>-1236.364025</v>
      </c>
      <c r="D150" s="124" t="str">
        <f>VLOOKUP(A150,'Classement S6'!$B$2:$C$150,1,0)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27"/>
      <c r="B151" s="103">
        <v>150.0</v>
      </c>
      <c r="C151" s="123">
        <f t="shared" si="1"/>
        <v>-1246.64123</v>
      </c>
      <c r="D151" s="124" t="str">
        <f>VLOOKUP(A151,'Classement S6'!$B$2:$C$150,1,0)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27"/>
      <c r="B152" s="103">
        <v>151.0</v>
      </c>
      <c r="C152" s="123">
        <f t="shared" si="1"/>
        <v>-1256.894604</v>
      </c>
      <c r="D152" s="124" t="str">
        <f>VLOOKUP(A152,'Classement S6'!$B$2:$C$150,1,0)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27"/>
      <c r="B153" s="103">
        <v>152.0</v>
      </c>
      <c r="C153" s="123">
        <f t="shared" si="1"/>
        <v>-1267.124402</v>
      </c>
      <c r="D153" s="124" t="str">
        <f>VLOOKUP(A153,'Classement S6'!$B$2:$C$150,1,0)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27"/>
      <c r="B154" s="103">
        <v>153.0</v>
      </c>
      <c r="C154" s="123">
        <f t="shared" si="1"/>
        <v>-1277.330871</v>
      </c>
      <c r="D154" s="124" t="str">
        <f>VLOOKUP(A154,'Classement S6'!$B$2:$C$150,1,0)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27"/>
      <c r="B155" s="103">
        <v>154.0</v>
      </c>
      <c r="C155" s="123">
        <f t="shared" si="1"/>
        <v>-1287.514254</v>
      </c>
      <c r="D155" s="124" t="str">
        <f>VLOOKUP(A155,'Classement S6'!$B$2:$C$150,1,0)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27"/>
      <c r="B156" s="103">
        <v>155.0</v>
      </c>
      <c r="C156" s="123">
        <f t="shared" si="1"/>
        <v>-1297.67479</v>
      </c>
      <c r="D156" s="124" t="str">
        <f>VLOOKUP(A156,'Classement S6'!$B$2:$C$150,1,0)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27"/>
      <c r="B157" s="103">
        <v>156.0</v>
      </c>
      <c r="C157" s="123">
        <f t="shared" si="1"/>
        <v>-1307.812714</v>
      </c>
      <c r="D157" s="124" t="str">
        <f>VLOOKUP(A157,'Classement S6'!$B$2:$C$150,1,0)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27"/>
      <c r="B158" s="103">
        <v>157.0</v>
      </c>
      <c r="C158" s="123">
        <f t="shared" si="1"/>
        <v>-1317.928256</v>
      </c>
      <c r="D158" s="124" t="str">
        <f>VLOOKUP(A158,'Classement S6'!$B$2:$C$150,1,0)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27"/>
      <c r="B159" s="103">
        <v>158.0</v>
      </c>
      <c r="C159" s="123">
        <f t="shared" si="1"/>
        <v>-1328.021644</v>
      </c>
      <c r="D159" s="124" t="str">
        <f>VLOOKUP(A159,'Classement S6'!$B$2:$C$150,1,0)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27"/>
      <c r="B160" s="103">
        <v>159.0</v>
      </c>
      <c r="C160" s="123">
        <f t="shared" si="1"/>
        <v>-1338.093099</v>
      </c>
      <c r="D160" s="124" t="str">
        <f>VLOOKUP(A160,'Classement S6'!$B$2:$C$150,1,0)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27"/>
      <c r="B161" s="103">
        <v>160.0</v>
      </c>
      <c r="C161" s="123">
        <f t="shared" si="1"/>
        <v>-1348.142842</v>
      </c>
      <c r="D161" s="124" t="str">
        <f>VLOOKUP(A161,'Classement S6'!$B$2:$C$150,1,0)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B162" s="128"/>
    </row>
    <row r="163" ht="14.25" customHeight="1">
      <c r="B163" s="128"/>
    </row>
    <row r="164" ht="14.25" customHeight="1">
      <c r="B164" s="128"/>
    </row>
    <row r="165" ht="14.25" customHeight="1">
      <c r="B165" s="128"/>
    </row>
    <row r="166" ht="14.25" customHeight="1">
      <c r="B166" s="128"/>
    </row>
    <row r="167" ht="14.25" customHeight="1">
      <c r="B167" s="128"/>
    </row>
    <row r="168" ht="14.25" customHeight="1">
      <c r="B168" s="128"/>
    </row>
    <row r="169" ht="14.25" customHeight="1">
      <c r="B169" s="128"/>
    </row>
    <row r="170" ht="14.25" customHeight="1">
      <c r="B170" s="128"/>
    </row>
    <row r="171" ht="14.25" customHeight="1">
      <c r="B171" s="128"/>
    </row>
    <row r="172" ht="14.25" customHeight="1">
      <c r="B172" s="128"/>
    </row>
    <row r="173" ht="14.25" customHeight="1">
      <c r="B173" s="128"/>
    </row>
    <row r="174" ht="14.25" customHeight="1">
      <c r="B174" s="128"/>
    </row>
    <row r="175" ht="14.25" customHeight="1">
      <c r="B175" s="128"/>
    </row>
    <row r="176" ht="14.25" customHeight="1">
      <c r="B176" s="128"/>
    </row>
    <row r="177" ht="14.25" customHeight="1">
      <c r="B177" s="128"/>
    </row>
    <row r="178" ht="14.25" customHeight="1">
      <c r="B178" s="128"/>
    </row>
    <row r="179" ht="14.25" customHeight="1">
      <c r="B179" s="128"/>
    </row>
    <row r="180" ht="14.25" customHeight="1">
      <c r="B180" s="128"/>
    </row>
    <row r="181" ht="14.25" customHeight="1">
      <c r="B181" s="128"/>
    </row>
    <row r="182" ht="14.25" customHeight="1">
      <c r="B182" s="128"/>
    </row>
    <row r="183" ht="14.25" customHeight="1">
      <c r="B183" s="128"/>
    </row>
    <row r="184" ht="14.25" customHeight="1">
      <c r="B184" s="128"/>
    </row>
    <row r="185" ht="14.25" customHeight="1">
      <c r="B185" s="128"/>
    </row>
    <row r="186" ht="14.25" customHeight="1">
      <c r="B186" s="128"/>
    </row>
    <row r="187" ht="14.25" customHeight="1">
      <c r="B187" s="128"/>
    </row>
    <row r="188" ht="14.25" customHeight="1">
      <c r="B188" s="128"/>
    </row>
    <row r="189" ht="14.25" customHeight="1">
      <c r="B189" s="128"/>
    </row>
    <row r="190" ht="14.25" customHeight="1">
      <c r="B190" s="128"/>
    </row>
    <row r="191" ht="14.25" customHeight="1">
      <c r="B191" s="128"/>
    </row>
    <row r="192" ht="14.25" customHeight="1">
      <c r="B192" s="128"/>
    </row>
    <row r="193" ht="14.25" customHeight="1">
      <c r="B193" s="128"/>
    </row>
    <row r="194" ht="14.25" customHeight="1">
      <c r="B194" s="128"/>
    </row>
    <row r="195" ht="14.25" customHeight="1">
      <c r="B195" s="128"/>
    </row>
    <row r="196" ht="14.25" customHeight="1">
      <c r="B196" s="128"/>
    </row>
    <row r="197" ht="14.25" customHeight="1">
      <c r="B197" s="128"/>
    </row>
    <row r="198" ht="14.25" customHeight="1">
      <c r="B198" s="128"/>
    </row>
    <row r="199" ht="14.25" customHeight="1">
      <c r="B199" s="128"/>
    </row>
    <row r="200" ht="14.25" customHeight="1">
      <c r="B200" s="128"/>
    </row>
    <row r="201" ht="14.25" customHeight="1">
      <c r="B201" s="128"/>
    </row>
    <row r="202" ht="14.25" customHeight="1">
      <c r="B202" s="128"/>
    </row>
    <row r="203" ht="14.25" customHeight="1">
      <c r="B203" s="128"/>
    </row>
    <row r="204" ht="14.25" customHeight="1">
      <c r="B204" s="128"/>
    </row>
    <row r="205" ht="14.25" customHeight="1">
      <c r="B205" s="128"/>
    </row>
    <row r="206" ht="14.25" customHeight="1">
      <c r="B206" s="128"/>
    </row>
    <row r="207" ht="14.25" customHeight="1">
      <c r="B207" s="128"/>
    </row>
    <row r="208" ht="14.25" customHeight="1">
      <c r="B208" s="128"/>
    </row>
    <row r="209" ht="14.25" customHeight="1">
      <c r="B209" s="128"/>
    </row>
    <row r="210" ht="14.25" customHeight="1">
      <c r="B210" s="128"/>
    </row>
    <row r="211" ht="14.25" customHeight="1">
      <c r="B211" s="128"/>
    </row>
    <row r="212" ht="14.25" customHeight="1">
      <c r="B212" s="128"/>
    </row>
    <row r="213" ht="14.25" customHeight="1">
      <c r="B213" s="128"/>
    </row>
    <row r="214" ht="14.25" customHeight="1">
      <c r="B214" s="128"/>
    </row>
    <row r="215" ht="14.25" customHeight="1">
      <c r="B215" s="128"/>
    </row>
    <row r="216" ht="14.25" customHeight="1">
      <c r="B216" s="128"/>
    </row>
    <row r="217" ht="14.25" customHeight="1">
      <c r="B217" s="128"/>
    </row>
    <row r="218" ht="14.25" customHeight="1">
      <c r="B218" s="128"/>
    </row>
    <row r="219" ht="14.25" customHeight="1">
      <c r="B219" s="128"/>
    </row>
    <row r="220" ht="14.25" customHeight="1">
      <c r="B220" s="128"/>
    </row>
    <row r="221" ht="14.25" customHeight="1">
      <c r="B221" s="128"/>
    </row>
    <row r="222" ht="14.25" customHeight="1">
      <c r="B222" s="128"/>
    </row>
    <row r="223" ht="14.25" customHeight="1">
      <c r="B223" s="128"/>
    </row>
    <row r="224" ht="14.25" customHeight="1">
      <c r="B224" s="128"/>
    </row>
    <row r="225" ht="14.25" customHeight="1">
      <c r="B225" s="128"/>
    </row>
    <row r="226" ht="14.25" customHeight="1">
      <c r="B226" s="128"/>
    </row>
    <row r="227" ht="14.25" customHeight="1">
      <c r="B227" s="128"/>
    </row>
    <row r="228" ht="14.25" customHeight="1">
      <c r="B228" s="128"/>
    </row>
    <row r="229" ht="14.25" customHeight="1">
      <c r="B229" s="128"/>
    </row>
    <row r="230" ht="14.25" customHeight="1">
      <c r="B230" s="128"/>
    </row>
    <row r="231" ht="14.25" customHeight="1">
      <c r="B231" s="128"/>
    </row>
    <row r="232" ht="14.25" customHeight="1">
      <c r="B232" s="128"/>
    </row>
    <row r="233" ht="14.25" customHeight="1">
      <c r="B233" s="128"/>
    </row>
    <row r="234" ht="14.25" customHeight="1">
      <c r="B234" s="128"/>
    </row>
    <row r="235" ht="14.25" customHeight="1">
      <c r="B235" s="128"/>
    </row>
    <row r="236" ht="14.25" customHeight="1">
      <c r="B236" s="128"/>
    </row>
    <row r="237" ht="14.25" customHeight="1">
      <c r="B237" s="128"/>
    </row>
    <row r="238" ht="14.25" customHeight="1">
      <c r="B238" s="128"/>
    </row>
    <row r="239" ht="14.25" customHeight="1">
      <c r="B239" s="128"/>
    </row>
    <row r="240" ht="14.25" customHeight="1">
      <c r="B240" s="128"/>
    </row>
    <row r="241" ht="14.25" customHeight="1">
      <c r="B241" s="128"/>
    </row>
    <row r="242" ht="14.25" customHeight="1">
      <c r="B242" s="128"/>
    </row>
    <row r="243" ht="14.25" customHeight="1">
      <c r="B243" s="128"/>
    </row>
    <row r="244" ht="14.25" customHeight="1">
      <c r="B244" s="128"/>
    </row>
    <row r="245" ht="14.25" customHeight="1">
      <c r="B245" s="128"/>
    </row>
    <row r="246" ht="14.25" customHeight="1">
      <c r="B246" s="128"/>
    </row>
    <row r="247" ht="14.25" customHeight="1">
      <c r="B247" s="128"/>
    </row>
    <row r="248" ht="14.25" customHeight="1">
      <c r="B248" s="128"/>
    </row>
    <row r="249" ht="14.25" customHeight="1">
      <c r="B249" s="128"/>
    </row>
    <row r="250" ht="14.25" customHeight="1">
      <c r="B250" s="128"/>
    </row>
    <row r="251" ht="14.25" customHeight="1">
      <c r="B251" s="128"/>
    </row>
    <row r="252" ht="14.25" customHeight="1">
      <c r="B252" s="128"/>
    </row>
    <row r="253" ht="14.25" customHeight="1">
      <c r="B253" s="128"/>
    </row>
    <row r="254" ht="14.25" customHeight="1">
      <c r="B254" s="128"/>
    </row>
    <row r="255" ht="14.25" customHeight="1">
      <c r="B255" s="128"/>
    </row>
    <row r="256" ht="14.25" customHeight="1">
      <c r="B256" s="128"/>
    </row>
    <row r="257" ht="14.25" customHeight="1">
      <c r="B257" s="128"/>
    </row>
    <row r="258" ht="14.25" customHeight="1">
      <c r="B258" s="128"/>
    </row>
    <row r="259" ht="14.25" customHeight="1">
      <c r="B259" s="128"/>
    </row>
    <row r="260" ht="14.25" customHeight="1">
      <c r="B260" s="128"/>
    </row>
    <row r="261" ht="14.25" customHeight="1">
      <c r="B261" s="128"/>
    </row>
    <row r="262" ht="14.25" customHeight="1">
      <c r="B262" s="128"/>
    </row>
    <row r="263" ht="14.25" customHeight="1">
      <c r="B263" s="128"/>
    </row>
    <row r="264" ht="14.25" customHeight="1">
      <c r="B264" s="128"/>
    </row>
    <row r="265" ht="14.25" customHeight="1">
      <c r="B265" s="128"/>
    </row>
    <row r="266" ht="14.25" customHeight="1">
      <c r="B266" s="128"/>
    </row>
    <row r="267" ht="14.25" customHeight="1">
      <c r="B267" s="128"/>
    </row>
    <row r="268" ht="14.25" customHeight="1">
      <c r="B268" s="128"/>
    </row>
    <row r="269" ht="14.25" customHeight="1">
      <c r="B269" s="128"/>
    </row>
    <row r="270" ht="14.25" customHeight="1">
      <c r="B270" s="128"/>
    </row>
    <row r="271" ht="14.25" customHeight="1">
      <c r="B271" s="128"/>
    </row>
    <row r="272" ht="14.25" customHeight="1">
      <c r="B272" s="128"/>
    </row>
    <row r="273" ht="14.25" customHeight="1">
      <c r="B273" s="128"/>
    </row>
    <row r="274" ht="14.25" customHeight="1">
      <c r="B274" s="128"/>
    </row>
    <row r="275" ht="14.25" customHeight="1">
      <c r="B275" s="128"/>
    </row>
    <row r="276" ht="14.25" customHeight="1">
      <c r="B276" s="128"/>
    </row>
    <row r="277" ht="14.25" customHeight="1">
      <c r="B277" s="128"/>
    </row>
    <row r="278" ht="14.25" customHeight="1">
      <c r="B278" s="128"/>
    </row>
    <row r="279" ht="14.25" customHeight="1">
      <c r="B279" s="128"/>
    </row>
    <row r="280" ht="14.25" customHeight="1">
      <c r="B280" s="128"/>
    </row>
    <row r="281" ht="14.25" customHeight="1">
      <c r="B281" s="128"/>
    </row>
    <row r="282" ht="14.25" customHeight="1">
      <c r="B282" s="128"/>
    </row>
    <row r="283" ht="14.25" customHeight="1">
      <c r="B283" s="128"/>
    </row>
    <row r="284" ht="14.25" customHeight="1">
      <c r="B284" s="128"/>
    </row>
    <row r="285" ht="14.25" customHeight="1">
      <c r="B285" s="128"/>
    </row>
    <row r="286" ht="14.25" customHeight="1">
      <c r="B286" s="128"/>
    </row>
    <row r="287" ht="14.25" customHeight="1">
      <c r="B287" s="128"/>
    </row>
    <row r="288" ht="14.25" customHeight="1">
      <c r="B288" s="128"/>
    </row>
    <row r="289" ht="14.25" customHeight="1">
      <c r="B289" s="128"/>
    </row>
    <row r="290" ht="14.25" customHeight="1">
      <c r="B290" s="128"/>
    </row>
    <row r="291" ht="14.25" customHeight="1">
      <c r="B291" s="128"/>
    </row>
    <row r="292" ht="14.25" customHeight="1">
      <c r="B292" s="128"/>
    </row>
    <row r="293" ht="14.25" customHeight="1">
      <c r="B293" s="128"/>
    </row>
    <row r="294" ht="14.25" customHeight="1">
      <c r="B294" s="128"/>
    </row>
    <row r="295" ht="14.25" customHeight="1">
      <c r="B295" s="128"/>
    </row>
    <row r="296" ht="14.25" customHeight="1">
      <c r="B296" s="128"/>
    </row>
    <row r="297" ht="14.25" customHeight="1">
      <c r="B297" s="128"/>
    </row>
    <row r="298" ht="14.25" customHeight="1">
      <c r="B298" s="128"/>
    </row>
    <row r="299" ht="14.25" customHeight="1">
      <c r="B299" s="128"/>
    </row>
    <row r="300" ht="14.25" customHeight="1">
      <c r="B300" s="128"/>
    </row>
    <row r="301" ht="14.25" customHeight="1">
      <c r="B301" s="128"/>
    </row>
    <row r="302" ht="14.25" customHeight="1">
      <c r="B302" s="128"/>
    </row>
    <row r="303" ht="14.25" customHeight="1">
      <c r="B303" s="128"/>
    </row>
    <row r="304" ht="14.25" customHeight="1">
      <c r="B304" s="128"/>
    </row>
    <row r="305" ht="14.25" customHeight="1">
      <c r="B305" s="128"/>
    </row>
    <row r="306" ht="14.25" customHeight="1">
      <c r="B306" s="128"/>
    </row>
    <row r="307" ht="14.25" customHeight="1">
      <c r="B307" s="128"/>
    </row>
    <row r="308" ht="14.25" customHeight="1">
      <c r="B308" s="128"/>
    </row>
    <row r="309" ht="14.25" customHeight="1">
      <c r="B309" s="128"/>
    </row>
    <row r="310" ht="14.25" customHeight="1">
      <c r="B310" s="128"/>
    </row>
    <row r="311" ht="14.25" customHeight="1">
      <c r="B311" s="128"/>
    </row>
    <row r="312" ht="14.25" customHeight="1">
      <c r="B312" s="128"/>
    </row>
    <row r="313" ht="14.25" customHeight="1">
      <c r="B313" s="128"/>
    </row>
    <row r="314" ht="14.25" customHeight="1">
      <c r="B314" s="128"/>
    </row>
    <row r="315" ht="14.25" customHeight="1">
      <c r="B315" s="128"/>
    </row>
    <row r="316" ht="14.25" customHeight="1">
      <c r="B316" s="128"/>
    </row>
    <row r="317" ht="14.25" customHeight="1">
      <c r="B317" s="128"/>
    </row>
    <row r="318" ht="14.25" customHeight="1">
      <c r="B318" s="128"/>
    </row>
    <row r="319" ht="14.25" customHeight="1">
      <c r="B319" s="128"/>
    </row>
    <row r="320" ht="14.25" customHeight="1">
      <c r="B320" s="128"/>
    </row>
    <row r="321" ht="14.25" customHeight="1">
      <c r="B321" s="128"/>
    </row>
    <row r="322" ht="14.25" customHeight="1">
      <c r="B322" s="128"/>
    </row>
    <row r="323" ht="14.25" customHeight="1">
      <c r="B323" s="128"/>
    </row>
    <row r="324" ht="14.25" customHeight="1">
      <c r="B324" s="128"/>
    </row>
    <row r="325" ht="14.25" customHeight="1">
      <c r="B325" s="128"/>
    </row>
    <row r="326" ht="14.25" customHeight="1">
      <c r="B326" s="128"/>
    </row>
    <row r="327" ht="14.25" customHeight="1">
      <c r="B327" s="128"/>
    </row>
    <row r="328" ht="14.25" customHeight="1">
      <c r="B328" s="128"/>
    </row>
    <row r="329" ht="14.25" customHeight="1">
      <c r="B329" s="128"/>
    </row>
    <row r="330" ht="14.25" customHeight="1">
      <c r="B330" s="128"/>
    </row>
    <row r="331" ht="14.25" customHeight="1">
      <c r="B331" s="128"/>
    </row>
    <row r="332" ht="14.25" customHeight="1">
      <c r="B332" s="128"/>
    </row>
    <row r="333" ht="14.25" customHeight="1">
      <c r="B333" s="128"/>
    </row>
    <row r="334" ht="14.25" customHeight="1">
      <c r="B334" s="128"/>
    </row>
    <row r="335" ht="14.25" customHeight="1">
      <c r="B335" s="128"/>
    </row>
    <row r="336" ht="14.25" customHeight="1">
      <c r="B336" s="128"/>
    </row>
    <row r="337" ht="14.25" customHeight="1">
      <c r="B337" s="128"/>
    </row>
    <row r="338" ht="14.25" customHeight="1">
      <c r="B338" s="128"/>
    </row>
    <row r="339" ht="14.25" customHeight="1">
      <c r="B339" s="128"/>
    </row>
    <row r="340" ht="14.25" customHeight="1">
      <c r="B340" s="128"/>
    </row>
    <row r="341" ht="14.25" customHeight="1">
      <c r="B341" s="128"/>
    </row>
    <row r="342" ht="14.25" customHeight="1">
      <c r="B342" s="128"/>
    </row>
    <row r="343" ht="14.25" customHeight="1">
      <c r="B343" s="128"/>
    </row>
    <row r="344" ht="14.25" customHeight="1">
      <c r="B344" s="128"/>
    </row>
    <row r="345" ht="14.25" customHeight="1">
      <c r="B345" s="128"/>
    </row>
    <row r="346" ht="14.25" customHeight="1">
      <c r="B346" s="128"/>
    </row>
    <row r="347" ht="14.25" customHeight="1">
      <c r="B347" s="128"/>
    </row>
    <row r="348" ht="14.25" customHeight="1">
      <c r="B348" s="128"/>
    </row>
    <row r="349" ht="14.25" customHeight="1">
      <c r="B349" s="128"/>
    </row>
    <row r="350" ht="14.25" customHeight="1">
      <c r="B350" s="128"/>
    </row>
    <row r="351" ht="14.25" customHeight="1">
      <c r="B351" s="128"/>
    </row>
    <row r="352" ht="14.25" customHeight="1">
      <c r="B352" s="128"/>
    </row>
    <row r="353" ht="14.25" customHeight="1">
      <c r="B353" s="128"/>
    </row>
    <row r="354" ht="14.25" customHeight="1">
      <c r="B354" s="128"/>
    </row>
    <row r="355" ht="14.25" customHeight="1">
      <c r="B355" s="128"/>
    </row>
    <row r="356" ht="14.25" customHeight="1">
      <c r="B356" s="128"/>
    </row>
    <row r="357" ht="14.25" customHeight="1">
      <c r="B357" s="128"/>
    </row>
    <row r="358" ht="14.25" customHeight="1">
      <c r="B358" s="128"/>
    </row>
    <row r="359" ht="14.25" customHeight="1">
      <c r="B359" s="128"/>
    </row>
    <row r="360" ht="14.25" customHeight="1">
      <c r="B360" s="128"/>
    </row>
    <row r="361" ht="14.25" customHeight="1"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1:A1000">
    <cfRule type="containsText" dxfId="0" priority="1" operator="containsText" text="0">
      <formula>NOT(ISERROR(SEARCH(("0"),(A1))))</formula>
    </cfRule>
  </conditionalFormatting>
  <conditionalFormatting sqref="L16:Z16">
    <cfRule type="expression" dxfId="0" priority="2">
      <formula>"si(0;;)"</formula>
    </cfRule>
  </conditionalFormatting>
  <conditionalFormatting sqref="A1:A1000">
    <cfRule type="containsText" dxfId="0" priority="3" operator="containsText" text="0">
      <formula>NOT(ISERROR(SEARCH(("0"),(A1))))</formula>
    </cfRule>
  </conditionalFormatting>
  <conditionalFormatting sqref="L16:Z16">
    <cfRule type="expression" dxfId="0" priority="4">
      <formula>"si(0;;)"</formula>
    </cfRule>
  </conditionalFormatting>
  <drawing r:id="rId1"/>
  <tableParts count="1">
    <tablePart r:id="rId3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48</v>
      </c>
    </row>
    <row r="2" ht="14.25" customHeight="1">
      <c r="A2" s="122" t="str">
        <f>IFERROR(__xludf.DUMMYFUNCTION(" IMPORTRANGE(""https://docs.google.com/spreadsheets/d/1iEk6YelIs_n9EeIge6n75cPmsm3qH12B0zVyAaODaLw/edit#gid=662944782"",""So6!A2:A161"")"),"Patgaret")</f>
        <v>Patgaret</v>
      </c>
      <c r="B2" s="103">
        <v>1.0</v>
      </c>
      <c r="C2" s="123">
        <f t="shared" ref="C2:C161" si="1">800*(1-(B2/($H$1+1)))*POWER((SQRT(($H$1+1)/B2)),1/2)</f>
        <v>2073.405109</v>
      </c>
      <c r="D2" s="124" t="str">
        <f>VLOOKUP(A2,'Classement S6'!$B$2:$C$150,1,0)</f>
        <v>Patgaret</v>
      </c>
      <c r="E2" s="125" t="str">
        <f t="shared" ref="E2:E161" si="2">IF(D2=A2,"","erreur")</f>
        <v/>
      </c>
      <c r="F2" s="120" t="str">
        <f>VLOOKUP(A2,'Classement Général'!$B$2:$B$146,1,0)</f>
        <v>Patgaret</v>
      </c>
    </row>
    <row r="3" ht="14.25" customHeight="1">
      <c r="A3" s="122" t="str">
        <f>IFERROR(__xludf.DUMMYFUNCTION("""COMPUTED_VALUE"""),"jejehehe")</f>
        <v>jejehehe</v>
      </c>
      <c r="B3" s="103">
        <v>2.0</v>
      </c>
      <c r="C3" s="123">
        <f t="shared" si="1"/>
        <v>1707.195613</v>
      </c>
      <c r="D3" s="124" t="str">
        <f>VLOOKUP(A3,'Classement S6'!$B$2:$C$150,1,0)</f>
        <v>jejehehe</v>
      </c>
      <c r="E3" s="125" t="str">
        <f t="shared" si="2"/>
        <v/>
      </c>
      <c r="F3" s="120" t="str">
        <f>VLOOKUP(A3,'Classement Général'!$B$2:$B$146,1,0)</f>
        <v>jejehehe</v>
      </c>
      <c r="G3" s="126"/>
    </row>
    <row r="4" ht="14.25" customHeight="1">
      <c r="A4" s="122" t="str">
        <f>IFERROR(__xludf.DUMMYFUNCTION("""COMPUTED_VALUE"""),".choco")</f>
        <v>.choco</v>
      </c>
      <c r="B4" s="103">
        <v>3.0</v>
      </c>
      <c r="C4" s="123">
        <f t="shared" si="1"/>
        <v>1509.80356</v>
      </c>
      <c r="D4" s="124" t="str">
        <f>VLOOKUP(A4,'Classement S6'!$B$2:$C$150,1,0)</f>
        <v>.choco</v>
      </c>
      <c r="E4" s="125" t="str">
        <f t="shared" si="2"/>
        <v/>
      </c>
      <c r="F4" s="120" t="str">
        <f>VLOOKUP(A4,'Classement Général'!$B$2:$B$146,1,0)</f>
        <v>.choco</v>
      </c>
    </row>
    <row r="5" ht="14.25" customHeight="1">
      <c r="A5" s="122" t="str">
        <f>IFERROR(__xludf.DUMMYFUNCTION("""COMPUTED_VALUE"""),"Fistipanda")</f>
        <v>Fistipanda</v>
      </c>
      <c r="B5" s="103">
        <v>4.0</v>
      </c>
      <c r="C5" s="123">
        <f t="shared" si="1"/>
        <v>1374.486387</v>
      </c>
      <c r="D5" s="124" t="str">
        <f>VLOOKUP(A5,'Classement S6'!$B$2:$C$150,1,0)</f>
        <v>Fistipanda</v>
      </c>
      <c r="E5" s="125" t="str">
        <f t="shared" si="2"/>
        <v/>
      </c>
      <c r="F5" s="120" t="str">
        <f>VLOOKUP(A5,'Classement Général'!$B$2:$B$146,1,0)</f>
        <v>Fistipanda</v>
      </c>
    </row>
    <row r="6" ht="14.25" customHeight="1">
      <c r="A6" s="122" t="str">
        <f>IFERROR(__xludf.DUMMYFUNCTION("""COMPUTED_VALUE"""),"immond")</f>
        <v>immond</v>
      </c>
      <c r="B6" s="103">
        <v>5.0</v>
      </c>
      <c r="C6" s="123">
        <f t="shared" si="1"/>
        <v>1271.022101</v>
      </c>
      <c r="D6" s="124" t="str">
        <f>VLOOKUP(A6,'Classement S6'!$B$2:$C$150,1,0)</f>
        <v>immond</v>
      </c>
      <c r="E6" s="125" t="str">
        <f t="shared" si="2"/>
        <v/>
      </c>
      <c r="F6" s="120" t="str">
        <f>VLOOKUP(A6,'Classement Général'!$B$2:$B$146,1,0)</f>
        <v>immond</v>
      </c>
    </row>
    <row r="7" ht="14.25" customHeight="1">
      <c r="A7" s="122" t="str">
        <f>IFERROR(__xludf.DUMMYFUNCTION("""COMPUTED_VALUE"""),"Butterfly-as")</f>
        <v>Butterfly-as</v>
      </c>
      <c r="B7" s="103">
        <v>6.0</v>
      </c>
      <c r="C7" s="123">
        <f t="shared" si="1"/>
        <v>1186.789158</v>
      </c>
      <c r="D7" s="124" t="str">
        <f>VLOOKUP(A7,'Classement S6'!$B$2:$C$150,1,0)</f>
        <v>Butterfly-as</v>
      </c>
      <c r="E7" s="125" t="str">
        <f t="shared" si="2"/>
        <v/>
      </c>
      <c r="F7" s="120" t="str">
        <f>VLOOKUP(A7,'Classement Général'!$B$2:$B$146,1,0)</f>
        <v>Butterfly-as</v>
      </c>
    </row>
    <row r="8" ht="14.25" customHeight="1">
      <c r="A8" s="122" t="str">
        <f>IFERROR(__xludf.DUMMYFUNCTION("""COMPUTED_VALUE"""),"Like_A_Fish")</f>
        <v>Like_A_Fish</v>
      </c>
      <c r="B8" s="103">
        <v>7.0</v>
      </c>
      <c r="C8" s="123">
        <f t="shared" si="1"/>
        <v>1115.366785</v>
      </c>
      <c r="D8" s="124" t="str">
        <f>VLOOKUP(A8,'Classement S6'!$B$2:$C$150,1,0)</f>
        <v>Like_A_Fish</v>
      </c>
      <c r="E8" s="125" t="str">
        <f t="shared" si="2"/>
        <v/>
      </c>
      <c r="F8" s="120" t="str">
        <f>VLOOKUP(A8,'Classement Général'!$B$2:$B$146,1,0)</f>
        <v>Like_A_Fish</v>
      </c>
    </row>
    <row r="9" ht="14.25" customHeight="1">
      <c r="A9" s="122" t="str">
        <f>IFERROR(__xludf.DUMMYFUNCTION("""COMPUTED_VALUE"""),"Mako Lemore")</f>
        <v>Mako Lemore</v>
      </c>
      <c r="B9" s="103">
        <v>8.0</v>
      </c>
      <c r="C9" s="123">
        <f t="shared" si="1"/>
        <v>1053.062838</v>
      </c>
      <c r="D9" s="124" t="str">
        <f>VLOOKUP(A9,'Classement S6'!$B$2:$C$150,1,0)</f>
        <v>Mako Lemore</v>
      </c>
      <c r="E9" s="125" t="str">
        <f t="shared" si="2"/>
        <v/>
      </c>
      <c r="F9" s="120" t="str">
        <f>VLOOKUP(A9,'Classement Général'!$B$2:$B$146,1,0)</f>
        <v>Mako Lemore</v>
      </c>
    </row>
    <row r="10" ht="14.25" customHeight="1">
      <c r="A10" s="122" t="str">
        <f>IFERROR(__xludf.DUMMYFUNCTION("""COMPUTED_VALUE"""),"sonic86")</f>
        <v>sonic86</v>
      </c>
      <c r="B10" s="103">
        <v>9.0</v>
      </c>
      <c r="C10" s="123">
        <f t="shared" si="1"/>
        <v>997.5674982</v>
      </c>
      <c r="D10" s="124" t="str">
        <f>VLOOKUP(A10,'Classement S6'!$B$2:$C$150,1,0)</f>
        <v>sonic86</v>
      </c>
      <c r="E10" s="125" t="str">
        <f t="shared" si="2"/>
        <v/>
      </c>
      <c r="F10" s="120" t="str">
        <f>VLOOKUP(A10,'Classement Général'!$B$2:$B$146,1,0)</f>
        <v>sonic86</v>
      </c>
    </row>
    <row r="11" ht="14.25" customHeight="1">
      <c r="A11" s="122" t="str">
        <f>IFERROR(__xludf.DUMMYFUNCTION("""COMPUTED_VALUE"""),"Phil1308")</f>
        <v>Phil1308</v>
      </c>
      <c r="B11" s="103">
        <v>10.0</v>
      </c>
      <c r="C11" s="123">
        <f t="shared" si="1"/>
        <v>947.3436186</v>
      </c>
      <c r="D11" s="124" t="str">
        <f>VLOOKUP(A11,'Classement S6'!$B$2:$C$150,1,0)</f>
        <v>Phil1308</v>
      </c>
      <c r="E11" s="125" t="str">
        <f t="shared" si="2"/>
        <v/>
      </c>
      <c r="F11" s="120" t="str">
        <f>VLOOKUP(A11,'Classement Général'!$B$2:$B$146,1,0)</f>
        <v>Phil1308</v>
      </c>
    </row>
    <row r="12" ht="14.25" customHeight="1">
      <c r="A12" s="122" t="str">
        <f>IFERROR(__xludf.DUMMYFUNCTION("""COMPUTED_VALUE"""),"gregmoore")</f>
        <v>gregmoore</v>
      </c>
      <c r="B12" s="103">
        <v>11.0</v>
      </c>
      <c r="C12" s="123">
        <f t="shared" si="1"/>
        <v>901.3186391</v>
      </c>
      <c r="D12" s="124" t="str">
        <f>VLOOKUP(A12,'Classement S6'!$B$2:$C$150,1,0)</f>
        <v>gregmoore</v>
      </c>
      <c r="E12" s="125" t="str">
        <f t="shared" si="2"/>
        <v/>
      </c>
      <c r="F12" s="120" t="str">
        <f>VLOOKUP(A12,'Classement Général'!$B$2:$B$146,1,0)</f>
        <v>gregmoore</v>
      </c>
    </row>
    <row r="13" ht="14.25" customHeight="1">
      <c r="A13" s="122" t="str">
        <f>IFERROR(__xludf.DUMMYFUNCTION("""COMPUTED_VALUE"""),"JM-Chatte")</f>
        <v>JM-Chatte</v>
      </c>
      <c r="B13" s="103">
        <v>12.0</v>
      </c>
      <c r="C13" s="123">
        <f t="shared" si="1"/>
        <v>858.715574</v>
      </c>
      <c r="D13" s="124" t="str">
        <f>VLOOKUP(A13,'Classement S6'!$B$2:$C$150,1,0)</f>
        <v>JM-Chatte</v>
      </c>
      <c r="E13" s="125" t="str">
        <f t="shared" si="2"/>
        <v/>
      </c>
      <c r="F13" s="120" t="str">
        <f>VLOOKUP(A13,'Classement Général'!$B$2:$B$146,1,0)</f>
        <v>JM-Chatte</v>
      </c>
    </row>
    <row r="14" ht="14.25" customHeight="1">
      <c r="A14" s="122" t="str">
        <f>IFERROR(__xludf.DUMMYFUNCTION("""COMPUTED_VALUE"""),"Vaillant 86")</f>
        <v>Vaillant 86</v>
      </c>
      <c r="B14" s="103">
        <v>13.0</v>
      </c>
      <c r="C14" s="123">
        <f t="shared" si="1"/>
        <v>818.9541531</v>
      </c>
      <c r="D14" s="124" t="str">
        <f>VLOOKUP(A14,'Classement S6'!$B$2:$C$150,1,0)</f>
        <v>Vaillant 86</v>
      </c>
      <c r="E14" s="125" t="str">
        <f t="shared" si="2"/>
        <v/>
      </c>
      <c r="F14" s="120" t="str">
        <f>VLOOKUP(A14,'Classement Général'!$B$2:$B$146,1,0)</f>
        <v>Vaillant 86</v>
      </c>
    </row>
    <row r="15" ht="14.25" customHeight="1">
      <c r="A15" s="122" t="str">
        <f>IFERROR(__xludf.DUMMYFUNCTION("""COMPUTED_VALUE"""),"Mitch")</f>
        <v>Mitch</v>
      </c>
      <c r="B15" s="103">
        <v>14.0</v>
      </c>
      <c r="C15" s="123">
        <f t="shared" si="1"/>
        <v>781.5899428</v>
      </c>
      <c r="D15" s="124" t="str">
        <f>VLOOKUP(A15,'Classement S6'!$B$2:$C$150,1,0)</f>
        <v>Mitch</v>
      </c>
      <c r="E15" s="125" t="str">
        <f t="shared" si="2"/>
        <v/>
      </c>
      <c r="F15" s="120" t="str">
        <f>VLOOKUP(A15,'Classement Général'!$B$2:$B$146,1,0)</f>
        <v>Mitch</v>
      </c>
    </row>
    <row r="16" ht="14.25" customHeight="1">
      <c r="A16" s="122" t="str">
        <f>IFERROR(__xludf.DUMMYFUNCTION("""COMPUTED_VALUE"""),"BBH 75")</f>
        <v>BBH 75</v>
      </c>
      <c r="B16" s="103">
        <v>15.0</v>
      </c>
      <c r="C16" s="123">
        <f t="shared" si="1"/>
        <v>746.2752339</v>
      </c>
      <c r="D16" s="124" t="str">
        <f>VLOOKUP(A16,'Classement S6'!$B$2:$C$150,1,0)</f>
        <v>BBH 75</v>
      </c>
      <c r="E16" s="125" t="str">
        <f t="shared" si="2"/>
        <v/>
      </c>
      <c r="F16" s="120" t="str">
        <f>VLOOKUP(A16,'Classement Général'!$B$2:$B$146,1,0)</f>
        <v>BBH 75</v>
      </c>
    </row>
    <row r="17" ht="14.25" customHeight="1">
      <c r="A17" s="122" t="str">
        <f>IFERROR(__xludf.DUMMYFUNCTION("""COMPUTED_VALUE"""),"LEGOLEGOTE")</f>
        <v>LEGOLEGOTE</v>
      </c>
      <c r="B17" s="103">
        <v>16.0</v>
      </c>
      <c r="C17" s="123">
        <f t="shared" si="1"/>
        <v>712.7330062</v>
      </c>
      <c r="D17" s="124" t="str">
        <f>VLOOKUP(A17,'Classement S6'!$B$2:$C$150,1,0)</f>
        <v>LEGOLEGOTE</v>
      </c>
      <c r="E17" s="125" t="str">
        <f t="shared" si="2"/>
        <v/>
      </c>
      <c r="F17" s="120" t="str">
        <f>VLOOKUP(A17,'Classement Général'!$B$2:$B$146,1,0)</f>
        <v>LEGOLEGOTE</v>
      </c>
    </row>
    <row r="18" ht="14.25" customHeight="1">
      <c r="A18" s="122" t="str">
        <f>IFERROR(__xludf.DUMMYFUNCTION("""COMPUTED_VALUE"""),"kiki86 x")</f>
        <v>kiki86 x</v>
      </c>
      <c r="B18" s="103">
        <v>17.0</v>
      </c>
      <c r="C18" s="123">
        <f t="shared" si="1"/>
        <v>680.7390668</v>
      </c>
      <c r="D18" s="124" t="str">
        <f>VLOOKUP(A18,'Classement S6'!$B$2:$C$150,1,0)</f>
        <v>kiki86 x</v>
      </c>
      <c r="E18" s="125" t="str">
        <f t="shared" si="2"/>
        <v/>
      </c>
      <c r="F18" s="120" t="str">
        <f>VLOOKUP(A18,'Classement Général'!$B$2:$B$146,1,0)</f>
        <v>kiki86 x</v>
      </c>
    </row>
    <row r="19" ht="14.25" customHeight="1">
      <c r="A19" s="122" t="str">
        <f>IFERROR(__xludf.DUMMYFUNCTION("""COMPUTED_VALUE"""),"Le_Pictavien")</f>
        <v>Le_Pictavien</v>
      </c>
      <c r="B19" s="103">
        <v>18.0</v>
      </c>
      <c r="C19" s="123">
        <f t="shared" si="1"/>
        <v>650.1094733</v>
      </c>
      <c r="D19" s="124" t="str">
        <f>VLOOKUP(A19,'Classement S6'!$B$2:$C$150,1,0)</f>
        <v>Le_Pictavien</v>
      </c>
      <c r="E19" s="125" t="str">
        <f t="shared" si="2"/>
        <v/>
      </c>
      <c r="F19" s="120" t="str">
        <f>VLOOKUP(A19,'Classement Général'!$B$2:$B$146,1,0)</f>
        <v>Le_Pictavien</v>
      </c>
    </row>
    <row r="20" ht="14.25" customHeight="1">
      <c r="A20" s="122" t="str">
        <f>IFERROR(__xludf.DUMMYFUNCTION("""COMPUTED_VALUE"""),"Dirty Bazaar")</f>
        <v>Dirty Bazaar</v>
      </c>
      <c r="B20" s="103">
        <v>19.0</v>
      </c>
      <c r="C20" s="123">
        <f t="shared" si="1"/>
        <v>620.6914763</v>
      </c>
      <c r="D20" s="124" t="str">
        <f>VLOOKUP(A20,'Classement S6'!$B$2:$C$150,1,0)</f>
        <v>Dirty Bazaar</v>
      </c>
      <c r="E20" s="125" t="str">
        <f t="shared" si="2"/>
        <v/>
      </c>
      <c r="F20" s="120" t="str">
        <f>VLOOKUP(A20,'Classement Général'!$B$2:$B$146,1,0)</f>
        <v>Dirty Bazaar</v>
      </c>
    </row>
    <row r="21" ht="14.25" customHeight="1">
      <c r="A21" s="122" t="str">
        <f>IFERROR(__xludf.DUMMYFUNCTION("""COMPUTED_VALUE"""),"FridAKahlo")</f>
        <v>FridAKahlo</v>
      </c>
      <c r="B21" s="103">
        <v>20.0</v>
      </c>
      <c r="C21" s="123">
        <f t="shared" si="1"/>
        <v>592.356865</v>
      </c>
      <c r="D21" s="124" t="str">
        <f>VLOOKUP(A21,'Classement S6'!$B$2:$C$150,1,0)</f>
        <v>FridAKahlo</v>
      </c>
      <c r="E21" s="125" t="str">
        <f t="shared" si="2"/>
        <v/>
      </c>
      <c r="F21" s="120" t="str">
        <f>VLOOKUP(A21,'Classement Général'!$B$2:$B$146,1,0)</f>
        <v>FridAKahlo</v>
      </c>
    </row>
    <row r="22" ht="14.25" customHeight="1">
      <c r="A22" s="122" t="str">
        <f>IFERROR(__xludf.DUMMYFUNCTION("""COMPUTED_VALUE"""),"PrendmAmAin")</f>
        <v>PrendmAmAin</v>
      </c>
      <c r="B22" s="103">
        <v>21.0</v>
      </c>
      <c r="C22" s="123">
        <f t="shared" si="1"/>
        <v>564.9969906</v>
      </c>
      <c r="D22" s="124" t="str">
        <f>VLOOKUP(A22,'Classement S6'!$B$2:$C$150,1,0)</f>
        <v>PrendmAmAin</v>
      </c>
      <c r="E22" s="125" t="str">
        <f t="shared" si="2"/>
        <v/>
      </c>
      <c r="F22" s="120" t="str">
        <f>VLOOKUP(A22,'Classement Général'!$B$2:$B$146,1,0)</f>
        <v>PrendmAmAin</v>
      </c>
    </row>
    <row r="23" ht="14.25" customHeight="1">
      <c r="A23" s="122" t="str">
        <f>IFERROR(__xludf.DUMMYFUNCTION("""COMPUTED_VALUE"""),"S.coco")</f>
        <v>S.coco</v>
      </c>
      <c r="B23" s="103">
        <v>22.0</v>
      </c>
      <c r="C23" s="123">
        <f t="shared" si="1"/>
        <v>538.5189879</v>
      </c>
      <c r="D23" s="124" t="str">
        <f>VLOOKUP(A23,'Classement S6'!$B$2:$C$150,1,0)</f>
        <v>S.coco</v>
      </c>
      <c r="E23" s="125" t="str">
        <f t="shared" si="2"/>
        <v/>
      </c>
      <c r="F23" s="120" t="str">
        <f>VLOOKUP(A23,'Classement Général'!$B$2:$B$146,1,0)</f>
        <v>S.coco</v>
      </c>
    </row>
    <row r="24" ht="14.25" customHeight="1">
      <c r="A24" s="122" t="str">
        <f>IFERROR(__xludf.DUMMYFUNCTION("""COMPUTED_VALUE"""),". BARBAPAPA66")</f>
        <v>. BARBAPAPA66</v>
      </c>
      <c r="B24" s="103">
        <v>23.0</v>
      </c>
      <c r="C24" s="123">
        <f t="shared" si="1"/>
        <v>512.8428629</v>
      </c>
      <c r="D24" s="124" t="str">
        <f>VLOOKUP(A24,'Classement S6'!$B$2:$C$150,1,0)</f>
        <v>. BARBAPAPA66</v>
      </c>
      <c r="E24" s="125" t="str">
        <f t="shared" si="2"/>
        <v/>
      </c>
      <c r="F24" s="120" t="str">
        <f>VLOOKUP(A24,'Classement Général'!$B$2:$B$146,1,0)</f>
        <v>. BARBAPAPA66</v>
      </c>
    </row>
    <row r="25" ht="14.25" customHeight="1">
      <c r="A25" s="122" t="str">
        <f>IFERROR(__xludf.DUMMYFUNCTION("""COMPUTED_VALUE"""),"erniedog56x")</f>
        <v>erniedog56x</v>
      </c>
      <c r="B25" s="103">
        <v>24.0</v>
      </c>
      <c r="C25" s="123">
        <f t="shared" si="1"/>
        <v>487.8992216</v>
      </c>
      <c r="D25" s="124" t="str">
        <f>VLOOKUP(A25,'Classement S6'!$B$2:$C$150,1,0)</f>
        <v>erniedog56x</v>
      </c>
      <c r="E25" s="125" t="str">
        <f t="shared" si="2"/>
        <v/>
      </c>
      <c r="F25" s="120" t="str">
        <f>VLOOKUP(A25,'Classement Général'!$B$2:$B$146,1,0)</f>
        <v>erniedog56x</v>
      </c>
    </row>
    <row r="26" ht="14.25" customHeight="1">
      <c r="A26" s="122" t="str">
        <f>IFERROR(__xludf.DUMMYFUNCTION("""COMPUTED_VALUE"""),"StephBoss05")</f>
        <v>StephBoss05</v>
      </c>
      <c r="B26" s="103">
        <v>25.0</v>
      </c>
      <c r="C26" s="123">
        <f t="shared" si="1"/>
        <v>463.6274769</v>
      </c>
      <c r="D26" s="124" t="str">
        <f>VLOOKUP(A26,'Classement S6'!$B$2:$C$150,1,0)</f>
        <v>StephBoss05</v>
      </c>
      <c r="E26" s="125" t="str">
        <f t="shared" si="2"/>
        <v/>
      </c>
      <c r="F26" s="120" t="str">
        <f>VLOOKUP(A26,'Classement Général'!$B$2:$B$146,1,0)</f>
        <v>StephBoss05</v>
      </c>
    </row>
    <row r="27" ht="14.25" customHeight="1">
      <c r="A27" s="122" t="str">
        <f>IFERROR(__xludf.DUMMYFUNCTION("""COMPUTED_VALUE"""),"Or&amp;l1")</f>
        <v>Or&amp;l1</v>
      </c>
      <c r="B27" s="103">
        <v>26.0</v>
      </c>
      <c r="C27" s="123">
        <f t="shared" si="1"/>
        <v>439.9744185</v>
      </c>
      <c r="D27" s="124" t="str">
        <f>VLOOKUP(A27,'Classement S6'!$B$2:$C$150,1,0)</f>
        <v>Or&amp;l1</v>
      </c>
      <c r="E27" s="125" t="str">
        <f t="shared" si="2"/>
        <v/>
      </c>
      <c r="F27" s="120" t="str">
        <f>VLOOKUP(A27,'Classement Général'!$B$2:$B$146,1,0)</f>
        <v>Or&amp;l1</v>
      </c>
    </row>
    <row r="28" ht="14.25" customHeight="1">
      <c r="A28" s="122" t="str">
        <f>IFERROR(__xludf.DUMMYFUNCTION("""COMPUTED_VALUE"""),"CarlitoTwin")</f>
        <v>CarlitoTwin</v>
      </c>
      <c r="B28" s="103">
        <v>27.0</v>
      </c>
      <c r="C28" s="123">
        <f t="shared" si="1"/>
        <v>416.8930612</v>
      </c>
      <c r="D28" s="124" t="str">
        <f>VLOOKUP(A28,'Classement S6'!$B$2:$C$150,1,0)</f>
        <v>CarlitoTwin</v>
      </c>
      <c r="E28" s="125" t="str">
        <f t="shared" si="2"/>
        <v/>
      </c>
      <c r="F28" s="120" t="str">
        <f>VLOOKUP(A28,'Classement Général'!$B$2:$B$146,1,0)</f>
        <v>CarlitoTwin</v>
      </c>
    </row>
    <row r="29" ht="14.25" customHeight="1">
      <c r="A29" s="122" t="str">
        <f>IFERROR(__xludf.DUMMYFUNCTION("""COMPUTED_VALUE"""),"christ86000")</f>
        <v>christ86000</v>
      </c>
      <c r="B29" s="103">
        <v>28.0</v>
      </c>
      <c r="C29" s="123">
        <f t="shared" si="1"/>
        <v>394.3417086</v>
      </c>
      <c r="D29" s="124" t="str">
        <f>VLOOKUP(A29,'Classement S6'!$B$2:$C$150,1,0)</f>
        <v>christ86000</v>
      </c>
      <c r="E29" s="125" t="str">
        <f t="shared" si="2"/>
        <v/>
      </c>
      <c r="F29" s="120" t="str">
        <f>VLOOKUP(A29,'Classement Général'!$B$2:$B$146,1,0)</f>
        <v>christ86000</v>
      </c>
    </row>
    <row r="30" ht="14.25" customHeight="1">
      <c r="A30" s="122" t="str">
        <f>IFERROR(__xludf.DUMMYFUNCTION("""COMPUTED_VALUE"""),"fiodor86")</f>
        <v>fiodor86</v>
      </c>
      <c r="B30" s="103">
        <v>29.0</v>
      </c>
      <c r="C30" s="123">
        <f t="shared" si="1"/>
        <v>372.283187</v>
      </c>
      <c r="D30" s="124" t="str">
        <f>VLOOKUP(A30,'Classement S6'!$B$2:$C$150,1,0)</f>
        <v>fiodor86</v>
      </c>
      <c r="E30" s="125" t="str">
        <f t="shared" si="2"/>
        <v/>
      </c>
      <c r="F30" s="120" t="str">
        <f>VLOOKUP(A30,'Classement Général'!$B$2:$B$146,1,0)</f>
        <v>fiodor86</v>
      </c>
    </row>
    <row r="31" ht="14.25" customHeight="1">
      <c r="A31" s="122" t="str">
        <f>IFERROR(__xludf.DUMMYFUNCTION("""COMPUTED_VALUE"""),"Legabodu86")</f>
        <v>Legabodu86</v>
      </c>
      <c r="B31" s="103">
        <v>30.0</v>
      </c>
      <c r="C31" s="123">
        <f t="shared" si="1"/>
        <v>350.6842121</v>
      </c>
      <c r="D31" s="124" t="str">
        <f>VLOOKUP(A31,'Classement S6'!$B$2:$C$150,1,0)</f>
        <v>Legabodu86</v>
      </c>
      <c r="E31" s="125" t="str">
        <f t="shared" si="2"/>
        <v/>
      </c>
      <c r="F31" s="120" t="str">
        <f>VLOOKUP(A31,'Classement Général'!$B$2:$B$146,1,0)</f>
        <v>Legabodu86</v>
      </c>
    </row>
    <row r="32" ht="14.25" customHeight="1">
      <c r="A32" s="122" t="str">
        <f>IFERROR(__xludf.DUMMYFUNCTION("""COMPUTED_VALUE"""),"Garou du 86")</f>
        <v>Garou du 86</v>
      </c>
      <c r="B32" s="103">
        <v>31.0</v>
      </c>
      <c r="C32" s="123">
        <f t="shared" si="1"/>
        <v>329.5148631</v>
      </c>
      <c r="D32" s="124" t="str">
        <f>VLOOKUP(A32,'Classement S6'!$B$2:$C$150,1,0)</f>
        <v>Garou du 86</v>
      </c>
      <c r="E32" s="125" t="str">
        <f t="shared" si="2"/>
        <v/>
      </c>
      <c r="F32" s="120" t="str">
        <f>VLOOKUP(A32,'Classement Général'!$B$2:$B$146,1,0)</f>
        <v>Garou du 86</v>
      </c>
    </row>
    <row r="33" ht="14.25" customHeight="1">
      <c r="A33" s="122" t="str">
        <f>IFERROR(__xludf.DUMMYFUNCTION("""COMPUTED_VALUE"""),"ariba")</f>
        <v>ariba</v>
      </c>
      <c r="B33" s="103">
        <v>32.0</v>
      </c>
      <c r="C33" s="123">
        <f t="shared" si="1"/>
        <v>308.7481427</v>
      </c>
      <c r="D33" s="124" t="str">
        <f>VLOOKUP(A33,'Classement S6'!$B$2:$C$150,1,0)</f>
        <v>ariba</v>
      </c>
      <c r="E33" s="125" t="str">
        <f t="shared" si="2"/>
        <v/>
      </c>
      <c r="F33" s="120" t="str">
        <f>VLOOKUP(A33,'Classement Général'!$B$2:$B$146,1,0)</f>
        <v>ariba</v>
      </c>
    </row>
    <row r="34" ht="14.25" customHeight="1">
      <c r="A34" s="122" t="str">
        <f>IFERROR(__xludf.DUMMYFUNCTION("""COMPUTED_VALUE"""),"UnPetitJaune")</f>
        <v>UnPetitJaune</v>
      </c>
      <c r="B34" s="103">
        <v>33.0</v>
      </c>
      <c r="C34" s="123">
        <f t="shared" si="1"/>
        <v>288.3596068</v>
      </c>
      <c r="D34" s="124" t="str">
        <f>VLOOKUP(A34,'Classement S6'!$B$2:$C$150,1,0)</f>
        <v>UnPetitJaune</v>
      </c>
      <c r="E34" s="125" t="str">
        <f t="shared" si="2"/>
        <v/>
      </c>
      <c r="F34" s="120" t="str">
        <f>VLOOKUP(A34,'Classement Général'!$B$2:$B$146,1,0)</f>
        <v>UnPetitJaune</v>
      </c>
    </row>
    <row r="35" ht="14.25" customHeight="1">
      <c r="A35" s="122" t="str">
        <f>IFERROR(__xludf.DUMMYFUNCTION("""COMPUTED_VALUE"""),"_Sale-Bet_")</f>
        <v>_Sale-Bet_</v>
      </c>
      <c r="B35" s="103">
        <v>34.0</v>
      </c>
      <c r="C35" s="123">
        <f t="shared" si="1"/>
        <v>268.3270505</v>
      </c>
      <c r="D35" s="124" t="str">
        <f>VLOOKUP(A35,'Classement S6'!$B$2:$C$150,1,0)</f>
        <v>_Sale-Bet_</v>
      </c>
      <c r="E35" s="125" t="str">
        <f t="shared" si="2"/>
        <v/>
      </c>
      <c r="F35" s="120" t="str">
        <f>VLOOKUP(A35,'Classement Général'!$B$2:$B$146,1,0)</f>
        <v>_Sale-Bet_</v>
      </c>
    </row>
    <row r="36" ht="14.25" customHeight="1">
      <c r="A36" s="122" t="str">
        <f>IFERROR(__xludf.DUMMYFUNCTION("""COMPUTED_VALUE"""),"A_iniesta")</f>
        <v>A_iniesta</v>
      </c>
      <c r="B36" s="103">
        <v>35.0</v>
      </c>
      <c r="C36" s="123">
        <f t="shared" si="1"/>
        <v>248.6302414</v>
      </c>
      <c r="D36" s="124" t="str">
        <f>VLOOKUP(A36,'Classement S6'!$B$2:$C$150,1,0)</f>
        <v>A_iniesta</v>
      </c>
      <c r="E36" s="125" t="str">
        <f t="shared" si="2"/>
        <v/>
      </c>
      <c r="F36" s="120" t="str">
        <f>VLOOKUP(A36,'Classement Général'!$B$2:$B$146,1,0)</f>
        <v>A_iniesta</v>
      </c>
    </row>
    <row r="37" ht="14.25" customHeight="1">
      <c r="A37" s="122" t="str">
        <f>IFERROR(__xludf.DUMMYFUNCTION("""COMPUTED_VALUE"""),"DonnesTchips")</f>
        <v>DonnesTchips</v>
      </c>
      <c r="B37" s="103">
        <v>36.0</v>
      </c>
      <c r="C37" s="123">
        <f t="shared" si="1"/>
        <v>229.2506914</v>
      </c>
      <c r="D37" s="124" t="str">
        <f>VLOOKUP(A37,'Classement S6'!$B$2:$C$150,1,0)</f>
        <v>DonnesTchips</v>
      </c>
      <c r="E37" s="125" t="str">
        <f t="shared" si="2"/>
        <v/>
      </c>
      <c r="F37" s="120" t="str">
        <f>VLOOKUP(A37,'Classement Général'!$B$2:$B$146,1,0)</f>
        <v>DonnesTchips</v>
      </c>
    </row>
    <row r="38" ht="14.25" customHeight="1">
      <c r="A38" s="122" t="str">
        <f>IFERROR(__xludf.DUMMYFUNCTION("""COMPUTED_VALUE"""),"Cataleya86")</f>
        <v>Cataleya86</v>
      </c>
      <c r="B38" s="103">
        <v>37.0</v>
      </c>
      <c r="C38" s="123">
        <f t="shared" si="1"/>
        <v>210.1714604</v>
      </c>
      <c r="D38" s="124" t="str">
        <f>VLOOKUP(A38,'Classement S6'!$B$2:$C$150,1,0)</f>
        <v>Cataleya86</v>
      </c>
      <c r="E38" s="125" t="str">
        <f t="shared" si="2"/>
        <v/>
      </c>
      <c r="F38" s="120" t="str">
        <f>VLOOKUP(A38,'Classement Général'!$B$2:$B$146,1,0)</f>
        <v>Cataleya86</v>
      </c>
    </row>
    <row r="39" ht="14.25" customHeight="1">
      <c r="A39" s="122" t="str">
        <f>IFERROR(__xludf.DUMMYFUNCTION("""COMPUTED_VALUE"""),"POMB1664")</f>
        <v>POMB1664</v>
      </c>
      <c r="B39" s="103">
        <v>38.0</v>
      </c>
      <c r="C39" s="123">
        <f t="shared" si="1"/>
        <v>191.3769871</v>
      </c>
      <c r="D39" s="124" t="str">
        <f>VLOOKUP(A39,'Classement S6'!$B$2:$C$150,1,0)</f>
        <v>POMB1664</v>
      </c>
      <c r="E39" s="125" t="str">
        <f t="shared" si="2"/>
        <v/>
      </c>
      <c r="F39" s="120" t="str">
        <f>VLOOKUP(A39,'Classement Général'!$B$2:$B$146,1,0)</f>
        <v>POMB1664</v>
      </c>
    </row>
    <row r="40" ht="14.25" customHeight="1">
      <c r="A40" s="122" t="str">
        <f>IFERROR(__xludf.DUMMYFUNCTION("""COMPUTED_VALUE"""),"Rod_John_VI")</f>
        <v>Rod_John_VI</v>
      </c>
      <c r="B40" s="103">
        <v>39.0</v>
      </c>
      <c r="C40" s="123">
        <f t="shared" si="1"/>
        <v>172.8529418</v>
      </c>
      <c r="D40" s="124" t="str">
        <f>VLOOKUP(A40,'Classement S6'!$B$2:$C$150,1,0)</f>
        <v>Rod_John_VI</v>
      </c>
      <c r="E40" s="125" t="str">
        <f t="shared" si="2"/>
        <v/>
      </c>
      <c r="F40" s="120" t="str">
        <f>VLOOKUP(A40,'Classement Général'!$B$2:$B$146,1,0)</f>
        <v>Rod_John_VI</v>
      </c>
    </row>
    <row r="41" ht="14.25" customHeight="1">
      <c r="A41" s="122" t="str">
        <f>IFERROR(__xludf.DUMMYFUNCTION("""COMPUTED_VALUE"""),"NezuKO-demon")</f>
        <v>NezuKO-demon</v>
      </c>
      <c r="B41" s="103">
        <v>40.0</v>
      </c>
      <c r="C41" s="123">
        <f t="shared" si="1"/>
        <v>154.5860993</v>
      </c>
      <c r="D41" s="124" t="str">
        <f>VLOOKUP(A41,'Classement S6'!$B$2:$C$150,1,0)</f>
        <v>NezuKO-demon</v>
      </c>
      <c r="E41" s="125" t="str">
        <f t="shared" si="2"/>
        <v/>
      </c>
      <c r="F41" s="120" t="str">
        <f>VLOOKUP(A41,'Classement Général'!$B$2:$B$146,1,0)</f>
        <v>NezuKO-demon</v>
      </c>
    </row>
    <row r="42" ht="14.25" customHeight="1">
      <c r="A42" s="122" t="str">
        <f>IFERROR(__xludf.DUMMYFUNCTION("""COMPUTED_VALUE"""),"8kinder6")</f>
        <v>8kinder6</v>
      </c>
      <c r="B42" s="103">
        <v>41.0</v>
      </c>
      <c r="C42" s="123">
        <f t="shared" si="1"/>
        <v>136.5642267</v>
      </c>
      <c r="D42" s="124" t="str">
        <f>VLOOKUP(A42,'Classement S6'!$B$2:$C$150,1,0)</f>
        <v>8kinder6</v>
      </c>
      <c r="E42" s="125" t="str">
        <f t="shared" si="2"/>
        <v/>
      </c>
      <c r="F42" s="120" t="str">
        <f>VLOOKUP(A42,'Classement Général'!$B$2:$B$146,1,0)</f>
        <v>8kinder6</v>
      </c>
    </row>
    <row r="43" ht="14.25" customHeight="1">
      <c r="A43" s="122" t="str">
        <f>IFERROR(__xludf.DUMMYFUNCTION("""COMPUTED_VALUE"""),"Redblood92")</f>
        <v>Redblood92</v>
      </c>
      <c r="B43" s="103">
        <v>42.0</v>
      </c>
      <c r="C43" s="123">
        <f t="shared" si="1"/>
        <v>118.775986</v>
      </c>
      <c r="D43" s="124" t="str">
        <f>VLOOKUP(A43,'Classement S6'!$B$2:$C$150,1,0)</f>
        <v>Redblood92</v>
      </c>
      <c r="E43" s="125" t="str">
        <f t="shared" si="2"/>
        <v/>
      </c>
      <c r="F43" s="120" t="str">
        <f>VLOOKUP(A43,'Classement Général'!$B$2:$B$146,1,0)</f>
        <v>Redblood92</v>
      </c>
    </row>
    <row r="44" ht="14.25" customHeight="1">
      <c r="A44" s="122" t="str">
        <f>IFERROR(__xludf.DUMMYFUNCTION("""COMPUTED_VALUE"""),"Mikalack")</f>
        <v>Mikalack</v>
      </c>
      <c r="B44" s="103">
        <v>43.0</v>
      </c>
      <c r="C44" s="123">
        <f t="shared" si="1"/>
        <v>101.210848</v>
      </c>
      <c r="D44" s="124" t="str">
        <f>VLOOKUP(A44,'Classement S6'!$B$2:$C$150,1,0)</f>
        <v>Mikalack</v>
      </c>
      <c r="E44" s="125" t="str">
        <f t="shared" si="2"/>
        <v/>
      </c>
      <c r="F44" s="120" t="str">
        <f>VLOOKUP(A44,'Classement Général'!$B$2:$B$146,1,0)</f>
        <v>Mikalack</v>
      </c>
    </row>
    <row r="45" ht="14.25" customHeight="1">
      <c r="A45" s="122" t="str">
        <f>IFERROR(__xludf.DUMMYFUNCTION("""COMPUTED_VALUE"""),"Kevfurious")</f>
        <v>Kevfurious</v>
      </c>
      <c r="B45" s="103">
        <v>44.0</v>
      </c>
      <c r="C45" s="123">
        <f t="shared" si="1"/>
        <v>83.85901602</v>
      </c>
      <c r="D45" s="124" t="str">
        <f>VLOOKUP(A45,'Classement S6'!$B$2:$C$150,1,0)</f>
        <v>Kevfurious</v>
      </c>
      <c r="E45" s="125" t="str">
        <f t="shared" si="2"/>
        <v/>
      </c>
      <c r="F45" s="120" t="str">
        <f>VLOOKUP(A45,'Classement Général'!$B$2:$B$146,1,0)</f>
        <v>Kevfurious</v>
      </c>
    </row>
    <row r="46" ht="14.25" customHeight="1">
      <c r="A46" s="122" t="str">
        <f>IFERROR(__xludf.DUMMYFUNCTION("""COMPUTED_VALUE"""),"rastamokett")</f>
        <v>rastamokett</v>
      </c>
      <c r="B46" s="103">
        <v>45.0</v>
      </c>
      <c r="C46" s="123">
        <f t="shared" si="1"/>
        <v>66.7113593</v>
      </c>
      <c r="D46" s="124" t="str">
        <f>VLOOKUP(A46,'Classement S6'!$B$2:$C$150,1,0)</f>
        <v>rastamokett</v>
      </c>
      <c r="E46" s="125" t="str">
        <f t="shared" si="2"/>
        <v/>
      </c>
      <c r="F46" s="120" t="str">
        <f>VLOOKUP(A46,'Classement Général'!$B$2:$B$146,1,0)</f>
        <v>rastamokett</v>
      </c>
    </row>
    <row r="47" ht="14.25" customHeight="1">
      <c r="A47" s="122" t="str">
        <f>IFERROR(__xludf.DUMMYFUNCTION("""COMPUTED_VALUE"""),"SINGE7")</f>
        <v>SINGE7</v>
      </c>
      <c r="B47" s="103">
        <v>46.0</v>
      </c>
      <c r="C47" s="123">
        <f t="shared" si="1"/>
        <v>49.75935289</v>
      </c>
      <c r="D47" s="124" t="str">
        <f>VLOOKUP(A47,'Classement S6'!$B$2:$C$150,1,0)</f>
        <v>SINGE7</v>
      </c>
      <c r="E47" s="125" t="str">
        <f t="shared" si="2"/>
        <v/>
      </c>
      <c r="F47" s="120" t="str">
        <f>VLOOKUP(A47,'Classement Général'!$B$2:$B$146,1,0)</f>
        <v>SINGE7</v>
      </c>
    </row>
    <row r="48" ht="14.25" customHeight="1">
      <c r="A48" s="122" t="str">
        <f>IFERROR(__xludf.DUMMYFUNCTION("""COMPUTED_VALUE"""),"M2TH")</f>
        <v>M2TH</v>
      </c>
      <c r="B48" s="103">
        <v>47.0</v>
      </c>
      <c r="C48" s="123">
        <f t="shared" si="1"/>
        <v>32.99502473</v>
      </c>
      <c r="D48" s="124" t="str">
        <f>VLOOKUP(A48,'Classement S6'!$B$2:$C$150,1,0)</f>
        <v>#N/A</v>
      </c>
      <c r="E48" s="125" t="str">
        <f t="shared" si="2"/>
        <v>#N/A</v>
      </c>
      <c r="F48" s="120" t="str">
        <f>VLOOKUP(A48,'Classement Général'!$B$2:$B$146,1,0)</f>
        <v>#N/A</v>
      </c>
    </row>
    <row r="49" ht="14.25" customHeight="1">
      <c r="A49" s="122" t="str">
        <f>IFERROR(__xludf.DUMMYFUNCTION("""COMPUTED_VALUE"""),"_VisMaVie_")</f>
        <v>_VisMaVie_</v>
      </c>
      <c r="B49" s="103">
        <v>48.0</v>
      </c>
      <c r="C49" s="123">
        <f t="shared" si="1"/>
        <v>16.41090826</v>
      </c>
      <c r="D49" s="124" t="str">
        <f>VLOOKUP(A49,'Classement S6'!$B$2:$C$150,1,0)</f>
        <v>_VisMaVie_</v>
      </c>
      <c r="E49" s="125" t="str">
        <f t="shared" si="2"/>
        <v/>
      </c>
      <c r="F49" s="120" t="str">
        <f>VLOOKUP(A49,'Classement Général'!$B$2:$B$146,1,0)</f>
        <v>_VisMaVie_</v>
      </c>
    </row>
    <row r="50" ht="14.25" customHeight="1">
      <c r="A50" s="122"/>
      <c r="B50" s="103">
        <v>49.0</v>
      </c>
      <c r="C50" s="123">
        <f t="shared" si="1"/>
        <v>0</v>
      </c>
      <c r="D50" s="124" t="str">
        <f>VLOOKUP(A50,'Classement S6'!$B$2:$C$150,1,0)</f>
        <v>#N/A</v>
      </c>
      <c r="E50" s="125" t="str">
        <f t="shared" si="2"/>
        <v>#N/A</v>
      </c>
      <c r="F50" s="120" t="str">
        <f>VLOOKUP(A50,'Classement Général'!$B$2:$B$146,1,0)</f>
        <v>#N/A</v>
      </c>
    </row>
    <row r="51" ht="14.25" customHeight="1">
      <c r="A51" s="122"/>
      <c r="B51" s="103">
        <v>50.0</v>
      </c>
      <c r="C51" s="123">
        <f t="shared" si="1"/>
        <v>-16.24427847</v>
      </c>
      <c r="D51" s="124" t="str">
        <f>VLOOKUP(A51,'Classement S6'!$B$2:$C$150,1,0)</f>
        <v>#N/A</v>
      </c>
      <c r="E51" s="125" t="str">
        <f t="shared" si="2"/>
        <v>#N/A</v>
      </c>
      <c r="F51" s="120" t="str">
        <f>VLOOKUP(A51,'Classement Général'!$B$2:$B$146,1,0)</f>
        <v>#N/A</v>
      </c>
    </row>
    <row r="52" ht="14.25" customHeight="1">
      <c r="A52" s="122"/>
      <c r="B52" s="103">
        <v>51.0</v>
      </c>
      <c r="C52" s="123">
        <f t="shared" si="1"/>
        <v>-32.32811472</v>
      </c>
      <c r="D52" s="124" t="str">
        <f>VLOOKUP(A52,'Classement S6'!$B$2:$C$150,1,0)</f>
        <v>#N/A</v>
      </c>
      <c r="E52" s="125" t="str">
        <f t="shared" si="2"/>
        <v>#N/A</v>
      </c>
      <c r="F52" s="120" t="str">
        <f>VLOOKUP(A52,'Classement Général'!$B$2:$B$146,1,0)</f>
        <v>#N/A</v>
      </c>
    </row>
    <row r="53" ht="14.25" customHeight="1">
      <c r="A53" s="122"/>
      <c r="B53" s="103">
        <v>52.0</v>
      </c>
      <c r="C53" s="123">
        <f t="shared" si="1"/>
        <v>-48.25733626</v>
      </c>
      <c r="D53" s="124" t="str">
        <f>VLOOKUP(A53,'Classement S6'!$B$2:$C$150,1,0)</f>
        <v>#N/A</v>
      </c>
      <c r="E53" s="125" t="str">
        <f t="shared" si="2"/>
        <v>#N/A</v>
      </c>
      <c r="F53" s="120" t="str">
        <f>VLOOKUP(A53,'Classement Général'!$B$2:$B$146,1,0)</f>
        <v>#N/A</v>
      </c>
    </row>
    <row r="54" ht="14.25" customHeight="1">
      <c r="A54" s="122"/>
      <c r="B54" s="103">
        <v>53.0</v>
      </c>
      <c r="C54" s="123">
        <f t="shared" si="1"/>
        <v>-64.03743837</v>
      </c>
      <c r="D54" s="124" t="str">
        <f>VLOOKUP(A54,'Classement S6'!$B$2:$C$150,1,0)</f>
        <v>#N/A</v>
      </c>
      <c r="E54" s="125" t="str">
        <f t="shared" si="2"/>
        <v>#N/A</v>
      </c>
      <c r="F54" s="120" t="str">
        <f>VLOOKUP(A54,'Classement Général'!$B$2:$B$146,1,0)</f>
        <v>#N/A</v>
      </c>
    </row>
    <row r="55" ht="14.25" customHeight="1">
      <c r="A55" s="122"/>
      <c r="B55" s="103">
        <v>54.0</v>
      </c>
      <c r="C55" s="123">
        <f t="shared" si="1"/>
        <v>-79.67360925</v>
      </c>
      <c r="D55" s="124" t="str">
        <f>VLOOKUP(A55,'Classement S6'!$B$2:$C$150,1,0)</f>
        <v>#N/A</v>
      </c>
      <c r="E55" s="125" t="str">
        <f t="shared" si="2"/>
        <v>#N/A</v>
      </c>
      <c r="F55" s="120" t="str">
        <f>VLOOKUP(A55,'Classement Général'!$B$2:$B$146,1,0)</f>
        <v>#N/A</v>
      </c>
    </row>
    <row r="56" ht="14.25" customHeight="1">
      <c r="A56" s="122"/>
      <c r="B56" s="103">
        <v>55.0</v>
      </c>
      <c r="C56" s="123">
        <f t="shared" si="1"/>
        <v>-95.17075289</v>
      </c>
      <c r="D56" s="124" t="str">
        <f>VLOOKUP(A56,'Classement S6'!$B$2:$C$150,1,0)</f>
        <v>#N/A</v>
      </c>
      <c r="E56" s="125" t="str">
        <f t="shared" si="2"/>
        <v>#N/A</v>
      </c>
      <c r="F56" s="120" t="str">
        <f>VLOOKUP(A56,'Classement Général'!$B$2:$B$146,1,0)</f>
        <v>#N/A</v>
      </c>
    </row>
    <row r="57" ht="14.25" customHeight="1">
      <c r="A57" s="122"/>
      <c r="B57" s="103">
        <v>56.0</v>
      </c>
      <c r="C57" s="123">
        <f t="shared" si="1"/>
        <v>-110.5335097</v>
      </c>
      <c r="D57" s="124" t="str">
        <f>VLOOKUP(A57,'Classement S6'!$B$2:$C$150,1,0)</f>
        <v>#N/A</v>
      </c>
      <c r="E57" s="125" t="str">
        <f t="shared" si="2"/>
        <v>#N/A</v>
      </c>
      <c r="F57" s="120" t="str">
        <f>VLOOKUP(A57,'Classement Général'!$B$2:$B$146,1,0)</f>
        <v>#N/A</v>
      </c>
    </row>
    <row r="58" ht="14.25" customHeight="1">
      <c r="A58" s="122"/>
      <c r="B58" s="103">
        <v>57.0</v>
      </c>
      <c r="C58" s="123">
        <f t="shared" si="1"/>
        <v>-125.7662756</v>
      </c>
      <c r="D58" s="124" t="str">
        <f>VLOOKUP(A58,'Classement S6'!$B$2:$C$150,1,0)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22"/>
      <c r="B59" s="103">
        <v>58.0</v>
      </c>
      <c r="C59" s="123">
        <f t="shared" si="1"/>
        <v>-140.8732188</v>
      </c>
      <c r="D59" s="124" t="str">
        <f>VLOOKUP(A59,'Classement S6'!$B$2:$C$150,1,0)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22"/>
      <c r="B60" s="103">
        <v>59.0</v>
      </c>
      <c r="C60" s="123">
        <f t="shared" si="1"/>
        <v>-155.8582961</v>
      </c>
      <c r="D60" s="124" t="str">
        <f>VLOOKUP(A60,'Classement S6'!$B$2:$C$150,1,0)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22"/>
      <c r="B61" s="103">
        <v>60.0</v>
      </c>
      <c r="C61" s="123">
        <f t="shared" si="1"/>
        <v>-170.7252666</v>
      </c>
      <c r="D61" s="124" t="str">
        <f>VLOOKUP(A61,'Classement S6'!$B$2:$C$150,1,0)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22"/>
      <c r="B62" s="103">
        <v>61.0</v>
      </c>
      <c r="C62" s="123">
        <f t="shared" si="1"/>
        <v>-185.4777053</v>
      </c>
      <c r="D62" s="124" t="str">
        <f>VLOOKUP(A62,'Classement S6'!$B$2:$C$150,1,0)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22"/>
      <c r="B63" s="103">
        <v>62.0</v>
      </c>
      <c r="C63" s="123">
        <f t="shared" si="1"/>
        <v>-200.1190151</v>
      </c>
      <c r="D63" s="124" t="str">
        <f>VLOOKUP(A63,'Classement S6'!$B$2:$C$150,1,0)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22"/>
      <c r="B64" s="103">
        <v>63.0</v>
      </c>
      <c r="C64" s="123">
        <f t="shared" si="1"/>
        <v>-214.6524379</v>
      </c>
      <c r="D64" s="124" t="str">
        <f>VLOOKUP(A64,'Classement S6'!$B$2:$C$150,1,0)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22"/>
      <c r="B65" s="103">
        <v>64.0</v>
      </c>
      <c r="C65" s="123">
        <f t="shared" si="1"/>
        <v>-229.0810645</v>
      </c>
      <c r="D65" s="124" t="str">
        <f>VLOOKUP(A65,'Classement S6'!$B$2:$C$150,1,0)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22"/>
      <c r="B66" s="103">
        <v>65.0</v>
      </c>
      <c r="C66" s="123">
        <f t="shared" si="1"/>
        <v>-243.4078445</v>
      </c>
      <c r="D66" s="124" t="str">
        <f>VLOOKUP(A66,'Classement S6'!$B$2:$C$150,1,0)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22"/>
      <c r="B67" s="103">
        <v>66.0</v>
      </c>
      <c r="C67" s="123">
        <f t="shared" si="1"/>
        <v>-257.6355946</v>
      </c>
      <c r="D67" s="124" t="str">
        <f>VLOOKUP(A67,'Classement S6'!$B$2:$C$150,1,0)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22"/>
      <c r="B68" s="103">
        <v>67.0</v>
      </c>
      <c r="C68" s="123">
        <f t="shared" si="1"/>
        <v>-271.767007</v>
      </c>
      <c r="D68" s="124" t="str">
        <f>VLOOKUP(A68,'Classement S6'!$B$2:$C$150,1,0)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22"/>
      <c r="B69" s="103">
        <v>68.0</v>
      </c>
      <c r="C69" s="123">
        <f t="shared" si="1"/>
        <v>-285.8046561</v>
      </c>
      <c r="D69" s="124" t="str">
        <f>VLOOKUP(A69,'Classement S6'!$B$2:$C$150,1,0)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22"/>
      <c r="B70" s="103">
        <v>69.0</v>
      </c>
      <c r="C70" s="123">
        <f t="shared" si="1"/>
        <v>-299.7510064</v>
      </c>
      <c r="D70" s="124" t="str">
        <f>VLOOKUP(A70,'Classement S6'!$B$2:$C$150,1,0)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22"/>
      <c r="B71" s="103">
        <v>70.0</v>
      </c>
      <c r="C71" s="123">
        <f t="shared" si="1"/>
        <v>-313.608418</v>
      </c>
      <c r="D71" s="124" t="str">
        <f>VLOOKUP(A71,'Classement S6'!$B$2:$C$150,1,0)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22"/>
      <c r="B72" s="103">
        <v>71.0</v>
      </c>
      <c r="C72" s="123">
        <f t="shared" si="1"/>
        <v>-327.3791529</v>
      </c>
      <c r="D72" s="124" t="str">
        <f>VLOOKUP(A72,'Classement S6'!$B$2:$C$150,1,0)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22"/>
      <c r="B73" s="103">
        <v>72.0</v>
      </c>
      <c r="C73" s="123">
        <f t="shared" si="1"/>
        <v>-341.0653804</v>
      </c>
      <c r="D73" s="124" t="str">
        <f>VLOOKUP(A73,'Classement S6'!$B$2:$C$150,1,0)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22"/>
      <c r="B74" s="103">
        <v>73.0</v>
      </c>
      <c r="C74" s="123">
        <f t="shared" si="1"/>
        <v>-354.6691823</v>
      </c>
      <c r="D74" s="124" t="str">
        <f>VLOOKUP(A74,'Classement S6'!$B$2:$C$150,1,0)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22"/>
      <c r="B75" s="103">
        <v>74.0</v>
      </c>
      <c r="C75" s="123">
        <f t="shared" si="1"/>
        <v>-368.1925576</v>
      </c>
      <c r="D75" s="124" t="str">
        <f>VLOOKUP(A75,'Classement S6'!$B$2:$C$150,1,0)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22"/>
      <c r="B76" s="103">
        <v>75.0</v>
      </c>
      <c r="C76" s="123">
        <f t="shared" si="1"/>
        <v>-381.6374269</v>
      </c>
      <c r="D76" s="124" t="str">
        <f>VLOOKUP(A76,'Classement S6'!$B$2:$C$150,1,0)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22"/>
      <c r="B77" s="103">
        <v>76.0</v>
      </c>
      <c r="C77" s="123">
        <f t="shared" si="1"/>
        <v>-395.0056367</v>
      </c>
      <c r="D77" s="124" t="str">
        <f>VLOOKUP(A77,'Classement S6'!$B$2:$C$150,1,0)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22"/>
      <c r="B78" s="103">
        <v>77.0</v>
      </c>
      <c r="C78" s="123">
        <f t="shared" si="1"/>
        <v>-408.2989631</v>
      </c>
      <c r="D78" s="124" t="str">
        <f>VLOOKUP(A78,'Classement S6'!$B$2:$C$150,1,0)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22"/>
      <c r="B79" s="103">
        <v>78.0</v>
      </c>
      <c r="C79" s="123">
        <f t="shared" si="1"/>
        <v>-421.5191154</v>
      </c>
      <c r="D79" s="124" t="str">
        <f>VLOOKUP(A79,'Classement S6'!$B$2:$C$150,1,0)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27"/>
      <c r="B80" s="103">
        <v>79.0</v>
      </c>
      <c r="C80" s="123">
        <f t="shared" si="1"/>
        <v>-434.6677398</v>
      </c>
      <c r="D80" s="124" t="str">
        <f>VLOOKUP(A80,'Classement S6'!$B$2:$C$150,1,0)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27"/>
      <c r="B81" s="103">
        <v>80.0</v>
      </c>
      <c r="C81" s="123">
        <f t="shared" si="1"/>
        <v>-447.746422</v>
      </c>
      <c r="D81" s="124" t="str">
        <f>VLOOKUP(A81,'Classement S6'!$B$2:$C$150,1,0)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27"/>
      <c r="B82" s="103">
        <v>81.0</v>
      </c>
      <c r="C82" s="123">
        <f t="shared" si="1"/>
        <v>-460.7566909</v>
      </c>
      <c r="D82" s="124" t="str">
        <f>VLOOKUP(A82,'Classement S6'!$B$2:$C$150,1,0)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27"/>
      <c r="B83" s="103">
        <v>82.0</v>
      </c>
      <c r="C83" s="123">
        <f t="shared" si="1"/>
        <v>-473.7000208</v>
      </c>
      <c r="D83" s="124" t="str">
        <f>VLOOKUP(A83,'Classement S6'!$B$2:$C$150,1,0)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27"/>
      <c r="B84" s="103">
        <v>83.0</v>
      </c>
      <c r="C84" s="123">
        <f t="shared" si="1"/>
        <v>-486.5778341</v>
      </c>
      <c r="D84" s="124" t="str">
        <f>VLOOKUP(A84,'Classement S6'!$B$2:$C$150,1,0)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27"/>
      <c r="B85" s="103">
        <v>84.0</v>
      </c>
      <c r="C85" s="123">
        <f t="shared" si="1"/>
        <v>-499.3915043</v>
      </c>
      <c r="D85" s="124" t="str">
        <f>VLOOKUP(A85,'Classement S6'!$B$2:$C$150,1,0)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27"/>
      <c r="B86" s="103">
        <v>85.0</v>
      </c>
      <c r="C86" s="123">
        <f t="shared" si="1"/>
        <v>-512.1423575</v>
      </c>
      <c r="D86" s="124" t="str">
        <f>VLOOKUP(A86,'Classement S6'!$B$2:$C$150,1,0)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27"/>
      <c r="B87" s="103">
        <v>86.0</v>
      </c>
      <c r="C87" s="123">
        <f t="shared" si="1"/>
        <v>-524.8316753</v>
      </c>
      <c r="D87" s="124" t="str">
        <f>VLOOKUP(A87,'Classement S6'!$B$2:$C$150,1,0)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27"/>
      <c r="B88" s="103">
        <v>87.0</v>
      </c>
      <c r="C88" s="123">
        <f t="shared" si="1"/>
        <v>-537.4606963</v>
      </c>
      <c r="D88" s="124" t="str">
        <f>VLOOKUP(A88,'Classement S6'!$B$2:$C$150,1,0)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27"/>
      <c r="B89" s="103">
        <v>88.0</v>
      </c>
      <c r="C89" s="123">
        <f t="shared" si="1"/>
        <v>-550.0306185</v>
      </c>
      <c r="D89" s="124" t="str">
        <f>VLOOKUP(A89,'Classement S6'!$B$2:$C$150,1,0)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27"/>
      <c r="B90" s="103">
        <v>89.0</v>
      </c>
      <c r="C90" s="123">
        <f t="shared" si="1"/>
        <v>-562.5426007</v>
      </c>
      <c r="D90" s="124" t="str">
        <f>VLOOKUP(A90,'Classement S6'!$B$2:$C$150,1,0)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27"/>
      <c r="B91" s="103">
        <v>90.0</v>
      </c>
      <c r="C91" s="123">
        <f t="shared" si="1"/>
        <v>-574.9977646</v>
      </c>
      <c r="D91" s="124" t="str">
        <f>VLOOKUP(A91,'Classement S6'!$B$2:$C$150,1,0)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27"/>
      <c r="B92" s="103">
        <v>91.0</v>
      </c>
      <c r="C92" s="123">
        <f t="shared" si="1"/>
        <v>-587.3971963</v>
      </c>
      <c r="D92" s="124" t="str">
        <f>VLOOKUP(A92,'Classement S6'!$B$2:$C$150,1,0)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27"/>
      <c r="B93" s="103">
        <v>92.0</v>
      </c>
      <c r="C93" s="123">
        <f t="shared" si="1"/>
        <v>-599.7419477</v>
      </c>
      <c r="D93" s="124" t="str">
        <f>VLOOKUP(A93,'Classement S6'!$B$2:$C$150,1,0)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27"/>
      <c r="B94" s="103">
        <v>93.0</v>
      </c>
      <c r="C94" s="123">
        <f t="shared" si="1"/>
        <v>-612.033038</v>
      </c>
      <c r="D94" s="124" t="str">
        <f>VLOOKUP(A94,'Classement S6'!$B$2:$C$150,1,0)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27"/>
      <c r="B95" s="103">
        <v>94.0</v>
      </c>
      <c r="C95" s="123">
        <f t="shared" si="1"/>
        <v>-624.2714553</v>
      </c>
      <c r="D95" s="124" t="str">
        <f>VLOOKUP(A95,'Classement S6'!$B$2:$C$150,1,0)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27"/>
      <c r="B96" s="103">
        <v>95.0</v>
      </c>
      <c r="C96" s="123">
        <f t="shared" si="1"/>
        <v>-636.4581577</v>
      </c>
      <c r="D96" s="124" t="str">
        <f>VLOOKUP(A96,'Classement S6'!$B$2:$C$150,1,0)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27"/>
      <c r="B97" s="103">
        <v>96.0</v>
      </c>
      <c r="C97" s="123">
        <f t="shared" si="1"/>
        <v>-648.5940745</v>
      </c>
      <c r="D97" s="124" t="str">
        <f>VLOOKUP(A97,'Classement S6'!$B$2:$C$150,1,0)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27"/>
      <c r="B98" s="103">
        <v>97.0</v>
      </c>
      <c r="C98" s="123">
        <f t="shared" si="1"/>
        <v>-660.6801075</v>
      </c>
      <c r="D98" s="124" t="str">
        <f>VLOOKUP(A98,'Classement S6'!$B$2:$C$150,1,0)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27"/>
      <c r="B99" s="103">
        <v>98.0</v>
      </c>
      <c r="C99" s="123">
        <f t="shared" si="1"/>
        <v>-672.7171322</v>
      </c>
      <c r="D99" s="124" t="str">
        <f>VLOOKUP(A99,'Classement S6'!$B$2:$C$150,1,0)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27"/>
      <c r="B100" s="103">
        <v>99.0</v>
      </c>
      <c r="C100" s="123">
        <f t="shared" si="1"/>
        <v>-684.7059986</v>
      </c>
      <c r="D100" s="124" t="str">
        <f>VLOOKUP(A100,'Classement S6'!$B$2:$C$150,1,0)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27"/>
      <c r="B101" s="103">
        <v>100.0</v>
      </c>
      <c r="C101" s="123">
        <f t="shared" si="1"/>
        <v>-696.6475323</v>
      </c>
      <c r="D101" s="124" t="str">
        <f>VLOOKUP(A101,'Classement S6'!$B$2:$C$150,1,0)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27"/>
      <c r="B102" s="103">
        <v>101.0</v>
      </c>
      <c r="C102" s="123">
        <f t="shared" si="1"/>
        <v>-708.5425356</v>
      </c>
      <c r="D102" s="124" t="str">
        <f>VLOOKUP(A102,'Classement S6'!$B$2:$C$150,1,0)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27"/>
      <c r="B103" s="103">
        <v>102.0</v>
      </c>
      <c r="C103" s="123">
        <f t="shared" si="1"/>
        <v>-720.3917882</v>
      </c>
      <c r="D103" s="124" t="str">
        <f>VLOOKUP(A103,'Classement S6'!$B$2:$C$150,1,0)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27"/>
      <c r="B104" s="103">
        <v>103.0</v>
      </c>
      <c r="C104" s="123">
        <f t="shared" si="1"/>
        <v>-732.1960483</v>
      </c>
      <c r="D104" s="124" t="str">
        <f>VLOOKUP(A104,'Classement S6'!$B$2:$C$150,1,0)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27"/>
      <c r="B105" s="103">
        <v>104.0</v>
      </c>
      <c r="C105" s="123">
        <f t="shared" si="1"/>
        <v>-743.956053</v>
      </c>
      <c r="D105" s="124" t="str">
        <f>VLOOKUP(A105,'Classement S6'!$B$2:$C$150,1,0)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27"/>
      <c r="B106" s="103">
        <v>105.0</v>
      </c>
      <c r="C106" s="123">
        <f t="shared" si="1"/>
        <v>-755.6725197</v>
      </c>
      <c r="D106" s="124" t="str">
        <f>VLOOKUP(A106,'Classement S6'!$B$2:$C$150,1,0)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27"/>
      <c r="B107" s="103">
        <v>106.0</v>
      </c>
      <c r="C107" s="123">
        <f t="shared" si="1"/>
        <v>-767.3461462</v>
      </c>
      <c r="D107" s="124" t="str">
        <f>VLOOKUP(A107,'Classement S6'!$B$2:$C$150,1,0)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27"/>
      <c r="B108" s="103">
        <v>107.0</v>
      </c>
      <c r="C108" s="123">
        <f t="shared" si="1"/>
        <v>-778.977612</v>
      </c>
      <c r="D108" s="124" t="str">
        <f>VLOOKUP(A108,'Classement S6'!$B$2:$C$150,1,0)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27"/>
      <c r="B109" s="103">
        <v>108.0</v>
      </c>
      <c r="C109" s="123">
        <f t="shared" si="1"/>
        <v>-790.5675784</v>
      </c>
      <c r="D109" s="124" t="str">
        <f>VLOOKUP(A109,'Classement S6'!$B$2:$C$150,1,0)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27"/>
      <c r="B110" s="103">
        <v>109.0</v>
      </c>
      <c r="C110" s="123">
        <f t="shared" si="1"/>
        <v>-802.1166898</v>
      </c>
      <c r="D110" s="124" t="str">
        <f>VLOOKUP(A110,'Classement S6'!$B$2:$C$150,1,0)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27"/>
      <c r="B111" s="103">
        <v>110.0</v>
      </c>
      <c r="C111" s="123">
        <f t="shared" si="1"/>
        <v>-813.6255735</v>
      </c>
      <c r="D111" s="124" t="str">
        <f>VLOOKUP(A111,'Classement S6'!$B$2:$C$150,1,0)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27"/>
      <c r="B112" s="103">
        <v>111.0</v>
      </c>
      <c r="C112" s="123">
        <f t="shared" si="1"/>
        <v>-825.0948412</v>
      </c>
      <c r="D112" s="124" t="str">
        <f>VLOOKUP(A112,'Classement S6'!$B$2:$C$150,1,0)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27"/>
      <c r="B113" s="103">
        <v>112.0</v>
      </c>
      <c r="C113" s="123">
        <f t="shared" si="1"/>
        <v>-836.5250889</v>
      </c>
      <c r="D113" s="124" t="str">
        <f>VLOOKUP(A113,'Classement S6'!$B$2:$C$150,1,0)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27"/>
      <c r="B114" s="103">
        <v>113.0</v>
      </c>
      <c r="C114" s="123">
        <f t="shared" si="1"/>
        <v>-847.9168975</v>
      </c>
      <c r="D114" s="124" t="str">
        <f>VLOOKUP(A114,'Classement S6'!$B$2:$C$150,1,0)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27"/>
      <c r="B115" s="103">
        <v>114.0</v>
      </c>
      <c r="C115" s="123">
        <f t="shared" si="1"/>
        <v>-859.2708338</v>
      </c>
      <c r="D115" s="124" t="str">
        <f>VLOOKUP(A115,'Classement S6'!$B$2:$C$150,1,0)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27"/>
      <c r="B116" s="103">
        <v>115.0</v>
      </c>
      <c r="C116" s="123">
        <f t="shared" si="1"/>
        <v>-870.5874503</v>
      </c>
      <c r="D116" s="124" t="str">
        <f>VLOOKUP(A116,'Classement S6'!$B$2:$C$150,1,0)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27"/>
      <c r="B117" s="103">
        <v>116.0</v>
      </c>
      <c r="C117" s="123">
        <f t="shared" si="1"/>
        <v>-881.8672864</v>
      </c>
      <c r="D117" s="124" t="str">
        <f>VLOOKUP(A117,'Classement S6'!$B$2:$C$150,1,0)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27"/>
      <c r="B118" s="103">
        <v>117.0</v>
      </c>
      <c r="C118" s="123">
        <f t="shared" si="1"/>
        <v>-893.1108681</v>
      </c>
      <c r="D118" s="124" t="str">
        <f>VLOOKUP(A118,'Classement S6'!$B$2:$C$150,1,0)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27"/>
      <c r="B119" s="103">
        <v>118.0</v>
      </c>
      <c r="C119" s="123">
        <f t="shared" si="1"/>
        <v>-904.3187091</v>
      </c>
      <c r="D119" s="124" t="str">
        <f>VLOOKUP(A119,'Classement S6'!$B$2:$C$150,1,0)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27"/>
      <c r="B120" s="103">
        <v>119.0</v>
      </c>
      <c r="C120" s="123">
        <f t="shared" si="1"/>
        <v>-915.4913108</v>
      </c>
      <c r="D120" s="124" t="str">
        <f>VLOOKUP(A120,'Classement S6'!$B$2:$C$150,1,0)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27"/>
      <c r="B121" s="103">
        <v>120.0</v>
      </c>
      <c r="C121" s="123">
        <f t="shared" si="1"/>
        <v>-926.6291628</v>
      </c>
      <c r="D121" s="124" t="str">
        <f>VLOOKUP(A121,'Classement S6'!$B$2:$C$150,1,0)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27"/>
      <c r="B122" s="103">
        <v>121.0</v>
      </c>
      <c r="C122" s="123">
        <f t="shared" si="1"/>
        <v>-937.7327434</v>
      </c>
      <c r="D122" s="124" t="str">
        <f>VLOOKUP(A122,'Classement S6'!$B$2:$C$150,1,0)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27"/>
      <c r="B123" s="103">
        <v>122.0</v>
      </c>
      <c r="C123" s="123">
        <f t="shared" si="1"/>
        <v>-948.8025198</v>
      </c>
      <c r="D123" s="124" t="str">
        <f>VLOOKUP(A123,'Classement S6'!$B$2:$C$150,1,0)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27"/>
      <c r="B124" s="103">
        <v>123.0</v>
      </c>
      <c r="C124" s="123">
        <f t="shared" si="1"/>
        <v>-959.8389485</v>
      </c>
      <c r="D124" s="124" t="str">
        <f>VLOOKUP(A124,'Classement S6'!$B$2:$C$150,1,0)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27"/>
      <c r="B125" s="103">
        <v>124.0</v>
      </c>
      <c r="C125" s="123">
        <f t="shared" si="1"/>
        <v>-970.8424757</v>
      </c>
      <c r="D125" s="124" t="str">
        <f>VLOOKUP(A125,'Classement S6'!$B$2:$C$150,1,0)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27"/>
      <c r="B126" s="103">
        <v>125.0</v>
      </c>
      <c r="C126" s="123">
        <f t="shared" si="1"/>
        <v>-981.8135376</v>
      </c>
      <c r="D126" s="124" t="str">
        <f>VLOOKUP(A126,'Classement S6'!$B$2:$C$150,1,0)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27"/>
      <c r="B127" s="103">
        <v>126.0</v>
      </c>
      <c r="C127" s="123">
        <f t="shared" si="1"/>
        <v>-992.7525605</v>
      </c>
      <c r="D127" s="124" t="str">
        <f>VLOOKUP(A127,'Classement S6'!$B$2:$C$150,1,0)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27"/>
      <c r="B128" s="103">
        <v>127.0</v>
      </c>
      <c r="C128" s="123">
        <f t="shared" si="1"/>
        <v>-1003.659962</v>
      </c>
      <c r="D128" s="124" t="str">
        <f>VLOOKUP(A128,'Classement S6'!$B$2:$C$150,1,0)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27"/>
      <c r="B129" s="103">
        <v>128.0</v>
      </c>
      <c r="C129" s="123">
        <f t="shared" si="1"/>
        <v>-1014.536149</v>
      </c>
      <c r="D129" s="124" t="str">
        <f>VLOOKUP(A129,'Classement S6'!$B$2:$C$150,1,0)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27"/>
      <c r="B130" s="103">
        <v>129.0</v>
      </c>
      <c r="C130" s="123">
        <f t="shared" si="1"/>
        <v>-1025.381521</v>
      </c>
      <c r="D130" s="124" t="str">
        <f>VLOOKUP(A130,'Classement S6'!$B$2:$C$150,1,0)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27"/>
      <c r="B131" s="103">
        <v>130.0</v>
      </c>
      <c r="C131" s="123">
        <f t="shared" si="1"/>
        <v>-1036.196468</v>
      </c>
      <c r="D131" s="124" t="str">
        <f>VLOOKUP(A131,'Classement S6'!$B$2:$C$150,1,0)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27"/>
      <c r="B132" s="103">
        <v>131.0</v>
      </c>
      <c r="C132" s="123">
        <f t="shared" si="1"/>
        <v>-1046.981374</v>
      </c>
      <c r="D132" s="124" t="str">
        <f>VLOOKUP(A132,'Classement S6'!$B$2:$C$150,1,0)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27"/>
      <c r="B133" s="103">
        <v>132.0</v>
      </c>
      <c r="C133" s="123">
        <f t="shared" si="1"/>
        <v>-1057.736611</v>
      </c>
      <c r="D133" s="124" t="str">
        <f>VLOOKUP(A133,'Classement S6'!$B$2:$C$150,1,0)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27"/>
      <c r="B134" s="103">
        <v>133.0</v>
      </c>
      <c r="C134" s="123">
        <f t="shared" si="1"/>
        <v>-1068.462546</v>
      </c>
      <c r="D134" s="124" t="str">
        <f>VLOOKUP(A134,'Classement S6'!$B$2:$C$150,1,0)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27"/>
      <c r="B135" s="103">
        <v>134.0</v>
      </c>
      <c r="C135" s="123">
        <f t="shared" si="1"/>
        <v>-1079.159537</v>
      </c>
      <c r="D135" s="124" t="str">
        <f>VLOOKUP(A135,'Classement S6'!$B$2:$C$150,1,0)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27"/>
      <c r="B136" s="103">
        <v>135.0</v>
      </c>
      <c r="C136" s="123">
        <f t="shared" si="1"/>
        <v>-1089.827936</v>
      </c>
      <c r="D136" s="124" t="str">
        <f>VLOOKUP(A136,'Classement S6'!$B$2:$C$150,1,0)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27"/>
      <c r="B137" s="103">
        <v>136.0</v>
      </c>
      <c r="C137" s="123">
        <f t="shared" si="1"/>
        <v>-1100.468086</v>
      </c>
      <c r="D137" s="124" t="str">
        <f>VLOOKUP(A137,'Classement S6'!$B$2:$C$150,1,0)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27"/>
      <c r="B138" s="103">
        <v>137.0</v>
      </c>
      <c r="C138" s="123">
        <f t="shared" si="1"/>
        <v>-1111.080325</v>
      </c>
      <c r="D138" s="124" t="str">
        <f>VLOOKUP(A138,'Classement S6'!$B$2:$C$150,1,0)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27"/>
      <c r="B139" s="103">
        <v>138.0</v>
      </c>
      <c r="C139" s="123">
        <f t="shared" si="1"/>
        <v>-1121.664983</v>
      </c>
      <c r="D139" s="124" t="str">
        <f>VLOOKUP(A139,'Classement S6'!$B$2:$C$150,1,0)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27"/>
      <c r="B140" s="103">
        <v>139.0</v>
      </c>
      <c r="C140" s="123">
        <f t="shared" si="1"/>
        <v>-1132.222383</v>
      </c>
      <c r="D140" s="124" t="str">
        <f>VLOOKUP(A140,'Classement S6'!$B$2:$C$150,1,0)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27"/>
      <c r="B141" s="103">
        <v>140.0</v>
      </c>
      <c r="C141" s="123">
        <f t="shared" si="1"/>
        <v>-1142.752843</v>
      </c>
      <c r="D141" s="124" t="str">
        <f>VLOOKUP(A141,'Classement S6'!$B$2:$C$150,1,0)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27"/>
      <c r="B142" s="103">
        <v>141.0</v>
      </c>
      <c r="C142" s="123">
        <f t="shared" si="1"/>
        <v>-1153.256673</v>
      </c>
      <c r="D142" s="124" t="str">
        <f>VLOOKUP(A142,'Classement S6'!$B$2:$C$150,1,0)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27"/>
      <c r="B143" s="103">
        <v>142.0</v>
      </c>
      <c r="C143" s="123">
        <f t="shared" si="1"/>
        <v>-1163.734178</v>
      </c>
      <c r="D143" s="124" t="str">
        <f>VLOOKUP(A143,'Classement S6'!$B$2:$C$150,1,0)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27"/>
      <c r="B144" s="103">
        <v>143.0</v>
      </c>
      <c r="C144" s="123">
        <f t="shared" si="1"/>
        <v>-1174.185657</v>
      </c>
      <c r="D144" s="124" t="str">
        <f>VLOOKUP(A144,'Classement S6'!$B$2:$C$150,1,0)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27"/>
      <c r="B145" s="103">
        <v>144.0</v>
      </c>
      <c r="C145" s="123">
        <f t="shared" si="1"/>
        <v>-1184.611404</v>
      </c>
      <c r="D145" s="124" t="str">
        <f>VLOOKUP(A145,'Classement S6'!$B$2:$C$150,1,0)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27"/>
      <c r="B146" s="103">
        <v>145.0</v>
      </c>
      <c r="C146" s="123">
        <f t="shared" si="1"/>
        <v>-1195.011706</v>
      </c>
      <c r="D146" s="124" t="str">
        <f>VLOOKUP(A146,'Classement S6'!$B$2:$C$150,1,0)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27"/>
      <c r="B147" s="103">
        <v>146.0</v>
      </c>
      <c r="C147" s="123">
        <f t="shared" si="1"/>
        <v>-1205.386844</v>
      </c>
      <c r="D147" s="124" t="str">
        <f>VLOOKUP(A147,'Classement S6'!$B$2:$C$150,1,0)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27"/>
      <c r="B148" s="103">
        <v>147.0</v>
      </c>
      <c r="C148" s="123">
        <f t="shared" si="1"/>
        <v>-1215.737097</v>
      </c>
      <c r="D148" s="124" t="str">
        <f>VLOOKUP(A148,'Classement S6'!$B$2:$C$150,1,0)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27"/>
      <c r="B149" s="103">
        <v>148.0</v>
      </c>
      <c r="C149" s="123">
        <f t="shared" si="1"/>
        <v>-1226.062735</v>
      </c>
      <c r="D149" s="124" t="str">
        <f>VLOOKUP(A149,'Classement S6'!$B$2:$C$150,1,0)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27"/>
      <c r="B150" s="103">
        <v>149.0</v>
      </c>
      <c r="C150" s="123">
        <f t="shared" si="1"/>
        <v>-1236.364025</v>
      </c>
      <c r="D150" s="124" t="str">
        <f>VLOOKUP(A150,'Classement S6'!$B$2:$C$150,1,0)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27"/>
      <c r="B151" s="103">
        <v>150.0</v>
      </c>
      <c r="C151" s="123">
        <f t="shared" si="1"/>
        <v>-1246.64123</v>
      </c>
      <c r="D151" s="124" t="str">
        <f>VLOOKUP(A151,'Classement S6'!$B$2:$C$150,1,0)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27"/>
      <c r="B152" s="103">
        <v>151.0</v>
      </c>
      <c r="C152" s="123">
        <f t="shared" si="1"/>
        <v>-1256.894604</v>
      </c>
      <c r="D152" s="124" t="str">
        <f>VLOOKUP(A152,'Classement S6'!$B$2:$C$150,1,0)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27"/>
      <c r="B153" s="103">
        <v>152.0</v>
      </c>
      <c r="C153" s="123">
        <f t="shared" si="1"/>
        <v>-1267.124402</v>
      </c>
      <c r="D153" s="124" t="str">
        <f>VLOOKUP(A153,'Classement S6'!$B$2:$C$150,1,0)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27"/>
      <c r="B154" s="103">
        <v>153.0</v>
      </c>
      <c r="C154" s="123">
        <f t="shared" si="1"/>
        <v>-1277.330871</v>
      </c>
      <c r="D154" s="124" t="str">
        <f>VLOOKUP(A154,'Classement S6'!$B$2:$C$150,1,0)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27"/>
      <c r="B155" s="103">
        <v>154.0</v>
      </c>
      <c r="C155" s="123">
        <f t="shared" si="1"/>
        <v>-1287.514254</v>
      </c>
      <c r="D155" s="124" t="str">
        <f>VLOOKUP(A155,'Classement S6'!$B$2:$C$150,1,0)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27"/>
      <c r="B156" s="103">
        <v>155.0</v>
      </c>
      <c r="C156" s="123">
        <f t="shared" si="1"/>
        <v>-1297.67479</v>
      </c>
      <c r="D156" s="124" t="str">
        <f>VLOOKUP(A156,'Classement S6'!$B$2:$C$150,1,0)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27"/>
      <c r="B157" s="103">
        <v>156.0</v>
      </c>
      <c r="C157" s="123">
        <f t="shared" si="1"/>
        <v>-1307.812714</v>
      </c>
      <c r="D157" s="124" t="str">
        <f>VLOOKUP(A157,'Classement S6'!$B$2:$C$150,1,0)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27"/>
      <c r="B158" s="103">
        <v>157.0</v>
      </c>
      <c r="C158" s="123">
        <f t="shared" si="1"/>
        <v>-1317.928256</v>
      </c>
      <c r="D158" s="124" t="str">
        <f>VLOOKUP(A158,'Classement S6'!$B$2:$C$150,1,0)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27"/>
      <c r="B159" s="103">
        <v>158.0</v>
      </c>
      <c r="C159" s="123">
        <f t="shared" si="1"/>
        <v>-1328.021644</v>
      </c>
      <c r="D159" s="124" t="str">
        <f>VLOOKUP(A159,'Classement S6'!$B$2:$C$150,1,0)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27"/>
      <c r="B160" s="103">
        <v>159.0</v>
      </c>
      <c r="C160" s="123">
        <f t="shared" si="1"/>
        <v>-1338.093099</v>
      </c>
      <c r="D160" s="124" t="str">
        <f>VLOOKUP(A160,'Classement S6'!$B$2:$C$150,1,0)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27"/>
      <c r="B161" s="103">
        <v>160.0</v>
      </c>
      <c r="C161" s="123">
        <f t="shared" si="1"/>
        <v>-1348.142842</v>
      </c>
      <c r="D161" s="124" t="str">
        <f>VLOOKUP(A161,'Classement S6'!$B$2:$C$150,1,0)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B162" s="128"/>
    </row>
    <row r="163" ht="14.25" customHeight="1">
      <c r="B163" s="128"/>
    </row>
    <row r="164" ht="14.25" customHeight="1">
      <c r="B164" s="128"/>
    </row>
    <row r="165" ht="14.25" customHeight="1">
      <c r="B165" s="128"/>
    </row>
    <row r="166" ht="14.25" customHeight="1">
      <c r="B166" s="128"/>
    </row>
    <row r="167" ht="14.25" customHeight="1">
      <c r="B167" s="128"/>
    </row>
    <row r="168" ht="14.25" customHeight="1">
      <c r="B168" s="128"/>
    </row>
    <row r="169" ht="14.25" customHeight="1">
      <c r="B169" s="128"/>
    </row>
    <row r="170" ht="14.25" customHeight="1">
      <c r="B170" s="128"/>
    </row>
    <row r="171" ht="14.25" customHeight="1">
      <c r="B171" s="128"/>
    </row>
    <row r="172" ht="14.25" customHeight="1">
      <c r="B172" s="128"/>
    </row>
    <row r="173" ht="14.25" customHeight="1">
      <c r="B173" s="128"/>
    </row>
    <row r="174" ht="14.25" customHeight="1">
      <c r="B174" s="128"/>
    </row>
    <row r="175" ht="14.25" customHeight="1">
      <c r="B175" s="128"/>
    </row>
    <row r="176" ht="14.25" customHeight="1">
      <c r="B176" s="128"/>
    </row>
    <row r="177" ht="14.25" customHeight="1">
      <c r="B177" s="128"/>
    </row>
    <row r="178" ht="14.25" customHeight="1">
      <c r="B178" s="128"/>
    </row>
    <row r="179" ht="14.25" customHeight="1">
      <c r="B179" s="128"/>
    </row>
    <row r="180" ht="14.25" customHeight="1">
      <c r="B180" s="128"/>
    </row>
    <row r="181" ht="14.25" customHeight="1">
      <c r="B181" s="128"/>
    </row>
    <row r="182" ht="14.25" customHeight="1">
      <c r="B182" s="128"/>
    </row>
    <row r="183" ht="14.25" customHeight="1">
      <c r="B183" s="128"/>
    </row>
    <row r="184" ht="14.25" customHeight="1">
      <c r="B184" s="128"/>
    </row>
    <row r="185" ht="14.25" customHeight="1">
      <c r="B185" s="128"/>
    </row>
    <row r="186" ht="14.25" customHeight="1">
      <c r="B186" s="128"/>
    </row>
    <row r="187" ht="14.25" customHeight="1">
      <c r="B187" s="128"/>
    </row>
    <row r="188" ht="14.25" customHeight="1">
      <c r="B188" s="128"/>
    </row>
    <row r="189" ht="14.25" customHeight="1">
      <c r="B189" s="128"/>
    </row>
    <row r="190" ht="14.25" customHeight="1">
      <c r="B190" s="128"/>
    </row>
    <row r="191" ht="14.25" customHeight="1">
      <c r="B191" s="128"/>
    </row>
    <row r="192" ht="14.25" customHeight="1">
      <c r="B192" s="128"/>
    </row>
    <row r="193" ht="14.25" customHeight="1">
      <c r="B193" s="128"/>
    </row>
    <row r="194" ht="14.25" customHeight="1">
      <c r="B194" s="128"/>
    </row>
    <row r="195" ht="14.25" customHeight="1">
      <c r="B195" s="128"/>
    </row>
    <row r="196" ht="14.25" customHeight="1">
      <c r="B196" s="128"/>
    </row>
    <row r="197" ht="14.25" customHeight="1">
      <c r="B197" s="128"/>
    </row>
    <row r="198" ht="14.25" customHeight="1">
      <c r="B198" s="128"/>
    </row>
    <row r="199" ht="14.25" customHeight="1">
      <c r="B199" s="128"/>
    </row>
    <row r="200" ht="14.25" customHeight="1">
      <c r="B200" s="128"/>
    </row>
    <row r="201" ht="14.25" customHeight="1">
      <c r="B201" s="128"/>
    </row>
    <row r="202" ht="14.25" customHeight="1">
      <c r="B202" s="128"/>
    </row>
    <row r="203" ht="14.25" customHeight="1">
      <c r="B203" s="128"/>
    </row>
    <row r="204" ht="14.25" customHeight="1">
      <c r="B204" s="128"/>
    </row>
    <row r="205" ht="14.25" customHeight="1">
      <c r="B205" s="128"/>
    </row>
    <row r="206" ht="14.25" customHeight="1">
      <c r="B206" s="128"/>
    </row>
    <row r="207" ht="14.25" customHeight="1">
      <c r="B207" s="128"/>
    </row>
    <row r="208" ht="14.25" customHeight="1">
      <c r="B208" s="128"/>
    </row>
    <row r="209" ht="14.25" customHeight="1">
      <c r="B209" s="128"/>
    </row>
    <row r="210" ht="14.25" customHeight="1">
      <c r="B210" s="128"/>
    </row>
    <row r="211" ht="14.25" customHeight="1">
      <c r="B211" s="128"/>
    </row>
    <row r="212" ht="14.25" customHeight="1">
      <c r="B212" s="128"/>
    </row>
    <row r="213" ht="14.25" customHeight="1">
      <c r="B213" s="128"/>
    </row>
    <row r="214" ht="14.25" customHeight="1">
      <c r="B214" s="128"/>
    </row>
    <row r="215" ht="14.25" customHeight="1">
      <c r="B215" s="128"/>
    </row>
    <row r="216" ht="14.25" customHeight="1">
      <c r="B216" s="128"/>
    </row>
    <row r="217" ht="14.25" customHeight="1">
      <c r="B217" s="128"/>
    </row>
    <row r="218" ht="14.25" customHeight="1">
      <c r="B218" s="128"/>
    </row>
    <row r="219" ht="14.25" customHeight="1">
      <c r="B219" s="128"/>
    </row>
    <row r="220" ht="14.25" customHeight="1">
      <c r="B220" s="128"/>
    </row>
    <row r="221" ht="14.25" customHeight="1">
      <c r="B221" s="128"/>
    </row>
    <row r="222" ht="14.25" customHeight="1">
      <c r="B222" s="128"/>
    </row>
    <row r="223" ht="14.25" customHeight="1">
      <c r="B223" s="128"/>
    </row>
    <row r="224" ht="14.25" customHeight="1">
      <c r="B224" s="128"/>
    </row>
    <row r="225" ht="14.25" customHeight="1">
      <c r="B225" s="128"/>
    </row>
    <row r="226" ht="14.25" customHeight="1">
      <c r="B226" s="128"/>
    </row>
    <row r="227" ht="14.25" customHeight="1">
      <c r="B227" s="128"/>
    </row>
    <row r="228" ht="14.25" customHeight="1">
      <c r="B228" s="128"/>
    </row>
    <row r="229" ht="14.25" customHeight="1">
      <c r="B229" s="128"/>
    </row>
    <row r="230" ht="14.25" customHeight="1">
      <c r="B230" s="128"/>
    </row>
    <row r="231" ht="14.25" customHeight="1">
      <c r="B231" s="128"/>
    </row>
    <row r="232" ht="14.25" customHeight="1">
      <c r="B232" s="128"/>
    </row>
    <row r="233" ht="14.25" customHeight="1">
      <c r="B233" s="128"/>
    </row>
    <row r="234" ht="14.25" customHeight="1">
      <c r="B234" s="128"/>
    </row>
    <row r="235" ht="14.25" customHeight="1">
      <c r="B235" s="128"/>
    </row>
    <row r="236" ht="14.25" customHeight="1">
      <c r="B236" s="128"/>
    </row>
    <row r="237" ht="14.25" customHeight="1">
      <c r="B237" s="128"/>
    </row>
    <row r="238" ht="14.25" customHeight="1">
      <c r="B238" s="128"/>
    </row>
    <row r="239" ht="14.25" customHeight="1">
      <c r="B239" s="128"/>
    </row>
    <row r="240" ht="14.25" customHeight="1">
      <c r="B240" s="128"/>
    </row>
    <row r="241" ht="14.25" customHeight="1">
      <c r="B241" s="128"/>
    </row>
    <row r="242" ht="14.25" customHeight="1">
      <c r="B242" s="128"/>
    </row>
    <row r="243" ht="14.25" customHeight="1">
      <c r="B243" s="128"/>
    </row>
    <row r="244" ht="14.25" customHeight="1">
      <c r="B244" s="128"/>
    </row>
    <row r="245" ht="14.25" customHeight="1">
      <c r="B245" s="128"/>
    </row>
    <row r="246" ht="14.25" customHeight="1">
      <c r="B246" s="128"/>
    </row>
    <row r="247" ht="14.25" customHeight="1">
      <c r="B247" s="128"/>
    </row>
    <row r="248" ht="14.25" customHeight="1">
      <c r="B248" s="128"/>
    </row>
    <row r="249" ht="14.25" customHeight="1">
      <c r="B249" s="128"/>
    </row>
    <row r="250" ht="14.25" customHeight="1">
      <c r="B250" s="128"/>
    </row>
    <row r="251" ht="14.25" customHeight="1">
      <c r="B251" s="128"/>
    </row>
    <row r="252" ht="14.25" customHeight="1">
      <c r="B252" s="128"/>
    </row>
    <row r="253" ht="14.25" customHeight="1">
      <c r="B253" s="128"/>
    </row>
    <row r="254" ht="14.25" customHeight="1">
      <c r="B254" s="128"/>
    </row>
    <row r="255" ht="14.25" customHeight="1">
      <c r="B255" s="128"/>
    </row>
    <row r="256" ht="14.25" customHeight="1">
      <c r="B256" s="128"/>
    </row>
    <row r="257" ht="14.25" customHeight="1">
      <c r="B257" s="128"/>
    </row>
    <row r="258" ht="14.25" customHeight="1">
      <c r="B258" s="128"/>
    </row>
    <row r="259" ht="14.25" customHeight="1">
      <c r="B259" s="128"/>
    </row>
    <row r="260" ht="14.25" customHeight="1">
      <c r="B260" s="128"/>
    </row>
    <row r="261" ht="14.25" customHeight="1">
      <c r="B261" s="128"/>
    </row>
    <row r="262" ht="14.25" customHeight="1">
      <c r="B262" s="128"/>
    </row>
    <row r="263" ht="14.25" customHeight="1">
      <c r="B263" s="128"/>
    </row>
    <row r="264" ht="14.25" customHeight="1">
      <c r="B264" s="128"/>
    </row>
    <row r="265" ht="14.25" customHeight="1">
      <c r="B265" s="128"/>
    </row>
    <row r="266" ht="14.25" customHeight="1">
      <c r="B266" s="128"/>
    </row>
    <row r="267" ht="14.25" customHeight="1">
      <c r="B267" s="128"/>
    </row>
    <row r="268" ht="14.25" customHeight="1">
      <c r="B268" s="128"/>
    </row>
    <row r="269" ht="14.25" customHeight="1">
      <c r="B269" s="128"/>
    </row>
    <row r="270" ht="14.25" customHeight="1">
      <c r="B270" s="128"/>
    </row>
    <row r="271" ht="14.25" customHeight="1">
      <c r="B271" s="128"/>
    </row>
    <row r="272" ht="14.25" customHeight="1">
      <c r="B272" s="128"/>
    </row>
    <row r="273" ht="14.25" customHeight="1">
      <c r="B273" s="128"/>
    </row>
    <row r="274" ht="14.25" customHeight="1">
      <c r="B274" s="128"/>
    </row>
    <row r="275" ht="14.25" customHeight="1">
      <c r="B275" s="128"/>
    </row>
    <row r="276" ht="14.25" customHeight="1">
      <c r="B276" s="128"/>
    </row>
    <row r="277" ht="14.25" customHeight="1">
      <c r="B277" s="128"/>
    </row>
    <row r="278" ht="14.25" customHeight="1">
      <c r="B278" s="128"/>
    </row>
    <row r="279" ht="14.25" customHeight="1">
      <c r="B279" s="128"/>
    </row>
    <row r="280" ht="14.25" customHeight="1">
      <c r="B280" s="128"/>
    </row>
    <row r="281" ht="14.25" customHeight="1">
      <c r="B281" s="128"/>
    </row>
    <row r="282" ht="14.25" customHeight="1">
      <c r="B282" s="128"/>
    </row>
    <row r="283" ht="14.25" customHeight="1">
      <c r="B283" s="128"/>
    </row>
    <row r="284" ht="14.25" customHeight="1">
      <c r="B284" s="128"/>
    </row>
    <row r="285" ht="14.25" customHeight="1">
      <c r="B285" s="128"/>
    </row>
    <row r="286" ht="14.25" customHeight="1">
      <c r="B286" s="128"/>
    </row>
    <row r="287" ht="14.25" customHeight="1">
      <c r="B287" s="128"/>
    </row>
    <row r="288" ht="14.25" customHeight="1">
      <c r="B288" s="128"/>
    </row>
    <row r="289" ht="14.25" customHeight="1">
      <c r="B289" s="128"/>
    </row>
    <row r="290" ht="14.25" customHeight="1">
      <c r="B290" s="128"/>
    </row>
    <row r="291" ht="14.25" customHeight="1">
      <c r="B291" s="128"/>
    </row>
    <row r="292" ht="14.25" customHeight="1">
      <c r="B292" s="128"/>
    </row>
    <row r="293" ht="14.25" customHeight="1">
      <c r="B293" s="128"/>
    </row>
    <row r="294" ht="14.25" customHeight="1">
      <c r="B294" s="128"/>
    </row>
    <row r="295" ht="14.25" customHeight="1">
      <c r="B295" s="128"/>
    </row>
    <row r="296" ht="14.25" customHeight="1">
      <c r="B296" s="128"/>
    </row>
    <row r="297" ht="14.25" customHeight="1">
      <c r="B297" s="128"/>
    </row>
    <row r="298" ht="14.25" customHeight="1">
      <c r="B298" s="128"/>
    </row>
    <row r="299" ht="14.25" customHeight="1">
      <c r="B299" s="128"/>
    </row>
    <row r="300" ht="14.25" customHeight="1">
      <c r="B300" s="128"/>
    </row>
    <row r="301" ht="14.25" customHeight="1">
      <c r="B301" s="128"/>
    </row>
    <row r="302" ht="14.25" customHeight="1">
      <c r="B302" s="128"/>
    </row>
    <row r="303" ht="14.25" customHeight="1">
      <c r="B303" s="128"/>
    </row>
    <row r="304" ht="14.25" customHeight="1">
      <c r="B304" s="128"/>
    </row>
    <row r="305" ht="14.25" customHeight="1">
      <c r="B305" s="128"/>
    </row>
    <row r="306" ht="14.25" customHeight="1">
      <c r="B306" s="128"/>
    </row>
    <row r="307" ht="14.25" customHeight="1">
      <c r="B307" s="128"/>
    </row>
    <row r="308" ht="14.25" customHeight="1">
      <c r="B308" s="128"/>
    </row>
    <row r="309" ht="14.25" customHeight="1">
      <c r="B309" s="128"/>
    </row>
    <row r="310" ht="14.25" customHeight="1">
      <c r="B310" s="128"/>
    </row>
    <row r="311" ht="14.25" customHeight="1">
      <c r="B311" s="128"/>
    </row>
    <row r="312" ht="14.25" customHeight="1">
      <c r="B312" s="128"/>
    </row>
    <row r="313" ht="14.25" customHeight="1">
      <c r="B313" s="128"/>
    </row>
    <row r="314" ht="14.25" customHeight="1">
      <c r="B314" s="128"/>
    </row>
    <row r="315" ht="14.25" customHeight="1">
      <c r="B315" s="128"/>
    </row>
    <row r="316" ht="14.25" customHeight="1">
      <c r="B316" s="128"/>
    </row>
    <row r="317" ht="14.25" customHeight="1">
      <c r="B317" s="128"/>
    </row>
    <row r="318" ht="14.25" customHeight="1">
      <c r="B318" s="128"/>
    </row>
    <row r="319" ht="14.25" customHeight="1">
      <c r="B319" s="128"/>
    </row>
    <row r="320" ht="14.25" customHeight="1">
      <c r="B320" s="128"/>
    </row>
    <row r="321" ht="14.25" customHeight="1">
      <c r="B321" s="128"/>
    </row>
    <row r="322" ht="14.25" customHeight="1">
      <c r="B322" s="128"/>
    </row>
    <row r="323" ht="14.25" customHeight="1">
      <c r="B323" s="128"/>
    </row>
    <row r="324" ht="14.25" customHeight="1">
      <c r="B324" s="128"/>
    </row>
    <row r="325" ht="14.25" customHeight="1">
      <c r="B325" s="128"/>
    </row>
    <row r="326" ht="14.25" customHeight="1">
      <c r="B326" s="128"/>
    </row>
    <row r="327" ht="14.25" customHeight="1">
      <c r="B327" s="128"/>
    </row>
    <row r="328" ht="14.25" customHeight="1">
      <c r="B328" s="128"/>
    </row>
    <row r="329" ht="14.25" customHeight="1">
      <c r="B329" s="128"/>
    </row>
    <row r="330" ht="14.25" customHeight="1">
      <c r="B330" s="128"/>
    </row>
    <row r="331" ht="14.25" customHeight="1">
      <c r="B331" s="128"/>
    </row>
    <row r="332" ht="14.25" customHeight="1">
      <c r="B332" s="128"/>
    </row>
    <row r="333" ht="14.25" customHeight="1">
      <c r="B333" s="128"/>
    </row>
    <row r="334" ht="14.25" customHeight="1">
      <c r="B334" s="128"/>
    </row>
    <row r="335" ht="14.25" customHeight="1">
      <c r="B335" s="128"/>
    </row>
    <row r="336" ht="14.25" customHeight="1">
      <c r="B336" s="128"/>
    </row>
    <row r="337" ht="14.25" customHeight="1">
      <c r="B337" s="128"/>
    </row>
    <row r="338" ht="14.25" customHeight="1">
      <c r="B338" s="128"/>
    </row>
    <row r="339" ht="14.25" customHeight="1">
      <c r="B339" s="128"/>
    </row>
    <row r="340" ht="14.25" customHeight="1">
      <c r="B340" s="128"/>
    </row>
    <row r="341" ht="14.25" customHeight="1">
      <c r="B341" s="128"/>
    </row>
    <row r="342" ht="14.25" customHeight="1">
      <c r="B342" s="128"/>
    </row>
    <row r="343" ht="14.25" customHeight="1">
      <c r="B343" s="128"/>
    </row>
    <row r="344" ht="14.25" customHeight="1">
      <c r="B344" s="128"/>
    </row>
    <row r="345" ht="14.25" customHeight="1">
      <c r="B345" s="128"/>
    </row>
    <row r="346" ht="14.25" customHeight="1">
      <c r="B346" s="128"/>
    </row>
    <row r="347" ht="14.25" customHeight="1">
      <c r="B347" s="128"/>
    </row>
    <row r="348" ht="14.25" customHeight="1">
      <c r="B348" s="128"/>
    </row>
    <row r="349" ht="14.25" customHeight="1">
      <c r="B349" s="128"/>
    </row>
    <row r="350" ht="14.25" customHeight="1">
      <c r="B350" s="128"/>
    </row>
    <row r="351" ht="14.25" customHeight="1">
      <c r="B351" s="128"/>
    </row>
    <row r="352" ht="14.25" customHeight="1">
      <c r="B352" s="128"/>
    </row>
    <row r="353" ht="14.25" customHeight="1">
      <c r="B353" s="128"/>
    </row>
    <row r="354" ht="14.25" customHeight="1">
      <c r="B354" s="128"/>
    </row>
    <row r="355" ht="14.25" customHeight="1">
      <c r="B355" s="128"/>
    </row>
    <row r="356" ht="14.25" customHeight="1">
      <c r="B356" s="128"/>
    </row>
    <row r="357" ht="14.25" customHeight="1">
      <c r="B357" s="128"/>
    </row>
    <row r="358" ht="14.25" customHeight="1">
      <c r="B358" s="128"/>
    </row>
    <row r="359" ht="14.25" customHeight="1">
      <c r="B359" s="128"/>
    </row>
    <row r="360" ht="14.25" customHeight="1">
      <c r="B360" s="128"/>
    </row>
    <row r="361" ht="14.25" customHeight="1"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1:A1000">
    <cfRule type="containsText" dxfId="0" priority="1" operator="containsText" text="0">
      <formula>NOT(ISERROR(SEARCH(("0"),(A1))))</formula>
    </cfRule>
  </conditionalFormatting>
  <conditionalFormatting sqref="L16:Z16">
    <cfRule type="expression" dxfId="0" priority="2">
      <formula>"si(0;;)"</formula>
    </cfRule>
  </conditionalFormatting>
  <conditionalFormatting sqref="A1:A1000">
    <cfRule type="containsText" dxfId="0" priority="3" operator="containsText" text="0">
      <formula>NOT(ISERROR(SEARCH(("0"),(A1))))</formula>
    </cfRule>
  </conditionalFormatting>
  <conditionalFormatting sqref="L16:Z16">
    <cfRule type="expression" dxfId="0" priority="4">
      <formula>"si(0;;)"</formula>
    </cfRule>
  </conditionalFormatting>
  <drawing r:id="rId1"/>
  <tableParts count="1">
    <tablePart r:id="rId3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135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7.43"/>
    <col customWidth="1" min="2" max="2" width="14.71"/>
    <col customWidth="1" min="3" max="3" width="6.71"/>
    <col customWidth="1" min="4" max="4" width="1.71"/>
    <col customWidth="1" min="5" max="37" width="6.71"/>
  </cols>
  <sheetData>
    <row r="1" ht="37.5" customHeight="1">
      <c r="A1" s="132" t="s">
        <v>0</v>
      </c>
      <c r="B1" s="133" t="s">
        <v>1</v>
      </c>
      <c r="C1" s="134" t="s">
        <v>169</v>
      </c>
      <c r="D1" s="89" t="s">
        <v>3</v>
      </c>
      <c r="E1" s="90" t="s">
        <v>201</v>
      </c>
      <c r="F1" s="90" t="s">
        <v>202</v>
      </c>
      <c r="G1" s="90" t="s">
        <v>203</v>
      </c>
      <c r="H1" s="90" t="s">
        <v>173</v>
      </c>
      <c r="I1" s="90" t="s">
        <v>204</v>
      </c>
      <c r="J1" s="90" t="s">
        <v>175</v>
      </c>
      <c r="K1" s="90" t="s">
        <v>205</v>
      </c>
      <c r="L1" s="90" t="s">
        <v>177</v>
      </c>
      <c r="M1" s="90" t="s">
        <v>206</v>
      </c>
      <c r="N1" s="90" t="s">
        <v>179</v>
      </c>
      <c r="O1" s="90" t="s">
        <v>207</v>
      </c>
      <c r="P1" s="90" t="s">
        <v>181</v>
      </c>
      <c r="Q1" s="90" t="s">
        <v>208</v>
      </c>
      <c r="R1" s="90" t="s">
        <v>183</v>
      </c>
      <c r="S1" s="90" t="s">
        <v>209</v>
      </c>
      <c r="T1" s="90" t="s">
        <v>185</v>
      </c>
      <c r="U1" s="90" t="s">
        <v>210</v>
      </c>
      <c r="V1" s="90" t="s">
        <v>187</v>
      </c>
      <c r="W1" s="90" t="s">
        <v>211</v>
      </c>
      <c r="X1" s="90" t="s">
        <v>189</v>
      </c>
      <c r="Y1" s="90" t="s">
        <v>212</v>
      </c>
      <c r="Z1" s="90" t="s">
        <v>191</v>
      </c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</row>
    <row r="2">
      <c r="A2" s="135">
        <v>1.0</v>
      </c>
      <c r="B2" s="6" t="s">
        <v>7</v>
      </c>
      <c r="C2" s="93">
        <f t="shared" ref="C2:C71" si="1">F2+H2+J2+L2+N2+P2+R2+T2+V2+X2+Z2-small((AA2:AK2),1)-small((AA2:AK2),2)</f>
        <v>7252.881965</v>
      </c>
      <c r="D2" s="93"/>
      <c r="E2" s="94">
        <f>IFERROR(VLOOKUP($B2,'RoC1'!$A$1:$B$160,2,0),"0")</f>
        <v>17</v>
      </c>
      <c r="F2" s="95">
        <f>IFERROR(VLOOKUP(E2,'RoC1'!$B$1:$C$160,2,0),0)</f>
        <v>446.7350126</v>
      </c>
      <c r="G2" s="94">
        <f>IFERROR(VLOOKUP($B2,'RoC2'!$A$1:$B$161,2,0),"0")</f>
        <v>1</v>
      </c>
      <c r="H2" s="95">
        <f>IFERROR(VLOOKUP(G2,'RoC2'!$B$1:$C$161,2,0),0)</f>
        <v>1430.369656</v>
      </c>
      <c r="I2" s="94">
        <f>IFERROR(VLOOKUP($B2,'RoC3'!$A$1:$B$161,2,0),0)</f>
        <v>37</v>
      </c>
      <c r="J2" s="95">
        <f>IFERROR(VLOOKUP(I2,'RoC3'!$B$1:$C$161,2,0),0)</f>
        <v>227.1032089</v>
      </c>
      <c r="K2" s="94">
        <f>IFERROR(VLOOKUP($B2,'RoC4'!$A$1:$B$161,2,0),0)</f>
        <v>1</v>
      </c>
      <c r="L2" s="95">
        <f>IFERROR(VLOOKUP(K2,'RoC4'!$B$1:$C$161,2,0),0)</f>
        <v>1382.696845</v>
      </c>
      <c r="M2" s="94">
        <f>IFERROR(VLOOKUP($B2,'RoC5'!$A$1:$B$161,2,0),0)</f>
        <v>8</v>
      </c>
      <c r="N2" s="95">
        <f>IFERROR(VLOOKUP(M2,'RoC5'!$B$1:$C$161,2,0),0)</f>
        <v>757.9931833</v>
      </c>
      <c r="O2" s="94">
        <f>IFERROR(VLOOKUP($B2,'RoC6'!$A$1:$B$161,2,0),0)</f>
        <v>27</v>
      </c>
      <c r="P2" s="95">
        <f>IFERROR(VLOOKUP(O2,'RoC6'!$B$1:$C$161,2,0),0)</f>
        <v>304.8490234</v>
      </c>
      <c r="Q2" s="94">
        <f>IFERROR(VLOOKUP($B2,'RoC7'!$A$1:$B$161,2,0),0)</f>
        <v>4</v>
      </c>
      <c r="R2" s="95">
        <f>IFERROR(VLOOKUP(Q2,'RoC7'!$B$1:$C$161,2,0),0)</f>
        <v>953.8214179</v>
      </c>
      <c r="S2" s="94">
        <f>IFERROR(VLOOKUP($B2,'RoC8'!$A$1:$B$161,2,0),0)</f>
        <v>27</v>
      </c>
      <c r="T2" s="95">
        <f>IFERROR(VLOOKUP(S2,'RoC8'!$B$1:$C$161,2,0),0)</f>
        <v>229.1805601</v>
      </c>
      <c r="U2" s="94">
        <f>IFERROR(VLOOKUP($B2,'RoC9'!$A$1:$B$161,2,0),0)</f>
        <v>9</v>
      </c>
      <c r="V2" s="95">
        <f>IFERROR(VLOOKUP(U2,'RoC9'!$B$1:$C$161,2,0),0)</f>
        <v>628.0464881</v>
      </c>
      <c r="W2" s="94">
        <f>IFERROR(VLOOKUP($B2,'RoC10'!$A$1:$B$161,2,0),0)</f>
        <v>2</v>
      </c>
      <c r="X2" s="95">
        <f>IFERROR(VLOOKUP(W2,'RoC10'!$B$1:$C$161,2,0),0)</f>
        <v>1046.658665</v>
      </c>
      <c r="Y2" s="94">
        <f>IFERROR(VLOOKUP($B2,'RoC11'!$A$1:$B$161,2,0),0)</f>
        <v>19</v>
      </c>
      <c r="Z2" s="95">
        <f>IFERROR(VLOOKUP(Y2,'RoC11'!$B$1:$C$161,2,0),0)</f>
        <v>301.7116745</v>
      </c>
      <c r="AA2" s="95">
        <f>IFERROR(VLOOKUP(E2,'RoC1'!$B$1:$C$160,2,0),0)</f>
        <v>446.7350126</v>
      </c>
      <c r="AB2" s="95">
        <f>IFERROR(VLOOKUP(G2,'RoC2'!$B$1:$C$160,2,0),0)</f>
        <v>1430.369656</v>
      </c>
      <c r="AC2" s="95">
        <f>IFERROR(VLOOKUP(I2,'RoC3'!$B$1:$C$160,2,0),0)</f>
        <v>227.1032089</v>
      </c>
      <c r="AD2" s="95">
        <f>IFERROR(VLOOKUP(K2,'RoC4'!$B$1:$C$160,2,0),0)</f>
        <v>1382.696845</v>
      </c>
      <c r="AE2" s="95">
        <f>IFERROR(VLOOKUP(M2,'RoC5'!$B$1:$C$160,2,0),0)</f>
        <v>757.9931833</v>
      </c>
      <c r="AF2" s="95">
        <f>IFERROR(VLOOKUP(O2,'RoC6'!$B$1:$C$160,2,0),0)</f>
        <v>304.8490234</v>
      </c>
      <c r="AG2" s="95">
        <f>IFERROR(VLOOKUP(Q2,'RoC7'!$B$1:$C$160,2,0),0)</f>
        <v>953.8214179</v>
      </c>
      <c r="AH2" s="95">
        <f>IFERROR(VLOOKUP(S2,'RoC8'!$B$1:$C$160,2,0),0)</f>
        <v>229.1805601</v>
      </c>
      <c r="AI2" s="95">
        <f>IFERROR(VLOOKUP(U2,'RoC9'!$B$1:$C$160,2,0),0)</f>
        <v>628.0464881</v>
      </c>
      <c r="AJ2" s="95">
        <f>IFERROR(VLOOKUP(W2,'RoC10'!$B$1:$C$160,2,0),0)</f>
        <v>1046.658665</v>
      </c>
      <c r="AK2" s="95">
        <f>IFERROR(VLOOKUP(Y2,'RoC11'!$B$1:$C$160,2,0),0)</f>
        <v>301.7116745</v>
      </c>
    </row>
    <row r="3">
      <c r="A3" s="135">
        <v>2.0</v>
      </c>
      <c r="B3" s="6" t="s">
        <v>10</v>
      </c>
      <c r="C3" s="93">
        <f t="shared" si="1"/>
        <v>6402.909979</v>
      </c>
      <c r="D3" s="93"/>
      <c r="E3" s="94">
        <f>IFERROR(VLOOKUP($B3,'RoC1'!$A$1:$B$160,2,0),"0")</f>
        <v>3</v>
      </c>
      <c r="F3" s="95">
        <f>IFERROR(VLOOKUP(E3,'RoC1'!$B$1:$C$160,2,0),0)</f>
        <v>990.808586</v>
      </c>
      <c r="G3" s="94">
        <f>IFERROR(VLOOKUP($B3,'RoC2'!$A$1:$B$161,2,0),"0")</f>
        <v>41</v>
      </c>
      <c r="H3" s="95">
        <f>IFERROR(VLOOKUP(G3,'RoC2'!$B$1:$C$161,2,0),0)</f>
        <v>175.4271612</v>
      </c>
      <c r="I3" s="94">
        <f>IFERROR(VLOOKUP($B3,'RoC3'!$A$1:$B$161,2,0),0)</f>
        <v>36</v>
      </c>
      <c r="J3" s="95">
        <f>IFERROR(VLOOKUP(I3,'RoC3'!$B$1:$C$161,2,0),0)</f>
        <v>238.606067</v>
      </c>
      <c r="K3" s="94">
        <f>IFERROR(VLOOKUP($B3,'RoC4'!$A$1:$B$161,2,0),0)</f>
        <v>2</v>
      </c>
      <c r="L3" s="95">
        <f>IFERROR(VLOOKUP(K3,'RoC4'!$B$1:$C$161,2,0),0)</f>
        <v>1139.906686</v>
      </c>
      <c r="M3" s="94">
        <f>IFERROR(VLOOKUP($B3,'RoC5'!$A$1:$B$161,2,0),0)</f>
        <v>11</v>
      </c>
      <c r="N3" s="95">
        <f>IFERROR(VLOOKUP(M3,'RoC5'!$B$1:$C$161,2,0),0)</f>
        <v>660.3645637</v>
      </c>
      <c r="O3" s="94">
        <f>IFERROR(VLOOKUP($B3,'RoC6'!$A$1:$B$161,2,0),0)</f>
        <v>4</v>
      </c>
      <c r="P3" s="95">
        <f>IFERROR(VLOOKUP(O3,'RoC6'!$B$1:$C$161,2,0),0)</f>
        <v>926.0479686</v>
      </c>
      <c r="Q3" s="94">
        <f>IFERROR(VLOOKUP($B3,'RoC7'!$A$1:$B$161,2,0),0)</f>
        <v>9</v>
      </c>
      <c r="R3" s="95">
        <f>IFERROR(VLOOKUP(Q3,'RoC7'!$B$1:$C$161,2,0),0)</f>
        <v>706.681563</v>
      </c>
      <c r="S3" s="94">
        <f>IFERROR(VLOOKUP($B3,'RoC8'!$A$1:$B$161,2,0),0)</f>
        <v>20</v>
      </c>
      <c r="T3" s="95">
        <f>IFERROR(VLOOKUP(S3,'RoC8'!$B$1:$C$161,2,0),0)</f>
        <v>348.7574863</v>
      </c>
      <c r="U3" s="94">
        <f>IFERROR(VLOOKUP($B3,'RoC9'!$A$1:$B$161,2,0),0)</f>
        <v>4</v>
      </c>
      <c r="V3" s="95">
        <f>IFERROR(VLOOKUP(U3,'RoC9'!$B$1:$C$161,2,0),0)</f>
        <v>876.0295924</v>
      </c>
      <c r="W3" s="94">
        <f>IFERROR(VLOOKUP($B3,'RoC10'!$A$1:$B$161,2,0),0)</f>
        <v>16</v>
      </c>
      <c r="X3" s="95">
        <f>IFERROR(VLOOKUP(W3,'RoC10'!$B$1:$C$161,2,0),0)</f>
        <v>386.8643301</v>
      </c>
      <c r="Y3" s="94">
        <f>IFERROR(VLOOKUP($B3,'RoC11'!$A$1:$B$161,2,0),0)</f>
        <v>16</v>
      </c>
      <c r="Z3" s="95">
        <f>IFERROR(VLOOKUP(Y3,'RoC11'!$B$1:$C$161,2,0),0)</f>
        <v>367.4492027</v>
      </c>
      <c r="AA3" s="95">
        <f>IFERROR(VLOOKUP(E3,'RoC1'!$B$1:$C$160,2,0),0)</f>
        <v>990.808586</v>
      </c>
      <c r="AB3" s="95">
        <f>IFERROR(VLOOKUP(G3,'RoC2'!$B$1:$C$160,2,0),0)</f>
        <v>175.4271612</v>
      </c>
      <c r="AC3" s="95">
        <f>IFERROR(VLOOKUP(I3,'RoC3'!$B$1:$C$160,2,0),0)</f>
        <v>238.606067</v>
      </c>
      <c r="AD3" s="95">
        <f>IFERROR(VLOOKUP(K3,'RoC4'!$B$1:$C$160,2,0),0)</f>
        <v>1139.906686</v>
      </c>
      <c r="AE3" s="95">
        <f>IFERROR(VLOOKUP(M3,'RoC5'!$B$1:$C$160,2,0),0)</f>
        <v>660.3645637</v>
      </c>
      <c r="AF3" s="95">
        <f>IFERROR(VLOOKUP(O3,'RoC6'!$B$1:$C$160,2,0),0)</f>
        <v>926.0479686</v>
      </c>
      <c r="AG3" s="95">
        <f>IFERROR(VLOOKUP(Q3,'RoC7'!$B$1:$C$160,2,0),0)</f>
        <v>706.681563</v>
      </c>
      <c r="AH3" s="95">
        <f>IFERROR(VLOOKUP(S3,'RoC8'!$B$1:$C$160,2,0),0)</f>
        <v>348.7574863</v>
      </c>
      <c r="AI3" s="95">
        <f>IFERROR(VLOOKUP(U3,'RoC9'!$B$1:$C$160,2,0),0)</f>
        <v>876.0295924</v>
      </c>
      <c r="AJ3" s="95">
        <f>IFERROR(VLOOKUP(W3,'RoC10'!$B$1:$C$160,2,0),0)</f>
        <v>386.8643301</v>
      </c>
      <c r="AK3" s="95">
        <f>IFERROR(VLOOKUP(Y3,'RoC11'!$B$1:$C$160,2,0),0)</f>
        <v>367.4492027</v>
      </c>
    </row>
    <row r="4">
      <c r="A4" s="135">
        <v>3.0</v>
      </c>
      <c r="B4" s="6" t="s">
        <v>8</v>
      </c>
      <c r="C4" s="93">
        <f t="shared" si="1"/>
        <v>5870.255625</v>
      </c>
      <c r="D4" s="136"/>
      <c r="E4" s="137">
        <f>IFERROR(VLOOKUP($B4,'RoC1'!$A$1:$B$160,2,0),"0")</f>
        <v>5</v>
      </c>
      <c r="F4" s="97">
        <f>IFERROR(VLOOKUP(E4,'RoC1'!$B$1:$C$160,2,0),0)</f>
        <v>834.1082539</v>
      </c>
      <c r="G4" s="137">
        <f>IFERROR(VLOOKUP($B4,'RoC2'!$A$1:$B$161,2,0),"0")</f>
        <v>19</v>
      </c>
      <c r="H4" s="97">
        <f>IFERROR(VLOOKUP(G4,'RoC2'!$B$1:$C$161,2,0),0)</f>
        <v>472.4891997</v>
      </c>
      <c r="I4" s="137">
        <f>IFERROR(VLOOKUP($B4,'RoC3'!$A$1:$B$161,2,0),0)</f>
        <v>3</v>
      </c>
      <c r="J4" s="97">
        <f>IFERROR(VLOOKUP(I4,'RoC3'!$B$1:$C$161,2,0),0)</f>
        <v>1054.727835</v>
      </c>
      <c r="K4" s="137">
        <f>IFERROR(VLOOKUP($B4,'RoC4'!$A$1:$B$161,2,0),0)</f>
        <v>36</v>
      </c>
      <c r="L4" s="97">
        <f>IFERROR(VLOOKUP(K4,'RoC4'!$B$1:$C$161,2,0),0)</f>
        <v>177.0929014</v>
      </c>
      <c r="M4" s="137">
        <f>IFERROR(VLOOKUP($B4,'RoC5'!$A$1:$B$161,2,0),0)</f>
        <v>31</v>
      </c>
      <c r="N4" s="97">
        <f>IFERROR(VLOOKUP(M4,'RoC5'!$B$1:$C$161,2,0),0)</f>
        <v>305.803716</v>
      </c>
      <c r="O4" s="137">
        <f>IFERROR(VLOOKUP($B4,'RoC6'!$A$1:$B$161,2,0),0)</f>
        <v>15</v>
      </c>
      <c r="P4" s="97">
        <f>IFERROR(VLOOKUP(O4,'RoC6'!$B$1:$C$161,2,0),0)</f>
        <v>516.07543</v>
      </c>
      <c r="Q4" s="137">
        <f>IFERROR(VLOOKUP($B4,'RoC7'!$A$1:$B$161,2,0),0)</f>
        <v>2</v>
      </c>
      <c r="R4" s="97">
        <f>IFERROR(VLOOKUP(Q4,'RoC7'!$B$1:$C$161,2,0),0)</f>
        <v>1176.302002</v>
      </c>
      <c r="S4" s="137">
        <f>IFERROR(VLOOKUP($B4,'RoC8'!$A$1:$B$161,2,0),0)</f>
        <v>3</v>
      </c>
      <c r="T4" s="97">
        <f>IFERROR(VLOOKUP(S4,'RoC8'!$B$1:$C$161,2,0),0)</f>
        <v>957.3557258</v>
      </c>
      <c r="U4" s="137">
        <f>IFERROR(VLOOKUP($B4,'RoC9'!$A$1:$B$161,2,0),0)</f>
        <v>19</v>
      </c>
      <c r="V4" s="97">
        <f>IFERROR(VLOOKUP(U4,'RoC9'!$B$1:$C$161,2,0),0)</f>
        <v>376.300561</v>
      </c>
      <c r="W4" s="137">
        <f>IFERROR(VLOOKUP($B4,'RoC10'!$A$1:$B$161,2,0),0)</f>
        <v>34</v>
      </c>
      <c r="X4" s="97">
        <f>IFERROR(VLOOKUP(W4,'RoC10'!$B$1:$C$161,2,0),0)</f>
        <v>69.65641569</v>
      </c>
      <c r="Y4" s="137">
        <f>IFERROR(VLOOKUP($B4,'RoC11'!$A$1:$B$161,2,0),0)</f>
        <v>26</v>
      </c>
      <c r="Z4" s="97">
        <f>IFERROR(VLOOKUP(Y4,'RoC11'!$B$1:$C$161,2,0),0)</f>
        <v>170.4736887</v>
      </c>
      <c r="AA4" s="97">
        <f>IFERROR(VLOOKUP(E4,'RoC1'!$B$1:$C$160,2,0),0)</f>
        <v>834.1082539</v>
      </c>
      <c r="AB4" s="97">
        <f>IFERROR(VLOOKUP(G4,'RoC2'!$B$1:$C$160,2,0),0)</f>
        <v>472.4891997</v>
      </c>
      <c r="AC4" s="97">
        <f>IFERROR(VLOOKUP(I4,'RoC3'!$B$1:$C$160,2,0),0)</f>
        <v>1054.727835</v>
      </c>
      <c r="AD4" s="97">
        <f>IFERROR(VLOOKUP(K4,'RoC4'!$B$1:$C$160,2,0),0)</f>
        <v>177.0929014</v>
      </c>
      <c r="AE4" s="97">
        <f>IFERROR(VLOOKUP(M4,'RoC5'!$B$1:$C$160,2,0),0)</f>
        <v>305.803716</v>
      </c>
      <c r="AF4" s="97">
        <f>IFERROR(VLOOKUP(O4,'RoC6'!$B$1:$C$160,2,0),0)</f>
        <v>516.07543</v>
      </c>
      <c r="AG4" s="97">
        <f>IFERROR(VLOOKUP(Q4,'RoC7'!$B$1:$C$160,2,0),0)</f>
        <v>1176.302002</v>
      </c>
      <c r="AH4" s="97">
        <f>IFERROR(VLOOKUP(S4,'RoC8'!$B$1:$C$160,2,0),0)</f>
        <v>957.3557258</v>
      </c>
      <c r="AI4" s="97">
        <f>IFERROR(VLOOKUP(U4,'RoC9'!$B$1:$C$160,2,0),0)</f>
        <v>376.300561</v>
      </c>
      <c r="AJ4" s="97">
        <f>IFERROR(VLOOKUP(W4,'RoC10'!$B$1:$C$160,2,0),0)</f>
        <v>69.65641569</v>
      </c>
      <c r="AK4" s="97">
        <f>IFERROR(VLOOKUP(Y4,'RoC11'!$B$1:$C$160,2,0),0)</f>
        <v>170.4736887</v>
      </c>
    </row>
    <row r="5">
      <c r="A5" s="135">
        <v>4.0</v>
      </c>
      <c r="B5" s="6" t="s">
        <v>17</v>
      </c>
      <c r="C5" s="93">
        <f t="shared" si="1"/>
        <v>5220.377133</v>
      </c>
      <c r="D5" s="93"/>
      <c r="E5" s="94">
        <f>IFERROR(VLOOKUP($B5,'RoC1'!$A$1:$B$160,2,0),"0")</f>
        <v>12</v>
      </c>
      <c r="F5" s="95">
        <f>IFERROR(VLOOKUP(E5,'RoC1'!$B$1:$C$160,2,0),0)</f>
        <v>563.5320955</v>
      </c>
      <c r="G5" s="94">
        <f>IFERROR(VLOOKUP($B5,'RoC2'!$A$1:$B$161,2,0),"0")</f>
        <v>17</v>
      </c>
      <c r="H5" s="95">
        <f>IFERROR(VLOOKUP(G5,'RoC2'!$B$1:$C$161,2,0),0)</f>
        <v>510.1023857</v>
      </c>
      <c r="I5" s="94">
        <f>IFERROR(VLOOKUP($B5,'RoC3'!$A$1:$B$161,2,0),0)</f>
        <v>1</v>
      </c>
      <c r="J5" s="95">
        <f>IFERROR(VLOOKUP(I5,'RoC3'!$B$1:$C$161,2,0),0)</f>
        <v>1436.805154</v>
      </c>
      <c r="K5" s="94">
        <f>IFERROR(VLOOKUP($B5,'RoC4'!$A$1:$B$161,2,0),0)</f>
        <v>17</v>
      </c>
      <c r="L5" s="95">
        <f>IFERROR(VLOOKUP(K5,'RoC4'!$B$1:$C$161,2,0),0)</f>
        <v>467.318108</v>
      </c>
      <c r="M5" s="94">
        <f>IFERROR(VLOOKUP($B5,'RoC5'!$A$1:$B$161,2,0),0)</f>
        <v>20</v>
      </c>
      <c r="N5" s="95">
        <f>IFERROR(VLOOKUP(M5,'RoC5'!$B$1:$C$161,2,0),0)</f>
        <v>466.3245555</v>
      </c>
      <c r="O5" s="94">
        <f>IFERROR(VLOOKUP($B5,'RoC6'!$A$1:$B$161,2,0),0)</f>
        <v>9</v>
      </c>
      <c r="P5" s="95">
        <f>IFERROR(VLOOKUP(O5,'RoC6'!$B$1:$C$161,2,0),0)</f>
        <v>678.9604083</v>
      </c>
      <c r="Q5" s="94">
        <f>IFERROR(VLOOKUP($B5,'RoC7'!$A$1:$B$161,2,0),0)</f>
        <v>12</v>
      </c>
      <c r="R5" s="95">
        <f>IFERROR(VLOOKUP(Q5,'RoC7'!$B$1:$C$161,2,0),0)</f>
        <v>617.3775435</v>
      </c>
      <c r="S5" s="94">
        <f>IFERROR(VLOOKUP($B5,'RoC8'!$A$1:$B$161,2,0),0)</f>
        <v>29</v>
      </c>
      <c r="T5" s="95">
        <f>IFERROR(VLOOKUP(S5,'RoC8'!$B$1:$C$161,2,0),0)</f>
        <v>198.6376441</v>
      </c>
      <c r="U5" s="94">
        <f>IFERROR(VLOOKUP($B5,'RoC9'!$A$1:$B$161,2,0),0)</f>
        <v>40</v>
      </c>
      <c r="V5" s="95">
        <f>IFERROR(VLOOKUP(U5,'RoC9'!$B$1:$C$161,2,0),0)</f>
        <v>60.0765417</v>
      </c>
      <c r="W5" s="94">
        <f>IFERROR(VLOOKUP($B5,'RoC10'!$A$1:$B$161,2,0),0)</f>
        <v>37</v>
      </c>
      <c r="X5" s="95">
        <f>IFERROR(VLOOKUP(W5,'RoC10'!$B$1:$C$161,2,0),0)</f>
        <v>27.27975168</v>
      </c>
      <c r="Y5" s="94">
        <f>IFERROR(VLOOKUP($B5,'RoC11'!$A$1:$B$161,2,0),0)</f>
        <v>20</v>
      </c>
      <c r="Z5" s="95">
        <f>IFERROR(VLOOKUP(Y5,'RoC11'!$B$1:$C$161,2,0),0)</f>
        <v>281.3192383</v>
      </c>
      <c r="AA5" s="95">
        <f>IFERROR(VLOOKUP(E5,'RoC1'!$B$1:$C$160,2,0),0)</f>
        <v>563.5320955</v>
      </c>
      <c r="AB5" s="95">
        <f>IFERROR(VLOOKUP(G5,'RoC2'!$B$1:$C$160,2,0),0)</f>
        <v>510.1023857</v>
      </c>
      <c r="AC5" s="95">
        <f>IFERROR(VLOOKUP(I5,'RoC3'!$B$1:$C$160,2,0),0)</f>
        <v>1436.805154</v>
      </c>
      <c r="AD5" s="95">
        <f>IFERROR(VLOOKUP(K5,'RoC4'!$B$1:$C$160,2,0),0)</f>
        <v>467.318108</v>
      </c>
      <c r="AE5" s="95">
        <f>IFERROR(VLOOKUP(M5,'RoC5'!$B$1:$C$160,2,0),0)</f>
        <v>466.3245555</v>
      </c>
      <c r="AF5" s="95">
        <f>IFERROR(VLOOKUP(O5,'RoC6'!$B$1:$C$160,2,0),0)</f>
        <v>678.9604083</v>
      </c>
      <c r="AG5" s="95">
        <f>IFERROR(VLOOKUP(Q5,'RoC7'!$B$1:$C$160,2,0),0)</f>
        <v>617.3775435</v>
      </c>
      <c r="AH5" s="95">
        <f>IFERROR(VLOOKUP(S5,'RoC8'!$B$1:$C$160,2,0),0)</f>
        <v>198.6376441</v>
      </c>
      <c r="AI5" s="95">
        <f>IFERROR(VLOOKUP(U5,'RoC9'!$B$1:$C$160,2,0),0)</f>
        <v>60.0765417</v>
      </c>
      <c r="AJ5" s="95">
        <f>IFERROR(VLOOKUP(W5,'RoC10'!$B$1:$C$160,2,0),0)</f>
        <v>27.27975168</v>
      </c>
      <c r="AK5" s="95">
        <f>IFERROR(VLOOKUP(Y5,'RoC11'!$B$1:$C$160,2,0),0)</f>
        <v>281.3192383</v>
      </c>
    </row>
    <row r="6">
      <c r="A6" s="135">
        <v>5.0</v>
      </c>
      <c r="B6" s="98" t="s">
        <v>40</v>
      </c>
      <c r="C6" s="93">
        <f t="shared" si="1"/>
        <v>5188.644652</v>
      </c>
      <c r="D6" s="136"/>
      <c r="E6" s="137" t="str">
        <f>IFERROR(VLOOKUP($B6,'RoC1'!$A$1:$B$160,2,0),"0")</f>
        <v>0</v>
      </c>
      <c r="F6" s="97">
        <f>IFERROR(VLOOKUP(E6,'RoC1'!$B$1:$C$160,2,0),0)</f>
        <v>0</v>
      </c>
      <c r="G6" s="137">
        <f>IFERROR(VLOOKUP($B6,'RoC2'!$A$1:$B$161,2,0),"0")</f>
        <v>13</v>
      </c>
      <c r="H6" s="97">
        <f>IFERROR(VLOOKUP(G6,'RoC2'!$B$1:$C$161,2,0),0)</f>
        <v>597.4372377</v>
      </c>
      <c r="I6" s="137">
        <f>IFERROR(VLOOKUP($B6,'RoC3'!$A$1:$B$161,2,0),0)</f>
        <v>32</v>
      </c>
      <c r="J6" s="97">
        <f>IFERROR(VLOOKUP(I6,'RoC3'!$B$1:$C$161,2,0),0)</f>
        <v>286.6925466</v>
      </c>
      <c r="K6" s="137">
        <f>IFERROR(VLOOKUP($B6,'RoC4'!$A$1:$B$161,2,0),0)</f>
        <v>0</v>
      </c>
      <c r="L6" s="97">
        <f>IFERROR(VLOOKUP(K6,'RoC4'!$B$1:$C$161,2,0),0)</f>
        <v>0</v>
      </c>
      <c r="M6" s="137">
        <f>IFERROR(VLOOKUP($B6,'RoC5'!$A$1:$B$161,2,0),0)</f>
        <v>54</v>
      </c>
      <c r="N6" s="97">
        <f>IFERROR(VLOOKUP(M6,'RoC5'!$B$1:$C$161,2,0),0)</f>
        <v>62.10999971</v>
      </c>
      <c r="O6" s="137">
        <f>IFERROR(VLOOKUP($B6,'RoC6'!$A$1:$B$161,2,0),0)</f>
        <v>1</v>
      </c>
      <c r="P6" s="97">
        <f>IFERROR(VLOOKUP(O6,'RoC6'!$B$1:$C$161,2,0),0)</f>
        <v>1389.811</v>
      </c>
      <c r="Q6" s="137">
        <f>IFERROR(VLOOKUP($B6,'RoC7'!$A$1:$B$161,2,0),0)</f>
        <v>18</v>
      </c>
      <c r="R6" s="97">
        <f>IFERROR(VLOOKUP(Q6,'RoC7'!$B$1:$C$161,2,0),0)</f>
        <v>485.0987698</v>
      </c>
      <c r="S6" s="137">
        <f>IFERROR(VLOOKUP($B6,'RoC8'!$A$1:$B$161,2,0),0)</f>
        <v>1</v>
      </c>
      <c r="T6" s="97">
        <f>IFERROR(VLOOKUP(S6,'RoC8'!$B$1:$C$161,2,0),0)</f>
        <v>1321.412016</v>
      </c>
      <c r="U6" s="137">
        <f>IFERROR(VLOOKUP($B6,'RoC9'!$A$1:$B$161,2,0),0)</f>
        <v>22</v>
      </c>
      <c r="V6" s="97">
        <f>IFERROR(VLOOKUP(U6,'RoC9'!$B$1:$C$161,2,0),0)</f>
        <v>320.9017488</v>
      </c>
      <c r="W6" s="137">
        <f>IFERROR(VLOOKUP($B6,'RoC10'!$A$1:$B$161,2,0),0)</f>
        <v>21</v>
      </c>
      <c r="X6" s="97">
        <f>IFERROR(VLOOKUP(W6,'RoC10'!$B$1:$C$161,2,0),0)</f>
        <v>282.8645543</v>
      </c>
      <c r="Y6" s="137">
        <f>IFERROR(VLOOKUP($B6,'RoC11'!$A$1:$B$161,2,0),0)</f>
        <v>13</v>
      </c>
      <c r="Z6" s="97">
        <f>IFERROR(VLOOKUP(Y6,'RoC11'!$B$1:$C$161,2,0),0)</f>
        <v>442.3167786</v>
      </c>
      <c r="AA6" s="97">
        <f>IFERROR(VLOOKUP(E6,'RoC1'!$B$1:$C$160,2,0),0)</f>
        <v>0</v>
      </c>
      <c r="AB6" s="97">
        <f>IFERROR(VLOOKUP(G6,'RoC2'!$B$1:$C$160,2,0),0)</f>
        <v>597.4372377</v>
      </c>
      <c r="AC6" s="97">
        <f>IFERROR(VLOOKUP(I6,'RoC3'!$B$1:$C$160,2,0),0)</f>
        <v>286.6925466</v>
      </c>
      <c r="AD6" s="97">
        <f>IFERROR(VLOOKUP(K6,'RoC4'!$B$1:$C$160,2,0),0)</f>
        <v>0</v>
      </c>
      <c r="AE6" s="97">
        <f>IFERROR(VLOOKUP(M6,'RoC5'!$B$1:$C$160,2,0),0)</f>
        <v>62.10999971</v>
      </c>
      <c r="AF6" s="97">
        <f>IFERROR(VLOOKUP(O6,'RoC6'!$B$1:$C$160,2,0),0)</f>
        <v>1389.811</v>
      </c>
      <c r="AG6" s="97">
        <f>IFERROR(VLOOKUP(Q6,'RoC7'!$B$1:$C$160,2,0),0)</f>
        <v>485.0987698</v>
      </c>
      <c r="AH6" s="97">
        <f>IFERROR(VLOOKUP(S6,'RoC8'!$B$1:$C$160,2,0),0)</f>
        <v>1321.412016</v>
      </c>
      <c r="AI6" s="97">
        <f>IFERROR(VLOOKUP(U6,'RoC9'!$B$1:$C$160,2,0),0)</f>
        <v>320.9017488</v>
      </c>
      <c r="AJ6" s="97">
        <f>IFERROR(VLOOKUP(W6,'RoC10'!$B$1:$C$160,2,0),0)</f>
        <v>282.8645543</v>
      </c>
      <c r="AK6" s="97">
        <f>IFERROR(VLOOKUP(Y6,'RoC11'!$B$1:$C$160,2,0),0)</f>
        <v>442.3167786</v>
      </c>
    </row>
    <row r="7">
      <c r="A7" s="135">
        <v>6.0</v>
      </c>
      <c r="B7" s="6" t="s">
        <v>15</v>
      </c>
      <c r="C7" s="93">
        <f t="shared" si="1"/>
        <v>5112.683545</v>
      </c>
      <c r="D7" s="136"/>
      <c r="E7" s="137">
        <f>IFERROR(VLOOKUP($B7,'RoC1'!$A$1:$B$160,2,0),"0")</f>
        <v>7</v>
      </c>
      <c r="F7" s="97">
        <f>IFERROR(VLOOKUP(E7,'RoC1'!$B$1:$C$160,2,0),0)</f>
        <v>731.9594528</v>
      </c>
      <c r="G7" s="137">
        <f>IFERROR(VLOOKUP($B7,'RoC2'!$A$1:$B$161,2,0),"0")</f>
        <v>14</v>
      </c>
      <c r="H7" s="97">
        <f>IFERROR(VLOOKUP(G7,'RoC2'!$B$1:$C$161,2,0),0)</f>
        <v>573.7210698</v>
      </c>
      <c r="I7" s="137">
        <f>IFERROR(VLOOKUP($B7,'RoC3'!$A$1:$B$161,2,0),0)</f>
        <v>47</v>
      </c>
      <c r="J7" s="97">
        <f>IFERROR(VLOOKUP(I7,'RoC3'!$B$1:$C$161,2,0),0)</f>
        <v>120.910705</v>
      </c>
      <c r="K7" s="137">
        <f>IFERROR(VLOOKUP($B7,'RoC4'!$A$1:$B$161,2,0),0)</f>
        <v>39</v>
      </c>
      <c r="L7" s="97">
        <f>IFERROR(VLOOKUP(K7,'RoC4'!$B$1:$C$161,2,0),0)</f>
        <v>141.0373036</v>
      </c>
      <c r="M7" s="137">
        <f>IFERROR(VLOOKUP($B7,'RoC5'!$A$1:$B$161,2,0),0)</f>
        <v>6</v>
      </c>
      <c r="N7" s="97">
        <f>IFERROR(VLOOKUP(M7,'RoC5'!$B$1:$C$161,2,0),0)</f>
        <v>845.2531619</v>
      </c>
      <c r="O7" s="137">
        <f>IFERROR(VLOOKUP($B7,'RoC6'!$A$1:$B$161,2,0),0)</f>
        <v>2</v>
      </c>
      <c r="P7" s="97">
        <f>IFERROR(VLOOKUP(O7,'RoC6'!$B$1:$C$161,2,0),0)</f>
        <v>1146.212336</v>
      </c>
      <c r="Q7" s="137">
        <f>IFERROR(VLOOKUP($B7,'RoC7'!$A$1:$B$161,2,0),0)</f>
        <v>21</v>
      </c>
      <c r="R7" s="97">
        <f>IFERROR(VLOOKUP(Q7,'RoC7'!$B$1:$C$161,2,0),0)</f>
        <v>431.7528456</v>
      </c>
      <c r="S7" s="137">
        <f>IFERROR(VLOOKUP($B7,'RoC8'!$A$1:$B$161,2,0),0)</f>
        <v>32</v>
      </c>
      <c r="T7" s="97">
        <f>IFERROR(VLOOKUP(S7,'RoC8'!$B$1:$C$161,2,0),0)</f>
        <v>155.0470643</v>
      </c>
      <c r="U7" s="137">
        <f>IFERROR(VLOOKUP($B7,'RoC9'!$A$1:$B$161,2,0),0)</f>
        <v>14</v>
      </c>
      <c r="V7" s="97">
        <f>IFERROR(VLOOKUP(U7,'RoC9'!$B$1:$C$161,2,0),0)</f>
        <v>484.261121</v>
      </c>
      <c r="W7" s="137">
        <f>IFERROR(VLOOKUP($B7,'RoC10'!$A$1:$B$161,2,0),0)</f>
        <v>0</v>
      </c>
      <c r="X7" s="97">
        <f>IFERROR(VLOOKUP(W7,'RoC10'!$B$1:$C$161,2,0),0)</f>
        <v>0</v>
      </c>
      <c r="Y7" s="137">
        <f>IFERROR(VLOOKUP($B7,'RoC11'!$A$1:$B$161,2,0),0)</f>
        <v>8</v>
      </c>
      <c r="Z7" s="97">
        <f>IFERROR(VLOOKUP(Y7,'RoC11'!$B$1:$C$161,2,0),0)</f>
        <v>603.4391897</v>
      </c>
      <c r="AA7" s="97">
        <f>IFERROR(VLOOKUP(E7,'RoC1'!$B$1:$C$160,2,0),0)</f>
        <v>731.9594528</v>
      </c>
      <c r="AB7" s="97">
        <f>IFERROR(VLOOKUP(G7,'RoC2'!$B$1:$C$160,2,0),0)</f>
        <v>573.7210698</v>
      </c>
      <c r="AC7" s="97">
        <f>IFERROR(VLOOKUP(I7,'RoC3'!$B$1:$C$160,2,0),0)</f>
        <v>120.910705</v>
      </c>
      <c r="AD7" s="97">
        <f>IFERROR(VLOOKUP(K7,'RoC4'!$B$1:$C$160,2,0),0)</f>
        <v>141.0373036</v>
      </c>
      <c r="AE7" s="97">
        <f>IFERROR(VLOOKUP(M7,'RoC5'!$B$1:$C$160,2,0),0)</f>
        <v>845.2531619</v>
      </c>
      <c r="AF7" s="97">
        <f>IFERROR(VLOOKUP(O7,'RoC6'!$B$1:$C$160,2,0),0)</f>
        <v>1146.212336</v>
      </c>
      <c r="AG7" s="97">
        <f>IFERROR(VLOOKUP(Q7,'RoC7'!$B$1:$C$160,2,0),0)</f>
        <v>431.7528456</v>
      </c>
      <c r="AH7" s="97">
        <f>IFERROR(VLOOKUP(S7,'RoC8'!$B$1:$C$160,2,0),0)</f>
        <v>155.0470643</v>
      </c>
      <c r="AI7" s="97">
        <f>IFERROR(VLOOKUP(U7,'RoC9'!$B$1:$C$160,2,0),0)</f>
        <v>484.261121</v>
      </c>
      <c r="AJ7" s="97">
        <f>IFERROR(VLOOKUP(W7,'RoC10'!$B$1:$C$160,2,0),0)</f>
        <v>0</v>
      </c>
      <c r="AK7" s="97">
        <f>IFERROR(VLOOKUP(Y7,'RoC11'!$B$1:$C$160,2,0),0)</f>
        <v>603.4391897</v>
      </c>
    </row>
    <row r="8">
      <c r="A8" s="135">
        <v>7.0</v>
      </c>
      <c r="B8" s="6" t="s">
        <v>9</v>
      </c>
      <c r="C8" s="93">
        <f t="shared" si="1"/>
        <v>4927.849388</v>
      </c>
      <c r="D8" s="136"/>
      <c r="E8" s="137" t="str">
        <f>IFERROR(VLOOKUP($B8,'RoC1'!$A$1:$B$160,2,0),"0")</f>
        <v>0</v>
      </c>
      <c r="F8" s="97">
        <f>IFERROR(VLOOKUP(E8,'RoC1'!$B$1:$C$160,2,0),0)</f>
        <v>0</v>
      </c>
      <c r="G8" s="137" t="str">
        <f>IFERROR(VLOOKUP($B8,'RoC2'!$A$1:$B$161,2,0),"0")</f>
        <v>0</v>
      </c>
      <c r="H8" s="97">
        <f>IFERROR(VLOOKUP(G8,'RoC2'!$B$1:$C$161,2,0),0)</f>
        <v>0</v>
      </c>
      <c r="I8" s="137">
        <f>IFERROR(VLOOKUP($B8,'RoC3'!$A$1:$B$161,2,0),0)</f>
        <v>53</v>
      </c>
      <c r="J8" s="97">
        <f>IFERROR(VLOOKUP(I8,'RoC3'!$B$1:$C$161,2,0),0)</f>
        <v>63.17931868</v>
      </c>
      <c r="K8" s="137">
        <f>IFERROR(VLOOKUP($B8,'RoC4'!$A$1:$B$161,2,0),0)</f>
        <v>4</v>
      </c>
      <c r="L8" s="97">
        <f>IFERROR(VLOOKUP(K8,'RoC4'!$B$1:$C$161,2,0),0)</f>
        <v>920.2017084</v>
      </c>
      <c r="M8" s="137">
        <f>IFERROR(VLOOKUP($B8,'RoC5'!$A$1:$B$161,2,0),0)</f>
        <v>1</v>
      </c>
      <c r="N8" s="97">
        <f>IFERROR(VLOOKUP(M8,'RoC5'!$B$1:$C$161,2,0),0)</f>
        <v>1443.155662</v>
      </c>
      <c r="O8" s="137">
        <f>IFERROR(VLOOKUP($B8,'RoC6'!$A$1:$B$161,2,0),0)</f>
        <v>0</v>
      </c>
      <c r="P8" s="97">
        <f>IFERROR(VLOOKUP(O8,'RoC6'!$B$1:$C$161,2,0),0)</f>
        <v>0</v>
      </c>
      <c r="Q8" s="137">
        <f>IFERROR(VLOOKUP($B8,'RoC7'!$A$1:$B$161,2,0),0)</f>
        <v>0</v>
      </c>
      <c r="R8" s="97">
        <f>IFERROR(VLOOKUP(Q8,'RoC7'!$B$1:$C$161,2,0),0)</f>
        <v>0</v>
      </c>
      <c r="S8" s="137">
        <f>IFERROR(VLOOKUP($B8,'RoC8'!$A$1:$B$161,2,0),0)</f>
        <v>2</v>
      </c>
      <c r="T8" s="97">
        <f>IFERROR(VLOOKUP(S8,'RoC8'!$B$1:$C$161,2,0),0)</f>
        <v>1085.32945</v>
      </c>
      <c r="U8" s="137">
        <f>IFERROR(VLOOKUP($B8,'RoC9'!$A$1:$B$161,2,0),0)</f>
        <v>34</v>
      </c>
      <c r="V8" s="97">
        <f>IFERROR(VLOOKUP(U8,'RoC9'!$B$1:$C$161,2,0),0)</f>
        <v>137.6489408</v>
      </c>
      <c r="W8" s="137">
        <f>IFERROR(VLOOKUP($B8,'RoC10'!$A$1:$B$161,2,0),0)</f>
        <v>1</v>
      </c>
      <c r="X8" s="97">
        <f>IFERROR(VLOOKUP(W8,'RoC10'!$B$1:$C$161,2,0),0)</f>
        <v>1278.334308</v>
      </c>
      <c r="Y8" s="137">
        <f>IFERROR(VLOOKUP($B8,'RoC11'!$A$1:$B$161,2,0),0)</f>
        <v>0</v>
      </c>
      <c r="Z8" s="97">
        <f>IFERROR(VLOOKUP(Y8,'RoC11'!$B$1:$C$161,2,0),0)</f>
        <v>0</v>
      </c>
      <c r="AA8" s="97">
        <f>IFERROR(VLOOKUP(E8,'RoC1'!$B$1:$C$160,2,0),0)</f>
        <v>0</v>
      </c>
      <c r="AB8" s="97">
        <f>IFERROR(VLOOKUP(G8,'RoC2'!$B$1:$C$160,2,0),0)</f>
        <v>0</v>
      </c>
      <c r="AC8" s="97">
        <f>IFERROR(VLOOKUP(I8,'RoC3'!$B$1:$C$160,2,0),0)</f>
        <v>63.17931868</v>
      </c>
      <c r="AD8" s="97">
        <f>IFERROR(VLOOKUP(K8,'RoC4'!$B$1:$C$160,2,0),0)</f>
        <v>920.2017084</v>
      </c>
      <c r="AE8" s="97">
        <f>IFERROR(VLOOKUP(M8,'RoC5'!$B$1:$C$160,2,0),0)</f>
        <v>1443.155662</v>
      </c>
      <c r="AF8" s="97">
        <f>IFERROR(VLOOKUP(O8,'RoC6'!$B$1:$C$160,2,0),0)</f>
        <v>0</v>
      </c>
      <c r="AG8" s="97">
        <f>IFERROR(VLOOKUP(Q8,'RoC7'!$B$1:$C$160,2,0),0)</f>
        <v>0</v>
      </c>
      <c r="AH8" s="97">
        <f>IFERROR(VLOOKUP(S8,'RoC8'!$B$1:$C$160,2,0),0)</f>
        <v>1085.32945</v>
      </c>
      <c r="AI8" s="97">
        <f>IFERROR(VLOOKUP(U8,'RoC9'!$B$1:$C$160,2,0),0)</f>
        <v>137.6489408</v>
      </c>
      <c r="AJ8" s="97">
        <f>IFERROR(VLOOKUP(W8,'RoC10'!$B$1:$C$160,2,0),0)</f>
        <v>1278.334308</v>
      </c>
      <c r="AK8" s="97">
        <f>IFERROR(VLOOKUP(Y8,'RoC11'!$B$1:$C$160,2,0),0)</f>
        <v>0</v>
      </c>
    </row>
    <row r="9">
      <c r="A9" s="135">
        <v>8.0</v>
      </c>
      <c r="B9" s="6" t="s">
        <v>21</v>
      </c>
      <c r="C9" s="93">
        <f t="shared" si="1"/>
        <v>4203.85425</v>
      </c>
      <c r="D9" s="136"/>
      <c r="E9" s="137" t="str">
        <f>IFERROR(VLOOKUP($B9,'RoC1'!$A$1:$B$160,2,0),"0")</f>
        <v>0</v>
      </c>
      <c r="F9" s="97">
        <f>IFERROR(VLOOKUP(E9,'RoC1'!$B$1:$C$160,2,0),0)</f>
        <v>0</v>
      </c>
      <c r="G9" s="137">
        <f>IFERROR(VLOOKUP($B9,'RoC2'!$A$1:$B$161,2,0),"0")</f>
        <v>39</v>
      </c>
      <c r="H9" s="97">
        <f>IFERROR(VLOOKUP(G9,'RoC2'!$B$1:$C$161,2,0),0)</f>
        <v>197.3713622</v>
      </c>
      <c r="I9" s="137">
        <f>IFERROR(VLOOKUP($B9,'RoC3'!$A$1:$B$161,2,0),0)</f>
        <v>0</v>
      </c>
      <c r="J9" s="97">
        <f>IFERROR(VLOOKUP(I9,'RoC3'!$B$1:$C$161,2,0),0)</f>
        <v>0</v>
      </c>
      <c r="K9" s="137">
        <f>IFERROR(VLOOKUP($B9,'RoC4'!$A$1:$B$161,2,0),0)</f>
        <v>20</v>
      </c>
      <c r="L9" s="97">
        <f>IFERROR(VLOOKUP(K9,'RoC4'!$B$1:$C$161,2,0),0)</f>
        <v>410.2506474</v>
      </c>
      <c r="M9" s="137">
        <f>IFERROR(VLOOKUP($B9,'RoC5'!$A$1:$B$161,2,0),0)</f>
        <v>5</v>
      </c>
      <c r="N9" s="97">
        <f>IFERROR(VLOOKUP(M9,'RoC5'!$B$1:$C$161,2,0),0)</f>
        <v>900.7566002</v>
      </c>
      <c r="O9" s="137">
        <f>IFERROR(VLOOKUP($B9,'RoC6'!$A$1:$B$161,2,0),0)</f>
        <v>35</v>
      </c>
      <c r="P9" s="97">
        <f>IFERROR(VLOOKUP(O9,'RoC6'!$B$1:$C$161,2,0),0)</f>
        <v>197.7916235</v>
      </c>
      <c r="Q9" s="137">
        <f>IFERROR(VLOOKUP($B9,'RoC7'!$A$1:$B$161,2,0),0)</f>
        <v>0</v>
      </c>
      <c r="R9" s="97">
        <f>IFERROR(VLOOKUP(Q9,'RoC7'!$B$1:$C$161,2,0),0)</f>
        <v>0</v>
      </c>
      <c r="S9" s="137">
        <f>IFERROR(VLOOKUP($B9,'RoC8'!$A$1:$B$161,2,0),0)</f>
        <v>0</v>
      </c>
      <c r="T9" s="97">
        <f>IFERROR(VLOOKUP(S9,'RoC8'!$B$1:$C$161,2,0),0)</f>
        <v>0</v>
      </c>
      <c r="U9" s="137">
        <f>IFERROR(VLOOKUP($B9,'RoC9'!$A$1:$B$161,2,0),0)</f>
        <v>1</v>
      </c>
      <c r="V9" s="97">
        <f>IFERROR(VLOOKUP(U9,'RoC9'!$B$1:$C$161,2,0),0)</f>
        <v>1329.543633</v>
      </c>
      <c r="W9" s="137">
        <f>IFERROR(VLOOKUP($B9,'RoC10'!$A$1:$B$161,2,0),0)</f>
        <v>22</v>
      </c>
      <c r="X9" s="97">
        <f>IFERROR(VLOOKUP(W9,'RoC10'!$B$1:$C$161,2,0),0)</f>
        <v>264.0609001</v>
      </c>
      <c r="Y9" s="137">
        <f>IFERROR(VLOOKUP($B9,'RoC11'!$A$1:$B$161,2,0),0)</f>
        <v>3</v>
      </c>
      <c r="Z9" s="97">
        <f>IFERROR(VLOOKUP(Y9,'RoC11'!$B$1:$C$161,2,0),0)</f>
        <v>904.0794833</v>
      </c>
      <c r="AA9" s="97">
        <f>IFERROR(VLOOKUP(E9,'RoC1'!$B$1:$C$160,2,0),0)</f>
        <v>0</v>
      </c>
      <c r="AB9" s="97">
        <f>IFERROR(VLOOKUP(G9,'RoC2'!$B$1:$C$160,2,0),0)</f>
        <v>197.3713622</v>
      </c>
      <c r="AC9" s="97">
        <f>IFERROR(VLOOKUP(I9,'RoC3'!$B$1:$C$160,2,0),0)</f>
        <v>0</v>
      </c>
      <c r="AD9" s="97">
        <f>IFERROR(VLOOKUP(K9,'RoC4'!$B$1:$C$160,2,0),0)</f>
        <v>410.2506474</v>
      </c>
      <c r="AE9" s="97">
        <f>IFERROR(VLOOKUP(M9,'RoC5'!$B$1:$C$160,2,0),0)</f>
        <v>900.7566002</v>
      </c>
      <c r="AF9" s="97">
        <f>IFERROR(VLOOKUP(O9,'RoC6'!$B$1:$C$160,2,0),0)</f>
        <v>197.7916235</v>
      </c>
      <c r="AG9" s="97">
        <f>IFERROR(VLOOKUP(Q9,'RoC7'!$B$1:$C$160,2,0),0)</f>
        <v>0</v>
      </c>
      <c r="AH9" s="97">
        <f>IFERROR(VLOOKUP(S9,'RoC8'!$B$1:$C$160,2,0),0)</f>
        <v>0</v>
      </c>
      <c r="AI9" s="97">
        <f>IFERROR(VLOOKUP(U9,'RoC9'!$B$1:$C$160,2,0),0)</f>
        <v>1329.543633</v>
      </c>
      <c r="AJ9" s="97">
        <f>IFERROR(VLOOKUP(W9,'RoC10'!$B$1:$C$160,2,0),0)</f>
        <v>264.0609001</v>
      </c>
      <c r="AK9" s="97">
        <f>IFERROR(VLOOKUP(Y9,'RoC11'!$B$1:$C$160,2,0),0)</f>
        <v>904.0794833</v>
      </c>
    </row>
    <row r="10">
      <c r="A10" s="135">
        <v>9.0</v>
      </c>
      <c r="B10" s="6" t="s">
        <v>11</v>
      </c>
      <c r="C10" s="93">
        <f t="shared" si="1"/>
        <v>4170.125252</v>
      </c>
      <c r="D10" s="93"/>
      <c r="E10" s="94">
        <f>IFERROR(VLOOKUP($B10,'RoC1'!$A$1:$B$160,2,0),"0")</f>
        <v>6</v>
      </c>
      <c r="F10" s="95">
        <f>IFERROR(VLOOKUP(E10,'RoC1'!$B$1:$C$160,2,0),0)</f>
        <v>778.8303846</v>
      </c>
      <c r="G10" s="94">
        <f>IFERROR(VLOOKUP($B10,'RoC2'!$A$1:$B$161,2,0),"0")</f>
        <v>15</v>
      </c>
      <c r="H10" s="95">
        <f>IFERROR(VLOOKUP(G10,'RoC2'!$B$1:$C$161,2,0),0)</f>
        <v>551.3789175</v>
      </c>
      <c r="I10" s="94">
        <f>IFERROR(VLOOKUP($B10,'RoC3'!$A$1:$B$161,2,0),0)</f>
        <v>0</v>
      </c>
      <c r="J10" s="95">
        <f>IFERROR(VLOOKUP(I10,'RoC3'!$B$1:$C$161,2,0),0)</f>
        <v>0</v>
      </c>
      <c r="K10" s="94">
        <f>IFERROR(VLOOKUP($B10,'RoC4'!$A$1:$B$161,2,0),0)</f>
        <v>6</v>
      </c>
      <c r="L10" s="95">
        <f>IFERROR(VLOOKUP(K10,'RoC4'!$B$1:$C$161,2,0),0)</f>
        <v>796.8504363</v>
      </c>
      <c r="M10" s="94">
        <f>IFERROR(VLOOKUP($B10,'RoC5'!$A$1:$B$161,2,0),0)</f>
        <v>25</v>
      </c>
      <c r="N10" s="95">
        <f>IFERROR(VLOOKUP(M10,'RoC5'!$B$1:$C$161,2,0),0)</f>
        <v>387.2392994</v>
      </c>
      <c r="O10" s="94">
        <f>IFERROR(VLOOKUP($B10,'RoC6'!$A$1:$B$161,2,0),0)</f>
        <v>19</v>
      </c>
      <c r="P10" s="95">
        <f>IFERROR(VLOOKUP(O10,'RoC6'!$B$1:$C$161,2,0),0)</f>
        <v>435.2541473</v>
      </c>
      <c r="Q10" s="94">
        <f>IFERROR(VLOOKUP($B10,'RoC7'!$A$1:$B$161,2,0),0)</f>
        <v>39</v>
      </c>
      <c r="R10" s="95">
        <f>IFERROR(VLOOKUP(Q10,'RoC7'!$B$1:$C$161,2,0),0)</f>
        <v>189.922211</v>
      </c>
      <c r="S10" s="94">
        <f>IFERROR(VLOOKUP($B10,'RoC8'!$A$1:$B$161,2,0),0)</f>
        <v>24</v>
      </c>
      <c r="T10" s="95">
        <f>IFERROR(VLOOKUP(S10,'RoC8'!$B$1:$C$161,2,0),0)</f>
        <v>277.6815221</v>
      </c>
      <c r="U10" s="94">
        <f>IFERROR(VLOOKUP($B10,'RoC9'!$A$1:$B$161,2,0),0)</f>
        <v>6</v>
      </c>
      <c r="V10" s="95">
        <f>IFERROR(VLOOKUP(U10,'RoC9'!$B$1:$C$161,2,0),0)</f>
        <v>752.9683342</v>
      </c>
      <c r="W10" s="94">
        <f>IFERROR(VLOOKUP($B10,'RoC10'!$A$1:$B$161,2,0),0)</f>
        <v>0</v>
      </c>
      <c r="X10" s="95">
        <f>IFERROR(VLOOKUP(W10,'RoC10'!$B$1:$C$161,2,0),0)</f>
        <v>0</v>
      </c>
      <c r="Y10" s="94">
        <f>IFERROR(VLOOKUP($B10,'RoC11'!$A$1:$B$161,2,0),0)</f>
        <v>0</v>
      </c>
      <c r="Z10" s="95">
        <f>IFERROR(VLOOKUP(Y10,'RoC11'!$B$1:$C$161,2,0),0)</f>
        <v>0</v>
      </c>
      <c r="AA10" s="95">
        <f>IFERROR(VLOOKUP(E10,'RoC1'!$B$1:$C$160,2,0),0)</f>
        <v>778.8303846</v>
      </c>
      <c r="AB10" s="95">
        <f>IFERROR(VLOOKUP(G10,'RoC2'!$B$1:$C$160,2,0),0)</f>
        <v>551.3789175</v>
      </c>
      <c r="AC10" s="95">
        <f>IFERROR(VLOOKUP(I10,'RoC3'!$B$1:$C$160,2,0),0)</f>
        <v>0</v>
      </c>
      <c r="AD10" s="95">
        <f>IFERROR(VLOOKUP(K10,'RoC4'!$B$1:$C$160,2,0),0)</f>
        <v>796.8504363</v>
      </c>
      <c r="AE10" s="95">
        <f>IFERROR(VLOOKUP(M10,'RoC5'!$B$1:$C$160,2,0),0)</f>
        <v>387.2392994</v>
      </c>
      <c r="AF10" s="95">
        <f>IFERROR(VLOOKUP(O10,'RoC6'!$B$1:$C$160,2,0),0)</f>
        <v>435.2541473</v>
      </c>
      <c r="AG10" s="95">
        <f>IFERROR(VLOOKUP(Q10,'RoC7'!$B$1:$C$160,2,0),0)</f>
        <v>189.922211</v>
      </c>
      <c r="AH10" s="95">
        <f>IFERROR(VLOOKUP(S10,'RoC8'!$B$1:$C$160,2,0),0)</f>
        <v>277.6815221</v>
      </c>
      <c r="AI10" s="95">
        <f>IFERROR(VLOOKUP(U10,'RoC9'!$B$1:$C$160,2,0),0)</f>
        <v>752.9683342</v>
      </c>
      <c r="AJ10" s="95">
        <f>IFERROR(VLOOKUP(W10,'RoC10'!$B$1:$C$160,2,0),0)</f>
        <v>0</v>
      </c>
      <c r="AK10" s="95">
        <f>IFERROR(VLOOKUP(Y10,'RoC11'!$B$1:$C$160,2,0),0)</f>
        <v>0</v>
      </c>
    </row>
    <row r="11">
      <c r="A11" s="135">
        <v>10.0</v>
      </c>
      <c r="B11" s="6" t="s">
        <v>14</v>
      </c>
      <c r="C11" s="93">
        <f t="shared" si="1"/>
        <v>3970.536251</v>
      </c>
      <c r="D11" s="136"/>
      <c r="E11" s="137">
        <f>IFERROR(VLOOKUP($B11,'RoC1'!$A$1:$B$160,2,0),"0")</f>
        <v>8</v>
      </c>
      <c r="F11" s="97">
        <f>IFERROR(VLOOKUP(E11,'RoC1'!$B$1:$C$160,2,0),0)</f>
        <v>691.0724873</v>
      </c>
      <c r="G11" s="137">
        <f>IFERROR(VLOOKUP($B11,'RoC2'!$A$1:$B$161,2,0),"0")</f>
        <v>23</v>
      </c>
      <c r="H11" s="97">
        <f>IFERROR(VLOOKUP(G11,'RoC2'!$B$1:$C$161,2,0),0)</f>
        <v>405.4066203</v>
      </c>
      <c r="I11" s="137">
        <f>IFERROR(VLOOKUP($B11,'RoC3'!$A$1:$B$161,2,0),0)</f>
        <v>29</v>
      </c>
      <c r="J11" s="97">
        <f>IFERROR(VLOOKUP(I11,'RoC3'!$B$1:$C$161,2,0),0)</f>
        <v>325.3179748</v>
      </c>
      <c r="K11" s="137">
        <f>IFERROR(VLOOKUP($B11,'RoC4'!$A$1:$B$161,2,0),0)</f>
        <v>16</v>
      </c>
      <c r="L11" s="97">
        <f>IFERROR(VLOOKUP(K11,'RoC4'!$B$1:$C$161,2,0),0)</f>
        <v>488.0106511</v>
      </c>
      <c r="M11" s="137">
        <f>IFERROR(VLOOKUP($B11,'RoC5'!$A$1:$B$161,2,0),0)</f>
        <v>41</v>
      </c>
      <c r="N11" s="97">
        <f>IFERROR(VLOOKUP(M11,'RoC5'!$B$1:$C$161,2,0),0)</f>
        <v>190.1060589</v>
      </c>
      <c r="O11" s="137">
        <f>IFERROR(VLOOKUP($B11,'RoC6'!$A$1:$B$161,2,0),0)</f>
        <v>31</v>
      </c>
      <c r="P11" s="97">
        <f>IFERROR(VLOOKUP(O11,'RoC6'!$B$1:$C$161,2,0),0)</f>
        <v>249.192323</v>
      </c>
      <c r="Q11" s="137">
        <f>IFERROR(VLOOKUP($B11,'RoC7'!$A$1:$B$161,2,0),0)</f>
        <v>0</v>
      </c>
      <c r="R11" s="97">
        <f>IFERROR(VLOOKUP(Q11,'RoC7'!$B$1:$C$161,2,0),0)</f>
        <v>0</v>
      </c>
      <c r="S11" s="137">
        <f>IFERROR(VLOOKUP($B11,'RoC8'!$A$1:$B$161,2,0),0)</f>
        <v>12</v>
      </c>
      <c r="T11" s="97">
        <f>IFERROR(VLOOKUP(S11,'RoC8'!$B$1:$C$161,2,0),0)</f>
        <v>528.3533469</v>
      </c>
      <c r="U11" s="137">
        <f>IFERROR(VLOOKUP($B11,'RoC9'!$A$1:$B$161,2,0),0)</f>
        <v>27</v>
      </c>
      <c r="V11" s="97">
        <f>IFERROR(VLOOKUP(U11,'RoC9'!$B$1:$C$161,2,0),0)</f>
        <v>238.606067</v>
      </c>
      <c r="W11" s="137">
        <f>IFERROR(VLOOKUP($B11,'RoC10'!$A$1:$B$161,2,0),0)</f>
        <v>24</v>
      </c>
      <c r="X11" s="97">
        <f>IFERROR(VLOOKUP(W11,'RoC10'!$B$1:$C$161,2,0),0)</f>
        <v>227.9813373</v>
      </c>
      <c r="Y11" s="137">
        <f>IFERROR(VLOOKUP($B11,'RoC11'!$A$1:$B$161,2,0),0)</f>
        <v>4</v>
      </c>
      <c r="Z11" s="97">
        <f>IFERROR(VLOOKUP(Y11,'RoC11'!$B$1:$C$161,2,0),0)</f>
        <v>816.5954437</v>
      </c>
      <c r="AA11" s="97">
        <f>IFERROR(VLOOKUP(E11,'RoC1'!$B$1:$C$160,2,0),0)</f>
        <v>691.0724873</v>
      </c>
      <c r="AB11" s="97">
        <f>IFERROR(VLOOKUP(G11,'RoC2'!$B$1:$C$160,2,0),0)</f>
        <v>405.4066203</v>
      </c>
      <c r="AC11" s="97">
        <f>IFERROR(VLOOKUP(I11,'RoC3'!$B$1:$C$160,2,0),0)</f>
        <v>325.3179748</v>
      </c>
      <c r="AD11" s="97">
        <f>IFERROR(VLOOKUP(K11,'RoC4'!$B$1:$C$160,2,0),0)</f>
        <v>488.0106511</v>
      </c>
      <c r="AE11" s="97">
        <f>IFERROR(VLOOKUP(M11,'RoC5'!$B$1:$C$160,2,0),0)</f>
        <v>190.1060589</v>
      </c>
      <c r="AF11" s="97">
        <f>IFERROR(VLOOKUP(O11,'RoC6'!$B$1:$C$160,2,0),0)</f>
        <v>249.192323</v>
      </c>
      <c r="AG11" s="97">
        <f>IFERROR(VLOOKUP(Q11,'RoC7'!$B$1:$C$160,2,0),0)</f>
        <v>0</v>
      </c>
      <c r="AH11" s="97">
        <f>IFERROR(VLOOKUP(S11,'RoC8'!$B$1:$C$160,2,0),0)</f>
        <v>528.3533469</v>
      </c>
      <c r="AI11" s="97">
        <f>IFERROR(VLOOKUP(U11,'RoC9'!$B$1:$C$160,2,0),0)</f>
        <v>238.606067</v>
      </c>
      <c r="AJ11" s="97">
        <f>IFERROR(VLOOKUP(W11,'RoC10'!$B$1:$C$160,2,0),0)</f>
        <v>227.9813373</v>
      </c>
      <c r="AK11" s="97">
        <f>IFERROR(VLOOKUP(Y11,'RoC11'!$B$1:$C$160,2,0),0)</f>
        <v>816.5954437</v>
      </c>
    </row>
    <row r="12">
      <c r="A12" s="135">
        <v>11.0</v>
      </c>
      <c r="B12" s="6" t="s">
        <v>26</v>
      </c>
      <c r="C12" s="93">
        <f t="shared" si="1"/>
        <v>3916.46067</v>
      </c>
      <c r="D12" s="93"/>
      <c r="E12" s="94">
        <f>IFERROR(VLOOKUP($B12,'RoC1'!$A$1:$B$160,2,0),"0")</f>
        <v>13</v>
      </c>
      <c r="F12" s="95">
        <f>IFERROR(VLOOKUP(E12,'RoC1'!$B$1:$C$160,2,0),0)</f>
        <v>537.438663</v>
      </c>
      <c r="G12" s="94">
        <f>IFERROR(VLOOKUP($B12,'RoC2'!$A$1:$B$161,2,0),"0")</f>
        <v>5</v>
      </c>
      <c r="H12" s="95">
        <f>IFERROR(VLOOKUP(G12,'RoC2'!$B$1:$C$161,2,0),0)</f>
        <v>890.5771611</v>
      </c>
      <c r="I12" s="94">
        <f>IFERROR(VLOOKUP($B12,'RoC3'!$A$1:$B$161,2,0),0)</f>
        <v>13</v>
      </c>
      <c r="J12" s="95">
        <f>IFERROR(VLOOKUP(I12,'RoC3'!$B$1:$C$161,2,0),0)</f>
        <v>602.7786833</v>
      </c>
      <c r="K12" s="94">
        <f>IFERROR(VLOOKUP($B12,'RoC4'!$A$1:$B$161,2,0),0)</f>
        <v>24</v>
      </c>
      <c r="L12" s="95">
        <f>IFERROR(VLOOKUP(K12,'RoC4'!$B$1:$C$161,2,0),0)</f>
        <v>342.9746461</v>
      </c>
      <c r="M12" s="94">
        <f>IFERROR(VLOOKUP($B12,'RoC5'!$A$1:$B$161,2,0),0)</f>
        <v>0</v>
      </c>
      <c r="N12" s="95">
        <f>IFERROR(VLOOKUP(M12,'RoC5'!$B$1:$C$161,2,0),0)</f>
        <v>0</v>
      </c>
      <c r="O12" s="94">
        <f>IFERROR(VLOOKUP($B12,'RoC6'!$A$1:$B$161,2,0),0)</f>
        <v>45</v>
      </c>
      <c r="P12" s="95">
        <f>IFERROR(VLOOKUP(O12,'RoC6'!$B$1:$C$161,2,0),0)</f>
        <v>82.55421646</v>
      </c>
      <c r="Q12" s="94">
        <f>IFERROR(VLOOKUP($B12,'RoC7'!$A$1:$B$161,2,0),0)</f>
        <v>50</v>
      </c>
      <c r="R12" s="95">
        <f>IFERROR(VLOOKUP(Q12,'RoC7'!$B$1:$C$161,2,0),0)</f>
        <v>75.15117827</v>
      </c>
      <c r="S12" s="94">
        <f>IFERROR(VLOOKUP($B12,'RoC8'!$A$1:$B$161,2,0),0)</f>
        <v>31</v>
      </c>
      <c r="T12" s="95">
        <f>IFERROR(VLOOKUP(S12,'RoC8'!$B$1:$C$161,2,0),0)</f>
        <v>169.3061464</v>
      </c>
      <c r="U12" s="94">
        <f>IFERROR(VLOOKUP($B12,'RoC9'!$A$1:$B$161,2,0),0)</f>
        <v>23</v>
      </c>
      <c r="V12" s="95">
        <f>IFERROR(VLOOKUP(U12,'RoC9'!$B$1:$C$161,2,0),0)</f>
        <v>303.557271</v>
      </c>
      <c r="W12" s="94">
        <f>IFERROR(VLOOKUP($B12,'RoC10'!$A$1:$B$161,2,0),0)</f>
        <v>11</v>
      </c>
      <c r="X12" s="95">
        <f>IFERROR(VLOOKUP(W12,'RoC10'!$B$1:$C$161,2,0),0)</f>
        <v>517.2145196</v>
      </c>
      <c r="Y12" s="94">
        <f>IFERROR(VLOOKUP($B12,'RoC11'!$A$1:$B$161,2,0),0)</f>
        <v>12</v>
      </c>
      <c r="Z12" s="95">
        <f>IFERROR(VLOOKUP(Y12,'RoC11'!$B$1:$C$161,2,0),0)</f>
        <v>470.0593628</v>
      </c>
      <c r="AA12" s="95">
        <f>IFERROR(VLOOKUP(E12,'RoC1'!$B$1:$C$160,2,0),0)</f>
        <v>537.438663</v>
      </c>
      <c r="AB12" s="95">
        <f>IFERROR(VLOOKUP(G12,'RoC2'!$B$1:$C$160,2,0),0)</f>
        <v>890.5771611</v>
      </c>
      <c r="AC12" s="95">
        <f>IFERROR(VLOOKUP(I12,'RoC3'!$B$1:$C$160,2,0),0)</f>
        <v>602.7786833</v>
      </c>
      <c r="AD12" s="95">
        <f>IFERROR(VLOOKUP(K12,'RoC4'!$B$1:$C$160,2,0),0)</f>
        <v>342.9746461</v>
      </c>
      <c r="AE12" s="95">
        <f>IFERROR(VLOOKUP(M12,'RoC5'!$B$1:$C$160,2,0),0)</f>
        <v>0</v>
      </c>
      <c r="AF12" s="95">
        <f>IFERROR(VLOOKUP(O12,'RoC6'!$B$1:$C$160,2,0),0)</f>
        <v>82.55421646</v>
      </c>
      <c r="AG12" s="95">
        <f>IFERROR(VLOOKUP(Q12,'RoC7'!$B$1:$C$160,2,0),0)</f>
        <v>75.15117827</v>
      </c>
      <c r="AH12" s="95">
        <f>IFERROR(VLOOKUP(S12,'RoC8'!$B$1:$C$160,2,0),0)</f>
        <v>169.3061464</v>
      </c>
      <c r="AI12" s="95">
        <f>IFERROR(VLOOKUP(U12,'RoC9'!$B$1:$C$160,2,0),0)</f>
        <v>303.557271</v>
      </c>
      <c r="AJ12" s="95">
        <f>IFERROR(VLOOKUP(W12,'RoC10'!$B$1:$C$160,2,0),0)</f>
        <v>517.2145196</v>
      </c>
      <c r="AK12" s="95">
        <f>IFERROR(VLOOKUP(Y12,'RoC11'!$B$1:$C$160,2,0),0)</f>
        <v>470.0593628</v>
      </c>
    </row>
    <row r="13">
      <c r="A13" s="135">
        <v>12.0</v>
      </c>
      <c r="B13" s="6" t="s">
        <v>45</v>
      </c>
      <c r="C13" s="93">
        <f t="shared" si="1"/>
        <v>3890.538262</v>
      </c>
      <c r="D13" s="93"/>
      <c r="E13" s="94">
        <f>IFERROR(VLOOKUP($B13,'RoC1'!$A$1:$B$160,2,0),"0")</f>
        <v>37</v>
      </c>
      <c r="F13" s="95">
        <f>IFERROR(VLOOKUP(E13,'RoC1'!$B$1:$C$160,2,0),0)</f>
        <v>137.9250209</v>
      </c>
      <c r="G13" s="94">
        <f>IFERROR(VLOOKUP($B13,'RoC2'!$A$1:$B$161,2,0),"0")</f>
        <v>31</v>
      </c>
      <c r="H13" s="95">
        <f>IFERROR(VLOOKUP(G13,'RoC2'!$B$1:$C$161,2,0),0)</f>
        <v>292.6428398</v>
      </c>
      <c r="I13" s="94">
        <f>IFERROR(VLOOKUP($B13,'RoC3'!$A$1:$B$161,2,0),0)</f>
        <v>21</v>
      </c>
      <c r="J13" s="95">
        <f>IFERROR(VLOOKUP(I13,'RoC3'!$B$1:$C$161,2,0),0)</f>
        <v>443.66549</v>
      </c>
      <c r="K13" s="94">
        <f>IFERROR(VLOOKUP($B13,'RoC4'!$A$1:$B$161,2,0),0)</f>
        <v>15</v>
      </c>
      <c r="L13" s="95">
        <f>IFERROR(VLOOKUP(K13,'RoC4'!$B$1:$C$161,2,0),0)</f>
        <v>509.7247306</v>
      </c>
      <c r="M13" s="94">
        <f>IFERROR(VLOOKUP($B13,'RoC5'!$A$1:$B$161,2,0),0)</f>
        <v>57</v>
      </c>
      <c r="N13" s="95">
        <f>IFERROR(VLOOKUP(M13,'RoC5'!$B$1:$C$161,2,0),0)</f>
        <v>35.01492533</v>
      </c>
      <c r="O13" s="94">
        <f>IFERROR(VLOOKUP($B13,'RoC6'!$A$1:$B$161,2,0),0)</f>
        <v>7</v>
      </c>
      <c r="P13" s="95">
        <f>IFERROR(VLOOKUP(O13,'RoC6'!$B$1:$C$161,2,0),0)</f>
        <v>755.8501836</v>
      </c>
      <c r="Q13" s="94">
        <f>IFERROR(VLOOKUP($B13,'RoC7'!$A$1:$B$161,2,0),0)</f>
        <v>57</v>
      </c>
      <c r="R13" s="95">
        <f>IFERROR(VLOOKUP(Q13,'RoC7'!$B$1:$C$161,2,0),0)</f>
        <v>9.091166136</v>
      </c>
      <c r="S13" s="94">
        <f>IFERROR(VLOOKUP($B13,'RoC8'!$A$1:$B$161,2,0),0)</f>
        <v>8</v>
      </c>
      <c r="T13" s="95">
        <f>IFERROR(VLOOKUP(S13,'RoC8'!$B$1:$C$161,2,0),0)</f>
        <v>657.8089833</v>
      </c>
      <c r="U13" s="94">
        <f>IFERROR(VLOOKUP($B13,'RoC9'!$A$1:$B$161,2,0),0)</f>
        <v>18</v>
      </c>
      <c r="V13" s="95">
        <f>IFERROR(VLOOKUP(U13,'RoC9'!$B$1:$C$161,2,0),0)</f>
        <v>396.0915304</v>
      </c>
      <c r="W13" s="94">
        <f>IFERROR(VLOOKUP($B13,'RoC10'!$A$1:$B$161,2,0),0)</f>
        <v>7</v>
      </c>
      <c r="X13" s="95">
        <f>IFERROR(VLOOKUP(W13,'RoC10'!$B$1:$C$161,2,0),0)</f>
        <v>661.8145585</v>
      </c>
      <c r="Y13" s="94">
        <f>IFERROR(VLOOKUP($B13,'RoC11'!$A$1:$B$161,2,0),0)</f>
        <v>0</v>
      </c>
      <c r="Z13" s="95">
        <f>IFERROR(VLOOKUP(Y13,'RoC11'!$B$1:$C$161,2,0),0)</f>
        <v>0</v>
      </c>
      <c r="AA13" s="95">
        <f>IFERROR(VLOOKUP(E13,'RoC1'!$B$1:$C$160,2,0),0)</f>
        <v>137.9250209</v>
      </c>
      <c r="AB13" s="95">
        <f>IFERROR(VLOOKUP(G13,'RoC2'!$B$1:$C$160,2,0),0)</f>
        <v>292.6428398</v>
      </c>
      <c r="AC13" s="95">
        <f>IFERROR(VLOOKUP(I13,'RoC3'!$B$1:$C$160,2,0),0)</f>
        <v>443.66549</v>
      </c>
      <c r="AD13" s="95">
        <f>IFERROR(VLOOKUP(K13,'RoC4'!$B$1:$C$160,2,0),0)</f>
        <v>509.7247306</v>
      </c>
      <c r="AE13" s="95">
        <f>IFERROR(VLOOKUP(M13,'RoC5'!$B$1:$C$160,2,0),0)</f>
        <v>35.01492533</v>
      </c>
      <c r="AF13" s="95">
        <f>IFERROR(VLOOKUP(O13,'RoC6'!$B$1:$C$160,2,0),0)</f>
        <v>755.8501836</v>
      </c>
      <c r="AG13" s="95">
        <f>IFERROR(VLOOKUP(Q13,'RoC7'!$B$1:$C$160,2,0),0)</f>
        <v>9.091166136</v>
      </c>
      <c r="AH13" s="95">
        <f>IFERROR(VLOOKUP(S13,'RoC8'!$B$1:$C$160,2,0),0)</f>
        <v>657.8089833</v>
      </c>
      <c r="AI13" s="95">
        <f>IFERROR(VLOOKUP(U13,'RoC9'!$B$1:$C$160,2,0),0)</f>
        <v>396.0915304</v>
      </c>
      <c r="AJ13" s="95">
        <f>IFERROR(VLOOKUP(W13,'RoC10'!$B$1:$C$160,2,0),0)</f>
        <v>661.8145585</v>
      </c>
      <c r="AK13" s="95">
        <f>IFERROR(VLOOKUP(Y13,'RoC11'!$B$1:$C$160,2,0),0)</f>
        <v>0</v>
      </c>
    </row>
    <row r="14">
      <c r="A14" s="135">
        <v>13.0</v>
      </c>
      <c r="B14" s="6" t="s">
        <v>16</v>
      </c>
      <c r="C14" s="93">
        <f t="shared" si="1"/>
        <v>3832.829897</v>
      </c>
      <c r="D14" s="93"/>
      <c r="E14" s="94" t="str">
        <f>IFERROR(VLOOKUP($B14,'RoC1'!$A$1:$B$160,2,0),"0")</f>
        <v>0</v>
      </c>
      <c r="F14" s="95">
        <f>IFERROR(VLOOKUP(E14,'RoC1'!$B$1:$C$160,2,0),0)</f>
        <v>0</v>
      </c>
      <c r="G14" s="94">
        <f>IFERROR(VLOOKUP($B14,'RoC2'!$A$1:$B$161,2,0),"0")</f>
        <v>20</v>
      </c>
      <c r="H14" s="95">
        <f>IFERROR(VLOOKUP(G14,'RoC2'!$B$1:$C$161,2,0),0)</f>
        <v>454.8072748</v>
      </c>
      <c r="I14" s="94">
        <f>IFERROR(VLOOKUP($B14,'RoC3'!$A$1:$B$161,2,0),0)</f>
        <v>26</v>
      </c>
      <c r="J14" s="95">
        <f>IFERROR(VLOOKUP(I14,'RoC3'!$B$1:$C$161,2,0),0)</f>
        <v>366.6751224</v>
      </c>
      <c r="K14" s="94">
        <f>IFERROR(VLOOKUP($B14,'RoC4'!$A$1:$B$161,2,0),0)</f>
        <v>26</v>
      </c>
      <c r="L14" s="95">
        <f>IFERROR(VLOOKUP(K14,'RoC4'!$B$1:$C$161,2,0),0)</f>
        <v>312.1668677</v>
      </c>
      <c r="M14" s="94">
        <f>IFERROR(VLOOKUP($B14,'RoC5'!$A$1:$B$161,2,0),0)</f>
        <v>47</v>
      </c>
      <c r="N14" s="95">
        <f>IFERROR(VLOOKUP(M14,'RoC5'!$B$1:$C$161,2,0),0)</f>
        <v>128.6072638</v>
      </c>
      <c r="O14" s="94">
        <f>IFERROR(VLOOKUP($B14,'RoC6'!$A$1:$B$161,2,0),0)</f>
        <v>11</v>
      </c>
      <c r="P14" s="95">
        <f>IFERROR(VLOOKUP(O14,'RoC6'!$B$1:$C$161,2,0),0)</f>
        <v>616.3870706</v>
      </c>
      <c r="Q14" s="94">
        <f>IFERROR(VLOOKUP($B14,'RoC7'!$A$1:$B$161,2,0),0)</f>
        <v>14</v>
      </c>
      <c r="R14" s="95">
        <f>IFERROR(VLOOKUP(Q14,'RoC7'!$B$1:$C$161,2,0),0)</f>
        <v>568.2101349</v>
      </c>
      <c r="S14" s="94">
        <f>IFERROR(VLOOKUP($B14,'RoC8'!$A$1:$B$161,2,0),0)</f>
        <v>4</v>
      </c>
      <c r="T14" s="95">
        <f>IFERROR(VLOOKUP(S14,'RoC8'!$B$1:$C$161,2,0),0)</f>
        <v>869.1901369</v>
      </c>
      <c r="U14" s="94">
        <f>IFERROR(VLOOKUP($B14,'RoC9'!$A$1:$B$161,2,0),0)</f>
        <v>44</v>
      </c>
      <c r="V14" s="95">
        <f>IFERROR(VLOOKUP(U14,'RoC9'!$B$1:$C$161,2,0),0)</f>
        <v>11.73239697</v>
      </c>
      <c r="W14" s="94">
        <f>IFERROR(VLOOKUP($B14,'RoC10'!$A$1:$B$161,2,0),0)</f>
        <v>12</v>
      </c>
      <c r="X14" s="95">
        <f>IFERROR(VLOOKUP(W14,'RoC10'!$B$1:$C$161,2,0),0)</f>
        <v>488.0106511</v>
      </c>
      <c r="Y14" s="94">
        <f>IFERROR(VLOOKUP($B14,'RoC11'!$A$1:$B$161,2,0),0)</f>
        <v>35</v>
      </c>
      <c r="Z14" s="95">
        <f>IFERROR(VLOOKUP(Y14,'RoC11'!$B$1:$C$161,2,0),0)</f>
        <v>28.77537519</v>
      </c>
      <c r="AA14" s="95">
        <f>IFERROR(VLOOKUP(E14,'RoC1'!$B$1:$C$160,2,0),0)</f>
        <v>0</v>
      </c>
      <c r="AB14" s="95">
        <f>IFERROR(VLOOKUP(G14,'RoC2'!$B$1:$C$160,2,0),0)</f>
        <v>454.8072748</v>
      </c>
      <c r="AC14" s="95">
        <f>IFERROR(VLOOKUP(I14,'RoC3'!$B$1:$C$160,2,0),0)</f>
        <v>366.6751224</v>
      </c>
      <c r="AD14" s="95">
        <f>IFERROR(VLOOKUP(K14,'RoC4'!$B$1:$C$160,2,0),0)</f>
        <v>312.1668677</v>
      </c>
      <c r="AE14" s="95">
        <f>IFERROR(VLOOKUP(M14,'RoC5'!$B$1:$C$160,2,0),0)</f>
        <v>128.6072638</v>
      </c>
      <c r="AF14" s="95">
        <f>IFERROR(VLOOKUP(O14,'RoC6'!$B$1:$C$160,2,0),0)</f>
        <v>616.3870706</v>
      </c>
      <c r="AG14" s="95">
        <f>IFERROR(VLOOKUP(Q14,'RoC7'!$B$1:$C$160,2,0),0)</f>
        <v>568.2101349</v>
      </c>
      <c r="AH14" s="95">
        <f>IFERROR(VLOOKUP(S14,'RoC8'!$B$1:$C$160,2,0),0)</f>
        <v>869.1901369</v>
      </c>
      <c r="AI14" s="95">
        <f>IFERROR(VLOOKUP(U14,'RoC9'!$B$1:$C$160,2,0),0)</f>
        <v>11.73239697</v>
      </c>
      <c r="AJ14" s="95">
        <f>IFERROR(VLOOKUP(W14,'RoC10'!$B$1:$C$160,2,0),0)</f>
        <v>488.0106511</v>
      </c>
      <c r="AK14" s="95">
        <f>IFERROR(VLOOKUP(Y14,'RoC11'!$B$1:$C$160,2,0),0)</f>
        <v>28.77537519</v>
      </c>
    </row>
    <row r="15">
      <c r="A15" s="135">
        <v>14.0</v>
      </c>
      <c r="B15" s="6" t="s">
        <v>20</v>
      </c>
      <c r="C15" s="93">
        <f t="shared" si="1"/>
        <v>3798.613316</v>
      </c>
      <c r="D15" s="136"/>
      <c r="E15" s="137">
        <f>IFERROR(VLOOKUP($B15,'RoC1'!$A$1:$B$160,2,0),"0")</f>
        <v>39</v>
      </c>
      <c r="F15" s="97">
        <f>IFERROR(VLOOKUP(E15,'RoC1'!$B$1:$C$160,2,0),0)</f>
        <v>113.434743</v>
      </c>
      <c r="G15" s="137">
        <f>IFERROR(VLOOKUP($B15,'RoC2'!$A$1:$B$161,2,0),"0")</f>
        <v>11</v>
      </c>
      <c r="H15" s="97">
        <f>IFERROR(VLOOKUP(G15,'RoC2'!$B$1:$C$161,2,0),0)</f>
        <v>650.0000062</v>
      </c>
      <c r="I15" s="137">
        <f>IFERROR(VLOOKUP($B15,'RoC3'!$A$1:$B$161,2,0),0)</f>
        <v>56</v>
      </c>
      <c r="J15" s="97">
        <f>IFERROR(VLOOKUP(I15,'RoC3'!$B$1:$C$161,2,0),0)</f>
        <v>35.60892396</v>
      </c>
      <c r="K15" s="137">
        <f>IFERROR(VLOOKUP($B15,'RoC4'!$A$1:$B$161,2,0),0)</f>
        <v>28</v>
      </c>
      <c r="L15" s="97">
        <f>IFERROR(VLOOKUP(K15,'RoC4'!$B$1:$C$161,2,0),0)</f>
        <v>282.8645543</v>
      </c>
      <c r="M15" s="137">
        <f>IFERROR(VLOOKUP($B15,'RoC5'!$A$1:$B$161,2,0),0)</f>
        <v>12</v>
      </c>
      <c r="N15" s="97">
        <f>IFERROR(VLOOKUP(M15,'RoC5'!$B$1:$C$161,2,0),0)</f>
        <v>633.2317698</v>
      </c>
      <c r="O15" s="137">
        <f>IFERROR(VLOOKUP($B15,'RoC6'!$A$1:$B$161,2,0),0)</f>
        <v>52</v>
      </c>
      <c r="P15" s="97">
        <f>IFERROR(VLOOKUP(O15,'RoC6'!$B$1:$C$161,2,0),0)</f>
        <v>9.952944109</v>
      </c>
      <c r="Q15" s="137">
        <f>IFERROR(VLOOKUP($B15,'RoC7'!$A$1:$B$161,2,0),0)</f>
        <v>6</v>
      </c>
      <c r="R15" s="97">
        <f>IFERROR(VLOOKUP(Q15,'RoC7'!$B$1:$C$161,2,0),0)</f>
        <v>829.9536501</v>
      </c>
      <c r="S15" s="137">
        <f>IFERROR(VLOOKUP($B15,'RoC8'!$A$1:$B$161,2,0),0)</f>
        <v>40</v>
      </c>
      <c r="T15" s="97">
        <f>IFERROR(VLOOKUP(S15,'RoC8'!$B$1:$C$161,2,0),0)</f>
        <v>48.87815334</v>
      </c>
      <c r="U15" s="137">
        <f>IFERROR(VLOOKUP($B15,'RoC9'!$A$1:$B$161,2,0),0)</f>
        <v>5</v>
      </c>
      <c r="V15" s="97">
        <f>IFERROR(VLOOKUP(U15,'RoC9'!$B$1:$C$161,2,0),0)</f>
        <v>808.2903769</v>
      </c>
      <c r="W15" s="137">
        <f>IFERROR(VLOOKUP($B15,'RoC10'!$A$1:$B$161,2,0),0)</f>
        <v>18</v>
      </c>
      <c r="X15" s="97">
        <f>IFERROR(VLOOKUP(W15,'RoC10'!$B$1:$C$161,2,0),0)</f>
        <v>342.9746461</v>
      </c>
      <c r="Y15" s="137">
        <f>IFERROR(VLOOKUP($B15,'RoC11'!$A$1:$B$161,2,0),0)</f>
        <v>31</v>
      </c>
      <c r="Z15" s="97">
        <f>IFERROR(VLOOKUP(Y15,'RoC11'!$B$1:$C$161,2,0),0)</f>
        <v>88.98541645</v>
      </c>
      <c r="AA15" s="97">
        <f>IFERROR(VLOOKUP(E15,'RoC1'!$B$1:$C$160,2,0),0)</f>
        <v>113.434743</v>
      </c>
      <c r="AB15" s="97">
        <f>IFERROR(VLOOKUP(G15,'RoC2'!$B$1:$C$160,2,0),0)</f>
        <v>650.0000062</v>
      </c>
      <c r="AC15" s="97">
        <f>IFERROR(VLOOKUP(I15,'RoC3'!$B$1:$C$160,2,0),0)</f>
        <v>35.60892396</v>
      </c>
      <c r="AD15" s="97">
        <f>IFERROR(VLOOKUP(K15,'RoC4'!$B$1:$C$160,2,0),0)</f>
        <v>282.8645543</v>
      </c>
      <c r="AE15" s="97">
        <f>IFERROR(VLOOKUP(M15,'RoC5'!$B$1:$C$160,2,0),0)</f>
        <v>633.2317698</v>
      </c>
      <c r="AF15" s="97">
        <f>IFERROR(VLOOKUP(O15,'RoC6'!$B$1:$C$160,2,0),0)</f>
        <v>9.952944109</v>
      </c>
      <c r="AG15" s="97">
        <f>IFERROR(VLOOKUP(Q15,'RoC7'!$B$1:$C$160,2,0),0)</f>
        <v>829.9536501</v>
      </c>
      <c r="AH15" s="97">
        <f>IFERROR(VLOOKUP(S15,'RoC8'!$B$1:$C$160,2,0),0)</f>
        <v>48.87815334</v>
      </c>
      <c r="AI15" s="97">
        <f>IFERROR(VLOOKUP(U15,'RoC9'!$B$1:$C$160,2,0),0)</f>
        <v>808.2903769</v>
      </c>
      <c r="AJ15" s="97">
        <f>IFERROR(VLOOKUP(W15,'RoC10'!$B$1:$C$160,2,0),0)</f>
        <v>342.9746461</v>
      </c>
      <c r="AK15" s="97">
        <f>IFERROR(VLOOKUP(Y15,'RoC11'!$B$1:$C$160,2,0),0)</f>
        <v>88.98541645</v>
      </c>
    </row>
    <row r="16">
      <c r="A16" s="135">
        <v>15.0</v>
      </c>
      <c r="B16" s="6" t="s">
        <v>42</v>
      </c>
      <c r="C16" s="93">
        <f t="shared" si="1"/>
        <v>3682.939928</v>
      </c>
      <c r="D16" s="93"/>
      <c r="E16" s="94">
        <f>IFERROR(VLOOKUP($B16,'RoC1'!$A$1:$B$160,2,0),"0")</f>
        <v>2</v>
      </c>
      <c r="F16" s="95">
        <f>IFERROR(VLOOKUP(E16,'RoC1'!$B$1:$C$160,2,0),0)</f>
        <v>1120.347121</v>
      </c>
      <c r="G16" s="94">
        <f>IFERROR(VLOOKUP($B16,'RoC2'!$A$1:$B$161,2,0),"0")</f>
        <v>43</v>
      </c>
      <c r="H16" s="95">
        <f>IFERROR(VLOOKUP(G16,'RoC2'!$B$1:$C$161,2,0),0)</f>
        <v>154.0895417</v>
      </c>
      <c r="I16" s="94">
        <f>IFERROR(VLOOKUP($B16,'RoC3'!$A$1:$B$161,2,0),0)</f>
        <v>2</v>
      </c>
      <c r="J16" s="95">
        <f>IFERROR(VLOOKUP(I16,'RoC3'!$B$1:$C$161,2,0),0)</f>
        <v>1187.726265</v>
      </c>
      <c r="K16" s="94">
        <f>IFERROR(VLOOKUP($B16,'RoC4'!$A$1:$B$161,2,0),0)</f>
        <v>42</v>
      </c>
      <c r="L16" s="95">
        <f>IFERROR(VLOOKUP(K16,'RoC4'!$B$1:$C$161,2,0),0)</f>
        <v>106.4987409</v>
      </c>
      <c r="M16" s="94">
        <f>IFERROR(VLOOKUP($B16,'RoC5'!$A$1:$B$161,2,0),0)</f>
        <v>43</v>
      </c>
      <c r="N16" s="95">
        <f>IFERROR(VLOOKUP(M16,'RoC5'!$B$1:$C$161,2,0),0)</f>
        <v>169.0702981</v>
      </c>
      <c r="O16" s="94">
        <f>IFERROR(VLOOKUP($B16,'RoC6'!$A$1:$B$161,2,0),0)</f>
        <v>39</v>
      </c>
      <c r="P16" s="95">
        <f>IFERROR(VLOOKUP(O16,'RoC6'!$B$1:$C$161,2,0),0)</f>
        <v>149.7318826</v>
      </c>
      <c r="Q16" s="94">
        <f>IFERROR(VLOOKUP($B16,'RoC7'!$A$1:$B$161,2,0),0)</f>
        <v>45</v>
      </c>
      <c r="R16" s="95">
        <f>IFERROR(VLOOKUP(Q16,'RoC7'!$B$1:$C$161,2,0),0)</f>
        <v>125.380077</v>
      </c>
      <c r="S16" s="94">
        <f>IFERROR(VLOOKUP($B16,'RoC8'!$A$1:$B$161,2,0),0)</f>
        <v>0</v>
      </c>
      <c r="T16" s="95">
        <f>IFERROR(VLOOKUP(S16,'RoC8'!$B$1:$C$161,2,0),0)</f>
        <v>0</v>
      </c>
      <c r="U16" s="94">
        <f>IFERROR(VLOOKUP($B16,'RoC9'!$A$1:$B$161,2,0),0)</f>
        <v>13</v>
      </c>
      <c r="V16" s="95">
        <f>IFERROR(VLOOKUP(U16,'RoC9'!$B$1:$C$161,2,0),0)</f>
        <v>509.2300905</v>
      </c>
      <c r="W16" s="94">
        <f>IFERROR(VLOOKUP($B16,'RoC10'!$A$1:$B$161,2,0),0)</f>
        <v>28</v>
      </c>
      <c r="X16" s="95">
        <f>IFERROR(VLOOKUP(W16,'RoC10'!$B$1:$C$161,2,0),0)</f>
        <v>160.865912</v>
      </c>
      <c r="Y16" s="94">
        <f>IFERROR(VLOOKUP($B16,'RoC11'!$A$1:$B$161,2,0),0)</f>
        <v>0</v>
      </c>
      <c r="Z16" s="95">
        <f>IFERROR(VLOOKUP(Y16,'RoC11'!$B$1:$C$161,2,0),0)</f>
        <v>0</v>
      </c>
      <c r="AA16" s="95">
        <f>IFERROR(VLOOKUP(E16,'RoC1'!$B$1:$C$160,2,0),0)</f>
        <v>1120.347121</v>
      </c>
      <c r="AB16" s="95">
        <f>IFERROR(VLOOKUP(G16,'RoC2'!$B$1:$C$160,2,0),0)</f>
        <v>154.0895417</v>
      </c>
      <c r="AC16" s="95">
        <f>IFERROR(VLOOKUP(I16,'RoC3'!$B$1:$C$160,2,0),0)</f>
        <v>1187.726265</v>
      </c>
      <c r="AD16" s="95">
        <f>IFERROR(VLOOKUP(K16,'RoC4'!$B$1:$C$160,2,0),0)</f>
        <v>106.4987409</v>
      </c>
      <c r="AE16" s="95">
        <f>IFERROR(VLOOKUP(M16,'RoC5'!$B$1:$C$160,2,0),0)</f>
        <v>169.0702981</v>
      </c>
      <c r="AF16" s="95">
        <f>IFERROR(VLOOKUP(O16,'RoC6'!$B$1:$C$160,2,0),0)</f>
        <v>149.7318826</v>
      </c>
      <c r="AG16" s="95">
        <f>IFERROR(VLOOKUP(Q16,'RoC7'!$B$1:$C$160,2,0),0)</f>
        <v>125.380077</v>
      </c>
      <c r="AH16" s="95">
        <f>IFERROR(VLOOKUP(S16,'RoC8'!$B$1:$C$160,2,0),0)</f>
        <v>0</v>
      </c>
      <c r="AI16" s="95">
        <f>IFERROR(VLOOKUP(U16,'RoC9'!$B$1:$C$160,2,0),0)</f>
        <v>509.2300905</v>
      </c>
      <c r="AJ16" s="95">
        <f>IFERROR(VLOOKUP(W16,'RoC10'!$B$1:$C$160,2,0),0)</f>
        <v>160.865912</v>
      </c>
      <c r="AK16" s="95">
        <f>IFERROR(VLOOKUP(Y16,'RoC11'!$B$1:$C$160,2,0),0)</f>
        <v>0</v>
      </c>
    </row>
    <row r="17">
      <c r="A17" s="135">
        <v>16.0</v>
      </c>
      <c r="B17" s="10" t="s">
        <v>38</v>
      </c>
      <c r="C17" s="93">
        <f t="shared" si="1"/>
        <v>3539.65827</v>
      </c>
      <c r="D17" s="136"/>
      <c r="E17" s="137" t="str">
        <f>IFERROR(VLOOKUP($B17,'RoC1'!$A$1:$B$160,2,0),"0")</f>
        <v>0</v>
      </c>
      <c r="F17" s="97">
        <f>IFERROR(VLOOKUP(E17,'RoC1'!$B$1:$C$160,2,0),0)</f>
        <v>0</v>
      </c>
      <c r="G17" s="137">
        <f>IFERROR(VLOOKUP($B17,'RoC2'!$A$1:$B$161,2,0),"0")</f>
        <v>6</v>
      </c>
      <c r="H17" s="97">
        <f>IFERROR(VLOOKUP(G17,'RoC2'!$B$1:$C$161,2,0),0)</f>
        <v>835.1382048</v>
      </c>
      <c r="I17" s="137">
        <f>IFERROR(VLOOKUP($B17,'RoC3'!$A$1:$B$161,2,0),0)</f>
        <v>44</v>
      </c>
      <c r="J17" s="97">
        <f>IFERROR(VLOOKUP(I17,'RoC3'!$B$1:$C$161,2,0),0)</f>
        <v>151.2873721</v>
      </c>
      <c r="K17" s="137">
        <f>IFERROR(VLOOKUP($B17,'RoC4'!$A$1:$B$161,2,0),0)</f>
        <v>33</v>
      </c>
      <c r="L17" s="97">
        <f>IFERROR(VLOOKUP(K17,'RoC4'!$B$1:$C$161,2,0),0)</f>
        <v>214.9225138</v>
      </c>
      <c r="M17" s="137">
        <f>IFERROR(VLOOKUP($B17,'RoC5'!$A$1:$B$161,2,0),0)</f>
        <v>53</v>
      </c>
      <c r="N17" s="97">
        <f>IFERROR(VLOOKUP(M17,'RoC5'!$B$1:$C$161,2,0),0)</f>
        <v>71.3153383</v>
      </c>
      <c r="O17" s="137">
        <f>IFERROR(VLOOKUP($B17,'RoC6'!$A$1:$B$161,2,0),0)</f>
        <v>38</v>
      </c>
      <c r="P17" s="97">
        <f>IFERROR(VLOOKUP(O17,'RoC6'!$B$1:$C$161,2,0),0)</f>
        <v>161.4721995</v>
      </c>
      <c r="Q17" s="137">
        <f>IFERROR(VLOOKUP($B17,'RoC7'!$A$1:$B$161,2,0),0)</f>
        <v>11</v>
      </c>
      <c r="R17" s="97">
        <f>IFERROR(VLOOKUP(Q17,'RoC7'!$B$1:$C$161,2,0),0)</f>
        <v>644.6707931</v>
      </c>
      <c r="S17" s="137">
        <f>IFERROR(VLOOKUP($B17,'RoC8'!$A$1:$B$161,2,0),0)</f>
        <v>23</v>
      </c>
      <c r="T17" s="97">
        <f>IFERROR(VLOOKUP(S17,'RoC8'!$B$1:$C$161,2,0),0)</f>
        <v>294.6843905</v>
      </c>
      <c r="U17" s="137">
        <f>IFERROR(VLOOKUP($B17,'RoC9'!$A$1:$B$161,2,0),0)</f>
        <v>2</v>
      </c>
      <c r="V17" s="97">
        <f>IFERROR(VLOOKUP(U17,'RoC9'!$B$1:$C$161,2,0),0)</f>
        <v>1092.599191</v>
      </c>
      <c r="W17" s="137">
        <f>IFERROR(VLOOKUP($B17,'RoC10'!$A$1:$B$161,2,0),0)</f>
        <v>0</v>
      </c>
      <c r="X17" s="97">
        <f>IFERROR(VLOOKUP(W17,'RoC10'!$B$1:$C$161,2,0),0)</f>
        <v>0</v>
      </c>
      <c r="Y17" s="137">
        <f>IFERROR(VLOOKUP($B17,'RoC11'!$A$1:$B$161,2,0),0)</f>
        <v>32</v>
      </c>
      <c r="Z17" s="97">
        <f>IFERROR(VLOOKUP(Y17,'RoC11'!$B$1:$C$161,2,0),0)</f>
        <v>73.56826604</v>
      </c>
      <c r="AA17" s="97">
        <f>IFERROR(VLOOKUP(E17,'RoC1'!$B$1:$C$160,2,0),0)</f>
        <v>0</v>
      </c>
      <c r="AB17" s="97">
        <f>IFERROR(VLOOKUP(G17,'RoC2'!$B$1:$C$160,2,0),0)</f>
        <v>835.1382048</v>
      </c>
      <c r="AC17" s="97">
        <f>IFERROR(VLOOKUP(I17,'RoC3'!$B$1:$C$160,2,0),0)</f>
        <v>151.2873721</v>
      </c>
      <c r="AD17" s="97">
        <f>IFERROR(VLOOKUP(K17,'RoC4'!$B$1:$C$160,2,0),0)</f>
        <v>214.9225138</v>
      </c>
      <c r="AE17" s="97">
        <f>IFERROR(VLOOKUP(M17,'RoC5'!$B$1:$C$160,2,0),0)</f>
        <v>71.3153383</v>
      </c>
      <c r="AF17" s="97">
        <f>IFERROR(VLOOKUP(O17,'RoC6'!$B$1:$C$160,2,0),0)</f>
        <v>161.4721995</v>
      </c>
      <c r="AG17" s="97">
        <f>IFERROR(VLOOKUP(Q17,'RoC7'!$B$1:$C$160,2,0),0)</f>
        <v>644.6707931</v>
      </c>
      <c r="AH17" s="97">
        <f>IFERROR(VLOOKUP(S17,'RoC8'!$B$1:$C$160,2,0),0)</f>
        <v>294.6843905</v>
      </c>
      <c r="AI17" s="97">
        <f>IFERROR(VLOOKUP(U17,'RoC9'!$B$1:$C$160,2,0),0)</f>
        <v>1092.599191</v>
      </c>
      <c r="AJ17" s="97">
        <f>IFERROR(VLOOKUP(W17,'RoC10'!$B$1:$C$160,2,0),0)</f>
        <v>0</v>
      </c>
      <c r="AK17" s="97">
        <f>IFERROR(VLOOKUP(Y17,'RoC11'!$B$1:$C$160,2,0),0)</f>
        <v>73.56826604</v>
      </c>
    </row>
    <row r="18">
      <c r="A18" s="135">
        <v>17.0</v>
      </c>
      <c r="B18" s="24" t="s">
        <v>43</v>
      </c>
      <c r="C18" s="93">
        <f t="shared" si="1"/>
        <v>3469.033967</v>
      </c>
      <c r="D18" s="136"/>
      <c r="E18" s="137" t="str">
        <f>IFERROR(VLOOKUP($B18,'RoC1'!$A$1:$B$160,2,0),"0")</f>
        <v>0</v>
      </c>
      <c r="F18" s="97">
        <f>IFERROR(VLOOKUP(E18,'RoC1'!$B$1:$C$160,2,0),0)</f>
        <v>0</v>
      </c>
      <c r="G18" s="137" t="str">
        <f>IFERROR(VLOOKUP($B18,'RoC2'!$A$1:$B$161,2,0),"0")</f>
        <v>0</v>
      </c>
      <c r="H18" s="97">
        <f>IFERROR(VLOOKUP(G18,'RoC2'!$B$1:$C$161,2,0),0)</f>
        <v>0</v>
      </c>
      <c r="I18" s="137">
        <f>IFERROR(VLOOKUP($B18,'RoC3'!$A$1:$B$161,2,0),0)</f>
        <v>0</v>
      </c>
      <c r="J18" s="97">
        <f>IFERROR(VLOOKUP(I18,'RoC3'!$B$1:$C$161,2,0),0)</f>
        <v>0</v>
      </c>
      <c r="K18" s="137">
        <f>IFERROR(VLOOKUP($B18,'RoC4'!$A$1:$B$161,2,0),0)</f>
        <v>0</v>
      </c>
      <c r="L18" s="97">
        <f>IFERROR(VLOOKUP(K18,'RoC4'!$B$1:$C$161,2,0),0)</f>
        <v>0</v>
      </c>
      <c r="M18" s="137">
        <f>IFERROR(VLOOKUP($B18,'RoC5'!$A$1:$B$161,2,0),0)</f>
        <v>9</v>
      </c>
      <c r="N18" s="97">
        <f>IFERROR(VLOOKUP(M18,'RoC5'!$B$1:$C$161,2,0),0)</f>
        <v>722.1121352</v>
      </c>
      <c r="O18" s="137">
        <f>IFERROR(VLOOKUP($B18,'RoC6'!$A$1:$B$161,2,0),0)</f>
        <v>26</v>
      </c>
      <c r="P18" s="97">
        <f>IFERROR(VLOOKUP(O18,'RoC6'!$B$1:$C$161,2,0),0)</f>
        <v>319.5750226</v>
      </c>
      <c r="Q18" s="137">
        <f>IFERROR(VLOOKUP($B18,'RoC7'!$A$1:$B$161,2,0),0)</f>
        <v>48</v>
      </c>
      <c r="R18" s="97">
        <f>IFERROR(VLOOKUP(Q18,'RoC7'!$B$1:$C$161,2,0),0)</f>
        <v>94.90257556</v>
      </c>
      <c r="S18" s="137">
        <f>IFERROR(VLOOKUP($B18,'RoC8'!$A$1:$B$161,2,0),0)</f>
        <v>17</v>
      </c>
      <c r="T18" s="97">
        <f>IFERROR(VLOOKUP(S18,'RoC8'!$B$1:$C$161,2,0),0)</f>
        <v>408.6216093</v>
      </c>
      <c r="U18" s="137">
        <f>IFERROR(VLOOKUP($B18,'RoC9'!$A$1:$B$161,2,0),0)</f>
        <v>3</v>
      </c>
      <c r="V18" s="97">
        <f>IFERROR(VLOOKUP(U18,'RoC9'!$B$1:$C$161,2,0),0)</f>
        <v>964.3149389</v>
      </c>
      <c r="W18" s="137">
        <f>IFERROR(VLOOKUP($B18,'RoC10'!$A$1:$B$161,2,0),0)</f>
        <v>25</v>
      </c>
      <c r="X18" s="97">
        <f>IFERROR(VLOOKUP(W18,'RoC10'!$B$1:$C$161,2,0),0)</f>
        <v>210.6220724</v>
      </c>
      <c r="Y18" s="137">
        <f>IFERROR(VLOOKUP($B18,'RoC11'!$A$1:$B$161,2,0),0)</f>
        <v>5</v>
      </c>
      <c r="Z18" s="97">
        <f>IFERROR(VLOOKUP(Y18,'RoC11'!$B$1:$C$161,2,0),0)</f>
        <v>748.8856134</v>
      </c>
      <c r="AA18" s="97">
        <f>IFERROR(VLOOKUP(E18,'RoC1'!$B$1:$C$160,2,0),0)</f>
        <v>0</v>
      </c>
      <c r="AB18" s="97">
        <f>IFERROR(VLOOKUP(G18,'RoC2'!$B$1:$C$160,2,0),0)</f>
        <v>0</v>
      </c>
      <c r="AC18" s="97">
        <f>IFERROR(VLOOKUP(I18,'RoC3'!$B$1:$C$160,2,0),0)</f>
        <v>0</v>
      </c>
      <c r="AD18" s="97">
        <f>IFERROR(VLOOKUP(K18,'RoC4'!$B$1:$C$160,2,0),0)</f>
        <v>0</v>
      </c>
      <c r="AE18" s="97">
        <f>IFERROR(VLOOKUP(M18,'RoC5'!$B$1:$C$160,2,0),0)</f>
        <v>722.1121352</v>
      </c>
      <c r="AF18" s="97">
        <f>IFERROR(VLOOKUP(O18,'RoC6'!$B$1:$C$160,2,0),0)</f>
        <v>319.5750226</v>
      </c>
      <c r="AG18" s="97">
        <f>IFERROR(VLOOKUP(Q18,'RoC7'!$B$1:$C$160,2,0),0)</f>
        <v>94.90257556</v>
      </c>
      <c r="AH18" s="97">
        <f>IFERROR(VLOOKUP(S18,'RoC8'!$B$1:$C$160,2,0),0)</f>
        <v>408.6216093</v>
      </c>
      <c r="AI18" s="97">
        <f>IFERROR(VLOOKUP(U18,'RoC9'!$B$1:$C$160,2,0),0)</f>
        <v>964.3149389</v>
      </c>
      <c r="AJ18" s="97">
        <f>IFERROR(VLOOKUP(W18,'RoC10'!$B$1:$C$160,2,0),0)</f>
        <v>210.6220724</v>
      </c>
      <c r="AK18" s="97">
        <f>IFERROR(VLOOKUP(Y18,'RoC11'!$B$1:$C$160,2,0),0)</f>
        <v>748.8856134</v>
      </c>
    </row>
    <row r="19">
      <c r="A19" s="135">
        <v>18.0</v>
      </c>
      <c r="B19" s="101" t="s">
        <v>13</v>
      </c>
      <c r="C19" s="93">
        <f t="shared" si="1"/>
        <v>3358.798542</v>
      </c>
      <c r="D19" s="136"/>
      <c r="E19" s="137">
        <f>IFERROR(VLOOKUP($B19,'RoC1'!$A$1:$B$160,2,0),"0")</f>
        <v>43</v>
      </c>
      <c r="F19" s="97">
        <f>IFERROR(VLOOKUP(E19,'RoC1'!$B$1:$C$160,2,0),0)</f>
        <v>66.41961897</v>
      </c>
      <c r="G19" s="137">
        <f>IFERROR(VLOOKUP($B19,'RoC2'!$A$1:$B$161,2,0),"0")</f>
        <v>47</v>
      </c>
      <c r="H19" s="97">
        <f>IFERROR(VLOOKUP(G19,'RoC2'!$B$1:$C$161,2,0),0)</f>
        <v>113.0256664</v>
      </c>
      <c r="I19" s="137">
        <f>IFERROR(VLOOKUP($B19,'RoC3'!$A$1:$B$161,2,0),0)</f>
        <v>0</v>
      </c>
      <c r="J19" s="97">
        <f>IFERROR(VLOOKUP(I19,'RoC3'!$B$1:$C$161,2,0),0)</f>
        <v>0</v>
      </c>
      <c r="K19" s="137">
        <f>IFERROR(VLOOKUP($B19,'RoC4'!$A$1:$B$161,2,0),0)</f>
        <v>45</v>
      </c>
      <c r="L19" s="97">
        <f>IFERROR(VLOOKUP(K19,'RoC4'!$B$1:$C$161,2,0),0)</f>
        <v>73.27430489</v>
      </c>
      <c r="M19" s="137">
        <f>IFERROR(VLOOKUP($B19,'RoC5'!$A$1:$B$161,2,0),0)</f>
        <v>7</v>
      </c>
      <c r="N19" s="97">
        <f>IFERROR(VLOOKUP(M19,'RoC5'!$B$1:$C$161,2,0),0)</f>
        <v>798.5115034</v>
      </c>
      <c r="O19" s="137">
        <f>IFERROR(VLOOKUP($B19,'RoC6'!$A$1:$B$161,2,0),0)</f>
        <v>40</v>
      </c>
      <c r="P19" s="97">
        <f>IFERROR(VLOOKUP(O19,'RoC6'!$B$1:$C$161,2,0),0)</f>
        <v>138.1595009</v>
      </c>
      <c r="Q19" s="137">
        <f>IFERROR(VLOOKUP($B19,'RoC7'!$A$1:$B$161,2,0),0)</f>
        <v>24</v>
      </c>
      <c r="R19" s="97">
        <f>IFERROR(VLOOKUP(Q19,'RoC7'!$B$1:$C$161,2,0),0)</f>
        <v>383.7199815</v>
      </c>
      <c r="S19" s="137">
        <f>IFERROR(VLOOKUP($B19,'RoC8'!$A$1:$B$161,2,0),0)</f>
        <v>5</v>
      </c>
      <c r="T19" s="97">
        <f>IFERROR(VLOOKUP(S19,'RoC8'!$B$1:$C$161,2,0),0)</f>
        <v>801.4785466</v>
      </c>
      <c r="U19" s="137">
        <f>IFERROR(VLOOKUP($B19,'RoC9'!$A$1:$B$161,2,0),0)</f>
        <v>21</v>
      </c>
      <c r="V19" s="97">
        <f>IFERROR(VLOOKUP(U19,'RoC9'!$B$1:$C$161,2,0),0)</f>
        <v>338.7710858</v>
      </c>
      <c r="W19" s="137">
        <f>IFERROR(VLOOKUP($B19,'RoC10'!$A$1:$B$161,2,0),0)</f>
        <v>0</v>
      </c>
      <c r="X19" s="97">
        <f>IFERROR(VLOOKUP(W19,'RoC10'!$B$1:$C$161,2,0),0)</f>
        <v>0</v>
      </c>
      <c r="Y19" s="137">
        <f>IFERROR(VLOOKUP($B19,'RoC11'!$A$1:$B$161,2,0),0)</f>
        <v>7</v>
      </c>
      <c r="Z19" s="97">
        <f>IFERROR(VLOOKUP(Y19,'RoC11'!$B$1:$C$161,2,0),0)</f>
        <v>645.4383333</v>
      </c>
      <c r="AA19" s="97">
        <f>IFERROR(VLOOKUP(E19,'RoC1'!$B$1:$C$160,2,0),0)</f>
        <v>66.41961897</v>
      </c>
      <c r="AB19" s="97">
        <f>IFERROR(VLOOKUP(G19,'RoC2'!$B$1:$C$160,2,0),0)</f>
        <v>113.0256664</v>
      </c>
      <c r="AC19" s="97">
        <f>IFERROR(VLOOKUP(I19,'RoC3'!$B$1:$C$160,2,0),0)</f>
        <v>0</v>
      </c>
      <c r="AD19" s="97">
        <f>IFERROR(VLOOKUP(K19,'RoC4'!$B$1:$C$160,2,0),0)</f>
        <v>73.27430489</v>
      </c>
      <c r="AE19" s="97">
        <f>IFERROR(VLOOKUP(M19,'RoC5'!$B$1:$C$160,2,0),0)</f>
        <v>798.5115034</v>
      </c>
      <c r="AF19" s="97">
        <f>IFERROR(VLOOKUP(O19,'RoC6'!$B$1:$C$160,2,0),0)</f>
        <v>138.1595009</v>
      </c>
      <c r="AG19" s="97">
        <f>IFERROR(VLOOKUP(Q19,'RoC7'!$B$1:$C$160,2,0),0)</f>
        <v>383.7199815</v>
      </c>
      <c r="AH19" s="97">
        <f>IFERROR(VLOOKUP(S19,'RoC8'!$B$1:$C$160,2,0),0)</f>
        <v>801.4785466</v>
      </c>
      <c r="AI19" s="97">
        <f>IFERROR(VLOOKUP(U19,'RoC9'!$B$1:$C$160,2,0),0)</f>
        <v>338.7710858</v>
      </c>
      <c r="AJ19" s="97">
        <f>IFERROR(VLOOKUP(W19,'RoC10'!$B$1:$C$160,2,0),0)</f>
        <v>0</v>
      </c>
      <c r="AK19" s="97">
        <f>IFERROR(VLOOKUP(Y19,'RoC11'!$B$1:$C$160,2,0),0)</f>
        <v>645.4383333</v>
      </c>
    </row>
    <row r="20" ht="15.75" customHeight="1">
      <c r="A20" s="135">
        <v>19.0</v>
      </c>
      <c r="B20" s="6" t="s">
        <v>12</v>
      </c>
      <c r="C20" s="93">
        <f t="shared" si="1"/>
        <v>3348.640868</v>
      </c>
      <c r="D20" s="136"/>
      <c r="E20" s="137">
        <f>IFERROR(VLOOKUP($B20,'RoC1'!$A$1:$B$160,2,0),"0")</f>
        <v>14</v>
      </c>
      <c r="F20" s="97">
        <f>IFERROR(VLOOKUP(E20,'RoC1'!$B$1:$C$160,2,0),0)</f>
        <v>512.9184</v>
      </c>
      <c r="G20" s="137">
        <f>IFERROR(VLOOKUP($B20,'RoC2'!$A$1:$B$161,2,0),"0")</f>
        <v>29</v>
      </c>
      <c r="H20" s="97">
        <f>IFERROR(VLOOKUP(G20,'RoC2'!$B$1:$C$161,2,0),0)</f>
        <v>318.8174251</v>
      </c>
      <c r="I20" s="137">
        <f>IFERROR(VLOOKUP($B20,'RoC3'!$A$1:$B$161,2,0),0)</f>
        <v>42</v>
      </c>
      <c r="J20" s="97">
        <f>IFERROR(VLOOKUP(I20,'RoC3'!$B$1:$C$161,2,0),0)</f>
        <v>172.1892554</v>
      </c>
      <c r="K20" s="137">
        <f>IFERROR(VLOOKUP($B20,'RoC4'!$A$1:$B$161,2,0),0)</f>
        <v>8</v>
      </c>
      <c r="L20" s="97">
        <f>IFERROR(VLOOKUP(K20,'RoC4'!$B$1:$C$161,2,0),0)</f>
        <v>709.3114581</v>
      </c>
      <c r="M20" s="137">
        <f>IFERROR(VLOOKUP($B20,'RoC5'!$A$1:$B$161,2,0),0)</f>
        <v>32</v>
      </c>
      <c r="N20" s="97">
        <f>IFERROR(VLOOKUP(M20,'RoC5'!$B$1:$C$161,2,0),0)</f>
        <v>293.2732355</v>
      </c>
      <c r="O20" s="137">
        <f>IFERROR(VLOOKUP($B20,'RoC6'!$A$1:$B$161,2,0),0)</f>
        <v>0</v>
      </c>
      <c r="P20" s="97">
        <f>IFERROR(VLOOKUP(O20,'RoC6'!$B$1:$C$161,2,0),0)</f>
        <v>0</v>
      </c>
      <c r="Q20" s="137">
        <f>IFERROR(VLOOKUP($B20,'RoC7'!$A$1:$B$161,2,0),0)</f>
        <v>41</v>
      </c>
      <c r="R20" s="97">
        <f>IFERROR(VLOOKUP(Q20,'RoC7'!$B$1:$C$161,2,0),0)</f>
        <v>167.8190528</v>
      </c>
      <c r="S20" s="137">
        <f>IFERROR(VLOOKUP($B20,'RoC8'!$A$1:$B$161,2,0),0)</f>
        <v>15</v>
      </c>
      <c r="T20" s="97">
        <f>IFERROR(VLOOKUP(S20,'RoC8'!$B$1:$C$161,2,0),0)</f>
        <v>452.8402059</v>
      </c>
      <c r="U20" s="137">
        <f>IFERROR(VLOOKUP($B20,'RoC9'!$A$1:$B$161,2,0),0)</f>
        <v>24</v>
      </c>
      <c r="V20" s="97">
        <f>IFERROR(VLOOKUP(U20,'RoC9'!$B$1:$C$161,2,0),0)</f>
        <v>286.6925466</v>
      </c>
      <c r="W20" s="137">
        <f>IFERROR(VLOOKUP($B20,'RoC10'!$A$1:$B$161,2,0),0)</f>
        <v>14</v>
      </c>
      <c r="X20" s="97">
        <f>IFERROR(VLOOKUP(W20,'RoC10'!$B$1:$C$161,2,0),0)</f>
        <v>434.7792889</v>
      </c>
      <c r="Y20" s="137">
        <f>IFERROR(VLOOKUP($B20,'RoC11'!$A$1:$B$161,2,0),0)</f>
        <v>34</v>
      </c>
      <c r="Z20" s="97">
        <f>IFERROR(VLOOKUP(Y20,'RoC11'!$B$1:$C$161,2,0),0)</f>
        <v>43.47699665</v>
      </c>
      <c r="AA20" s="97">
        <f>IFERROR(VLOOKUP(E20,'RoC1'!$B$1:$C$160,2,0),0)</f>
        <v>512.9184</v>
      </c>
      <c r="AB20" s="97">
        <f>IFERROR(VLOOKUP(G20,'RoC2'!$B$1:$C$160,2,0),0)</f>
        <v>318.8174251</v>
      </c>
      <c r="AC20" s="97">
        <f>IFERROR(VLOOKUP(I20,'RoC3'!$B$1:$C$160,2,0),0)</f>
        <v>172.1892554</v>
      </c>
      <c r="AD20" s="97">
        <f>IFERROR(VLOOKUP(K20,'RoC4'!$B$1:$C$160,2,0),0)</f>
        <v>709.3114581</v>
      </c>
      <c r="AE20" s="97">
        <f>IFERROR(VLOOKUP(M20,'RoC5'!$B$1:$C$160,2,0),0)</f>
        <v>293.2732355</v>
      </c>
      <c r="AF20" s="97">
        <f>IFERROR(VLOOKUP(O20,'RoC6'!$B$1:$C$160,2,0),0)</f>
        <v>0</v>
      </c>
      <c r="AG20" s="97">
        <f>IFERROR(VLOOKUP(Q20,'RoC7'!$B$1:$C$160,2,0),0)</f>
        <v>167.8190528</v>
      </c>
      <c r="AH20" s="97">
        <f>IFERROR(VLOOKUP(S20,'RoC8'!$B$1:$C$160,2,0),0)</f>
        <v>452.8402059</v>
      </c>
      <c r="AI20" s="97">
        <f>IFERROR(VLOOKUP(U20,'RoC9'!$B$1:$C$160,2,0),0)</f>
        <v>286.6925466</v>
      </c>
      <c r="AJ20" s="97">
        <f>IFERROR(VLOOKUP(W20,'RoC10'!$B$1:$C$160,2,0),0)</f>
        <v>434.7792889</v>
      </c>
      <c r="AK20" s="97">
        <f>IFERROR(VLOOKUP(Y20,'RoC11'!$B$1:$C$160,2,0),0)</f>
        <v>43.47699665</v>
      </c>
    </row>
    <row r="21" ht="15.75" customHeight="1">
      <c r="A21" s="135">
        <v>20.0</v>
      </c>
      <c r="B21" s="6" t="s">
        <v>46</v>
      </c>
      <c r="C21" s="93">
        <f t="shared" si="1"/>
        <v>3197.227968</v>
      </c>
      <c r="D21" s="136"/>
      <c r="E21" s="137">
        <f>IFERROR(VLOOKUP($B21,'RoC1'!$A$1:$B$160,2,0),"0")</f>
        <v>35</v>
      </c>
      <c r="F21" s="97">
        <f>IFERROR(VLOOKUP(E21,'RoC1'!$B$1:$C$160,2,0),0)</f>
        <v>163.1635959</v>
      </c>
      <c r="G21" s="137">
        <f>IFERROR(VLOOKUP($B21,'RoC2'!$A$1:$B$161,2,0),"0")</f>
        <v>16</v>
      </c>
      <c r="H21" s="97">
        <f>IFERROR(VLOOKUP(G21,'RoC2'!$B$1:$C$161,2,0),0)</f>
        <v>530.2232344</v>
      </c>
      <c r="I21" s="137">
        <f>IFERROR(VLOOKUP($B21,'RoC3'!$A$1:$B$161,2,0),0)</f>
        <v>0</v>
      </c>
      <c r="J21" s="97">
        <f>IFERROR(VLOOKUP(I21,'RoC3'!$B$1:$C$161,2,0),0)</f>
        <v>0</v>
      </c>
      <c r="K21" s="137">
        <f>IFERROR(VLOOKUP($B21,'RoC4'!$A$1:$B$161,2,0),0)</f>
        <v>10</v>
      </c>
      <c r="L21" s="97">
        <f>IFERROR(VLOOKUP(K21,'RoC4'!$B$1:$C$161,2,0),0)</f>
        <v>640.3332979</v>
      </c>
      <c r="M21" s="137">
        <f>IFERROR(VLOOKUP($B21,'RoC5'!$A$1:$B$161,2,0),0)</f>
        <v>27</v>
      </c>
      <c r="N21" s="97">
        <f>IFERROR(VLOOKUP(M21,'RoC5'!$B$1:$C$161,2,0),0)</f>
        <v>358.756603</v>
      </c>
      <c r="O21" s="137">
        <f>IFERROR(VLOOKUP($B21,'RoC6'!$A$1:$B$161,2,0),0)</f>
        <v>36</v>
      </c>
      <c r="P21" s="97">
        <f>IFERROR(VLOOKUP(O21,'RoC6'!$B$1:$C$161,2,0),0)</f>
        <v>185.4922193</v>
      </c>
      <c r="Q21" s="137">
        <f>IFERROR(VLOOKUP($B21,'RoC7'!$A$1:$B$161,2,0),0)</f>
        <v>16</v>
      </c>
      <c r="R21" s="97">
        <f>IFERROR(VLOOKUP(Q21,'RoC7'!$B$1:$C$161,2,0),0)</f>
        <v>524.5750165</v>
      </c>
      <c r="S21" s="137">
        <f>IFERROR(VLOOKUP($B21,'RoC8'!$A$1:$B$161,2,0),0)</f>
        <v>28</v>
      </c>
      <c r="T21" s="97">
        <f>IFERROR(VLOOKUP(S21,'RoC8'!$B$1:$C$161,2,0),0)</f>
        <v>213.7471195</v>
      </c>
      <c r="U21" s="137">
        <f>IFERROR(VLOOKUP($B21,'RoC9'!$A$1:$B$161,2,0),0)</f>
        <v>20</v>
      </c>
      <c r="V21" s="97">
        <f>IFERROR(VLOOKUP(U21,'RoC9'!$B$1:$C$161,2,0),0)</f>
        <v>357.2172542</v>
      </c>
      <c r="W21" s="137">
        <f>IFERROR(VLOOKUP($B21,'RoC10'!$A$1:$B$161,2,0),0)</f>
        <v>32</v>
      </c>
      <c r="X21" s="97">
        <f>IFERROR(VLOOKUP(W21,'RoC10'!$B$1:$C$161,2,0),0)</f>
        <v>99.00825211</v>
      </c>
      <c r="Y21" s="137">
        <f>IFERROR(VLOOKUP($B21,'RoC11'!$A$1:$B$161,2,0),0)</f>
        <v>23</v>
      </c>
      <c r="Z21" s="97">
        <f>IFERROR(VLOOKUP(Y21,'RoC11'!$B$1:$C$161,2,0),0)</f>
        <v>223.7196272</v>
      </c>
      <c r="AA21" s="97">
        <f>IFERROR(VLOOKUP(E21,'RoC1'!$B$1:$C$160,2,0),0)</f>
        <v>163.1635959</v>
      </c>
      <c r="AB21" s="97">
        <f>IFERROR(VLOOKUP(G21,'RoC2'!$B$1:$C$160,2,0),0)</f>
        <v>530.2232344</v>
      </c>
      <c r="AC21" s="97">
        <f>IFERROR(VLOOKUP(I21,'RoC3'!$B$1:$C$160,2,0),0)</f>
        <v>0</v>
      </c>
      <c r="AD21" s="97">
        <f>IFERROR(VLOOKUP(K21,'RoC4'!$B$1:$C$160,2,0),0)</f>
        <v>640.3332979</v>
      </c>
      <c r="AE21" s="97">
        <f>IFERROR(VLOOKUP(M21,'RoC5'!$B$1:$C$160,2,0),0)</f>
        <v>358.756603</v>
      </c>
      <c r="AF21" s="97">
        <f>IFERROR(VLOOKUP(O21,'RoC6'!$B$1:$C$160,2,0),0)</f>
        <v>185.4922193</v>
      </c>
      <c r="AG21" s="97">
        <f>IFERROR(VLOOKUP(Q21,'RoC7'!$B$1:$C$160,2,0),0)</f>
        <v>524.5750165</v>
      </c>
      <c r="AH21" s="97">
        <f>IFERROR(VLOOKUP(S21,'RoC8'!$B$1:$C$160,2,0),0)</f>
        <v>213.7471195</v>
      </c>
      <c r="AI21" s="97">
        <f>IFERROR(VLOOKUP(U21,'RoC9'!$B$1:$C$160,2,0),0)</f>
        <v>357.2172542</v>
      </c>
      <c r="AJ21" s="97">
        <f>IFERROR(VLOOKUP(W21,'RoC10'!$B$1:$C$160,2,0),0)</f>
        <v>99.00825211</v>
      </c>
      <c r="AK21" s="97">
        <f>IFERROR(VLOOKUP(Y21,'RoC11'!$B$1:$C$160,2,0),0)</f>
        <v>223.7196272</v>
      </c>
    </row>
    <row r="22" ht="15.75" customHeight="1">
      <c r="A22" s="135">
        <v>21.0</v>
      </c>
      <c r="B22" s="6" t="s">
        <v>25</v>
      </c>
      <c r="C22" s="93">
        <f t="shared" si="1"/>
        <v>3157.7589</v>
      </c>
      <c r="D22" s="136"/>
      <c r="E22" s="137" t="str">
        <f>IFERROR(VLOOKUP($B22,'RoC1'!$A$1:$B$160,2,0),"0")</f>
        <v>0</v>
      </c>
      <c r="F22" s="97">
        <f>IFERROR(VLOOKUP(E22,'RoC1'!$B$1:$C$160,2,0),0)</f>
        <v>0</v>
      </c>
      <c r="G22" s="137">
        <f>IFERROR(VLOOKUP($B22,'RoC2'!$A$1:$B$161,2,0),"0")</f>
        <v>4</v>
      </c>
      <c r="H22" s="97">
        <f>IFERROR(VLOOKUP(G22,'RoC2'!$B$1:$C$161,2,0),0)</f>
        <v>959.1090442</v>
      </c>
      <c r="I22" s="137">
        <f>IFERROR(VLOOKUP($B22,'RoC3'!$A$1:$B$161,2,0),0)</f>
        <v>0</v>
      </c>
      <c r="J22" s="97">
        <f>IFERROR(VLOOKUP(I22,'RoC3'!$B$1:$C$161,2,0),0)</f>
        <v>0</v>
      </c>
      <c r="K22" s="137">
        <f>IFERROR(VLOOKUP($B22,'RoC4'!$A$1:$B$161,2,0),0)</f>
        <v>7</v>
      </c>
      <c r="L22" s="97">
        <f>IFERROR(VLOOKUP(K22,'RoC4'!$B$1:$C$161,2,0),0)</f>
        <v>750.057917</v>
      </c>
      <c r="M22" s="137">
        <f>IFERROR(VLOOKUP($B22,'RoC5'!$A$1:$B$161,2,0),0)</f>
        <v>0</v>
      </c>
      <c r="N22" s="97">
        <f>IFERROR(VLOOKUP(M22,'RoC5'!$B$1:$C$161,2,0),0)</f>
        <v>0</v>
      </c>
      <c r="O22" s="137">
        <f>IFERROR(VLOOKUP($B22,'RoC6'!$A$1:$B$161,2,0),0)</f>
        <v>18</v>
      </c>
      <c r="P22" s="97">
        <f>IFERROR(VLOOKUP(O22,'RoC6'!$B$1:$C$161,2,0),0)</f>
        <v>454.153138</v>
      </c>
      <c r="Q22" s="137">
        <f>IFERROR(VLOOKUP($B22,'RoC7'!$A$1:$B$161,2,0),0)</f>
        <v>25</v>
      </c>
      <c r="R22" s="97">
        <f>IFERROR(VLOOKUP(Q22,'RoC7'!$B$1:$C$161,2,0),0)</f>
        <v>368.6525531</v>
      </c>
      <c r="S22" s="137">
        <f>IFERROR(VLOOKUP($B22,'RoC8'!$A$1:$B$161,2,0),0)</f>
        <v>0</v>
      </c>
      <c r="T22" s="97">
        <f>IFERROR(VLOOKUP(S22,'RoC8'!$B$1:$C$161,2,0),0)</f>
        <v>0</v>
      </c>
      <c r="U22" s="137">
        <f>IFERROR(VLOOKUP($B22,'RoC9'!$A$1:$B$161,2,0),0)</f>
        <v>32</v>
      </c>
      <c r="V22" s="97">
        <f>IFERROR(VLOOKUP(U22,'RoC9'!$B$1:$C$161,2,0),0)</f>
        <v>165.1603429</v>
      </c>
      <c r="W22" s="137">
        <f>IFERROR(VLOOKUP($B22,'RoC10'!$A$1:$B$161,2,0),0)</f>
        <v>13</v>
      </c>
      <c r="X22" s="97">
        <f>IFERROR(VLOOKUP(W22,'RoC10'!$B$1:$C$161,2,0),0)</f>
        <v>460.6259045</v>
      </c>
      <c r="Y22" s="137">
        <f>IFERROR(VLOOKUP($B22,'RoC11'!$A$1:$B$161,2,0),0)</f>
        <v>0</v>
      </c>
      <c r="Z22" s="97">
        <f>IFERROR(VLOOKUP(Y22,'RoC11'!$B$1:$C$161,2,0),0)</f>
        <v>0</v>
      </c>
      <c r="AA22" s="97">
        <f>IFERROR(VLOOKUP(E22,'RoC1'!$B$1:$C$160,2,0),0)</f>
        <v>0</v>
      </c>
      <c r="AB22" s="97">
        <f>IFERROR(VLOOKUP(G22,'RoC2'!$B$1:$C$160,2,0),0)</f>
        <v>959.1090442</v>
      </c>
      <c r="AC22" s="97">
        <f>IFERROR(VLOOKUP(I22,'RoC3'!$B$1:$C$160,2,0),0)</f>
        <v>0</v>
      </c>
      <c r="AD22" s="97">
        <f>IFERROR(VLOOKUP(K22,'RoC4'!$B$1:$C$160,2,0),0)</f>
        <v>750.057917</v>
      </c>
      <c r="AE22" s="97">
        <f>IFERROR(VLOOKUP(M22,'RoC5'!$B$1:$C$160,2,0),0)</f>
        <v>0</v>
      </c>
      <c r="AF22" s="97">
        <f>IFERROR(VLOOKUP(O22,'RoC6'!$B$1:$C$160,2,0),0)</f>
        <v>454.153138</v>
      </c>
      <c r="AG22" s="97">
        <f>IFERROR(VLOOKUP(Q22,'RoC7'!$B$1:$C$160,2,0),0)</f>
        <v>368.6525531</v>
      </c>
      <c r="AH22" s="97">
        <f>IFERROR(VLOOKUP(S22,'RoC8'!$B$1:$C$160,2,0),0)</f>
        <v>0</v>
      </c>
      <c r="AI22" s="97">
        <f>IFERROR(VLOOKUP(U22,'RoC9'!$B$1:$C$160,2,0),0)</f>
        <v>165.1603429</v>
      </c>
      <c r="AJ22" s="97">
        <f>IFERROR(VLOOKUP(W22,'RoC10'!$B$1:$C$160,2,0),0)</f>
        <v>460.6259045</v>
      </c>
      <c r="AK22" s="97">
        <f>IFERROR(VLOOKUP(Y22,'RoC11'!$B$1:$C$160,2,0),0)</f>
        <v>0</v>
      </c>
    </row>
    <row r="23" ht="15.75" customHeight="1">
      <c r="A23" s="135">
        <v>22.0</v>
      </c>
      <c r="B23" s="6" t="s">
        <v>33</v>
      </c>
      <c r="C23" s="93">
        <f t="shared" si="1"/>
        <v>3150.842756</v>
      </c>
      <c r="D23" s="136"/>
      <c r="E23" s="137">
        <f>IFERROR(VLOOKUP($B23,'RoC1'!$A$1:$B$160,2,0),"0")</f>
        <v>36</v>
      </c>
      <c r="F23" s="97">
        <f>IFERROR(VLOOKUP(E23,'RoC1'!$B$1:$C$160,2,0),0)</f>
        <v>150.4457662</v>
      </c>
      <c r="G23" s="137">
        <f>IFERROR(VLOOKUP($B23,'RoC2'!$A$1:$B$161,2,0),"0")</f>
        <v>7</v>
      </c>
      <c r="H23" s="97">
        <f>IFERROR(VLOOKUP(G23,'RoC2'!$B$1:$C$161,2,0),0)</f>
        <v>788.4045615</v>
      </c>
      <c r="I23" s="137">
        <f>IFERROR(VLOOKUP($B23,'RoC3'!$A$1:$B$161,2,0),0)</f>
        <v>24</v>
      </c>
      <c r="J23" s="97">
        <f>IFERROR(VLOOKUP(I23,'RoC3'!$B$1:$C$161,2,0),0)</f>
        <v>396.0915304</v>
      </c>
      <c r="K23" s="137">
        <f>IFERROR(VLOOKUP($B23,'RoC4'!$A$1:$B$161,2,0),0)</f>
        <v>9</v>
      </c>
      <c r="L23" s="97">
        <f>IFERROR(VLOOKUP(K23,'RoC4'!$B$1:$C$161,2,0),0)</f>
        <v>673.076804</v>
      </c>
      <c r="M23" s="137">
        <f>IFERROR(VLOOKUP($B23,'RoC5'!$A$1:$B$161,2,0),0)</f>
        <v>33</v>
      </c>
      <c r="N23" s="97">
        <f>IFERROR(VLOOKUP(M23,'RoC5'!$B$1:$C$161,2,0),0)</f>
        <v>280.9903942</v>
      </c>
      <c r="O23" s="137">
        <f>IFERROR(VLOOKUP($B23,'RoC6'!$A$1:$B$161,2,0),0)</f>
        <v>12</v>
      </c>
      <c r="P23" s="97">
        <f>IFERROR(VLOOKUP(O23,'RoC6'!$B$1:$C$161,2,0),0)</f>
        <v>588.7635922</v>
      </c>
      <c r="Q23" s="137">
        <f>IFERROR(VLOOKUP($B23,'RoC7'!$A$1:$B$161,2,0),0)</f>
        <v>32</v>
      </c>
      <c r="R23" s="97">
        <f>IFERROR(VLOOKUP(Q23,'RoC7'!$B$1:$C$161,2,0),0)</f>
        <v>273.0701077</v>
      </c>
      <c r="S23" s="137">
        <f>IFERROR(VLOOKUP($B23,'RoC8'!$A$1:$B$161,2,0),0)</f>
        <v>0</v>
      </c>
      <c r="T23" s="97">
        <f>IFERROR(VLOOKUP(S23,'RoC8'!$B$1:$C$161,2,0),0)</f>
        <v>0</v>
      </c>
      <c r="U23" s="137">
        <f>IFERROR(VLOOKUP($B23,'RoC9'!$A$1:$B$161,2,0),0)</f>
        <v>0</v>
      </c>
      <c r="V23" s="97">
        <f>IFERROR(VLOOKUP(U23,'RoC9'!$B$1:$C$161,2,0),0)</f>
        <v>0</v>
      </c>
      <c r="W23" s="137">
        <f>IFERROR(VLOOKUP($B23,'RoC10'!$A$1:$B$161,2,0),0)</f>
        <v>0</v>
      </c>
      <c r="X23" s="97">
        <f>IFERROR(VLOOKUP(W23,'RoC10'!$B$1:$C$161,2,0),0)</f>
        <v>0</v>
      </c>
      <c r="Y23" s="137">
        <f>IFERROR(VLOOKUP($B23,'RoC11'!$A$1:$B$161,2,0),0)</f>
        <v>0</v>
      </c>
      <c r="Z23" s="97">
        <f>IFERROR(VLOOKUP(Y23,'RoC11'!$B$1:$C$161,2,0),0)</f>
        <v>0</v>
      </c>
      <c r="AA23" s="97">
        <f>IFERROR(VLOOKUP(E23,'RoC1'!$B$1:$C$160,2,0),0)</f>
        <v>150.4457662</v>
      </c>
      <c r="AB23" s="97">
        <f>IFERROR(VLOOKUP(G23,'RoC2'!$B$1:$C$160,2,0),0)</f>
        <v>788.4045615</v>
      </c>
      <c r="AC23" s="97">
        <f>IFERROR(VLOOKUP(I23,'RoC3'!$B$1:$C$160,2,0),0)</f>
        <v>396.0915304</v>
      </c>
      <c r="AD23" s="97">
        <f>IFERROR(VLOOKUP(K23,'RoC4'!$B$1:$C$160,2,0),0)</f>
        <v>673.076804</v>
      </c>
      <c r="AE23" s="97">
        <f>IFERROR(VLOOKUP(M23,'RoC5'!$B$1:$C$160,2,0),0)</f>
        <v>280.9903942</v>
      </c>
      <c r="AF23" s="97">
        <f>IFERROR(VLOOKUP(O23,'RoC6'!$B$1:$C$160,2,0),0)</f>
        <v>588.7635922</v>
      </c>
      <c r="AG23" s="97">
        <f>IFERROR(VLOOKUP(Q23,'RoC7'!$B$1:$C$160,2,0),0)</f>
        <v>273.0701077</v>
      </c>
      <c r="AH23" s="97">
        <f>IFERROR(VLOOKUP(S23,'RoC8'!$B$1:$C$160,2,0),0)</f>
        <v>0</v>
      </c>
      <c r="AI23" s="97">
        <f>IFERROR(VLOOKUP(U23,'RoC9'!$B$1:$C$160,2,0),0)</f>
        <v>0</v>
      </c>
      <c r="AJ23" s="97">
        <f>IFERROR(VLOOKUP(W23,'RoC10'!$B$1:$C$160,2,0),0)</f>
        <v>0</v>
      </c>
      <c r="AK23" s="97">
        <f>IFERROR(VLOOKUP(Y23,'RoC11'!$B$1:$C$160,2,0),0)</f>
        <v>0</v>
      </c>
    </row>
    <row r="24" ht="15.75" customHeight="1">
      <c r="A24" s="135">
        <v>23.0</v>
      </c>
      <c r="B24" s="98" t="s">
        <v>60</v>
      </c>
      <c r="C24" s="93">
        <f t="shared" si="1"/>
        <v>3097.71055</v>
      </c>
      <c r="D24" s="136"/>
      <c r="E24" s="137" t="str">
        <f>IFERROR(VLOOKUP($B24,'RoC1'!$A$1:$B$160,2,0),"0")</f>
        <v>0</v>
      </c>
      <c r="F24" s="97">
        <f>IFERROR(VLOOKUP(E24,'RoC1'!$B$1:$C$160,2,0),0)</f>
        <v>0</v>
      </c>
      <c r="G24" s="137">
        <f>IFERROR(VLOOKUP($B24,'RoC2'!$A$1:$B$161,2,0),"0")</f>
        <v>8</v>
      </c>
      <c r="H24" s="97">
        <f>IFERROR(VLOOKUP(G24,'RoC2'!$B$1:$C$161,2,0),0)</f>
        <v>747.8559857</v>
      </c>
      <c r="I24" s="137">
        <f>IFERROR(VLOOKUP($B24,'RoC3'!$A$1:$B$161,2,0),0)</f>
        <v>9</v>
      </c>
      <c r="J24" s="97">
        <f>IFERROR(VLOOKUP(I24,'RoC3'!$B$1:$C$161,2,0),0)</f>
        <v>717.0598639</v>
      </c>
      <c r="K24" s="137">
        <f>IFERROR(VLOOKUP($B24,'RoC4'!$A$1:$B$161,2,0),0)</f>
        <v>0</v>
      </c>
      <c r="L24" s="97">
        <f>IFERROR(VLOOKUP(K24,'RoC4'!$B$1:$C$161,2,0),0)</f>
        <v>0</v>
      </c>
      <c r="M24" s="137">
        <f>IFERROR(VLOOKUP($B24,'RoC5'!$A$1:$B$161,2,0),0)</f>
        <v>30</v>
      </c>
      <c r="N24" s="97">
        <f>IFERROR(VLOOKUP(M24,'RoC5'!$B$1:$C$161,2,0),0)</f>
        <v>318.5981923</v>
      </c>
      <c r="O24" s="137">
        <f>IFERROR(VLOOKUP($B24,'RoC6'!$A$1:$B$161,2,0),0)</f>
        <v>0</v>
      </c>
      <c r="P24" s="97">
        <f>IFERROR(VLOOKUP(O24,'RoC6'!$B$1:$C$161,2,0),0)</f>
        <v>0</v>
      </c>
      <c r="Q24" s="137">
        <f>IFERROR(VLOOKUP($B24,'RoC7'!$A$1:$B$161,2,0),0)</f>
        <v>3</v>
      </c>
      <c r="R24" s="97">
        <f>IFERROR(VLOOKUP(Q24,'RoC7'!$B$1:$C$161,2,0),0)</f>
        <v>1043.928331</v>
      </c>
      <c r="S24" s="137">
        <f>IFERROR(VLOOKUP($B24,'RoC8'!$A$1:$B$161,2,0),0)</f>
        <v>0</v>
      </c>
      <c r="T24" s="97">
        <f>IFERROR(VLOOKUP(S24,'RoC8'!$B$1:$C$161,2,0),0)</f>
        <v>0</v>
      </c>
      <c r="U24" s="137">
        <f>IFERROR(VLOOKUP($B24,'RoC9'!$A$1:$B$161,2,0),0)</f>
        <v>25</v>
      </c>
      <c r="V24" s="97">
        <f>IFERROR(VLOOKUP(U24,'RoC9'!$B$1:$C$161,2,0),0)</f>
        <v>270.2681766</v>
      </c>
      <c r="W24" s="137">
        <f>IFERROR(VLOOKUP($B24,'RoC10'!$A$1:$B$161,2,0),0)</f>
        <v>0</v>
      </c>
      <c r="X24" s="97">
        <f>IFERROR(VLOOKUP(W24,'RoC10'!$B$1:$C$161,2,0),0)</f>
        <v>0</v>
      </c>
      <c r="Y24" s="137">
        <f>IFERROR(VLOOKUP($B24,'RoC11'!$A$1:$B$161,2,0),0)</f>
        <v>0</v>
      </c>
      <c r="Z24" s="97">
        <f>IFERROR(VLOOKUP(Y24,'RoC11'!$B$1:$C$161,2,0),0)</f>
        <v>0</v>
      </c>
      <c r="AA24" s="97">
        <f>IFERROR(VLOOKUP(E24,'RoC1'!$B$1:$C$160,2,0),0)</f>
        <v>0</v>
      </c>
      <c r="AB24" s="97">
        <f>IFERROR(VLOOKUP(G24,'RoC2'!$B$1:$C$160,2,0),0)</f>
        <v>747.8559857</v>
      </c>
      <c r="AC24" s="97">
        <f>IFERROR(VLOOKUP(I24,'RoC3'!$B$1:$C$160,2,0),0)</f>
        <v>717.0598639</v>
      </c>
      <c r="AD24" s="97">
        <f>IFERROR(VLOOKUP(K24,'RoC4'!$B$1:$C$160,2,0),0)</f>
        <v>0</v>
      </c>
      <c r="AE24" s="97">
        <f>IFERROR(VLOOKUP(M24,'RoC5'!$B$1:$C$160,2,0),0)</f>
        <v>318.5981923</v>
      </c>
      <c r="AF24" s="97">
        <f>IFERROR(VLOOKUP(O24,'RoC6'!$B$1:$C$160,2,0),0)</f>
        <v>0</v>
      </c>
      <c r="AG24" s="97">
        <f>IFERROR(VLOOKUP(Q24,'RoC7'!$B$1:$C$160,2,0),0)</f>
        <v>1043.928331</v>
      </c>
      <c r="AH24" s="97">
        <f>IFERROR(VLOOKUP(S24,'RoC8'!$B$1:$C$160,2,0),0)</f>
        <v>0</v>
      </c>
      <c r="AI24" s="97">
        <f>IFERROR(VLOOKUP(U24,'RoC9'!$B$1:$C$160,2,0),0)</f>
        <v>270.2681766</v>
      </c>
      <c r="AJ24" s="97">
        <f>IFERROR(VLOOKUP(W24,'RoC10'!$B$1:$C$160,2,0),0)</f>
        <v>0</v>
      </c>
      <c r="AK24" s="97">
        <f>IFERROR(VLOOKUP(Y24,'RoC11'!$B$1:$C$160,2,0),0)</f>
        <v>0</v>
      </c>
    </row>
    <row r="25" ht="15.75" customHeight="1">
      <c r="A25" s="135">
        <v>24.0</v>
      </c>
      <c r="B25" s="6" t="s">
        <v>31</v>
      </c>
      <c r="C25" s="93">
        <f t="shared" si="1"/>
        <v>2991.896513</v>
      </c>
      <c r="D25" s="93"/>
      <c r="E25" s="94">
        <f>IFERROR(VLOOKUP($B25,'RoC1'!$A$1:$B$160,2,0),"0")</f>
        <v>23</v>
      </c>
      <c r="F25" s="95">
        <f>IFERROR(VLOOKUP(E25,'RoC1'!$B$1:$C$160,2,0),0)</f>
        <v>336.5531288</v>
      </c>
      <c r="G25" s="94">
        <f>IFERROR(VLOOKUP($B25,'RoC2'!$A$1:$B$161,2,0),"0")</f>
        <v>38</v>
      </c>
      <c r="H25" s="95">
        <f>IFERROR(VLOOKUP(G25,'RoC2'!$B$1:$C$161,2,0),0)</f>
        <v>208.590099</v>
      </c>
      <c r="I25" s="94">
        <f>IFERROR(VLOOKUP($B25,'RoC3'!$A$1:$B$161,2,0),0)</f>
        <v>40</v>
      </c>
      <c r="J25" s="95">
        <f>IFERROR(VLOOKUP(I25,'RoC3'!$B$1:$C$161,2,0),0)</f>
        <v>193.6693359</v>
      </c>
      <c r="K25" s="94">
        <f>IFERROR(VLOOKUP($B25,'RoC4'!$A$1:$B$161,2,0),0)</f>
        <v>0</v>
      </c>
      <c r="L25" s="95">
        <f>IFERROR(VLOOKUP(K25,'RoC4'!$B$1:$C$161,2,0),0)</f>
        <v>0</v>
      </c>
      <c r="M25" s="94">
        <f>IFERROR(VLOOKUP($B25,'RoC5'!$A$1:$B$161,2,0),0)</f>
        <v>28</v>
      </c>
      <c r="N25" s="95">
        <f>IFERROR(VLOOKUP(M25,'RoC5'!$B$1:$C$161,2,0),0)</f>
        <v>345.0534382</v>
      </c>
      <c r="O25" s="94">
        <f>IFERROR(VLOOKUP($B25,'RoC6'!$A$1:$B$161,2,0),0)</f>
        <v>49</v>
      </c>
      <c r="P25" s="95">
        <f>IFERROR(VLOOKUP(O25,'RoC6'!$B$1:$C$161,2,0),0)</f>
        <v>40.40762941</v>
      </c>
      <c r="Q25" s="94">
        <f>IFERROR(VLOOKUP($B25,'RoC7'!$A$1:$B$161,2,0),0)</f>
        <v>1</v>
      </c>
      <c r="R25" s="95">
        <f>IFERROR(VLOOKUP(Q25,'RoC7'!$B$1:$C$161,2,0),0)</f>
        <v>1423.846473</v>
      </c>
      <c r="S25" s="94">
        <f>IFERROR(VLOOKUP($B25,'RoC8'!$A$1:$B$161,2,0),0)</f>
        <v>16</v>
      </c>
      <c r="T25" s="95">
        <f>IFERROR(VLOOKUP(S25,'RoC8'!$B$1:$C$161,2,0),0)</f>
        <v>430.227168</v>
      </c>
      <c r="U25" s="94">
        <f>IFERROR(VLOOKUP($B25,'RoC9'!$A$1:$B$161,2,0),0)</f>
        <v>0</v>
      </c>
      <c r="V25" s="95">
        <f>IFERROR(VLOOKUP(U25,'RoC9'!$B$1:$C$161,2,0),0)</f>
        <v>0</v>
      </c>
      <c r="W25" s="94">
        <f>IFERROR(VLOOKUP($B25,'RoC10'!$A$1:$B$161,2,0),0)</f>
        <v>38</v>
      </c>
      <c r="X25" s="95">
        <f>IFERROR(VLOOKUP(W25,'RoC10'!$B$1:$C$161,2,0),0)</f>
        <v>13.54924042</v>
      </c>
      <c r="Y25" s="94">
        <f>IFERROR(VLOOKUP($B25,'RoC11'!$A$1:$B$161,2,0),0)</f>
        <v>0</v>
      </c>
      <c r="Z25" s="95">
        <f>IFERROR(VLOOKUP(Y25,'RoC11'!$B$1:$C$161,2,0),0)</f>
        <v>0</v>
      </c>
      <c r="AA25" s="95">
        <f>IFERROR(VLOOKUP(E25,'RoC1'!$B$1:$C$160,2,0),0)</f>
        <v>336.5531288</v>
      </c>
      <c r="AB25" s="95">
        <f>IFERROR(VLOOKUP(G25,'RoC2'!$B$1:$C$160,2,0),0)</f>
        <v>208.590099</v>
      </c>
      <c r="AC25" s="95">
        <f>IFERROR(VLOOKUP(I25,'RoC3'!$B$1:$C$160,2,0),0)</f>
        <v>193.6693359</v>
      </c>
      <c r="AD25" s="95">
        <f>IFERROR(VLOOKUP(K25,'RoC4'!$B$1:$C$160,2,0),0)</f>
        <v>0</v>
      </c>
      <c r="AE25" s="95">
        <f>IFERROR(VLOOKUP(M25,'RoC5'!$B$1:$C$160,2,0),0)</f>
        <v>345.0534382</v>
      </c>
      <c r="AF25" s="95">
        <f>IFERROR(VLOOKUP(O25,'RoC6'!$B$1:$C$160,2,0),0)</f>
        <v>40.40762941</v>
      </c>
      <c r="AG25" s="95">
        <f>IFERROR(VLOOKUP(Q25,'RoC7'!$B$1:$C$160,2,0),0)</f>
        <v>1423.846473</v>
      </c>
      <c r="AH25" s="95">
        <f>IFERROR(VLOOKUP(S25,'RoC8'!$B$1:$C$160,2,0),0)</f>
        <v>430.227168</v>
      </c>
      <c r="AI25" s="95">
        <f>IFERROR(VLOOKUP(U25,'RoC9'!$B$1:$C$160,2,0),0)</f>
        <v>0</v>
      </c>
      <c r="AJ25" s="95">
        <f>IFERROR(VLOOKUP(W25,'RoC10'!$B$1:$C$160,2,0),0)</f>
        <v>13.54924042</v>
      </c>
      <c r="AK25" s="95">
        <f>IFERROR(VLOOKUP(Y25,'RoC11'!$B$1:$C$160,2,0),0)</f>
        <v>0</v>
      </c>
    </row>
    <row r="26" ht="15.75" customHeight="1">
      <c r="A26" s="135">
        <v>25.0</v>
      </c>
      <c r="B26" s="6" t="s">
        <v>22</v>
      </c>
      <c r="C26" s="93">
        <f t="shared" si="1"/>
        <v>2896.70037</v>
      </c>
      <c r="D26" s="93"/>
      <c r="E26" s="94" t="str">
        <f>IFERROR(VLOOKUP($B26,'RoC1'!$A$1:$B$160,2,0),"0")</f>
        <v>0</v>
      </c>
      <c r="F26" s="95">
        <f>IFERROR(VLOOKUP(E26,'RoC1'!$B$1:$C$160,2,0),0)</f>
        <v>0</v>
      </c>
      <c r="G26" s="94" t="str">
        <f>IFERROR(VLOOKUP($B26,'RoC2'!$A$1:$B$161,2,0),"0")</f>
        <v>0</v>
      </c>
      <c r="H26" s="95">
        <f>IFERROR(VLOOKUP(G26,'RoC2'!$B$1:$C$161,2,0),0)</f>
        <v>0</v>
      </c>
      <c r="I26" s="94">
        <f>IFERROR(VLOOKUP($B26,'RoC3'!$A$1:$B$161,2,0),0)</f>
        <v>10</v>
      </c>
      <c r="J26" s="95">
        <f>IFERROR(VLOOKUP(I26,'RoC3'!$B$1:$C$161,2,0),0)</f>
        <v>684.7245038</v>
      </c>
      <c r="K26" s="94">
        <f>IFERROR(VLOOKUP($B26,'RoC4'!$A$1:$B$161,2,0),0)</f>
        <v>34</v>
      </c>
      <c r="L26" s="95">
        <f>IFERROR(VLOOKUP(K26,'RoC4'!$B$1:$C$161,2,0),0)</f>
        <v>202.0968626</v>
      </c>
      <c r="M26" s="94">
        <f>IFERROR(VLOOKUP($B26,'RoC5'!$A$1:$B$161,2,0),0)</f>
        <v>16</v>
      </c>
      <c r="N26" s="95">
        <f>IFERROR(VLOOKUP(M26,'RoC5'!$B$1:$C$161,2,0),0)</f>
        <v>541.1833732</v>
      </c>
      <c r="O26" s="94">
        <f>IFERROR(VLOOKUP($B26,'RoC6'!$A$1:$B$161,2,0),0)</f>
        <v>0</v>
      </c>
      <c r="P26" s="95">
        <f>IFERROR(VLOOKUP(O26,'RoC6'!$B$1:$C$161,2,0),0)</f>
        <v>0</v>
      </c>
      <c r="Q26" s="94">
        <f>IFERROR(VLOOKUP($B26,'RoC7'!$A$1:$B$161,2,0),0)</f>
        <v>0</v>
      </c>
      <c r="R26" s="95">
        <f>IFERROR(VLOOKUP(Q26,'RoC7'!$B$1:$C$161,2,0),0)</f>
        <v>0</v>
      </c>
      <c r="S26" s="94">
        <f>IFERROR(VLOOKUP($B26,'RoC8'!$A$1:$B$161,2,0),0)</f>
        <v>30</v>
      </c>
      <c r="T26" s="95">
        <f>IFERROR(VLOOKUP(S26,'RoC8'!$B$1:$C$161,2,0),0)</f>
        <v>183.8304787</v>
      </c>
      <c r="U26" s="94">
        <f>IFERROR(VLOOKUP($B26,'RoC9'!$A$1:$B$161,2,0),0)</f>
        <v>8</v>
      </c>
      <c r="V26" s="95">
        <f>IFERROR(VLOOKUP(U26,'RoC9'!$B$1:$C$161,2,0),0)</f>
        <v>664.7818372</v>
      </c>
      <c r="W26" s="94">
        <f>IFERROR(VLOOKUP($B26,'RoC10'!$A$1:$B$161,2,0),0)</f>
        <v>8</v>
      </c>
      <c r="X26" s="95">
        <f>IFERROR(VLOOKUP(W26,'RoC10'!$B$1:$C$161,2,0),0)</f>
        <v>620.0833144</v>
      </c>
      <c r="Y26" s="94">
        <f>IFERROR(VLOOKUP($B26,'RoC11'!$A$1:$B$161,2,0),0)</f>
        <v>0</v>
      </c>
      <c r="Z26" s="95">
        <f>IFERROR(VLOOKUP(Y26,'RoC11'!$B$1:$C$161,2,0),0)</f>
        <v>0</v>
      </c>
      <c r="AA26" s="95">
        <f>IFERROR(VLOOKUP(E26,'RoC1'!$B$1:$C$160,2,0),0)</f>
        <v>0</v>
      </c>
      <c r="AB26" s="95">
        <f>IFERROR(VLOOKUP(G26,'RoC2'!$B$1:$C$160,2,0),0)</f>
        <v>0</v>
      </c>
      <c r="AC26" s="95">
        <f>IFERROR(VLOOKUP(I26,'RoC3'!$B$1:$C$160,2,0),0)</f>
        <v>684.7245038</v>
      </c>
      <c r="AD26" s="95">
        <f>IFERROR(VLOOKUP(K26,'RoC4'!$B$1:$C$160,2,0),0)</f>
        <v>202.0968626</v>
      </c>
      <c r="AE26" s="95">
        <f>IFERROR(VLOOKUP(M26,'RoC5'!$B$1:$C$160,2,0),0)</f>
        <v>541.1833732</v>
      </c>
      <c r="AF26" s="95">
        <f>IFERROR(VLOOKUP(O26,'RoC6'!$B$1:$C$160,2,0),0)</f>
        <v>0</v>
      </c>
      <c r="AG26" s="95">
        <f>IFERROR(VLOOKUP(Q26,'RoC7'!$B$1:$C$160,2,0),0)</f>
        <v>0</v>
      </c>
      <c r="AH26" s="95">
        <f>IFERROR(VLOOKUP(S26,'RoC8'!$B$1:$C$160,2,0),0)</f>
        <v>183.8304787</v>
      </c>
      <c r="AI26" s="95">
        <f>IFERROR(VLOOKUP(U26,'RoC9'!$B$1:$C$160,2,0),0)</f>
        <v>664.7818372</v>
      </c>
      <c r="AJ26" s="95">
        <f>IFERROR(VLOOKUP(W26,'RoC10'!$B$1:$C$160,2,0),0)</f>
        <v>620.0833144</v>
      </c>
      <c r="AK26" s="95">
        <f>IFERROR(VLOOKUP(Y26,'RoC11'!$B$1:$C$160,2,0),0)</f>
        <v>0</v>
      </c>
    </row>
    <row r="27" ht="15.75" customHeight="1">
      <c r="A27" s="135">
        <v>26.0</v>
      </c>
      <c r="B27" s="6" t="s">
        <v>30</v>
      </c>
      <c r="C27" s="93">
        <f t="shared" si="1"/>
        <v>2857.482475</v>
      </c>
      <c r="D27" s="136"/>
      <c r="E27" s="137" t="str">
        <f>IFERROR(VLOOKUP($B27,'RoC1'!$A$1:$B$160,2,0),"0")</f>
        <v>0</v>
      </c>
      <c r="F27" s="97">
        <f>IFERROR(VLOOKUP(E27,'RoC1'!$B$1:$C$160,2,0),0)</f>
        <v>0</v>
      </c>
      <c r="G27" s="137">
        <f>IFERROR(VLOOKUP($B27,'RoC2'!$A$1:$B$161,2,0),"0")</f>
        <v>58</v>
      </c>
      <c r="H27" s="97">
        <f>IFERROR(VLOOKUP(G27,'RoC2'!$B$1:$C$161,2,0),0)</f>
        <v>8.93641433</v>
      </c>
      <c r="I27" s="137">
        <f>IFERROR(VLOOKUP($B27,'RoC3'!$A$1:$B$161,2,0),0)</f>
        <v>45</v>
      </c>
      <c r="J27" s="97">
        <f>IFERROR(VLOOKUP(I27,'RoC3'!$B$1:$C$161,2,0),0)</f>
        <v>141.0373036</v>
      </c>
      <c r="K27" s="137">
        <f>IFERROR(VLOOKUP($B27,'RoC4'!$A$1:$B$161,2,0),0)</f>
        <v>18</v>
      </c>
      <c r="L27" s="97">
        <f>IFERROR(VLOOKUP(K27,'RoC4'!$B$1:$C$161,2,0),0)</f>
        <v>447.5252939</v>
      </c>
      <c r="M27" s="137">
        <f>IFERROR(VLOOKUP($B27,'RoC5'!$A$1:$B$161,2,0),0)</f>
        <v>10</v>
      </c>
      <c r="N27" s="97">
        <f>IFERROR(VLOOKUP(M27,'RoC5'!$B$1:$C$161,2,0),0)</f>
        <v>689.8141572</v>
      </c>
      <c r="O27" s="137">
        <f>IFERROR(VLOOKUP($B27,'RoC6'!$A$1:$B$161,2,0),0)</f>
        <v>20</v>
      </c>
      <c r="P27" s="97">
        <f>IFERROR(VLOOKUP(O27,'RoC6'!$B$1:$C$161,2,0),0)</f>
        <v>417.0698945</v>
      </c>
      <c r="Q27" s="137">
        <f>IFERROR(VLOOKUP($B27,'RoC7'!$A$1:$B$161,2,0),0)</f>
        <v>0</v>
      </c>
      <c r="R27" s="97">
        <f>IFERROR(VLOOKUP(Q27,'RoC7'!$B$1:$C$161,2,0),0)</f>
        <v>0</v>
      </c>
      <c r="S27" s="137">
        <f>IFERROR(VLOOKUP($B27,'RoC8'!$A$1:$B$161,2,0),0)</f>
        <v>42</v>
      </c>
      <c r="T27" s="97">
        <f>IFERROR(VLOOKUP(S27,'RoC8'!$B$1:$C$161,2,0),0)</f>
        <v>24.14279068</v>
      </c>
      <c r="U27" s="137">
        <f>IFERROR(VLOOKUP($B27,'RoC9'!$A$1:$B$161,2,0),0)</f>
        <v>12</v>
      </c>
      <c r="V27" s="97">
        <f>IFERROR(VLOOKUP(U27,'RoC9'!$B$1:$C$161,2,0),0)</f>
        <v>535.7578541</v>
      </c>
      <c r="W27" s="137">
        <f>IFERROR(VLOOKUP($B27,'RoC10'!$A$1:$B$161,2,0),0)</f>
        <v>27</v>
      </c>
      <c r="X27" s="97">
        <f>IFERROR(VLOOKUP(W27,'RoC10'!$B$1:$C$161,2,0),0)</f>
        <v>177.0929014</v>
      </c>
      <c r="Y27" s="137">
        <f>IFERROR(VLOOKUP($B27,'RoC11'!$A$1:$B$161,2,0),0)</f>
        <v>14</v>
      </c>
      <c r="Z27" s="97">
        <f>IFERROR(VLOOKUP(Y27,'RoC11'!$B$1:$C$161,2,0),0)</f>
        <v>416.1058652</v>
      </c>
      <c r="AA27" s="97">
        <f>IFERROR(VLOOKUP(E27,'RoC1'!$B$1:$C$160,2,0),0)</f>
        <v>0</v>
      </c>
      <c r="AB27" s="97">
        <f>IFERROR(VLOOKUP(G27,'RoC2'!$B$1:$C$160,2,0),0)</f>
        <v>8.93641433</v>
      </c>
      <c r="AC27" s="97">
        <f>IFERROR(VLOOKUP(I27,'RoC3'!$B$1:$C$160,2,0),0)</f>
        <v>141.0373036</v>
      </c>
      <c r="AD27" s="97">
        <f>IFERROR(VLOOKUP(K27,'RoC4'!$B$1:$C$160,2,0),0)</f>
        <v>447.5252939</v>
      </c>
      <c r="AE27" s="97">
        <f>IFERROR(VLOOKUP(M27,'RoC5'!$B$1:$C$160,2,0),0)</f>
        <v>689.8141572</v>
      </c>
      <c r="AF27" s="97">
        <f>IFERROR(VLOOKUP(O27,'RoC6'!$B$1:$C$160,2,0),0)</f>
        <v>417.0698945</v>
      </c>
      <c r="AG27" s="97">
        <f>IFERROR(VLOOKUP(Q27,'RoC7'!$B$1:$C$160,2,0),0)</f>
        <v>0</v>
      </c>
      <c r="AH27" s="97">
        <f>IFERROR(VLOOKUP(S27,'RoC8'!$B$1:$C$160,2,0),0)</f>
        <v>24.14279068</v>
      </c>
      <c r="AI27" s="97">
        <f>IFERROR(VLOOKUP(U27,'RoC9'!$B$1:$C$160,2,0),0)</f>
        <v>535.7578541</v>
      </c>
      <c r="AJ27" s="97">
        <f>IFERROR(VLOOKUP(W27,'RoC10'!$B$1:$C$160,2,0),0)</f>
        <v>177.0929014</v>
      </c>
      <c r="AK27" s="97">
        <f>IFERROR(VLOOKUP(Y27,'RoC11'!$B$1:$C$160,2,0),0)</f>
        <v>416.1058652</v>
      </c>
    </row>
    <row r="28" ht="15.75" customHeight="1">
      <c r="A28" s="135">
        <v>27.0</v>
      </c>
      <c r="B28" s="16" t="s">
        <v>50</v>
      </c>
      <c r="C28" s="93">
        <f t="shared" si="1"/>
        <v>2837.705582</v>
      </c>
      <c r="D28" s="136"/>
      <c r="E28" s="137" t="str">
        <f>IFERROR(VLOOKUP($B28,'RoC1'!$A$1:$B$160,2,0),"0")</f>
        <v>0</v>
      </c>
      <c r="F28" s="97">
        <f>IFERROR(VLOOKUP(E28,'RoC1'!$B$1:$C$160,2,0),0)</f>
        <v>0</v>
      </c>
      <c r="G28" s="137">
        <f>IFERROR(VLOOKUP($B28,'RoC2'!$A$1:$B$161,2,0),"0")</f>
        <v>18</v>
      </c>
      <c r="H28" s="97">
        <f>IFERROR(VLOOKUP(G28,'RoC2'!$B$1:$C$161,2,0),0)</f>
        <v>490.8920798</v>
      </c>
      <c r="I28" s="137">
        <f>IFERROR(VLOOKUP($B28,'RoC3'!$A$1:$B$161,2,0),0)</f>
        <v>8</v>
      </c>
      <c r="J28" s="97">
        <f>IFERROR(VLOOKUP(I28,'RoC3'!$B$1:$C$161,2,0),0)</f>
        <v>752.9683342</v>
      </c>
      <c r="K28" s="137">
        <f>IFERROR(VLOOKUP($B28,'RoC4'!$A$1:$B$161,2,0),0)</f>
        <v>3</v>
      </c>
      <c r="L28" s="97">
        <f>IFERROR(VLOOKUP(K28,'RoC4'!$B$1:$C$161,2,0),0)</f>
        <v>1009.421526</v>
      </c>
      <c r="M28" s="137">
        <f>IFERROR(VLOOKUP($B28,'RoC5'!$A$1:$B$161,2,0),0)</f>
        <v>14</v>
      </c>
      <c r="N28" s="97">
        <f>IFERROR(VLOOKUP(M28,'RoC5'!$B$1:$C$161,2,0),0)</f>
        <v>584.4236417</v>
      </c>
      <c r="O28" s="137">
        <f>IFERROR(VLOOKUP($B28,'RoC6'!$A$1:$B$161,2,0),0)</f>
        <v>0</v>
      </c>
      <c r="P28" s="97">
        <f>IFERROR(VLOOKUP(O28,'RoC6'!$B$1:$C$161,2,0),0)</f>
        <v>0</v>
      </c>
      <c r="Q28" s="137">
        <f>IFERROR(VLOOKUP($B28,'RoC7'!$A$1:$B$161,2,0),0)</f>
        <v>0</v>
      </c>
      <c r="R28" s="97">
        <f>IFERROR(VLOOKUP(Q28,'RoC7'!$B$1:$C$161,2,0),0)</f>
        <v>0</v>
      </c>
      <c r="S28" s="137">
        <f>IFERROR(VLOOKUP($B28,'RoC8'!$A$1:$B$161,2,0),0)</f>
        <v>0</v>
      </c>
      <c r="T28" s="97">
        <f>IFERROR(VLOOKUP(S28,'RoC8'!$B$1:$C$161,2,0),0)</f>
        <v>0</v>
      </c>
      <c r="U28" s="137">
        <f>IFERROR(VLOOKUP($B28,'RoC9'!$A$1:$B$161,2,0),0)</f>
        <v>0</v>
      </c>
      <c r="V28" s="97">
        <f>IFERROR(VLOOKUP(U28,'RoC9'!$B$1:$C$161,2,0),0)</f>
        <v>0</v>
      </c>
      <c r="W28" s="137">
        <f>IFERROR(VLOOKUP($B28,'RoC10'!$A$1:$B$161,2,0),0)</f>
        <v>0</v>
      </c>
      <c r="X28" s="97">
        <f>IFERROR(VLOOKUP(W28,'RoC10'!$B$1:$C$161,2,0),0)</f>
        <v>0</v>
      </c>
      <c r="Y28" s="137">
        <f>IFERROR(VLOOKUP($B28,'RoC11'!$A$1:$B$161,2,0),0)</f>
        <v>0</v>
      </c>
      <c r="Z28" s="97">
        <f>IFERROR(VLOOKUP(Y28,'RoC11'!$B$1:$C$161,2,0),0)</f>
        <v>0</v>
      </c>
      <c r="AA28" s="97">
        <f>IFERROR(VLOOKUP(E28,'RoC1'!$B$1:$C$160,2,0),0)</f>
        <v>0</v>
      </c>
      <c r="AB28" s="97">
        <f>IFERROR(VLOOKUP(G28,'RoC2'!$B$1:$C$160,2,0),0)</f>
        <v>490.8920798</v>
      </c>
      <c r="AC28" s="97">
        <f>IFERROR(VLOOKUP(I28,'RoC3'!$B$1:$C$160,2,0),0)</f>
        <v>752.9683342</v>
      </c>
      <c r="AD28" s="97">
        <f>IFERROR(VLOOKUP(K28,'RoC4'!$B$1:$C$160,2,0),0)</f>
        <v>1009.421526</v>
      </c>
      <c r="AE28" s="97">
        <f>IFERROR(VLOOKUP(M28,'RoC5'!$B$1:$C$160,2,0),0)</f>
        <v>584.4236417</v>
      </c>
      <c r="AF28" s="97">
        <f>IFERROR(VLOOKUP(O28,'RoC6'!$B$1:$C$160,2,0),0)</f>
        <v>0</v>
      </c>
      <c r="AG28" s="97">
        <f>IFERROR(VLOOKUP(Q28,'RoC7'!$B$1:$C$160,2,0),0)</f>
        <v>0</v>
      </c>
      <c r="AH28" s="97">
        <f>IFERROR(VLOOKUP(S28,'RoC8'!$B$1:$C$160,2,0),0)</f>
        <v>0</v>
      </c>
      <c r="AI28" s="97">
        <f>IFERROR(VLOOKUP(U28,'RoC9'!$B$1:$C$160,2,0),0)</f>
        <v>0</v>
      </c>
      <c r="AJ28" s="97">
        <f>IFERROR(VLOOKUP(W28,'RoC10'!$B$1:$C$160,2,0),0)</f>
        <v>0</v>
      </c>
      <c r="AK28" s="97">
        <f>IFERROR(VLOOKUP(Y28,'RoC11'!$B$1:$C$160,2,0),0)</f>
        <v>0</v>
      </c>
    </row>
    <row r="29" ht="15.75" customHeight="1">
      <c r="A29" s="135">
        <v>28.0</v>
      </c>
      <c r="B29" s="6" t="s">
        <v>37</v>
      </c>
      <c r="C29" s="93">
        <f t="shared" si="1"/>
        <v>2823.405802</v>
      </c>
      <c r="D29" s="136"/>
      <c r="E29" s="137">
        <f>IFERROR(VLOOKUP($B29,'RoC1'!$A$1:$B$160,2,0),"0")</f>
        <v>10</v>
      </c>
      <c r="F29" s="97">
        <f>IFERROR(VLOOKUP(E29,'RoC1'!$B$1:$C$160,2,0),0)</f>
        <v>621.6942497</v>
      </c>
      <c r="G29" s="137" t="str">
        <f>IFERROR(VLOOKUP($B29,'RoC2'!$A$1:$B$161,2,0),"0")</f>
        <v>0</v>
      </c>
      <c r="H29" s="97">
        <f>IFERROR(VLOOKUP(G29,'RoC2'!$B$1:$C$161,2,0),0)</f>
        <v>0</v>
      </c>
      <c r="I29" s="137">
        <f>IFERROR(VLOOKUP($B29,'RoC3'!$A$1:$B$161,2,0),0)</f>
        <v>25</v>
      </c>
      <c r="J29" s="97">
        <f>IFERROR(VLOOKUP(I29,'RoC3'!$B$1:$C$161,2,0),0)</f>
        <v>381.1789486</v>
      </c>
      <c r="K29" s="137">
        <f>IFERROR(VLOOKUP($B29,'RoC4'!$A$1:$B$161,2,0),0)</f>
        <v>0</v>
      </c>
      <c r="L29" s="97">
        <f>IFERROR(VLOOKUP(K29,'RoC4'!$B$1:$C$161,2,0),0)</f>
        <v>0</v>
      </c>
      <c r="M29" s="137">
        <f>IFERROR(VLOOKUP($B29,'RoC5'!$A$1:$B$161,2,0),0)</f>
        <v>40</v>
      </c>
      <c r="N29" s="97">
        <f>IFERROR(VLOOKUP(M29,'RoC5'!$B$1:$C$161,2,0),0)</f>
        <v>200.8474046</v>
      </c>
      <c r="O29" s="137">
        <f>IFERROR(VLOOKUP($B29,'RoC6'!$A$1:$B$161,2,0),0)</f>
        <v>17</v>
      </c>
      <c r="P29" s="97">
        <f>IFERROR(VLOOKUP(O29,'RoC6'!$B$1:$C$161,2,0),0)</f>
        <v>473.8519494</v>
      </c>
      <c r="Q29" s="137">
        <f>IFERROR(VLOOKUP($B29,'RoC7'!$A$1:$B$161,2,0),0)</f>
        <v>27</v>
      </c>
      <c r="R29" s="97">
        <f>IFERROR(VLOOKUP(Q29,'RoC7'!$B$1:$C$161,2,0),0)</f>
        <v>339.7105708</v>
      </c>
      <c r="S29" s="137">
        <f>IFERROR(VLOOKUP($B29,'RoC8'!$A$1:$B$161,2,0),0)</f>
        <v>19</v>
      </c>
      <c r="T29" s="97">
        <f>IFERROR(VLOOKUP(S29,'RoC8'!$B$1:$C$161,2,0),0)</f>
        <v>367.9776186</v>
      </c>
      <c r="U29" s="137">
        <f>IFERROR(VLOOKUP($B29,'RoC9'!$A$1:$B$161,2,0),0)</f>
        <v>16</v>
      </c>
      <c r="V29" s="97">
        <f>IFERROR(VLOOKUP(U29,'RoC9'!$B$1:$C$161,2,0),0)</f>
        <v>438.1450608</v>
      </c>
      <c r="W29" s="137">
        <f>IFERROR(VLOOKUP($B29,'RoC10'!$A$1:$B$161,2,0),0)</f>
        <v>0</v>
      </c>
      <c r="X29" s="97">
        <f>IFERROR(VLOOKUP(W29,'RoC10'!$B$1:$C$161,2,0),0)</f>
        <v>0</v>
      </c>
      <c r="Y29" s="137">
        <f>IFERROR(VLOOKUP($B29,'RoC11'!$A$1:$B$161,2,0),0)</f>
        <v>0</v>
      </c>
      <c r="Z29" s="97">
        <f>IFERROR(VLOOKUP(Y29,'RoC11'!$B$1:$C$161,2,0),0)</f>
        <v>0</v>
      </c>
      <c r="AA29" s="97">
        <f>IFERROR(VLOOKUP(E29,'RoC1'!$B$1:$C$160,2,0),0)</f>
        <v>621.6942497</v>
      </c>
      <c r="AB29" s="97">
        <f>IFERROR(VLOOKUP(G29,'RoC2'!$B$1:$C$160,2,0),0)</f>
        <v>0</v>
      </c>
      <c r="AC29" s="97">
        <f>IFERROR(VLOOKUP(I29,'RoC3'!$B$1:$C$160,2,0),0)</f>
        <v>381.1789486</v>
      </c>
      <c r="AD29" s="97">
        <f>IFERROR(VLOOKUP(K29,'RoC4'!$B$1:$C$160,2,0),0)</f>
        <v>0</v>
      </c>
      <c r="AE29" s="97">
        <f>IFERROR(VLOOKUP(M29,'RoC5'!$B$1:$C$160,2,0),0)</f>
        <v>200.8474046</v>
      </c>
      <c r="AF29" s="97">
        <f>IFERROR(VLOOKUP(O29,'RoC6'!$B$1:$C$160,2,0),0)</f>
        <v>473.8519494</v>
      </c>
      <c r="AG29" s="97">
        <f>IFERROR(VLOOKUP(Q29,'RoC7'!$B$1:$C$160,2,0),0)</f>
        <v>339.7105708</v>
      </c>
      <c r="AH29" s="97">
        <f>IFERROR(VLOOKUP(S29,'RoC8'!$B$1:$C$160,2,0),0)</f>
        <v>367.9776186</v>
      </c>
      <c r="AI29" s="97">
        <f>IFERROR(VLOOKUP(U29,'RoC9'!$B$1:$C$160,2,0),0)</f>
        <v>438.1450608</v>
      </c>
      <c r="AJ29" s="97">
        <f>IFERROR(VLOOKUP(W29,'RoC10'!$B$1:$C$160,2,0),0)</f>
        <v>0</v>
      </c>
      <c r="AK29" s="97">
        <f>IFERROR(VLOOKUP(Y29,'RoC11'!$B$1:$C$160,2,0),0)</f>
        <v>0</v>
      </c>
    </row>
    <row r="30" ht="15.75" customHeight="1">
      <c r="A30" s="135">
        <v>29.0</v>
      </c>
      <c r="B30" s="24" t="s">
        <v>37</v>
      </c>
      <c r="C30" s="93">
        <f t="shared" si="1"/>
        <v>2823.405802</v>
      </c>
      <c r="D30" s="136"/>
      <c r="E30" s="137">
        <f>IFERROR(VLOOKUP($B30,'RoC1'!$A$1:$B$160,2,0),"0")</f>
        <v>10</v>
      </c>
      <c r="F30" s="97">
        <f>IFERROR(VLOOKUP(E30,'RoC1'!$B$1:$C$160,2,0),0)</f>
        <v>621.6942497</v>
      </c>
      <c r="G30" s="137" t="str">
        <f>IFERROR(VLOOKUP($B30,'RoC2'!$A$1:$B$161,2,0),"0")</f>
        <v>0</v>
      </c>
      <c r="H30" s="97">
        <f>IFERROR(VLOOKUP(G30,'RoC2'!$B$1:$C$161,2,0),0)</f>
        <v>0</v>
      </c>
      <c r="I30" s="137">
        <f>IFERROR(VLOOKUP($B30,'RoC3'!$A$1:$B$161,2,0),0)</f>
        <v>25</v>
      </c>
      <c r="J30" s="97">
        <f>IFERROR(VLOOKUP(I30,'RoC3'!$B$1:$C$161,2,0),0)</f>
        <v>381.1789486</v>
      </c>
      <c r="K30" s="137">
        <f>IFERROR(VLOOKUP($B30,'RoC4'!$A$1:$B$161,2,0),0)</f>
        <v>0</v>
      </c>
      <c r="L30" s="97">
        <f>IFERROR(VLOOKUP(K30,'RoC4'!$B$1:$C$161,2,0),0)</f>
        <v>0</v>
      </c>
      <c r="M30" s="137">
        <f>IFERROR(VLOOKUP($B30,'RoC5'!$A$1:$B$161,2,0),0)</f>
        <v>40</v>
      </c>
      <c r="N30" s="97">
        <f>IFERROR(VLOOKUP(M30,'RoC5'!$B$1:$C$161,2,0),0)</f>
        <v>200.8474046</v>
      </c>
      <c r="O30" s="137">
        <f>IFERROR(VLOOKUP($B30,'RoC6'!$A$1:$B$161,2,0),0)</f>
        <v>17</v>
      </c>
      <c r="P30" s="97">
        <f>IFERROR(VLOOKUP(O30,'RoC6'!$B$1:$C$161,2,0),0)</f>
        <v>473.8519494</v>
      </c>
      <c r="Q30" s="137">
        <f>IFERROR(VLOOKUP($B30,'RoC7'!$A$1:$B$161,2,0),0)</f>
        <v>27</v>
      </c>
      <c r="R30" s="97">
        <f>IFERROR(VLOOKUP(Q30,'RoC7'!$B$1:$C$161,2,0),0)</f>
        <v>339.7105708</v>
      </c>
      <c r="S30" s="137">
        <f>IFERROR(VLOOKUP($B30,'RoC8'!$A$1:$B$161,2,0),0)</f>
        <v>19</v>
      </c>
      <c r="T30" s="97">
        <f>IFERROR(VLOOKUP(S30,'RoC8'!$B$1:$C$161,2,0),0)</f>
        <v>367.9776186</v>
      </c>
      <c r="U30" s="137">
        <f>IFERROR(VLOOKUP($B30,'RoC9'!$A$1:$B$161,2,0),0)</f>
        <v>16</v>
      </c>
      <c r="V30" s="97">
        <f>IFERROR(VLOOKUP(U30,'RoC9'!$B$1:$C$161,2,0),0)</f>
        <v>438.1450608</v>
      </c>
      <c r="W30" s="137">
        <f>IFERROR(VLOOKUP($B30,'RoC10'!$A$1:$B$161,2,0),0)</f>
        <v>0</v>
      </c>
      <c r="X30" s="97">
        <f>IFERROR(VLOOKUP(W30,'RoC10'!$B$1:$C$161,2,0),0)</f>
        <v>0</v>
      </c>
      <c r="Y30" s="137">
        <f>IFERROR(VLOOKUP($B30,'RoC11'!$A$1:$B$161,2,0),0)</f>
        <v>0</v>
      </c>
      <c r="Z30" s="97">
        <f>IFERROR(VLOOKUP(Y30,'RoC11'!$B$1:$C$161,2,0),0)</f>
        <v>0</v>
      </c>
      <c r="AA30" s="97">
        <f>IFERROR(VLOOKUP(E30,'RoC1'!$B$1:$C$160,2,0),0)</f>
        <v>621.6942497</v>
      </c>
      <c r="AB30" s="97">
        <f>IFERROR(VLOOKUP(G30,'RoC2'!$B$1:$C$160,2,0),0)</f>
        <v>0</v>
      </c>
      <c r="AC30" s="97">
        <f>IFERROR(VLOOKUP(I30,'RoC3'!$B$1:$C$160,2,0),0)</f>
        <v>381.1789486</v>
      </c>
      <c r="AD30" s="97">
        <f>IFERROR(VLOOKUP(K30,'RoC4'!$B$1:$C$160,2,0),0)</f>
        <v>0</v>
      </c>
      <c r="AE30" s="97">
        <f>IFERROR(VLOOKUP(M30,'RoC5'!$B$1:$C$160,2,0),0)</f>
        <v>200.8474046</v>
      </c>
      <c r="AF30" s="97">
        <f>IFERROR(VLOOKUP(O30,'RoC6'!$B$1:$C$160,2,0),0)</f>
        <v>473.8519494</v>
      </c>
      <c r="AG30" s="97">
        <f>IFERROR(VLOOKUP(Q30,'RoC7'!$B$1:$C$160,2,0),0)</f>
        <v>339.7105708</v>
      </c>
      <c r="AH30" s="97">
        <f>IFERROR(VLOOKUP(S30,'RoC8'!$B$1:$C$160,2,0),0)</f>
        <v>367.9776186</v>
      </c>
      <c r="AI30" s="97">
        <f>IFERROR(VLOOKUP(U30,'RoC9'!$B$1:$C$160,2,0),0)</f>
        <v>438.1450608</v>
      </c>
      <c r="AJ30" s="97">
        <f>IFERROR(VLOOKUP(W30,'RoC10'!$B$1:$C$160,2,0),0)</f>
        <v>0</v>
      </c>
      <c r="AK30" s="97">
        <f>IFERROR(VLOOKUP(Y30,'RoC11'!$B$1:$C$160,2,0),0)</f>
        <v>0</v>
      </c>
    </row>
    <row r="31" ht="15.75" customHeight="1">
      <c r="A31" s="135">
        <v>30.0</v>
      </c>
      <c r="B31" s="6" t="s">
        <v>36</v>
      </c>
      <c r="C31" s="93">
        <f t="shared" si="1"/>
        <v>2784.68107</v>
      </c>
      <c r="D31" s="93"/>
      <c r="E31" s="94">
        <f>IFERROR(VLOOKUP($B31,'RoC1'!$A$1:$B$160,2,0),"0")</f>
        <v>48</v>
      </c>
      <c r="F31" s="95">
        <f>IFERROR(VLOOKUP(E31,'RoC1'!$B$1:$C$160,2,0),0)</f>
        <v>10.76965854</v>
      </c>
      <c r="G31" s="94">
        <f>IFERROR(VLOOKUP($B31,'RoC2'!$A$1:$B$161,2,0),"0")</f>
        <v>40</v>
      </c>
      <c r="H31" s="95">
        <f>IFERROR(VLOOKUP(G31,'RoC2'!$B$1:$C$161,2,0),0)</f>
        <v>186.3197521</v>
      </c>
      <c r="I31" s="94">
        <f>IFERROR(VLOOKUP($B31,'RoC3'!$A$1:$B$161,2,0),0)</f>
        <v>11</v>
      </c>
      <c r="J31" s="95">
        <f>IFERROR(VLOOKUP(I31,'RoC3'!$B$1:$C$161,2,0),0)</f>
        <v>655.2300012</v>
      </c>
      <c r="K31" s="94">
        <f>IFERROR(VLOOKUP($B31,'RoC4'!$A$1:$B$161,2,0),0)</f>
        <v>0</v>
      </c>
      <c r="L31" s="95">
        <f>IFERROR(VLOOKUP(K31,'RoC4'!$B$1:$C$161,2,0),0)</f>
        <v>0</v>
      </c>
      <c r="M31" s="94">
        <f>IFERROR(VLOOKUP($B31,'RoC5'!$A$1:$B$161,2,0),0)</f>
        <v>24</v>
      </c>
      <c r="N31" s="95">
        <f>IFERROR(VLOOKUP(M31,'RoC5'!$B$1:$C$161,2,0),0)</f>
        <v>402.0784905</v>
      </c>
      <c r="O31" s="94">
        <f>IFERROR(VLOOKUP($B31,'RoC6'!$A$1:$B$161,2,0),0)</f>
        <v>42</v>
      </c>
      <c r="P31" s="95">
        <f>IFERROR(VLOOKUP(O31,'RoC6'!$B$1:$C$161,2,0),0)</f>
        <v>115.4869106</v>
      </c>
      <c r="Q31" s="94">
        <f>IFERROR(VLOOKUP($B31,'RoC7'!$A$1:$B$161,2,0),0)</f>
        <v>13</v>
      </c>
      <c r="R31" s="95">
        <f>IFERROR(VLOOKUP(Q31,'RoC7'!$B$1:$C$161,2,0),0)</f>
        <v>591.990836</v>
      </c>
      <c r="S31" s="94">
        <f>IFERROR(VLOOKUP($B31,'RoC8'!$A$1:$B$161,2,0),0)</f>
        <v>35</v>
      </c>
      <c r="T31" s="95">
        <f>IFERROR(VLOOKUP(S31,'RoC8'!$B$1:$C$161,2,0),0)</f>
        <v>113.7091189</v>
      </c>
      <c r="U31" s="94">
        <f>IFERROR(VLOOKUP($B31,'RoC9'!$A$1:$B$161,2,0),0)</f>
        <v>11</v>
      </c>
      <c r="V31" s="95">
        <f>IFERROR(VLOOKUP(U31,'RoC9'!$B$1:$C$161,2,0),0)</f>
        <v>564.1319069</v>
      </c>
      <c r="W31" s="94">
        <f>IFERROR(VLOOKUP($B31,'RoC10'!$A$1:$B$161,2,0),0)</f>
        <v>29</v>
      </c>
      <c r="X31" s="95">
        <f>IFERROR(VLOOKUP(W31,'RoC10'!$B$1:$C$161,2,0),0)</f>
        <v>144.9643954</v>
      </c>
      <c r="Y31" s="94">
        <f>IFERROR(VLOOKUP($B31,'RoC11'!$A$1:$B$161,2,0),0)</f>
        <v>0</v>
      </c>
      <c r="Z31" s="95">
        <f>IFERROR(VLOOKUP(Y31,'RoC11'!$B$1:$C$161,2,0),0)</f>
        <v>0</v>
      </c>
      <c r="AA31" s="95">
        <f>IFERROR(VLOOKUP(E31,'RoC1'!$B$1:$C$160,2,0),0)</f>
        <v>10.76965854</v>
      </c>
      <c r="AB31" s="95">
        <f>IFERROR(VLOOKUP(G31,'RoC2'!$B$1:$C$160,2,0),0)</f>
        <v>186.3197521</v>
      </c>
      <c r="AC31" s="95">
        <f>IFERROR(VLOOKUP(I31,'RoC3'!$B$1:$C$160,2,0),0)</f>
        <v>655.2300012</v>
      </c>
      <c r="AD31" s="95">
        <f>IFERROR(VLOOKUP(K31,'RoC4'!$B$1:$C$160,2,0),0)</f>
        <v>0</v>
      </c>
      <c r="AE31" s="95">
        <f>IFERROR(VLOOKUP(M31,'RoC5'!$B$1:$C$160,2,0),0)</f>
        <v>402.0784905</v>
      </c>
      <c r="AF31" s="95">
        <f>IFERROR(VLOOKUP(O31,'RoC6'!$B$1:$C$160,2,0),0)</f>
        <v>115.4869106</v>
      </c>
      <c r="AG31" s="95">
        <f>IFERROR(VLOOKUP(Q31,'RoC7'!$B$1:$C$160,2,0),0)</f>
        <v>591.990836</v>
      </c>
      <c r="AH31" s="95">
        <f>IFERROR(VLOOKUP(S31,'RoC8'!$B$1:$C$160,2,0),0)</f>
        <v>113.7091189</v>
      </c>
      <c r="AI31" s="95">
        <f>IFERROR(VLOOKUP(U31,'RoC9'!$B$1:$C$160,2,0),0)</f>
        <v>564.1319069</v>
      </c>
      <c r="AJ31" s="95">
        <f>IFERROR(VLOOKUP(W31,'RoC10'!$B$1:$C$160,2,0),0)</f>
        <v>144.9643954</v>
      </c>
      <c r="AK31" s="95">
        <f>IFERROR(VLOOKUP(Y31,'RoC11'!$B$1:$C$160,2,0),0)</f>
        <v>0</v>
      </c>
    </row>
    <row r="32" ht="15.75" customHeight="1">
      <c r="A32" s="135">
        <v>31.0</v>
      </c>
      <c r="B32" s="98" t="s">
        <v>32</v>
      </c>
      <c r="C32" s="93">
        <f t="shared" si="1"/>
        <v>2724.528867</v>
      </c>
      <c r="D32" s="136"/>
      <c r="E32" s="137">
        <f>IFERROR(VLOOKUP($B32,'RoC1'!$A$1:$B$160,2,0),"0")</f>
        <v>1</v>
      </c>
      <c r="F32" s="97">
        <f>IFERROR(VLOOKUP(E32,'RoC1'!$B$1:$C$160,2,0),0)</f>
        <v>1360.672103</v>
      </c>
      <c r="G32" s="137">
        <f>IFERROR(VLOOKUP($B32,'RoC2'!$A$1:$B$161,2,0),"0")</f>
        <v>42</v>
      </c>
      <c r="H32" s="97">
        <f>IFERROR(VLOOKUP(G32,'RoC2'!$B$1:$C$161,2,0),0)</f>
        <v>164.6860805</v>
      </c>
      <c r="I32" s="137">
        <f>IFERROR(VLOOKUP($B32,'RoC3'!$A$1:$B$161,2,0),0)</f>
        <v>34</v>
      </c>
      <c r="J32" s="97">
        <f>IFERROR(VLOOKUP(I32,'RoC3'!$B$1:$C$161,2,0),0)</f>
        <v>262.2101412</v>
      </c>
      <c r="K32" s="137">
        <f>IFERROR(VLOOKUP($B32,'RoC4'!$A$1:$B$161,2,0),0)</f>
        <v>31</v>
      </c>
      <c r="L32" s="97">
        <f>IFERROR(VLOOKUP(K32,'RoC4'!$B$1:$C$161,2,0),0)</f>
        <v>241.2879685</v>
      </c>
      <c r="M32" s="137">
        <f>IFERROR(VLOOKUP($B32,'RoC5'!$A$1:$B$161,2,0),0)</f>
        <v>0</v>
      </c>
      <c r="N32" s="97">
        <f>IFERROR(VLOOKUP(M32,'RoC5'!$B$1:$C$161,2,0),0)</f>
        <v>0</v>
      </c>
      <c r="O32" s="137">
        <f>IFERROR(VLOOKUP($B32,'RoC6'!$A$1:$B$161,2,0),0)</f>
        <v>16</v>
      </c>
      <c r="P32" s="97">
        <f>IFERROR(VLOOKUP(O32,'RoC6'!$B$1:$C$161,2,0),0)</f>
        <v>494.4519906</v>
      </c>
      <c r="Q32" s="137">
        <f>IFERROR(VLOOKUP($B32,'RoC7'!$A$1:$B$161,2,0),0)</f>
        <v>38</v>
      </c>
      <c r="R32" s="97">
        <f>IFERROR(VLOOKUP(Q32,'RoC7'!$B$1:$C$161,2,0),0)</f>
        <v>201.2205838</v>
      </c>
      <c r="S32" s="137">
        <f>IFERROR(VLOOKUP($B32,'RoC8'!$A$1:$B$161,2,0),0)</f>
        <v>0</v>
      </c>
      <c r="T32" s="97">
        <f>IFERROR(VLOOKUP(S32,'RoC8'!$B$1:$C$161,2,0),0)</f>
        <v>0</v>
      </c>
      <c r="U32" s="137">
        <f>IFERROR(VLOOKUP($B32,'RoC9'!$A$1:$B$161,2,0),0)</f>
        <v>0</v>
      </c>
      <c r="V32" s="97">
        <f>IFERROR(VLOOKUP(U32,'RoC9'!$B$1:$C$161,2,0),0)</f>
        <v>0</v>
      </c>
      <c r="W32" s="137">
        <f>IFERROR(VLOOKUP($B32,'RoC10'!$A$1:$B$161,2,0),0)</f>
        <v>0</v>
      </c>
      <c r="X32" s="97">
        <f>IFERROR(VLOOKUP(W32,'RoC10'!$B$1:$C$161,2,0),0)</f>
        <v>0</v>
      </c>
      <c r="Y32" s="137">
        <f>IFERROR(VLOOKUP($B32,'RoC11'!$A$1:$B$161,2,0),0)</f>
        <v>0</v>
      </c>
      <c r="Z32" s="97">
        <f>IFERROR(VLOOKUP(Y32,'RoC11'!$B$1:$C$161,2,0),0)</f>
        <v>0</v>
      </c>
      <c r="AA32" s="97">
        <f>IFERROR(VLOOKUP(E32,'RoC1'!$B$1:$C$160,2,0),0)</f>
        <v>1360.672103</v>
      </c>
      <c r="AB32" s="97">
        <f>IFERROR(VLOOKUP(G32,'RoC2'!$B$1:$C$160,2,0),0)</f>
        <v>164.6860805</v>
      </c>
      <c r="AC32" s="97">
        <f>IFERROR(VLOOKUP(I32,'RoC3'!$B$1:$C$160,2,0),0)</f>
        <v>262.2101412</v>
      </c>
      <c r="AD32" s="97">
        <f>IFERROR(VLOOKUP(K32,'RoC4'!$B$1:$C$160,2,0),0)</f>
        <v>241.2879685</v>
      </c>
      <c r="AE32" s="97">
        <f>IFERROR(VLOOKUP(M32,'RoC5'!$B$1:$C$160,2,0),0)</f>
        <v>0</v>
      </c>
      <c r="AF32" s="97">
        <f>IFERROR(VLOOKUP(O32,'RoC6'!$B$1:$C$160,2,0),0)</f>
        <v>494.4519906</v>
      </c>
      <c r="AG32" s="97">
        <f>IFERROR(VLOOKUP(Q32,'RoC7'!$B$1:$C$160,2,0),0)</f>
        <v>201.2205838</v>
      </c>
      <c r="AH32" s="97">
        <f>IFERROR(VLOOKUP(S32,'RoC8'!$B$1:$C$160,2,0),0)</f>
        <v>0</v>
      </c>
      <c r="AI32" s="97">
        <f>IFERROR(VLOOKUP(U32,'RoC9'!$B$1:$C$160,2,0),0)</f>
        <v>0</v>
      </c>
      <c r="AJ32" s="97">
        <f>IFERROR(VLOOKUP(W32,'RoC10'!$B$1:$C$160,2,0),0)</f>
        <v>0</v>
      </c>
      <c r="AK32" s="97">
        <f>IFERROR(VLOOKUP(Y32,'RoC11'!$B$1:$C$160,2,0),0)</f>
        <v>0</v>
      </c>
    </row>
    <row r="33" ht="15.75" customHeight="1">
      <c r="A33" s="135">
        <v>32.0</v>
      </c>
      <c r="B33" s="6" t="s">
        <v>63</v>
      </c>
      <c r="C33" s="93">
        <f t="shared" si="1"/>
        <v>2656.944667</v>
      </c>
      <c r="D33" s="93"/>
      <c r="E33" s="94">
        <f>IFERROR(VLOOKUP($B33,'RoC1'!$A$1:$B$160,2,0),"0")</f>
        <v>42</v>
      </c>
      <c r="F33" s="95">
        <f>IFERROR(VLOOKUP(E33,'RoC1'!$B$1:$C$160,2,0),0)</f>
        <v>77.94674082</v>
      </c>
      <c r="G33" s="94">
        <f>IFERROR(VLOOKUP($B33,'RoC2'!$A$1:$B$161,2,0),"0")</f>
        <v>57</v>
      </c>
      <c r="H33" s="95">
        <f>IFERROR(VLOOKUP(G33,'RoC2'!$B$1:$C$161,2,0),0)</f>
        <v>17.95070775</v>
      </c>
      <c r="I33" s="94">
        <f>IFERROR(VLOOKUP($B33,'RoC3'!$A$1:$B$161,2,0),0)</f>
        <v>4</v>
      </c>
      <c r="J33" s="95">
        <f>IFERROR(VLOOKUP(I33,'RoC3'!$B$1:$C$161,2,0),0)</f>
        <v>964.3149389</v>
      </c>
      <c r="K33" s="94">
        <f>IFERROR(VLOOKUP($B33,'RoC4'!$A$1:$B$161,2,0),0)</f>
        <v>12</v>
      </c>
      <c r="L33" s="95">
        <f>IFERROR(VLOOKUP(K33,'RoC4'!$B$1:$C$161,2,0),0)</f>
        <v>582.6684134</v>
      </c>
      <c r="M33" s="94">
        <f>IFERROR(VLOOKUP($B33,'RoC5'!$A$1:$B$161,2,0),0)</f>
        <v>46</v>
      </c>
      <c r="N33" s="95">
        <f>IFERROR(VLOOKUP(M33,'RoC5'!$B$1:$C$161,2,0),0)</f>
        <v>138.5363459</v>
      </c>
      <c r="O33" s="94">
        <f>IFERROR(VLOOKUP($B33,'RoC6'!$A$1:$B$161,2,0),0)</f>
        <v>23</v>
      </c>
      <c r="P33" s="95">
        <f>IFERROR(VLOOKUP(O33,'RoC6'!$B$1:$C$161,2,0),0)</f>
        <v>366.1353798</v>
      </c>
      <c r="Q33" s="94">
        <f>IFERROR(VLOOKUP($B33,'RoC7'!$A$1:$B$161,2,0),0)</f>
        <v>34</v>
      </c>
      <c r="R33" s="95">
        <f>IFERROR(VLOOKUP(Q33,'RoC7'!$B$1:$C$161,2,0),0)</f>
        <v>248.2731879</v>
      </c>
      <c r="S33" s="94">
        <f>IFERROR(VLOOKUP($B33,'RoC8'!$A$1:$B$161,2,0),0)</f>
        <v>25</v>
      </c>
      <c r="T33" s="95">
        <f>IFERROR(VLOOKUP(S33,'RoC8'!$B$1:$C$161,2,0),0)</f>
        <v>261.1189525</v>
      </c>
      <c r="U33" s="94">
        <f>IFERROR(VLOOKUP($B33,'RoC9'!$A$1:$B$161,2,0),0)</f>
        <v>0</v>
      </c>
      <c r="V33" s="95">
        <f>IFERROR(VLOOKUP(U33,'RoC9'!$B$1:$C$161,2,0),0)</f>
        <v>0</v>
      </c>
      <c r="W33" s="94">
        <f>IFERROR(VLOOKUP($B33,'RoC10'!$A$1:$B$161,2,0),0)</f>
        <v>0</v>
      </c>
      <c r="X33" s="95">
        <f>IFERROR(VLOOKUP(W33,'RoC10'!$B$1:$C$161,2,0),0)</f>
        <v>0</v>
      </c>
      <c r="Y33" s="94">
        <f>IFERROR(VLOOKUP($B33,'RoC11'!$A$1:$B$161,2,0),0)</f>
        <v>0</v>
      </c>
      <c r="Z33" s="95">
        <f>IFERROR(VLOOKUP(Y33,'RoC11'!$B$1:$C$161,2,0),0)</f>
        <v>0</v>
      </c>
      <c r="AA33" s="95">
        <f>IFERROR(VLOOKUP(E33,'RoC1'!$B$1:$C$160,2,0),0)</f>
        <v>77.94674082</v>
      </c>
      <c r="AB33" s="95">
        <f>IFERROR(VLOOKUP(G33,'RoC2'!$B$1:$C$160,2,0),0)</f>
        <v>17.95070775</v>
      </c>
      <c r="AC33" s="95">
        <f>IFERROR(VLOOKUP(I33,'RoC3'!$B$1:$C$160,2,0),0)</f>
        <v>964.3149389</v>
      </c>
      <c r="AD33" s="95">
        <f>IFERROR(VLOOKUP(K33,'RoC4'!$B$1:$C$160,2,0),0)</f>
        <v>582.6684134</v>
      </c>
      <c r="AE33" s="95">
        <f>IFERROR(VLOOKUP(M33,'RoC5'!$B$1:$C$160,2,0),0)</f>
        <v>138.5363459</v>
      </c>
      <c r="AF33" s="95">
        <f>IFERROR(VLOOKUP(O33,'RoC6'!$B$1:$C$160,2,0),0)</f>
        <v>366.1353798</v>
      </c>
      <c r="AG33" s="95">
        <f>IFERROR(VLOOKUP(Q33,'RoC7'!$B$1:$C$160,2,0),0)</f>
        <v>248.2731879</v>
      </c>
      <c r="AH33" s="95">
        <f>IFERROR(VLOOKUP(S33,'RoC8'!$B$1:$C$160,2,0),0)</f>
        <v>261.1189525</v>
      </c>
      <c r="AI33" s="95">
        <f>IFERROR(VLOOKUP(U33,'RoC9'!$B$1:$C$160,2,0),0)</f>
        <v>0</v>
      </c>
      <c r="AJ33" s="95">
        <f>IFERROR(VLOOKUP(W33,'RoC10'!$B$1:$C$160,2,0),0)</f>
        <v>0</v>
      </c>
      <c r="AK33" s="95">
        <f>IFERROR(VLOOKUP(Y33,'RoC11'!$B$1:$C$160,2,0),0)</f>
        <v>0</v>
      </c>
    </row>
    <row r="34" ht="15.75" customHeight="1">
      <c r="A34" s="135">
        <v>33.0</v>
      </c>
      <c r="B34" s="6" t="s">
        <v>44</v>
      </c>
      <c r="C34" s="93">
        <f t="shared" si="1"/>
        <v>2604.692194</v>
      </c>
      <c r="D34" s="93"/>
      <c r="E34" s="94">
        <f>IFERROR(VLOOKUP($B34,'RoC1'!$A$1:$B$160,2,0),"0")</f>
        <v>20</v>
      </c>
      <c r="F34" s="95">
        <f>IFERROR(VLOOKUP(E34,'RoC1'!$B$1:$C$160,2,0),0)</f>
        <v>388.7341926</v>
      </c>
      <c r="G34" s="94">
        <f>IFERROR(VLOOKUP($B34,'RoC2'!$A$1:$B$161,2,0),"0")</f>
        <v>10</v>
      </c>
      <c r="H34" s="95">
        <f>IFERROR(VLOOKUP(G34,'RoC2'!$B$1:$C$161,2,0),0)</f>
        <v>679.5421106</v>
      </c>
      <c r="I34" s="94">
        <f>IFERROR(VLOOKUP($B34,'RoC3'!$A$1:$B$161,2,0),0)</f>
        <v>14</v>
      </c>
      <c r="J34" s="95">
        <f>IFERROR(VLOOKUP(I34,'RoC3'!$B$1:$C$161,2,0),0)</f>
        <v>579.1241668</v>
      </c>
      <c r="K34" s="94">
        <f>IFERROR(VLOOKUP($B34,'RoC4'!$A$1:$B$161,2,0),0)</f>
        <v>21</v>
      </c>
      <c r="L34" s="95">
        <f>IFERROR(VLOOKUP(K34,'RoC4'!$B$1:$C$161,2,0),0)</f>
        <v>392.6120871</v>
      </c>
      <c r="M34" s="94">
        <f>IFERROR(VLOOKUP($B34,'RoC5'!$A$1:$B$161,2,0),0)</f>
        <v>0</v>
      </c>
      <c r="N34" s="95">
        <f>IFERROR(VLOOKUP(M34,'RoC5'!$B$1:$C$161,2,0),0)</f>
        <v>0</v>
      </c>
      <c r="O34" s="94">
        <f>IFERROR(VLOOKUP($B34,'RoC6'!$A$1:$B$161,2,0),0)</f>
        <v>0</v>
      </c>
      <c r="P34" s="95">
        <f>IFERROR(VLOOKUP(O34,'RoC6'!$B$1:$C$161,2,0),0)</f>
        <v>0</v>
      </c>
      <c r="Q34" s="94">
        <f>IFERROR(VLOOKUP($B34,'RoC7'!$A$1:$B$161,2,0),0)</f>
        <v>40</v>
      </c>
      <c r="R34" s="95">
        <f>IFERROR(VLOOKUP(Q34,'RoC7'!$B$1:$C$161,2,0),0)</f>
        <v>178.7910667</v>
      </c>
      <c r="S34" s="94">
        <f>IFERROR(VLOOKUP($B34,'RoC8'!$A$1:$B$161,2,0),0)</f>
        <v>0</v>
      </c>
      <c r="T34" s="95">
        <f>IFERROR(VLOOKUP(S34,'RoC8'!$B$1:$C$161,2,0),0)</f>
        <v>0</v>
      </c>
      <c r="U34" s="94">
        <f>IFERROR(VLOOKUP($B34,'RoC9'!$A$1:$B$161,2,0),0)</f>
        <v>0</v>
      </c>
      <c r="V34" s="95">
        <f>IFERROR(VLOOKUP(U34,'RoC9'!$B$1:$C$161,2,0),0)</f>
        <v>0</v>
      </c>
      <c r="W34" s="94">
        <f>IFERROR(VLOOKUP($B34,'RoC10'!$A$1:$B$161,2,0),0)</f>
        <v>36</v>
      </c>
      <c r="X34" s="95">
        <f>IFERROR(VLOOKUP(W34,'RoC10'!$B$1:$C$161,2,0),0)</f>
        <v>41.20087863</v>
      </c>
      <c r="Y34" s="94">
        <f>IFERROR(VLOOKUP($B34,'RoC11'!$A$1:$B$161,2,0),0)</f>
        <v>17</v>
      </c>
      <c r="Z34" s="95">
        <f>IFERROR(VLOOKUP(Y34,'RoC11'!$B$1:$C$161,2,0),0)</f>
        <v>344.6876917</v>
      </c>
      <c r="AA34" s="95">
        <f>IFERROR(VLOOKUP(E34,'RoC1'!$B$1:$C$160,2,0),0)</f>
        <v>388.7341926</v>
      </c>
      <c r="AB34" s="95">
        <f>IFERROR(VLOOKUP(G34,'RoC2'!$B$1:$C$160,2,0),0)</f>
        <v>679.5421106</v>
      </c>
      <c r="AC34" s="95">
        <f>IFERROR(VLOOKUP(I34,'RoC3'!$B$1:$C$160,2,0),0)</f>
        <v>579.1241668</v>
      </c>
      <c r="AD34" s="95">
        <f>IFERROR(VLOOKUP(K34,'RoC4'!$B$1:$C$160,2,0),0)</f>
        <v>392.6120871</v>
      </c>
      <c r="AE34" s="95">
        <f>IFERROR(VLOOKUP(M34,'RoC5'!$B$1:$C$160,2,0),0)</f>
        <v>0</v>
      </c>
      <c r="AF34" s="95">
        <f>IFERROR(VLOOKUP(O34,'RoC6'!$B$1:$C$160,2,0),0)</f>
        <v>0</v>
      </c>
      <c r="AG34" s="95">
        <f>IFERROR(VLOOKUP(Q34,'RoC7'!$B$1:$C$160,2,0),0)</f>
        <v>178.7910667</v>
      </c>
      <c r="AH34" s="95">
        <f>IFERROR(VLOOKUP(S34,'RoC8'!$B$1:$C$160,2,0),0)</f>
        <v>0</v>
      </c>
      <c r="AI34" s="95">
        <f>IFERROR(VLOOKUP(U34,'RoC9'!$B$1:$C$160,2,0),0)</f>
        <v>0</v>
      </c>
      <c r="AJ34" s="95">
        <f>IFERROR(VLOOKUP(W34,'RoC10'!$B$1:$C$160,2,0),0)</f>
        <v>41.20087863</v>
      </c>
      <c r="AK34" s="95">
        <f>IFERROR(VLOOKUP(Y34,'RoC11'!$B$1:$C$160,2,0),0)</f>
        <v>344.6876917</v>
      </c>
    </row>
    <row r="35" ht="15.75" customHeight="1">
      <c r="A35" s="135">
        <v>34.0</v>
      </c>
      <c r="B35" s="138" t="s">
        <v>73</v>
      </c>
      <c r="C35" s="93">
        <f t="shared" si="1"/>
        <v>2499.288308</v>
      </c>
      <c r="D35" s="136"/>
      <c r="E35" s="137" t="str">
        <f>IFERROR(VLOOKUP($B35,'RoC1'!$A$1:$B$160,2,0),"0")</f>
        <v>0</v>
      </c>
      <c r="F35" s="97">
        <f>IFERROR(VLOOKUP(E35,'RoC1'!$B$1:$C$160,2,0),0)</f>
        <v>0</v>
      </c>
      <c r="G35" s="137" t="str">
        <f>IFERROR(VLOOKUP($B35,'RoC2'!$A$1:$B$161,2,0),"0")</f>
        <v>0</v>
      </c>
      <c r="H35" s="97">
        <f>IFERROR(VLOOKUP(G35,'RoC2'!$B$1:$C$161,2,0),0)</f>
        <v>0</v>
      </c>
      <c r="I35" s="137">
        <f>IFERROR(VLOOKUP($B35,'RoC3'!$A$1:$B$161,2,0),0)</f>
        <v>59</v>
      </c>
      <c r="J35" s="97">
        <f>IFERROR(VLOOKUP(I35,'RoC3'!$B$1:$C$161,2,0),0)</f>
        <v>8.78684292</v>
      </c>
      <c r="K35" s="137">
        <f>IFERROR(VLOOKUP($B35,'RoC4'!$A$1:$B$161,2,0),0)</f>
        <v>0</v>
      </c>
      <c r="L35" s="97">
        <f>IFERROR(VLOOKUP(K35,'RoC4'!$B$1:$C$161,2,0),0)</f>
        <v>0</v>
      </c>
      <c r="M35" s="137">
        <f>IFERROR(VLOOKUP($B35,'RoC5'!$A$1:$B$161,2,0),0)</f>
        <v>0</v>
      </c>
      <c r="N35" s="97">
        <f>IFERROR(VLOOKUP(M35,'RoC5'!$B$1:$C$161,2,0),0)</f>
        <v>0</v>
      </c>
      <c r="O35" s="137">
        <f>IFERROR(VLOOKUP($B35,'RoC6'!$A$1:$B$161,2,0),0)</f>
        <v>0</v>
      </c>
      <c r="P35" s="97">
        <f>IFERROR(VLOOKUP(O35,'RoC6'!$B$1:$C$161,2,0),0)</f>
        <v>0</v>
      </c>
      <c r="Q35" s="137">
        <f>IFERROR(VLOOKUP($B35,'RoC7'!$A$1:$B$161,2,0),0)</f>
        <v>35</v>
      </c>
      <c r="R35" s="97">
        <f>IFERROR(VLOOKUP(Q35,'RoC7'!$B$1:$C$161,2,0),0)</f>
        <v>236.2104642</v>
      </c>
      <c r="S35" s="137">
        <f>IFERROR(VLOOKUP($B35,'RoC8'!$A$1:$B$161,2,0),0)</f>
        <v>38</v>
      </c>
      <c r="T35" s="97">
        <f>IFERROR(VLOOKUP(S35,'RoC8'!$B$1:$C$161,2,0),0)</f>
        <v>74.26345448</v>
      </c>
      <c r="U35" s="137">
        <f>IFERROR(VLOOKUP($B35,'RoC9'!$A$1:$B$161,2,0),0)</f>
        <v>0</v>
      </c>
      <c r="V35" s="97">
        <f>IFERROR(VLOOKUP(U35,'RoC9'!$B$1:$C$161,2,0),0)</f>
        <v>0</v>
      </c>
      <c r="W35" s="137">
        <f>IFERROR(VLOOKUP($B35,'RoC10'!$A$1:$B$161,2,0),0)</f>
        <v>3</v>
      </c>
      <c r="X35" s="97">
        <f>IFERROR(VLOOKUP(W35,'RoC10'!$B$1:$C$161,2,0),0)</f>
        <v>920.2017084</v>
      </c>
      <c r="Y35" s="137">
        <f>IFERROR(VLOOKUP($B35,'RoC11'!$A$1:$B$161,2,0),0)</f>
        <v>1</v>
      </c>
      <c r="Z35" s="97">
        <f>IFERROR(VLOOKUP(Y35,'RoC11'!$B$1:$C$161,2,0),0)</f>
        <v>1259.825838</v>
      </c>
      <c r="AA35" s="97">
        <f>IFERROR(VLOOKUP(E35,'RoC1'!$B$1:$C$160,2,0),0)</f>
        <v>0</v>
      </c>
      <c r="AB35" s="97">
        <f>IFERROR(VLOOKUP(G35,'RoC2'!$B$1:$C$160,2,0),0)</f>
        <v>0</v>
      </c>
      <c r="AC35" s="97">
        <f>IFERROR(VLOOKUP(I35,'RoC3'!$B$1:$C$160,2,0),0)</f>
        <v>8.78684292</v>
      </c>
      <c r="AD35" s="97">
        <f>IFERROR(VLOOKUP(K35,'RoC4'!$B$1:$C$160,2,0),0)</f>
        <v>0</v>
      </c>
      <c r="AE35" s="97">
        <f>IFERROR(VLOOKUP(M35,'RoC5'!$B$1:$C$160,2,0),0)</f>
        <v>0</v>
      </c>
      <c r="AF35" s="97">
        <f>IFERROR(VLOOKUP(O35,'RoC6'!$B$1:$C$160,2,0),0)</f>
        <v>0</v>
      </c>
      <c r="AG35" s="97">
        <f>IFERROR(VLOOKUP(Q35,'RoC7'!$B$1:$C$160,2,0),0)</f>
        <v>236.2104642</v>
      </c>
      <c r="AH35" s="97">
        <f>IFERROR(VLOOKUP(S35,'RoC8'!$B$1:$C$160,2,0),0)</f>
        <v>74.26345448</v>
      </c>
      <c r="AI35" s="97">
        <f>IFERROR(VLOOKUP(U35,'RoC9'!$B$1:$C$160,2,0),0)</f>
        <v>0</v>
      </c>
      <c r="AJ35" s="97">
        <f>IFERROR(VLOOKUP(W35,'RoC10'!$B$1:$C$160,2,0),0)</f>
        <v>920.2017084</v>
      </c>
      <c r="AK35" s="97">
        <f>IFERROR(VLOOKUP(Y35,'RoC11'!$B$1:$C$160,2,0),0)</f>
        <v>1259.825838</v>
      </c>
    </row>
    <row r="36" ht="15.75" customHeight="1">
      <c r="A36" s="135">
        <v>35.0</v>
      </c>
      <c r="B36" s="6" t="s">
        <v>23</v>
      </c>
      <c r="C36" s="93">
        <f t="shared" si="1"/>
        <v>2481.476578</v>
      </c>
      <c r="D36" s="136"/>
      <c r="E36" s="137">
        <f>IFERROR(VLOOKUP($B36,'RoC1'!$A$1:$B$160,2,0),"0")</f>
        <v>31</v>
      </c>
      <c r="F36" s="97">
        <f>IFERROR(VLOOKUP(E36,'RoC1'!$B$1:$C$160,2,0),0)</f>
        <v>216.2441289</v>
      </c>
      <c r="G36" s="137">
        <f>IFERROR(VLOOKUP($B36,'RoC2'!$A$1:$B$161,2,0),"0")</f>
        <v>27</v>
      </c>
      <c r="H36" s="97">
        <f>IFERROR(VLOOKUP(G36,'RoC2'!$B$1:$C$161,2,0),0)</f>
        <v>346.2018083</v>
      </c>
      <c r="I36" s="137">
        <f>IFERROR(VLOOKUP($B36,'RoC3'!$A$1:$B$161,2,0),0)</f>
        <v>0</v>
      </c>
      <c r="J36" s="97">
        <f>IFERROR(VLOOKUP(I36,'RoC3'!$B$1:$C$161,2,0),0)</f>
        <v>0</v>
      </c>
      <c r="K36" s="137">
        <f>IFERROR(VLOOKUP($B36,'RoC4'!$A$1:$B$161,2,0),0)</f>
        <v>41</v>
      </c>
      <c r="L36" s="97">
        <f>IFERROR(VLOOKUP(K36,'RoC4'!$B$1:$C$161,2,0),0)</f>
        <v>117.8564938</v>
      </c>
      <c r="M36" s="137">
        <f>IFERROR(VLOOKUP($B36,'RoC5'!$A$1:$B$161,2,0),0)</f>
        <v>60</v>
      </c>
      <c r="N36" s="97">
        <f>IFERROR(VLOOKUP(M36,'RoC5'!$B$1:$C$161,2,0),0)</f>
        <v>8.642196058</v>
      </c>
      <c r="O36" s="137">
        <f>IFERROR(VLOOKUP($B36,'RoC6'!$A$1:$B$161,2,0),0)</f>
        <v>3</v>
      </c>
      <c r="P36" s="97">
        <f>IFERROR(VLOOKUP(O36,'RoC6'!$B$1:$C$161,2,0),0)</f>
        <v>1015.411533</v>
      </c>
      <c r="Q36" s="137">
        <f>IFERROR(VLOOKUP($B36,'RoC7'!$A$1:$B$161,2,0),0)</f>
        <v>0</v>
      </c>
      <c r="R36" s="97">
        <f>IFERROR(VLOOKUP(Q36,'RoC7'!$B$1:$C$161,2,0),0)</f>
        <v>0</v>
      </c>
      <c r="S36" s="137">
        <f>IFERROR(VLOOKUP($B36,'RoC8'!$A$1:$B$161,2,0),0)</f>
        <v>0</v>
      </c>
      <c r="T36" s="97">
        <f>IFERROR(VLOOKUP(S36,'RoC8'!$B$1:$C$161,2,0),0)</f>
        <v>0</v>
      </c>
      <c r="U36" s="137">
        <f>IFERROR(VLOOKUP($B36,'RoC9'!$A$1:$B$161,2,0),0)</f>
        <v>0</v>
      </c>
      <c r="V36" s="97">
        <f>IFERROR(VLOOKUP(U36,'RoC9'!$B$1:$C$161,2,0),0)</f>
        <v>0</v>
      </c>
      <c r="W36" s="137">
        <f>IFERROR(VLOOKUP($B36,'RoC10'!$A$1:$B$161,2,0),0)</f>
        <v>23</v>
      </c>
      <c r="X36" s="97">
        <f>IFERROR(VLOOKUP(W36,'RoC10'!$B$1:$C$161,2,0),0)</f>
        <v>245.7813197</v>
      </c>
      <c r="Y36" s="137">
        <f>IFERROR(VLOOKUP($B36,'RoC11'!$A$1:$B$161,2,0),0)</f>
        <v>10</v>
      </c>
      <c r="Z36" s="97">
        <f>IFERROR(VLOOKUP(Y36,'RoC11'!$B$1:$C$161,2,0),0)</f>
        <v>531.3390984</v>
      </c>
      <c r="AA36" s="97">
        <f>IFERROR(VLOOKUP(E36,'RoC1'!$B$1:$C$160,2,0),0)</f>
        <v>216.2441289</v>
      </c>
      <c r="AB36" s="97">
        <f>IFERROR(VLOOKUP(G36,'RoC2'!$B$1:$C$160,2,0),0)</f>
        <v>346.2018083</v>
      </c>
      <c r="AC36" s="97">
        <f>IFERROR(VLOOKUP(I36,'RoC3'!$B$1:$C$160,2,0),0)</f>
        <v>0</v>
      </c>
      <c r="AD36" s="97">
        <f>IFERROR(VLOOKUP(K36,'RoC4'!$B$1:$C$160,2,0),0)</f>
        <v>117.8564938</v>
      </c>
      <c r="AE36" s="97">
        <f>IFERROR(VLOOKUP(M36,'RoC5'!$B$1:$C$160,2,0),0)</f>
        <v>8.642196058</v>
      </c>
      <c r="AF36" s="97">
        <f>IFERROR(VLOOKUP(O36,'RoC6'!$B$1:$C$160,2,0),0)</f>
        <v>1015.411533</v>
      </c>
      <c r="AG36" s="97">
        <f>IFERROR(VLOOKUP(Q36,'RoC7'!$B$1:$C$160,2,0),0)</f>
        <v>0</v>
      </c>
      <c r="AH36" s="97">
        <f>IFERROR(VLOOKUP(S36,'RoC8'!$B$1:$C$160,2,0),0)</f>
        <v>0</v>
      </c>
      <c r="AI36" s="97">
        <f>IFERROR(VLOOKUP(U36,'RoC9'!$B$1:$C$160,2,0),0)</f>
        <v>0</v>
      </c>
      <c r="AJ36" s="97">
        <f>IFERROR(VLOOKUP(W36,'RoC10'!$B$1:$C$160,2,0),0)</f>
        <v>245.7813197</v>
      </c>
      <c r="AK36" s="97">
        <f>IFERROR(VLOOKUP(Y36,'RoC11'!$B$1:$C$160,2,0),0)</f>
        <v>531.3390984</v>
      </c>
    </row>
    <row r="37" ht="15.75" customHeight="1">
      <c r="A37" s="135">
        <v>36.0</v>
      </c>
      <c r="B37" s="99" t="s">
        <v>41</v>
      </c>
      <c r="C37" s="93">
        <f t="shared" si="1"/>
        <v>2424.072629</v>
      </c>
      <c r="D37" s="136"/>
      <c r="E37" s="137" t="str">
        <f>IFERROR(VLOOKUP($B37,'RoC1'!$A$1:$B$160,2,0),"0")</f>
        <v>0</v>
      </c>
      <c r="F37" s="97">
        <f>IFERROR(VLOOKUP(E37,'RoC1'!$B$1:$C$160,2,0),0)</f>
        <v>0</v>
      </c>
      <c r="G37" s="137">
        <f>IFERROR(VLOOKUP($B37,'RoC2'!$A$1:$B$161,2,0),"0")</f>
        <v>32</v>
      </c>
      <c r="H37" s="97">
        <f>IFERROR(VLOOKUP(G37,'RoC2'!$B$1:$C$161,2,0),0)</f>
        <v>279.9603735</v>
      </c>
      <c r="I37" s="137">
        <f>IFERROR(VLOOKUP($B37,'RoC3'!$A$1:$B$161,2,0),0)</f>
        <v>0</v>
      </c>
      <c r="J37" s="97">
        <f>IFERROR(VLOOKUP(I37,'RoC3'!$B$1:$C$161,2,0),0)</f>
        <v>0</v>
      </c>
      <c r="K37" s="137">
        <f>IFERROR(VLOOKUP($B37,'RoC4'!$A$1:$B$161,2,0),0)</f>
        <v>0</v>
      </c>
      <c r="L37" s="97">
        <f>IFERROR(VLOOKUP(K37,'RoC4'!$B$1:$C$161,2,0),0)</f>
        <v>0</v>
      </c>
      <c r="M37" s="137">
        <f>IFERROR(VLOOKUP($B37,'RoC5'!$A$1:$B$161,2,0),0)</f>
        <v>29</v>
      </c>
      <c r="N37" s="97">
        <f>IFERROR(VLOOKUP(M37,'RoC5'!$B$1:$C$161,2,0),0)</f>
        <v>331.6747466</v>
      </c>
      <c r="O37" s="137">
        <f>IFERROR(VLOOKUP($B37,'RoC6'!$A$1:$B$161,2,0),0)</f>
        <v>30</v>
      </c>
      <c r="P37" s="97">
        <f>IFERROR(VLOOKUP(O37,'RoC6'!$B$1:$C$161,2,0),0)</f>
        <v>262.6636189</v>
      </c>
      <c r="Q37" s="137">
        <f>IFERROR(VLOOKUP($B37,'RoC7'!$A$1:$B$161,2,0),0)</f>
        <v>10</v>
      </c>
      <c r="R37" s="97">
        <f>IFERROR(VLOOKUP(Q37,'RoC7'!$B$1:$C$161,2,0),0)</f>
        <v>674.263337</v>
      </c>
      <c r="S37" s="137">
        <f>IFERROR(VLOOKUP($B37,'RoC8'!$A$1:$B$161,2,0),0)</f>
        <v>34</v>
      </c>
      <c r="T37" s="97">
        <f>IFERROR(VLOOKUP(S37,'RoC8'!$B$1:$C$161,2,0),0)</f>
        <v>127.2623876</v>
      </c>
      <c r="U37" s="137">
        <f>IFERROR(VLOOKUP($B37,'RoC9'!$A$1:$B$161,2,0),0)</f>
        <v>10</v>
      </c>
      <c r="V37" s="97">
        <f>IFERROR(VLOOKUP(U37,'RoC9'!$B$1:$C$161,2,0),0)</f>
        <v>594.7274203</v>
      </c>
      <c r="W37" s="137">
        <f>IFERROR(VLOOKUP($B37,'RoC10'!$A$1:$B$161,2,0),0)</f>
        <v>0</v>
      </c>
      <c r="X37" s="97">
        <f>IFERROR(VLOOKUP(W37,'RoC10'!$B$1:$C$161,2,0),0)</f>
        <v>0</v>
      </c>
      <c r="Y37" s="137">
        <f>IFERROR(VLOOKUP($B37,'RoC11'!$A$1:$B$161,2,0),0)</f>
        <v>27</v>
      </c>
      <c r="Z37" s="97">
        <f>IFERROR(VLOOKUP(Y37,'RoC11'!$B$1:$C$161,2,0),0)</f>
        <v>153.520745</v>
      </c>
      <c r="AA37" s="97">
        <f>IFERROR(VLOOKUP(E37,'RoC1'!$B$1:$C$160,2,0),0)</f>
        <v>0</v>
      </c>
      <c r="AB37" s="97">
        <f>IFERROR(VLOOKUP(G37,'RoC2'!$B$1:$C$160,2,0),0)</f>
        <v>279.9603735</v>
      </c>
      <c r="AC37" s="97">
        <f>IFERROR(VLOOKUP(I37,'RoC3'!$B$1:$C$160,2,0),0)</f>
        <v>0</v>
      </c>
      <c r="AD37" s="97">
        <f>IFERROR(VLOOKUP(K37,'RoC4'!$B$1:$C$160,2,0),0)</f>
        <v>0</v>
      </c>
      <c r="AE37" s="97">
        <f>IFERROR(VLOOKUP(M37,'RoC5'!$B$1:$C$160,2,0),0)</f>
        <v>331.6747466</v>
      </c>
      <c r="AF37" s="97">
        <f>IFERROR(VLOOKUP(O37,'RoC6'!$B$1:$C$160,2,0),0)</f>
        <v>262.6636189</v>
      </c>
      <c r="AG37" s="97">
        <f>IFERROR(VLOOKUP(Q37,'RoC7'!$B$1:$C$160,2,0),0)</f>
        <v>674.263337</v>
      </c>
      <c r="AH37" s="97">
        <f>IFERROR(VLOOKUP(S37,'RoC8'!$B$1:$C$160,2,0),0)</f>
        <v>127.2623876</v>
      </c>
      <c r="AI37" s="97">
        <f>IFERROR(VLOOKUP(U37,'RoC9'!$B$1:$C$160,2,0),0)</f>
        <v>594.7274203</v>
      </c>
      <c r="AJ37" s="97">
        <f>IFERROR(VLOOKUP(W37,'RoC10'!$B$1:$C$160,2,0),0)</f>
        <v>0</v>
      </c>
      <c r="AK37" s="97">
        <f>IFERROR(VLOOKUP(Y37,'RoC11'!$B$1:$C$160,2,0),0)</f>
        <v>153.520745</v>
      </c>
    </row>
    <row r="38" ht="15.75" customHeight="1">
      <c r="A38" s="135">
        <v>37.0</v>
      </c>
      <c r="B38" s="98" t="s">
        <v>39</v>
      </c>
      <c r="C38" s="93">
        <f t="shared" si="1"/>
        <v>2199.303132</v>
      </c>
      <c r="D38" s="136"/>
      <c r="E38" s="137">
        <f>IFERROR(VLOOKUP($B38,'RoC1'!$A$1:$B$160,2,0),"0")</f>
        <v>9</v>
      </c>
      <c r="F38" s="97">
        <f>IFERROR(VLOOKUP(E38,'RoC1'!$B$1:$C$160,2,0),0)</f>
        <v>654.6536707</v>
      </c>
      <c r="G38" s="137">
        <f>IFERROR(VLOOKUP($B38,'RoC2'!$A$1:$B$161,2,0),"0")</f>
        <v>53</v>
      </c>
      <c r="H38" s="97">
        <f>IFERROR(VLOOKUP(G38,'RoC2'!$B$1:$C$161,2,0),0)</f>
        <v>54.84064798</v>
      </c>
      <c r="I38" s="137">
        <f>IFERROR(VLOOKUP($B38,'RoC3'!$A$1:$B$161,2,0),0)</f>
        <v>0</v>
      </c>
      <c r="J38" s="97">
        <f>IFERROR(VLOOKUP(I38,'RoC3'!$B$1:$C$161,2,0),0)</f>
        <v>0</v>
      </c>
      <c r="K38" s="137">
        <f>IFERROR(VLOOKUP($B38,'RoC4'!$A$1:$B$161,2,0),0)</f>
        <v>27</v>
      </c>
      <c r="L38" s="97">
        <f>IFERROR(VLOOKUP(K38,'RoC4'!$B$1:$C$161,2,0),0)</f>
        <v>297.3417296</v>
      </c>
      <c r="M38" s="137">
        <f>IFERROR(VLOOKUP($B38,'RoC5'!$A$1:$B$161,2,0),0)</f>
        <v>4</v>
      </c>
      <c r="N38" s="97">
        <f>IFERROR(VLOOKUP(M38,'RoC5'!$B$1:$C$161,2,0),0)</f>
        <v>969.441897</v>
      </c>
      <c r="O38" s="137">
        <f>IFERROR(VLOOKUP($B38,'RoC6'!$A$1:$B$161,2,0),0)</f>
        <v>33</v>
      </c>
      <c r="P38" s="97">
        <f>IFERROR(VLOOKUP(O38,'RoC6'!$B$1:$C$161,2,0),0)</f>
        <v>223.0251869</v>
      </c>
      <c r="Q38" s="137">
        <f>IFERROR(VLOOKUP($B38,'RoC7'!$A$1:$B$161,2,0),0)</f>
        <v>0</v>
      </c>
      <c r="R38" s="97">
        <f>IFERROR(VLOOKUP(Q38,'RoC7'!$B$1:$C$161,2,0),0)</f>
        <v>0</v>
      </c>
      <c r="S38" s="137">
        <f>IFERROR(VLOOKUP($B38,'RoC8'!$A$1:$B$161,2,0),0)</f>
        <v>0</v>
      </c>
      <c r="T38" s="97">
        <f>IFERROR(VLOOKUP(S38,'RoC8'!$B$1:$C$161,2,0),0)</f>
        <v>0</v>
      </c>
      <c r="U38" s="137">
        <f>IFERROR(VLOOKUP($B38,'RoC9'!$A$1:$B$161,2,0),0)</f>
        <v>0</v>
      </c>
      <c r="V38" s="97">
        <f>IFERROR(VLOOKUP(U38,'RoC9'!$B$1:$C$161,2,0),0)</f>
        <v>0</v>
      </c>
      <c r="W38" s="137">
        <f>IFERROR(VLOOKUP($B38,'RoC10'!$A$1:$B$161,2,0),0)</f>
        <v>0</v>
      </c>
      <c r="X38" s="97">
        <f>IFERROR(VLOOKUP(W38,'RoC10'!$B$1:$C$161,2,0),0)</f>
        <v>0</v>
      </c>
      <c r="Y38" s="137">
        <f>IFERROR(VLOOKUP($B38,'RoC11'!$A$1:$B$161,2,0),0)</f>
        <v>0</v>
      </c>
      <c r="Z38" s="97">
        <f>IFERROR(VLOOKUP(Y38,'RoC11'!$B$1:$C$161,2,0),0)</f>
        <v>0</v>
      </c>
      <c r="AA38" s="97">
        <f>IFERROR(VLOOKUP(E38,'RoC1'!$B$1:$C$160,2,0),0)</f>
        <v>654.6536707</v>
      </c>
      <c r="AB38" s="97">
        <f>IFERROR(VLOOKUP(G38,'RoC2'!$B$1:$C$160,2,0),0)</f>
        <v>54.84064798</v>
      </c>
      <c r="AC38" s="97">
        <f>IFERROR(VLOOKUP(I38,'RoC3'!$B$1:$C$160,2,0),0)</f>
        <v>0</v>
      </c>
      <c r="AD38" s="97">
        <f>IFERROR(VLOOKUP(K38,'RoC4'!$B$1:$C$160,2,0),0)</f>
        <v>297.3417296</v>
      </c>
      <c r="AE38" s="97">
        <f>IFERROR(VLOOKUP(M38,'RoC5'!$B$1:$C$160,2,0),0)</f>
        <v>969.441897</v>
      </c>
      <c r="AF38" s="97">
        <f>IFERROR(VLOOKUP(O38,'RoC6'!$B$1:$C$160,2,0),0)</f>
        <v>223.0251869</v>
      </c>
      <c r="AG38" s="97">
        <f>IFERROR(VLOOKUP(Q38,'RoC7'!$B$1:$C$160,2,0),0)</f>
        <v>0</v>
      </c>
      <c r="AH38" s="97">
        <f>IFERROR(VLOOKUP(S38,'RoC8'!$B$1:$C$160,2,0),0)</f>
        <v>0</v>
      </c>
      <c r="AI38" s="97">
        <f>IFERROR(VLOOKUP(U38,'RoC9'!$B$1:$C$160,2,0),0)</f>
        <v>0</v>
      </c>
      <c r="AJ38" s="97">
        <f>IFERROR(VLOOKUP(W38,'RoC10'!$B$1:$C$160,2,0),0)</f>
        <v>0</v>
      </c>
      <c r="AK38" s="97">
        <f>IFERROR(VLOOKUP(Y38,'RoC11'!$B$1:$C$160,2,0),0)</f>
        <v>0</v>
      </c>
    </row>
    <row r="39" ht="15.75" customHeight="1">
      <c r="A39" s="135">
        <v>38.0</v>
      </c>
      <c r="B39" s="6" t="s">
        <v>47</v>
      </c>
      <c r="C39" s="93">
        <f t="shared" si="1"/>
        <v>2188.250395</v>
      </c>
      <c r="D39" s="136"/>
      <c r="E39" s="137" t="str">
        <f>IFERROR(VLOOKUP($B39,'RoC1'!$A$1:$B$160,2,0),"0")</f>
        <v>0</v>
      </c>
      <c r="F39" s="97">
        <f>IFERROR(VLOOKUP(E39,'RoC1'!$B$1:$C$160,2,0),0)</f>
        <v>0</v>
      </c>
      <c r="G39" s="137">
        <f>IFERROR(VLOOKUP($B39,'RoC2'!$A$1:$B$161,2,0),"0")</f>
        <v>2</v>
      </c>
      <c r="H39" s="97">
        <f>IFERROR(VLOOKUP(G39,'RoC2'!$B$1:$C$161,2,0),0)</f>
        <v>1182.05491</v>
      </c>
      <c r="I39" s="137">
        <f>IFERROR(VLOOKUP($B39,'RoC3'!$A$1:$B$161,2,0),0)</f>
        <v>7</v>
      </c>
      <c r="J39" s="97">
        <f>IFERROR(VLOOKUP(I39,'RoC3'!$B$1:$C$161,2,0),0)</f>
        <v>793.5005374</v>
      </c>
      <c r="K39" s="137">
        <f>IFERROR(VLOOKUP($B39,'RoC4'!$A$1:$B$161,2,0),0)</f>
        <v>0</v>
      </c>
      <c r="L39" s="97">
        <f>IFERROR(VLOOKUP(K39,'RoC4'!$B$1:$C$161,2,0),0)</f>
        <v>0</v>
      </c>
      <c r="M39" s="137">
        <f>IFERROR(VLOOKUP($B39,'RoC5'!$A$1:$B$161,2,0),0)</f>
        <v>0</v>
      </c>
      <c r="N39" s="97">
        <f>IFERROR(VLOOKUP(M39,'RoC5'!$B$1:$C$161,2,0),0)</f>
        <v>0</v>
      </c>
      <c r="O39" s="137">
        <f>IFERROR(VLOOKUP($B39,'RoC6'!$A$1:$B$161,2,0),0)</f>
        <v>0</v>
      </c>
      <c r="P39" s="97">
        <f>IFERROR(VLOOKUP(O39,'RoC6'!$B$1:$C$161,2,0),0)</f>
        <v>0</v>
      </c>
      <c r="Q39" s="137">
        <f>IFERROR(VLOOKUP($B39,'RoC7'!$A$1:$B$161,2,0),0)</f>
        <v>37</v>
      </c>
      <c r="R39" s="97">
        <f>IFERROR(VLOOKUP(Q39,'RoC7'!$B$1:$C$161,2,0),0)</f>
        <v>212.6949467</v>
      </c>
      <c r="S39" s="137">
        <f>IFERROR(VLOOKUP($B39,'RoC8'!$A$1:$B$161,2,0),0)</f>
        <v>0</v>
      </c>
      <c r="T39" s="97">
        <f>IFERROR(VLOOKUP(S39,'RoC8'!$B$1:$C$161,2,0),0)</f>
        <v>0</v>
      </c>
      <c r="U39" s="137">
        <f>IFERROR(VLOOKUP($B39,'RoC9'!$A$1:$B$161,2,0),0)</f>
        <v>0</v>
      </c>
      <c r="V39" s="97">
        <f>IFERROR(VLOOKUP(U39,'RoC9'!$B$1:$C$161,2,0),0)</f>
        <v>0</v>
      </c>
      <c r="W39" s="137">
        <f>IFERROR(VLOOKUP($B39,'RoC10'!$A$1:$B$161,2,0),0)</f>
        <v>0</v>
      </c>
      <c r="X39" s="97">
        <f>IFERROR(VLOOKUP(W39,'RoC10'!$B$1:$C$161,2,0),0)</f>
        <v>0</v>
      </c>
      <c r="Y39" s="137">
        <f>IFERROR(VLOOKUP($B39,'RoC11'!$A$1:$B$161,2,0),0)</f>
        <v>0</v>
      </c>
      <c r="Z39" s="97">
        <f>IFERROR(VLOOKUP(Y39,'RoC11'!$B$1:$C$161,2,0),0)</f>
        <v>0</v>
      </c>
      <c r="AA39" s="97">
        <f>IFERROR(VLOOKUP(E39,'RoC1'!$B$1:$C$160,2,0),0)</f>
        <v>0</v>
      </c>
      <c r="AB39" s="97">
        <f>IFERROR(VLOOKUP(G39,'RoC2'!$B$1:$C$160,2,0),0)</f>
        <v>1182.05491</v>
      </c>
      <c r="AC39" s="97">
        <f>IFERROR(VLOOKUP(I39,'RoC3'!$B$1:$C$160,2,0),0)</f>
        <v>793.5005374</v>
      </c>
      <c r="AD39" s="97">
        <f>IFERROR(VLOOKUP(K39,'RoC4'!$B$1:$C$160,2,0),0)</f>
        <v>0</v>
      </c>
      <c r="AE39" s="97">
        <f>IFERROR(VLOOKUP(M39,'RoC5'!$B$1:$C$160,2,0),0)</f>
        <v>0</v>
      </c>
      <c r="AF39" s="97">
        <f>IFERROR(VLOOKUP(O39,'RoC6'!$B$1:$C$160,2,0),0)</f>
        <v>0</v>
      </c>
      <c r="AG39" s="97">
        <f>IFERROR(VLOOKUP(Q39,'RoC7'!$B$1:$C$160,2,0),0)</f>
        <v>212.6949467</v>
      </c>
      <c r="AH39" s="97">
        <f>IFERROR(VLOOKUP(S39,'RoC8'!$B$1:$C$160,2,0),0)</f>
        <v>0</v>
      </c>
      <c r="AI39" s="97">
        <f>IFERROR(VLOOKUP(U39,'RoC9'!$B$1:$C$160,2,0),0)</f>
        <v>0</v>
      </c>
      <c r="AJ39" s="97">
        <f>IFERROR(VLOOKUP(W39,'RoC10'!$B$1:$C$160,2,0),0)</f>
        <v>0</v>
      </c>
      <c r="AK39" s="97">
        <f>IFERROR(VLOOKUP(Y39,'RoC11'!$B$1:$C$160,2,0),0)</f>
        <v>0</v>
      </c>
    </row>
    <row r="40" ht="15.75" customHeight="1">
      <c r="A40" s="135">
        <v>39.0</v>
      </c>
      <c r="B40" s="6" t="s">
        <v>29</v>
      </c>
      <c r="C40" s="93">
        <f t="shared" si="1"/>
        <v>2164.411984</v>
      </c>
      <c r="D40" s="136"/>
      <c r="E40" s="137">
        <f>IFERROR(VLOOKUP($B40,'RoC1'!$A$1:$B$160,2,0),"0")</f>
        <v>24</v>
      </c>
      <c r="F40" s="97">
        <f>IFERROR(VLOOKUP(E40,'RoC1'!$B$1:$C$160,2,0),0)</f>
        <v>320.1838642</v>
      </c>
      <c r="G40" s="137" t="str">
        <f>IFERROR(VLOOKUP($B40,'RoC2'!$A$1:$B$161,2,0),"0")</f>
        <v>0</v>
      </c>
      <c r="H40" s="97">
        <f>IFERROR(VLOOKUP(G40,'RoC2'!$B$1:$C$161,2,0),0)</f>
        <v>0</v>
      </c>
      <c r="I40" s="137">
        <f>IFERROR(VLOOKUP($B40,'RoC3'!$A$1:$B$161,2,0),0)</f>
        <v>58</v>
      </c>
      <c r="J40" s="97">
        <f>IFERROR(VLOOKUP(I40,'RoC3'!$B$1:$C$161,2,0),0)</f>
        <v>17.6489496</v>
      </c>
      <c r="K40" s="137">
        <f>IFERROR(VLOOKUP($B40,'RoC4'!$A$1:$B$161,2,0),0)</f>
        <v>0</v>
      </c>
      <c r="L40" s="97">
        <f>IFERROR(VLOOKUP(K40,'RoC4'!$B$1:$C$161,2,0),0)</f>
        <v>0</v>
      </c>
      <c r="M40" s="137">
        <f>IFERROR(VLOOKUP($B40,'RoC5'!$A$1:$B$161,2,0),0)</f>
        <v>15</v>
      </c>
      <c r="N40" s="97">
        <f>IFERROR(VLOOKUP(M40,'RoC5'!$B$1:$C$161,2,0),0)</f>
        <v>562.2079002</v>
      </c>
      <c r="O40" s="137">
        <f>IFERROR(VLOOKUP($B40,'RoC6'!$A$1:$B$161,2,0),0)</f>
        <v>8</v>
      </c>
      <c r="P40" s="97">
        <f>IFERROR(VLOOKUP(O40,'RoC6'!$B$1:$C$161,2,0),0)</f>
        <v>715.1422198</v>
      </c>
      <c r="Q40" s="137">
        <f>IFERROR(VLOOKUP($B40,'RoC7'!$A$1:$B$161,2,0),0)</f>
        <v>20</v>
      </c>
      <c r="R40" s="97">
        <f>IFERROR(VLOOKUP(Q40,'RoC7'!$B$1:$C$161,2,0),0)</f>
        <v>448.8636182</v>
      </c>
      <c r="S40" s="137">
        <f>IFERROR(VLOOKUP($B40,'RoC8'!$A$1:$B$161,2,0),0)</f>
        <v>36</v>
      </c>
      <c r="T40" s="97">
        <f>IFERROR(VLOOKUP(S40,'RoC8'!$B$1:$C$161,2,0),0)</f>
        <v>100.3654319</v>
      </c>
      <c r="U40" s="137">
        <f>IFERROR(VLOOKUP($B40,'RoC9'!$A$1:$B$161,2,0),0)</f>
        <v>0</v>
      </c>
      <c r="V40" s="97">
        <f>IFERROR(VLOOKUP(U40,'RoC9'!$B$1:$C$161,2,0),0)</f>
        <v>0</v>
      </c>
      <c r="W40" s="137">
        <f>IFERROR(VLOOKUP($B40,'RoC10'!$A$1:$B$161,2,0),0)</f>
        <v>0</v>
      </c>
      <c r="X40" s="97">
        <f>IFERROR(VLOOKUP(W40,'RoC10'!$B$1:$C$161,2,0),0)</f>
        <v>0</v>
      </c>
      <c r="Y40" s="137">
        <f>IFERROR(VLOOKUP($B40,'RoC11'!$A$1:$B$161,2,0),0)</f>
        <v>0</v>
      </c>
      <c r="Z40" s="97">
        <f>IFERROR(VLOOKUP(Y40,'RoC11'!$B$1:$C$161,2,0),0)</f>
        <v>0</v>
      </c>
      <c r="AA40" s="97">
        <f>IFERROR(VLOOKUP(E40,'RoC1'!$B$1:$C$160,2,0),0)</f>
        <v>320.1838642</v>
      </c>
      <c r="AB40" s="97">
        <f>IFERROR(VLOOKUP(G40,'RoC2'!$B$1:$C$160,2,0),0)</f>
        <v>0</v>
      </c>
      <c r="AC40" s="97">
        <f>IFERROR(VLOOKUP(I40,'RoC3'!$B$1:$C$160,2,0),0)</f>
        <v>17.6489496</v>
      </c>
      <c r="AD40" s="97">
        <f>IFERROR(VLOOKUP(K40,'RoC4'!$B$1:$C$160,2,0),0)</f>
        <v>0</v>
      </c>
      <c r="AE40" s="97">
        <f>IFERROR(VLOOKUP(M40,'RoC5'!$B$1:$C$160,2,0),0)</f>
        <v>562.2079002</v>
      </c>
      <c r="AF40" s="97">
        <f>IFERROR(VLOOKUP(O40,'RoC6'!$B$1:$C$160,2,0),0)</f>
        <v>715.1422198</v>
      </c>
      <c r="AG40" s="97">
        <f>IFERROR(VLOOKUP(Q40,'RoC7'!$B$1:$C$160,2,0),0)</f>
        <v>448.8636182</v>
      </c>
      <c r="AH40" s="97">
        <f>IFERROR(VLOOKUP(S40,'RoC8'!$B$1:$C$160,2,0),0)</f>
        <v>100.3654319</v>
      </c>
      <c r="AI40" s="97">
        <f>IFERROR(VLOOKUP(U40,'RoC9'!$B$1:$C$160,2,0),0)</f>
        <v>0</v>
      </c>
      <c r="AJ40" s="97">
        <f>IFERROR(VLOOKUP(W40,'RoC10'!$B$1:$C$160,2,0),0)</f>
        <v>0</v>
      </c>
      <c r="AK40" s="97">
        <f>IFERROR(VLOOKUP(Y40,'RoC11'!$B$1:$C$160,2,0),0)</f>
        <v>0</v>
      </c>
    </row>
    <row r="41" ht="15.75" customHeight="1">
      <c r="A41" s="135">
        <v>40.0</v>
      </c>
      <c r="B41" s="6" t="s">
        <v>24</v>
      </c>
      <c r="C41" s="93">
        <f t="shared" si="1"/>
        <v>2031.911623</v>
      </c>
      <c r="D41" s="136"/>
      <c r="E41" s="137">
        <f>IFERROR(VLOOKUP($B41,'RoC1'!$A$1:$B$160,2,0),"0")</f>
        <v>47</v>
      </c>
      <c r="F41" s="97">
        <f>IFERROR(VLOOKUP(E41,'RoC1'!$B$1:$C$160,2,0),0)</f>
        <v>21.65298498</v>
      </c>
      <c r="G41" s="137">
        <f>IFERROR(VLOOKUP($B41,'RoC2'!$A$1:$B$161,2,0),"0")</f>
        <v>55</v>
      </c>
      <c r="H41" s="97">
        <f>IFERROR(VLOOKUP(G41,'RoC2'!$B$1:$C$161,2,0),0)</f>
        <v>36.22343353</v>
      </c>
      <c r="I41" s="137">
        <f>IFERROR(VLOOKUP($B41,'RoC3'!$A$1:$B$161,2,0),0)</f>
        <v>15</v>
      </c>
      <c r="J41" s="97">
        <f>IFERROR(VLOOKUP(I41,'RoC3'!$B$1:$C$161,2,0),0)</f>
        <v>556.8465902</v>
      </c>
      <c r="K41" s="137">
        <f>IFERROR(VLOOKUP($B41,'RoC4'!$A$1:$B$161,2,0),0)</f>
        <v>13</v>
      </c>
      <c r="L41" s="97">
        <f>IFERROR(VLOOKUP(K41,'RoC4'!$B$1:$C$161,2,0),0)</f>
        <v>556.8465902</v>
      </c>
      <c r="M41" s="137">
        <f>IFERROR(VLOOKUP($B41,'RoC5'!$A$1:$B$161,2,0),0)</f>
        <v>19</v>
      </c>
      <c r="N41" s="97">
        <f>IFERROR(VLOOKUP(M41,'RoC5'!$B$1:$C$161,2,0),0)</f>
        <v>483.8634496</v>
      </c>
      <c r="O41" s="137">
        <f>IFERROR(VLOOKUP($B41,'RoC6'!$A$1:$B$161,2,0),0)</f>
        <v>0</v>
      </c>
      <c r="P41" s="97">
        <f>IFERROR(VLOOKUP(O41,'RoC6'!$B$1:$C$161,2,0),0)</f>
        <v>0</v>
      </c>
      <c r="Q41" s="137">
        <f>IFERROR(VLOOKUP($B41,'RoC7'!$A$1:$B$161,2,0),0)</f>
        <v>0</v>
      </c>
      <c r="R41" s="97">
        <f>IFERROR(VLOOKUP(Q41,'RoC7'!$B$1:$C$161,2,0),0)</f>
        <v>0</v>
      </c>
      <c r="S41" s="137">
        <f>IFERROR(VLOOKUP($B41,'RoC8'!$A$1:$B$161,2,0),0)</f>
        <v>43</v>
      </c>
      <c r="T41" s="97">
        <f>IFERROR(VLOOKUP(S41,'RoC8'!$B$1:$C$161,2,0),0)</f>
        <v>12.00059232</v>
      </c>
      <c r="U41" s="137">
        <f>IFERROR(VLOOKUP($B41,'RoC9'!$A$1:$B$161,2,0),0)</f>
        <v>0</v>
      </c>
      <c r="V41" s="97">
        <f>IFERROR(VLOOKUP(U41,'RoC9'!$B$1:$C$161,2,0),0)</f>
        <v>0</v>
      </c>
      <c r="W41" s="137">
        <f>IFERROR(VLOOKUP($B41,'RoC10'!$A$1:$B$161,2,0),0)</f>
        <v>17</v>
      </c>
      <c r="X41" s="97">
        <f>IFERROR(VLOOKUP(W41,'RoC10'!$B$1:$C$161,2,0),0)</f>
        <v>364.4779826</v>
      </c>
      <c r="Y41" s="137">
        <f>IFERROR(VLOOKUP($B41,'RoC11'!$A$1:$B$161,2,0),0)</f>
        <v>0</v>
      </c>
      <c r="Z41" s="97">
        <f>IFERROR(VLOOKUP(Y41,'RoC11'!$B$1:$C$161,2,0),0)</f>
        <v>0</v>
      </c>
      <c r="AA41" s="97">
        <f>IFERROR(VLOOKUP(E41,'RoC1'!$B$1:$C$160,2,0),0)</f>
        <v>21.65298498</v>
      </c>
      <c r="AB41" s="97">
        <f>IFERROR(VLOOKUP(G41,'RoC2'!$B$1:$C$160,2,0),0)</f>
        <v>36.22343353</v>
      </c>
      <c r="AC41" s="97">
        <f>IFERROR(VLOOKUP(I41,'RoC3'!$B$1:$C$160,2,0),0)</f>
        <v>556.8465902</v>
      </c>
      <c r="AD41" s="97">
        <f>IFERROR(VLOOKUP(K41,'RoC4'!$B$1:$C$160,2,0),0)</f>
        <v>556.8465902</v>
      </c>
      <c r="AE41" s="97">
        <f>IFERROR(VLOOKUP(M41,'RoC5'!$B$1:$C$160,2,0),0)</f>
        <v>483.8634496</v>
      </c>
      <c r="AF41" s="97">
        <f>IFERROR(VLOOKUP(O41,'RoC6'!$B$1:$C$160,2,0),0)</f>
        <v>0</v>
      </c>
      <c r="AG41" s="97">
        <f>IFERROR(VLOOKUP(Q41,'RoC7'!$B$1:$C$160,2,0),0)</f>
        <v>0</v>
      </c>
      <c r="AH41" s="97">
        <f>IFERROR(VLOOKUP(S41,'RoC8'!$B$1:$C$160,2,0),0)</f>
        <v>12.00059232</v>
      </c>
      <c r="AI41" s="97">
        <f>IFERROR(VLOOKUP(U41,'RoC9'!$B$1:$C$160,2,0),0)</f>
        <v>0</v>
      </c>
      <c r="AJ41" s="97">
        <f>IFERROR(VLOOKUP(W41,'RoC10'!$B$1:$C$160,2,0),0)</f>
        <v>364.4779826</v>
      </c>
      <c r="AK41" s="97">
        <f>IFERROR(VLOOKUP(Y41,'RoC11'!$B$1:$C$160,2,0),0)</f>
        <v>0</v>
      </c>
    </row>
    <row r="42" ht="15.75" customHeight="1">
      <c r="A42" s="135">
        <v>41.0</v>
      </c>
      <c r="B42" s="6" t="s">
        <v>34</v>
      </c>
      <c r="C42" s="93">
        <f t="shared" si="1"/>
        <v>1970.239101</v>
      </c>
      <c r="D42" s="136"/>
      <c r="E42" s="137">
        <f>IFERROR(VLOOKUP($B42,'RoC1'!$A$1:$B$160,2,0),"0")</f>
        <v>15</v>
      </c>
      <c r="F42" s="97">
        <f>IFERROR(VLOOKUP(E42,'RoC1'!$B$1:$C$160,2,0),0)</f>
        <v>489.7431223</v>
      </c>
      <c r="G42" s="137">
        <f>IFERROR(VLOOKUP($B42,'RoC2'!$A$1:$B$161,2,0),"0")</f>
        <v>35</v>
      </c>
      <c r="H42" s="97">
        <f>IFERROR(VLOOKUP(G42,'RoC2'!$B$1:$C$161,2,0),0)</f>
        <v>243.3405724</v>
      </c>
      <c r="I42" s="137">
        <f>IFERROR(VLOOKUP($B42,'RoC3'!$A$1:$B$161,2,0),0)</f>
        <v>19</v>
      </c>
      <c r="J42" s="97">
        <f>IFERROR(VLOOKUP(I42,'RoC3'!$B$1:$C$161,2,0),0)</f>
        <v>478.2349614</v>
      </c>
      <c r="K42" s="137">
        <f>IFERROR(VLOOKUP($B42,'RoC4'!$A$1:$B$161,2,0),0)</f>
        <v>44</v>
      </c>
      <c r="L42" s="97">
        <f>IFERROR(VLOOKUP(K42,'RoC4'!$B$1:$C$161,2,0),0)</f>
        <v>84.21386767</v>
      </c>
      <c r="M42" s="137">
        <f>IFERROR(VLOOKUP($B42,'RoC5'!$A$1:$B$161,2,0),0)</f>
        <v>0</v>
      </c>
      <c r="N42" s="97">
        <f>IFERROR(VLOOKUP(M42,'RoC5'!$B$1:$C$161,2,0),0)</f>
        <v>0</v>
      </c>
      <c r="O42" s="137">
        <f>IFERROR(VLOOKUP($B42,'RoC6'!$A$1:$B$161,2,0),0)</f>
        <v>0</v>
      </c>
      <c r="P42" s="97">
        <f>IFERROR(VLOOKUP(O42,'RoC6'!$B$1:$C$161,2,0),0)</f>
        <v>0</v>
      </c>
      <c r="Q42" s="137">
        <f>IFERROR(VLOOKUP($B42,'RoC7'!$A$1:$B$161,2,0),0)</f>
        <v>42</v>
      </c>
      <c r="R42" s="97">
        <f>IFERROR(VLOOKUP(Q42,'RoC7'!$B$1:$C$161,2,0),0)</f>
        <v>156.9986682</v>
      </c>
      <c r="S42" s="137">
        <f>IFERROR(VLOOKUP($B42,'RoC8'!$A$1:$B$161,2,0),0)</f>
        <v>22</v>
      </c>
      <c r="T42" s="97">
        <f>IFERROR(VLOOKUP(S42,'RoC8'!$B$1:$C$161,2,0),0)</f>
        <v>312.1668677</v>
      </c>
      <c r="U42" s="137">
        <f>IFERROR(VLOOKUP($B42,'RoC9'!$A$1:$B$161,2,0),0)</f>
        <v>0</v>
      </c>
      <c r="V42" s="97">
        <f>IFERROR(VLOOKUP(U42,'RoC9'!$B$1:$C$161,2,0),0)</f>
        <v>0</v>
      </c>
      <c r="W42" s="137">
        <f>IFERROR(VLOOKUP($B42,'RoC10'!$A$1:$B$161,2,0),0)</f>
        <v>0</v>
      </c>
      <c r="X42" s="97">
        <f>IFERROR(VLOOKUP(W42,'RoC10'!$B$1:$C$161,2,0),0)</f>
        <v>0</v>
      </c>
      <c r="Y42" s="137">
        <f>IFERROR(VLOOKUP($B42,'RoC11'!$A$1:$B$161,2,0),0)</f>
        <v>24</v>
      </c>
      <c r="Z42" s="97">
        <f>IFERROR(VLOOKUP(Y42,'RoC11'!$B$1:$C$161,2,0),0)</f>
        <v>205.5410412</v>
      </c>
      <c r="AA42" s="97">
        <f>IFERROR(VLOOKUP(E42,'RoC1'!$B$1:$C$160,2,0),0)</f>
        <v>489.7431223</v>
      </c>
      <c r="AB42" s="97">
        <f>IFERROR(VLOOKUP(G42,'RoC2'!$B$1:$C$160,2,0),0)</f>
        <v>243.3405724</v>
      </c>
      <c r="AC42" s="97">
        <f>IFERROR(VLOOKUP(I42,'RoC3'!$B$1:$C$160,2,0),0)</f>
        <v>478.2349614</v>
      </c>
      <c r="AD42" s="97">
        <f>IFERROR(VLOOKUP(K42,'RoC4'!$B$1:$C$160,2,0),0)</f>
        <v>84.21386767</v>
      </c>
      <c r="AE42" s="97">
        <f>IFERROR(VLOOKUP(M42,'RoC5'!$B$1:$C$160,2,0),0)</f>
        <v>0</v>
      </c>
      <c r="AF42" s="97">
        <f>IFERROR(VLOOKUP(O42,'RoC6'!$B$1:$C$160,2,0),0)</f>
        <v>0</v>
      </c>
      <c r="AG42" s="97">
        <f>IFERROR(VLOOKUP(Q42,'RoC7'!$B$1:$C$160,2,0),0)</f>
        <v>156.9986682</v>
      </c>
      <c r="AH42" s="97">
        <f>IFERROR(VLOOKUP(S42,'RoC8'!$B$1:$C$160,2,0),0)</f>
        <v>312.1668677</v>
      </c>
      <c r="AI42" s="97">
        <f>IFERROR(VLOOKUP(U42,'RoC9'!$B$1:$C$160,2,0),0)</f>
        <v>0</v>
      </c>
      <c r="AJ42" s="97">
        <f>IFERROR(VLOOKUP(W42,'RoC10'!$B$1:$C$160,2,0),0)</f>
        <v>0</v>
      </c>
      <c r="AK42" s="97">
        <f>IFERROR(VLOOKUP(Y42,'RoC11'!$B$1:$C$160,2,0),0)</f>
        <v>205.5410412</v>
      </c>
    </row>
    <row r="43" ht="15.75" customHeight="1">
      <c r="A43" s="135">
        <v>42.0</v>
      </c>
      <c r="B43" s="6" t="s">
        <v>53</v>
      </c>
      <c r="C43" s="93">
        <f t="shared" si="1"/>
        <v>1966.373732</v>
      </c>
      <c r="D43" s="93"/>
      <c r="E43" s="94">
        <f>IFERROR(VLOOKUP($B43,'RoC1'!$A$1:$B$160,2,0),"0")</f>
        <v>45</v>
      </c>
      <c r="F43" s="95">
        <f>IFERROR(VLOOKUP(E43,'RoC1'!$B$1:$C$160,2,0),0)</f>
        <v>43.77932954</v>
      </c>
      <c r="G43" s="94">
        <f>IFERROR(VLOOKUP($B43,'RoC2'!$A$1:$B$161,2,0),"0")</f>
        <v>3</v>
      </c>
      <c r="H43" s="95">
        <f>IFERROR(VLOOKUP(G43,'RoC2'!$B$1:$C$161,2,0),0)</f>
        <v>1049.368463</v>
      </c>
      <c r="I43" s="94">
        <f>IFERROR(VLOOKUP($B43,'RoC3'!$A$1:$B$161,2,0),0)</f>
        <v>0</v>
      </c>
      <c r="J43" s="95">
        <f>IFERROR(VLOOKUP(I43,'RoC3'!$B$1:$C$161,2,0),0)</f>
        <v>0</v>
      </c>
      <c r="K43" s="94">
        <f>IFERROR(VLOOKUP($B43,'RoC4'!$A$1:$B$161,2,0),0)</f>
        <v>0</v>
      </c>
      <c r="L43" s="95">
        <f>IFERROR(VLOOKUP(K43,'RoC4'!$B$1:$C$161,2,0),0)</f>
        <v>0</v>
      </c>
      <c r="M43" s="94">
        <f>IFERROR(VLOOKUP($B43,'RoC5'!$A$1:$B$161,2,0),0)</f>
        <v>51</v>
      </c>
      <c r="N43" s="95">
        <f>IFERROR(VLOOKUP(M43,'RoC5'!$B$1:$C$161,2,0),0)</f>
        <v>90.00556928</v>
      </c>
      <c r="O43" s="94">
        <f>IFERROR(VLOOKUP($B43,'RoC6'!$A$1:$B$161,2,0),0)</f>
        <v>0</v>
      </c>
      <c r="P43" s="95">
        <f>IFERROR(VLOOKUP(O43,'RoC6'!$B$1:$C$161,2,0),0)</f>
        <v>0</v>
      </c>
      <c r="Q43" s="94">
        <f>IFERROR(VLOOKUP($B43,'RoC7'!$A$1:$B$161,2,0),0)</f>
        <v>7</v>
      </c>
      <c r="R43" s="95">
        <f>IFERROR(VLOOKUP(Q43,'RoC7'!$B$1:$C$161,2,0),0)</f>
        <v>783.2203705</v>
      </c>
      <c r="S43" s="94">
        <f>IFERROR(VLOOKUP($B43,'RoC8'!$A$1:$B$161,2,0),0)</f>
        <v>0</v>
      </c>
      <c r="T43" s="95">
        <f>IFERROR(VLOOKUP(S43,'RoC8'!$B$1:$C$161,2,0),0)</f>
        <v>0</v>
      </c>
      <c r="U43" s="94">
        <f>IFERROR(VLOOKUP($B43,'RoC9'!$A$1:$B$161,2,0),0)</f>
        <v>0</v>
      </c>
      <c r="V43" s="95">
        <f>IFERROR(VLOOKUP(U43,'RoC9'!$B$1:$C$161,2,0),0)</f>
        <v>0</v>
      </c>
      <c r="W43" s="94">
        <f>IFERROR(VLOOKUP($B43,'RoC10'!$A$1:$B$161,2,0),0)</f>
        <v>0</v>
      </c>
      <c r="X43" s="95">
        <f>IFERROR(VLOOKUP(W43,'RoC10'!$B$1:$C$161,2,0),0)</f>
        <v>0</v>
      </c>
      <c r="Y43" s="94">
        <f>IFERROR(VLOOKUP($B43,'RoC11'!$A$1:$B$161,2,0),0)</f>
        <v>0</v>
      </c>
      <c r="Z43" s="95">
        <f>IFERROR(VLOOKUP(Y43,'RoC11'!$B$1:$C$161,2,0),0)</f>
        <v>0</v>
      </c>
      <c r="AA43" s="95">
        <f>IFERROR(VLOOKUP(E43,'RoC1'!$B$1:$C$160,2,0),0)</f>
        <v>43.77932954</v>
      </c>
      <c r="AB43" s="95">
        <f>IFERROR(VLOOKUP(G43,'RoC2'!$B$1:$C$160,2,0),0)</f>
        <v>1049.368463</v>
      </c>
      <c r="AC43" s="95">
        <f>IFERROR(VLOOKUP(I43,'RoC3'!$B$1:$C$160,2,0),0)</f>
        <v>0</v>
      </c>
      <c r="AD43" s="95">
        <f>IFERROR(VLOOKUP(K43,'RoC4'!$B$1:$C$160,2,0),0)</f>
        <v>0</v>
      </c>
      <c r="AE43" s="95">
        <f>IFERROR(VLOOKUP(M43,'RoC5'!$B$1:$C$160,2,0),0)</f>
        <v>90.00556928</v>
      </c>
      <c r="AF43" s="95">
        <f>IFERROR(VLOOKUP(O43,'RoC6'!$B$1:$C$160,2,0),0)</f>
        <v>0</v>
      </c>
      <c r="AG43" s="95">
        <f>IFERROR(VLOOKUP(Q43,'RoC7'!$B$1:$C$160,2,0),0)</f>
        <v>783.2203705</v>
      </c>
      <c r="AH43" s="95">
        <f>IFERROR(VLOOKUP(S43,'RoC8'!$B$1:$C$160,2,0),0)</f>
        <v>0</v>
      </c>
      <c r="AI43" s="95">
        <f>IFERROR(VLOOKUP(U43,'RoC9'!$B$1:$C$160,2,0),0)</f>
        <v>0</v>
      </c>
      <c r="AJ43" s="95">
        <f>IFERROR(VLOOKUP(W43,'RoC10'!$B$1:$C$160,2,0),0)</f>
        <v>0</v>
      </c>
      <c r="AK43" s="95">
        <f>IFERROR(VLOOKUP(Y43,'RoC11'!$B$1:$C$160,2,0),0)</f>
        <v>0</v>
      </c>
    </row>
    <row r="44" ht="15.75" customHeight="1">
      <c r="A44" s="135">
        <v>43.0</v>
      </c>
      <c r="B44" s="24" t="s">
        <v>75</v>
      </c>
      <c r="C44" s="93">
        <f t="shared" si="1"/>
        <v>1926.222905</v>
      </c>
      <c r="D44" s="136"/>
      <c r="E44" s="137" t="str">
        <f>IFERROR(VLOOKUP($B44,'RoC1'!$A$1:$B$160,2,0),"0")</f>
        <v>0</v>
      </c>
      <c r="F44" s="97">
        <f>IFERROR(VLOOKUP(E44,'RoC1'!$B$1:$C$160,2,0),0)</f>
        <v>0</v>
      </c>
      <c r="G44" s="137" t="str">
        <f>IFERROR(VLOOKUP($B44,'RoC2'!$A$1:$B$161,2,0),"0")</f>
        <v>0</v>
      </c>
      <c r="H44" s="97">
        <f>IFERROR(VLOOKUP(G44,'RoC2'!$B$1:$C$161,2,0),0)</f>
        <v>0</v>
      </c>
      <c r="I44" s="137">
        <f>IFERROR(VLOOKUP($B44,'RoC3'!$A$1:$B$161,2,0),0)</f>
        <v>0</v>
      </c>
      <c r="J44" s="97">
        <f>IFERROR(VLOOKUP(I44,'RoC3'!$B$1:$C$161,2,0),0)</f>
        <v>0</v>
      </c>
      <c r="K44" s="137">
        <f>IFERROR(VLOOKUP($B44,'RoC4'!$A$1:$B$161,2,0),0)</f>
        <v>0</v>
      </c>
      <c r="L44" s="97">
        <f>IFERROR(VLOOKUP(K44,'RoC4'!$B$1:$C$161,2,0),0)</f>
        <v>0</v>
      </c>
      <c r="M44" s="137">
        <f>IFERROR(VLOOKUP($B44,'RoC5'!$A$1:$B$161,2,0),0)</f>
        <v>50</v>
      </c>
      <c r="N44" s="97">
        <f>IFERROR(VLOOKUP(M44,'RoC5'!$B$1:$C$161,2,0),0)</f>
        <v>99.49748683</v>
      </c>
      <c r="O44" s="137">
        <f>IFERROR(VLOOKUP($B44,'RoC6'!$A$1:$B$161,2,0),0)</f>
        <v>0</v>
      </c>
      <c r="P44" s="97">
        <f>IFERROR(VLOOKUP(O44,'RoC6'!$B$1:$C$161,2,0),0)</f>
        <v>0</v>
      </c>
      <c r="Q44" s="137">
        <f>IFERROR(VLOOKUP($B44,'RoC7'!$A$1:$B$161,2,0),0)</f>
        <v>0</v>
      </c>
      <c r="R44" s="97">
        <f>IFERROR(VLOOKUP(Q44,'RoC7'!$B$1:$C$161,2,0),0)</f>
        <v>0</v>
      </c>
      <c r="S44" s="137">
        <f>IFERROR(VLOOKUP($B44,'RoC8'!$A$1:$B$161,2,0),0)</f>
        <v>6</v>
      </c>
      <c r="T44" s="97">
        <f>IFERROR(VLOOKUP(S44,'RoC8'!$B$1:$C$161,2,0),0)</f>
        <v>746.1318518</v>
      </c>
      <c r="U44" s="137">
        <f>IFERROR(VLOOKUP($B44,'RoC9'!$A$1:$B$161,2,0),0)</f>
        <v>38</v>
      </c>
      <c r="V44" s="97">
        <f>IFERROR(VLOOKUP(U44,'RoC9'!$B$1:$C$161,2,0),0)</f>
        <v>85.19263653</v>
      </c>
      <c r="W44" s="137">
        <f>IFERROR(VLOOKUP($B44,'RoC10'!$A$1:$B$161,2,0),0)</f>
        <v>20</v>
      </c>
      <c r="X44" s="97">
        <f>IFERROR(VLOOKUP(W44,'RoC10'!$B$1:$C$161,2,0),0)</f>
        <v>302.2434864</v>
      </c>
      <c r="Y44" s="137">
        <f>IFERROR(VLOOKUP($B44,'RoC11'!$A$1:$B$161,2,0),0)</f>
        <v>6</v>
      </c>
      <c r="Z44" s="97">
        <f>IFERROR(VLOOKUP(Y44,'RoC11'!$B$1:$C$161,2,0),0)</f>
        <v>693.157444</v>
      </c>
      <c r="AA44" s="97">
        <f>IFERROR(VLOOKUP(E44,'RoC1'!$B$1:$C$160,2,0),0)</f>
        <v>0</v>
      </c>
      <c r="AB44" s="97">
        <f>IFERROR(VLOOKUP(G44,'RoC2'!$B$1:$C$160,2,0),0)</f>
        <v>0</v>
      </c>
      <c r="AC44" s="97">
        <f>IFERROR(VLOOKUP(I44,'RoC3'!$B$1:$C$160,2,0),0)</f>
        <v>0</v>
      </c>
      <c r="AD44" s="97">
        <f>IFERROR(VLOOKUP(K44,'RoC4'!$B$1:$C$160,2,0),0)</f>
        <v>0</v>
      </c>
      <c r="AE44" s="97">
        <f>IFERROR(VLOOKUP(M44,'RoC5'!$B$1:$C$160,2,0),0)</f>
        <v>99.49748683</v>
      </c>
      <c r="AF44" s="97">
        <f>IFERROR(VLOOKUP(O44,'RoC6'!$B$1:$C$160,2,0),0)</f>
        <v>0</v>
      </c>
      <c r="AG44" s="97">
        <f>IFERROR(VLOOKUP(Q44,'RoC7'!$B$1:$C$160,2,0),0)</f>
        <v>0</v>
      </c>
      <c r="AH44" s="97">
        <f>IFERROR(VLOOKUP(S44,'RoC8'!$B$1:$C$160,2,0),0)</f>
        <v>746.1318518</v>
      </c>
      <c r="AI44" s="97">
        <f>IFERROR(VLOOKUP(U44,'RoC9'!$B$1:$C$160,2,0),0)</f>
        <v>85.19263653</v>
      </c>
      <c r="AJ44" s="97">
        <f>IFERROR(VLOOKUP(W44,'RoC10'!$B$1:$C$160,2,0),0)</f>
        <v>302.2434864</v>
      </c>
      <c r="AK44" s="97">
        <f>IFERROR(VLOOKUP(Y44,'RoC11'!$B$1:$C$160,2,0),0)</f>
        <v>693.157444</v>
      </c>
    </row>
    <row r="45" ht="15.75" customHeight="1">
      <c r="A45" s="135">
        <v>44.0</v>
      </c>
      <c r="B45" s="6" t="s">
        <v>77</v>
      </c>
      <c r="C45" s="93">
        <f t="shared" si="1"/>
        <v>1926.202116</v>
      </c>
      <c r="D45" s="93"/>
      <c r="E45" s="94">
        <f>IFERROR(VLOOKUP($B45,'RoC1'!$A$1:$B$160,2,0),"0")</f>
        <v>29</v>
      </c>
      <c r="F45" s="95">
        <f>IFERROR(VLOOKUP(E45,'RoC1'!$B$1:$C$160,2,0),0)</f>
        <v>244.3108415</v>
      </c>
      <c r="G45" s="94">
        <f>IFERROR(VLOOKUP($B45,'RoC2'!$A$1:$B$161,2,0),"0")</f>
        <v>30</v>
      </c>
      <c r="H45" s="95">
        <f>IFERROR(VLOOKUP(G45,'RoC2'!$B$1:$C$161,2,0),0)</f>
        <v>305.5891841</v>
      </c>
      <c r="I45" s="94">
        <f>IFERROR(VLOOKUP($B45,'RoC3'!$A$1:$B$161,2,0),0)</f>
        <v>35</v>
      </c>
      <c r="J45" s="95">
        <f>IFERROR(VLOOKUP(I45,'RoC3'!$B$1:$C$161,2,0),0)</f>
        <v>250.3046186</v>
      </c>
      <c r="K45" s="94">
        <f>IFERROR(VLOOKUP($B45,'RoC4'!$A$1:$B$161,2,0),0)</f>
        <v>22</v>
      </c>
      <c r="L45" s="95">
        <f>IFERROR(VLOOKUP(K45,'RoC4'!$B$1:$C$161,2,0),0)</f>
        <v>375.5539898</v>
      </c>
      <c r="M45" s="94">
        <f>IFERROR(VLOOKUP($B45,'RoC5'!$A$1:$B$161,2,0),0)</f>
        <v>0</v>
      </c>
      <c r="N45" s="95">
        <f>IFERROR(VLOOKUP(M45,'RoC5'!$B$1:$C$161,2,0),0)</f>
        <v>0</v>
      </c>
      <c r="O45" s="94">
        <f>IFERROR(VLOOKUP($B45,'RoC6'!$A$1:$B$161,2,0),0)</f>
        <v>43</v>
      </c>
      <c r="P45" s="95">
        <f>IFERROR(VLOOKUP(O45,'RoC6'!$B$1:$C$161,2,0),0)</f>
        <v>104.372308</v>
      </c>
      <c r="Q45" s="94">
        <f>IFERROR(VLOOKUP($B45,'RoC7'!$A$1:$B$161,2,0),0)</f>
        <v>49</v>
      </c>
      <c r="R45" s="95">
        <f>IFERROR(VLOOKUP(Q45,'RoC7'!$B$1:$C$161,2,0),0)</f>
        <v>84.97316557</v>
      </c>
      <c r="S45" s="94">
        <f>IFERROR(VLOOKUP($B45,'RoC8'!$A$1:$B$161,2,0),0)</f>
        <v>39</v>
      </c>
      <c r="T45" s="95">
        <f>IFERROR(VLOOKUP(S45,'RoC8'!$B$1:$C$161,2,0),0)</f>
        <v>61.48563302</v>
      </c>
      <c r="U45" s="94">
        <f>IFERROR(VLOOKUP($B45,'RoC9'!$A$1:$B$161,2,0),0)</f>
        <v>0</v>
      </c>
      <c r="V45" s="95">
        <f>IFERROR(VLOOKUP(U45,'RoC9'!$B$1:$C$161,2,0),0)</f>
        <v>0</v>
      </c>
      <c r="W45" s="94">
        <f>IFERROR(VLOOKUP($B45,'RoC10'!$A$1:$B$161,2,0),0)</f>
        <v>0</v>
      </c>
      <c r="X45" s="95">
        <f>IFERROR(VLOOKUP(W45,'RoC10'!$B$1:$C$161,2,0),0)</f>
        <v>0</v>
      </c>
      <c r="Y45" s="94">
        <f>IFERROR(VLOOKUP($B45,'RoC11'!$A$1:$B$161,2,0),0)</f>
        <v>11</v>
      </c>
      <c r="Z45" s="95">
        <f>IFERROR(VLOOKUP(Y45,'RoC11'!$B$1:$C$161,2,0),0)</f>
        <v>499.6123751</v>
      </c>
      <c r="AA45" s="95">
        <f>IFERROR(VLOOKUP(E45,'RoC1'!$B$1:$C$160,2,0),0)</f>
        <v>244.3108415</v>
      </c>
      <c r="AB45" s="95">
        <f>IFERROR(VLOOKUP(G45,'RoC2'!$B$1:$C$160,2,0),0)</f>
        <v>305.5891841</v>
      </c>
      <c r="AC45" s="95">
        <f>IFERROR(VLOOKUP(I45,'RoC3'!$B$1:$C$160,2,0),0)</f>
        <v>250.3046186</v>
      </c>
      <c r="AD45" s="95">
        <f>IFERROR(VLOOKUP(K45,'RoC4'!$B$1:$C$160,2,0),0)</f>
        <v>375.5539898</v>
      </c>
      <c r="AE45" s="95">
        <f>IFERROR(VLOOKUP(M45,'RoC5'!$B$1:$C$160,2,0),0)</f>
        <v>0</v>
      </c>
      <c r="AF45" s="95">
        <f>IFERROR(VLOOKUP(O45,'RoC6'!$B$1:$C$160,2,0),0)</f>
        <v>104.372308</v>
      </c>
      <c r="AG45" s="95">
        <f>IFERROR(VLOOKUP(Q45,'RoC7'!$B$1:$C$160,2,0),0)</f>
        <v>84.97316557</v>
      </c>
      <c r="AH45" s="95">
        <f>IFERROR(VLOOKUP(S45,'RoC8'!$B$1:$C$160,2,0),0)</f>
        <v>61.48563302</v>
      </c>
      <c r="AI45" s="95">
        <f>IFERROR(VLOOKUP(U45,'RoC9'!$B$1:$C$160,2,0),0)</f>
        <v>0</v>
      </c>
      <c r="AJ45" s="95">
        <f>IFERROR(VLOOKUP(W45,'RoC10'!$B$1:$C$160,2,0),0)</f>
        <v>0</v>
      </c>
      <c r="AK45" s="95">
        <f>IFERROR(VLOOKUP(Y45,'RoC11'!$B$1:$C$160,2,0),0)</f>
        <v>499.6123751</v>
      </c>
    </row>
    <row r="46" ht="15.75" customHeight="1">
      <c r="A46" s="135">
        <v>45.0</v>
      </c>
      <c r="B46" s="17" t="s">
        <v>70</v>
      </c>
      <c r="C46" s="93">
        <f t="shared" si="1"/>
        <v>1916.657095</v>
      </c>
      <c r="D46" s="136"/>
      <c r="E46" s="137" t="str">
        <f>IFERROR(VLOOKUP($B46,'RoC1'!$A$1:$B$160,2,0),"0")</f>
        <v>0</v>
      </c>
      <c r="F46" s="97">
        <f>IFERROR(VLOOKUP(E46,'RoC1'!$B$1:$C$160,2,0),0)</f>
        <v>0</v>
      </c>
      <c r="G46" s="137" t="str">
        <f>IFERROR(VLOOKUP($B46,'RoC2'!$A$1:$B$161,2,0),"0")</f>
        <v>0</v>
      </c>
      <c r="H46" s="97">
        <f>IFERROR(VLOOKUP(G46,'RoC2'!$B$1:$C$161,2,0),0)</f>
        <v>0</v>
      </c>
      <c r="I46" s="137">
        <f>IFERROR(VLOOKUP($B46,'RoC3'!$A$1:$B$161,2,0),0)</f>
        <v>0</v>
      </c>
      <c r="J46" s="97">
        <f>IFERROR(VLOOKUP(I46,'RoC3'!$B$1:$C$161,2,0),0)</f>
        <v>0</v>
      </c>
      <c r="K46" s="137">
        <f>IFERROR(VLOOKUP($B46,'RoC4'!$A$1:$B$161,2,0),0)</f>
        <v>49</v>
      </c>
      <c r="L46" s="97">
        <f>IFERROR(VLOOKUP(K46,'RoC4'!$B$1:$C$161,2,0),0)</f>
        <v>30.74178142</v>
      </c>
      <c r="M46" s="137">
        <f>IFERROR(VLOOKUP($B46,'RoC5'!$A$1:$B$161,2,0),0)</f>
        <v>3</v>
      </c>
      <c r="N46" s="97">
        <f>IFERROR(VLOOKUP(M46,'RoC5'!$B$1:$C$161,2,0),0)</f>
        <v>1060.009133</v>
      </c>
      <c r="O46" s="137">
        <f>IFERROR(VLOOKUP($B46,'RoC6'!$A$1:$B$161,2,0),0)</f>
        <v>37</v>
      </c>
      <c r="P46" s="97">
        <f>IFERROR(VLOOKUP(O46,'RoC6'!$B$1:$C$161,2,0),0)</f>
        <v>173.3891641</v>
      </c>
      <c r="Q46" s="137">
        <f>IFERROR(VLOOKUP($B46,'RoC7'!$A$1:$B$161,2,0),0)</f>
        <v>0</v>
      </c>
      <c r="R46" s="97">
        <f>IFERROR(VLOOKUP(Q46,'RoC7'!$B$1:$C$161,2,0),0)</f>
        <v>0</v>
      </c>
      <c r="S46" s="137">
        <f>IFERROR(VLOOKUP($B46,'RoC8'!$A$1:$B$161,2,0),0)</f>
        <v>37</v>
      </c>
      <c r="T46" s="97">
        <f>IFERROR(VLOOKUP(S46,'RoC8'!$B$1:$C$161,2,0),0)</f>
        <v>87.22026564</v>
      </c>
      <c r="U46" s="137">
        <f>IFERROR(VLOOKUP($B46,'RoC9'!$A$1:$B$161,2,0),0)</f>
        <v>15</v>
      </c>
      <c r="V46" s="97">
        <f>IFERROR(VLOOKUP(U46,'RoC9'!$B$1:$C$161,2,0),0)</f>
        <v>460.6259045</v>
      </c>
      <c r="W46" s="137">
        <f>IFERROR(VLOOKUP($B46,'RoC10'!$A$1:$B$161,2,0),0)</f>
        <v>0</v>
      </c>
      <c r="X46" s="97">
        <f>IFERROR(VLOOKUP(W46,'RoC10'!$B$1:$C$161,2,0),0)</f>
        <v>0</v>
      </c>
      <c r="Y46" s="137">
        <f>IFERROR(VLOOKUP($B46,'RoC11'!$A$1:$B$161,2,0),0)</f>
        <v>30</v>
      </c>
      <c r="Z46" s="97">
        <f>IFERROR(VLOOKUP(Y46,'RoC11'!$B$1:$C$161,2,0),0)</f>
        <v>104.6708466</v>
      </c>
      <c r="AA46" s="97">
        <f>IFERROR(VLOOKUP(E46,'RoC1'!$B$1:$C$160,2,0),0)</f>
        <v>0</v>
      </c>
      <c r="AB46" s="97">
        <f>IFERROR(VLOOKUP(G46,'RoC2'!$B$1:$C$160,2,0),0)</f>
        <v>0</v>
      </c>
      <c r="AC46" s="97">
        <f>IFERROR(VLOOKUP(I46,'RoC3'!$B$1:$C$160,2,0),0)</f>
        <v>0</v>
      </c>
      <c r="AD46" s="97">
        <f>IFERROR(VLOOKUP(K46,'RoC4'!$B$1:$C$160,2,0),0)</f>
        <v>30.74178142</v>
      </c>
      <c r="AE46" s="97">
        <f>IFERROR(VLOOKUP(M46,'RoC5'!$B$1:$C$160,2,0),0)</f>
        <v>1060.009133</v>
      </c>
      <c r="AF46" s="97">
        <f>IFERROR(VLOOKUP(O46,'RoC6'!$B$1:$C$160,2,0),0)</f>
        <v>173.3891641</v>
      </c>
      <c r="AG46" s="97">
        <f>IFERROR(VLOOKUP(Q46,'RoC7'!$B$1:$C$160,2,0),0)</f>
        <v>0</v>
      </c>
      <c r="AH46" s="97">
        <f>IFERROR(VLOOKUP(S46,'RoC8'!$B$1:$C$160,2,0),0)</f>
        <v>87.22026564</v>
      </c>
      <c r="AI46" s="97">
        <f>IFERROR(VLOOKUP(U46,'RoC9'!$B$1:$C$160,2,0),0)</f>
        <v>460.6259045</v>
      </c>
      <c r="AJ46" s="97">
        <f>IFERROR(VLOOKUP(W46,'RoC10'!$B$1:$C$160,2,0),0)</f>
        <v>0</v>
      </c>
      <c r="AK46" s="97">
        <f>IFERROR(VLOOKUP(Y46,'RoC11'!$B$1:$C$160,2,0),0)</f>
        <v>104.6708466</v>
      </c>
    </row>
    <row r="47" ht="15.75" customHeight="1">
      <c r="A47" s="135">
        <v>46.0</v>
      </c>
      <c r="B47" s="24" t="s">
        <v>70</v>
      </c>
      <c r="C47" s="93">
        <f t="shared" si="1"/>
        <v>1916.657095</v>
      </c>
      <c r="D47" s="136"/>
      <c r="E47" s="137" t="str">
        <f>IFERROR(VLOOKUP($B47,'RoC1'!$A$1:$B$160,2,0),"0")</f>
        <v>0</v>
      </c>
      <c r="F47" s="97">
        <f>IFERROR(VLOOKUP(E47,'RoC1'!$B$1:$C$160,2,0),0)</f>
        <v>0</v>
      </c>
      <c r="G47" s="137" t="str">
        <f>IFERROR(VLOOKUP($B47,'RoC2'!$A$1:$B$161,2,0),"0")</f>
        <v>0</v>
      </c>
      <c r="H47" s="97">
        <f>IFERROR(VLOOKUP(G47,'RoC2'!$B$1:$C$161,2,0),0)</f>
        <v>0</v>
      </c>
      <c r="I47" s="137">
        <f>IFERROR(VLOOKUP($B47,'RoC3'!$A$1:$B$161,2,0),0)</f>
        <v>0</v>
      </c>
      <c r="J47" s="97">
        <f>IFERROR(VLOOKUP(I47,'RoC3'!$B$1:$C$161,2,0),0)</f>
        <v>0</v>
      </c>
      <c r="K47" s="137">
        <f>IFERROR(VLOOKUP($B47,'RoC4'!$A$1:$B$161,2,0),0)</f>
        <v>49</v>
      </c>
      <c r="L47" s="97">
        <f>IFERROR(VLOOKUP(K47,'RoC4'!$B$1:$C$161,2,0),0)</f>
        <v>30.74178142</v>
      </c>
      <c r="M47" s="137">
        <f>IFERROR(VLOOKUP($B47,'RoC5'!$A$1:$B$161,2,0),0)</f>
        <v>3</v>
      </c>
      <c r="N47" s="97">
        <f>IFERROR(VLOOKUP(M47,'RoC5'!$B$1:$C$161,2,0),0)</f>
        <v>1060.009133</v>
      </c>
      <c r="O47" s="137">
        <f>IFERROR(VLOOKUP($B47,'RoC6'!$A$1:$B$161,2,0),0)</f>
        <v>37</v>
      </c>
      <c r="P47" s="97">
        <f>IFERROR(VLOOKUP(O47,'RoC6'!$B$1:$C$161,2,0),0)</f>
        <v>173.3891641</v>
      </c>
      <c r="Q47" s="137">
        <f>IFERROR(VLOOKUP($B47,'RoC7'!$A$1:$B$161,2,0),0)</f>
        <v>0</v>
      </c>
      <c r="R47" s="97">
        <f>IFERROR(VLOOKUP(Q47,'RoC7'!$B$1:$C$161,2,0),0)</f>
        <v>0</v>
      </c>
      <c r="S47" s="137">
        <f>IFERROR(VLOOKUP($B47,'RoC8'!$A$1:$B$161,2,0),0)</f>
        <v>37</v>
      </c>
      <c r="T47" s="97">
        <f>IFERROR(VLOOKUP(S47,'RoC8'!$B$1:$C$161,2,0),0)</f>
        <v>87.22026564</v>
      </c>
      <c r="U47" s="137">
        <f>IFERROR(VLOOKUP($B47,'RoC9'!$A$1:$B$161,2,0),0)</f>
        <v>15</v>
      </c>
      <c r="V47" s="97">
        <f>IFERROR(VLOOKUP(U47,'RoC9'!$B$1:$C$161,2,0),0)</f>
        <v>460.6259045</v>
      </c>
      <c r="W47" s="137">
        <f>IFERROR(VLOOKUP($B47,'RoC10'!$A$1:$B$161,2,0),0)</f>
        <v>0</v>
      </c>
      <c r="X47" s="97">
        <f>IFERROR(VLOOKUP(W47,'RoC10'!$B$1:$C$161,2,0),0)</f>
        <v>0</v>
      </c>
      <c r="Y47" s="137">
        <f>IFERROR(VLOOKUP($B47,'RoC11'!$A$1:$B$161,2,0),0)</f>
        <v>30</v>
      </c>
      <c r="Z47" s="97">
        <f>IFERROR(VLOOKUP(Y47,'RoC11'!$B$1:$C$161,2,0),0)</f>
        <v>104.6708466</v>
      </c>
      <c r="AA47" s="97">
        <f>IFERROR(VLOOKUP(E47,'RoC1'!$B$1:$C$160,2,0),0)</f>
        <v>0</v>
      </c>
      <c r="AB47" s="97">
        <f>IFERROR(VLOOKUP(G47,'RoC2'!$B$1:$C$160,2,0),0)</f>
        <v>0</v>
      </c>
      <c r="AC47" s="97">
        <f>IFERROR(VLOOKUP(I47,'RoC3'!$B$1:$C$160,2,0),0)</f>
        <v>0</v>
      </c>
      <c r="AD47" s="97">
        <f>IFERROR(VLOOKUP(K47,'RoC4'!$B$1:$C$160,2,0),0)</f>
        <v>30.74178142</v>
      </c>
      <c r="AE47" s="97">
        <f>IFERROR(VLOOKUP(M47,'RoC5'!$B$1:$C$160,2,0),0)</f>
        <v>1060.009133</v>
      </c>
      <c r="AF47" s="97">
        <f>IFERROR(VLOOKUP(O47,'RoC6'!$B$1:$C$160,2,0),0)</f>
        <v>173.3891641</v>
      </c>
      <c r="AG47" s="97">
        <f>IFERROR(VLOOKUP(Q47,'RoC7'!$B$1:$C$160,2,0),0)</f>
        <v>0</v>
      </c>
      <c r="AH47" s="97">
        <f>IFERROR(VLOOKUP(S47,'RoC8'!$B$1:$C$160,2,0),0)</f>
        <v>87.22026564</v>
      </c>
      <c r="AI47" s="97">
        <f>IFERROR(VLOOKUP(U47,'RoC9'!$B$1:$C$160,2,0),0)</f>
        <v>460.6259045</v>
      </c>
      <c r="AJ47" s="97">
        <f>IFERROR(VLOOKUP(W47,'RoC10'!$B$1:$C$160,2,0),0)</f>
        <v>0</v>
      </c>
      <c r="AK47" s="97">
        <f>IFERROR(VLOOKUP(Y47,'RoC11'!$B$1:$C$160,2,0),0)</f>
        <v>104.6708466</v>
      </c>
    </row>
    <row r="48" ht="15.75" customHeight="1">
      <c r="A48" s="135">
        <v>47.0</v>
      </c>
      <c r="B48" s="6" t="s">
        <v>51</v>
      </c>
      <c r="C48" s="93">
        <f t="shared" si="1"/>
        <v>1903.856867</v>
      </c>
      <c r="D48" s="93"/>
      <c r="E48" s="94">
        <f>IFERROR(VLOOKUP($B48,'RoC1'!$A$1:$B$160,2,0),"0")</f>
        <v>18</v>
      </c>
      <c r="F48" s="95">
        <f>IFERROR(VLOOKUP(E48,'RoC1'!$B$1:$C$160,2,0),0)</f>
        <v>426.6343418</v>
      </c>
      <c r="G48" s="94" t="str">
        <f>IFERROR(VLOOKUP($B48,'RoC2'!$A$1:$B$161,2,0),"0")</f>
        <v>0</v>
      </c>
      <c r="H48" s="95">
        <f>IFERROR(VLOOKUP(G48,'RoC2'!$B$1:$C$161,2,0),0)</f>
        <v>0</v>
      </c>
      <c r="I48" s="94">
        <f>IFERROR(VLOOKUP($B48,'RoC3'!$A$1:$B$161,2,0),0)</f>
        <v>16</v>
      </c>
      <c r="J48" s="95">
        <f>IFERROR(VLOOKUP(I48,'RoC3'!$B$1:$C$161,2,0),0)</f>
        <v>535.7578541</v>
      </c>
      <c r="K48" s="94">
        <f>IFERROR(VLOOKUP($B48,'RoC4'!$A$1:$B$161,2,0),0)</f>
        <v>30</v>
      </c>
      <c r="L48" s="95">
        <f>IFERROR(VLOOKUP(K48,'RoC4'!$B$1:$C$161,2,0),0)</f>
        <v>254.8585236</v>
      </c>
      <c r="M48" s="94">
        <f>IFERROR(VLOOKUP($B48,'RoC5'!$A$1:$B$161,2,0),0)</f>
        <v>0</v>
      </c>
      <c r="N48" s="95">
        <f>IFERROR(VLOOKUP(M48,'RoC5'!$B$1:$C$161,2,0),0)</f>
        <v>0</v>
      </c>
      <c r="O48" s="94">
        <f>IFERROR(VLOOKUP($B48,'RoC6'!$A$1:$B$161,2,0),0)</f>
        <v>0</v>
      </c>
      <c r="P48" s="95">
        <f>IFERROR(VLOOKUP(O48,'RoC6'!$B$1:$C$161,2,0),0)</f>
        <v>0</v>
      </c>
      <c r="Q48" s="94">
        <f>IFERROR(VLOOKUP($B48,'RoC7'!$A$1:$B$161,2,0),0)</f>
        <v>0</v>
      </c>
      <c r="R48" s="95">
        <f>IFERROR(VLOOKUP(Q48,'RoC7'!$B$1:$C$161,2,0),0)</f>
        <v>0</v>
      </c>
      <c r="S48" s="94">
        <f>IFERROR(VLOOKUP($B48,'RoC8'!$A$1:$B$161,2,0),0)</f>
        <v>21</v>
      </c>
      <c r="T48" s="95">
        <f>IFERROR(VLOOKUP(S48,'RoC8'!$B$1:$C$161,2,0),0)</f>
        <v>330.1739523</v>
      </c>
      <c r="U48" s="94">
        <f>IFERROR(VLOOKUP($B48,'RoC9'!$A$1:$B$161,2,0),0)</f>
        <v>0</v>
      </c>
      <c r="V48" s="95">
        <f>IFERROR(VLOOKUP(U48,'RoC9'!$B$1:$C$161,2,0),0)</f>
        <v>0</v>
      </c>
      <c r="W48" s="94">
        <f>IFERROR(VLOOKUP($B48,'RoC10'!$A$1:$B$161,2,0),0)</f>
        <v>31</v>
      </c>
      <c r="X48" s="95">
        <f>IFERROR(VLOOKUP(W48,'RoC10'!$B$1:$C$161,2,0),0)</f>
        <v>114.0539713</v>
      </c>
      <c r="Y48" s="94">
        <f>IFERROR(VLOOKUP($B48,'RoC11'!$A$1:$B$161,2,0),0)</f>
        <v>22</v>
      </c>
      <c r="Z48" s="95">
        <f>IFERROR(VLOOKUP(Y48,'RoC11'!$B$1:$C$161,2,0),0)</f>
        <v>242.3782242</v>
      </c>
      <c r="AA48" s="95">
        <f>IFERROR(VLOOKUP(E48,'RoC1'!$B$1:$C$160,2,0),0)</f>
        <v>426.6343418</v>
      </c>
      <c r="AB48" s="95">
        <f>IFERROR(VLOOKUP(G48,'RoC2'!$B$1:$C$160,2,0),0)</f>
        <v>0</v>
      </c>
      <c r="AC48" s="95">
        <f>IFERROR(VLOOKUP(I48,'RoC3'!$B$1:$C$160,2,0),0)</f>
        <v>535.7578541</v>
      </c>
      <c r="AD48" s="95">
        <f>IFERROR(VLOOKUP(K48,'RoC4'!$B$1:$C$160,2,0),0)</f>
        <v>254.8585236</v>
      </c>
      <c r="AE48" s="95">
        <f>IFERROR(VLOOKUP(M48,'RoC5'!$B$1:$C$160,2,0),0)</f>
        <v>0</v>
      </c>
      <c r="AF48" s="95">
        <f>IFERROR(VLOOKUP(O48,'RoC6'!$B$1:$C$160,2,0),0)</f>
        <v>0</v>
      </c>
      <c r="AG48" s="95">
        <f>IFERROR(VLOOKUP(Q48,'RoC7'!$B$1:$C$160,2,0),0)</f>
        <v>0</v>
      </c>
      <c r="AH48" s="95">
        <f>IFERROR(VLOOKUP(S48,'RoC8'!$B$1:$C$160,2,0),0)</f>
        <v>330.1739523</v>
      </c>
      <c r="AI48" s="95">
        <f>IFERROR(VLOOKUP(U48,'RoC9'!$B$1:$C$160,2,0),0)</f>
        <v>0</v>
      </c>
      <c r="AJ48" s="95">
        <f>IFERROR(VLOOKUP(W48,'RoC10'!$B$1:$C$160,2,0),0)</f>
        <v>114.0539713</v>
      </c>
      <c r="AK48" s="95">
        <f>IFERROR(VLOOKUP(Y48,'RoC11'!$B$1:$C$160,2,0),0)</f>
        <v>242.3782242</v>
      </c>
    </row>
    <row r="49" ht="15.75" customHeight="1">
      <c r="A49" s="135">
        <v>48.0</v>
      </c>
      <c r="B49" s="24" t="s">
        <v>68</v>
      </c>
      <c r="C49" s="93">
        <f t="shared" si="1"/>
        <v>1889.565598</v>
      </c>
      <c r="D49" s="136"/>
      <c r="E49" s="137" t="str">
        <f>IFERROR(VLOOKUP($B49,'RoC1'!$A$1:$B$160,2,0),"0")</f>
        <v>0</v>
      </c>
      <c r="F49" s="97">
        <f>IFERROR(VLOOKUP(E49,'RoC1'!$B$1:$C$160,2,0),0)</f>
        <v>0</v>
      </c>
      <c r="G49" s="137" t="str">
        <f>IFERROR(VLOOKUP($B49,'RoC2'!$A$1:$B$161,2,0),"0")</f>
        <v>0</v>
      </c>
      <c r="H49" s="97">
        <f>IFERROR(VLOOKUP(G49,'RoC2'!$B$1:$C$161,2,0),0)</f>
        <v>0</v>
      </c>
      <c r="I49" s="137">
        <f>IFERROR(VLOOKUP($B49,'RoC3'!$A$1:$B$161,2,0),0)</f>
        <v>0</v>
      </c>
      <c r="J49" s="97">
        <f>IFERROR(VLOOKUP(I49,'RoC3'!$B$1:$C$161,2,0),0)</f>
        <v>0</v>
      </c>
      <c r="K49" s="137">
        <f>IFERROR(VLOOKUP($B49,'RoC4'!$A$1:$B$161,2,0),0)</f>
        <v>0</v>
      </c>
      <c r="L49" s="97">
        <f>IFERROR(VLOOKUP(K49,'RoC4'!$B$1:$C$161,2,0),0)</f>
        <v>0</v>
      </c>
      <c r="M49" s="137">
        <f>IFERROR(VLOOKUP($B49,'RoC5'!$A$1:$B$161,2,0),0)</f>
        <v>13</v>
      </c>
      <c r="N49" s="97">
        <f>IFERROR(VLOOKUP(M49,'RoC5'!$B$1:$C$161,2,0),0)</f>
        <v>608.019246</v>
      </c>
      <c r="O49" s="137">
        <f>IFERROR(VLOOKUP($B49,'RoC6'!$A$1:$B$161,2,0),0)</f>
        <v>10</v>
      </c>
      <c r="P49" s="97">
        <f>IFERROR(VLOOKUP(O49,'RoC6'!$B$1:$C$161,2,0),0)</f>
        <v>646.280209</v>
      </c>
      <c r="Q49" s="137">
        <f>IFERROR(VLOOKUP($B49,'RoC7'!$A$1:$B$161,2,0),0)</f>
        <v>0</v>
      </c>
      <c r="R49" s="97">
        <f>IFERROR(VLOOKUP(Q49,'RoC7'!$B$1:$C$161,2,0),0)</f>
        <v>0</v>
      </c>
      <c r="S49" s="137">
        <f>IFERROR(VLOOKUP($B49,'RoC8'!$A$1:$B$161,2,0),0)</f>
        <v>9</v>
      </c>
      <c r="T49" s="97">
        <f>IFERROR(VLOOKUP(S49,'RoC8'!$B$1:$C$161,2,0),0)</f>
        <v>620.9794281</v>
      </c>
      <c r="U49" s="137">
        <f>IFERROR(VLOOKUP($B49,'RoC9'!$A$1:$B$161,2,0),0)</f>
        <v>0</v>
      </c>
      <c r="V49" s="97">
        <f>IFERROR(VLOOKUP(U49,'RoC9'!$B$1:$C$161,2,0),0)</f>
        <v>0</v>
      </c>
      <c r="W49" s="137">
        <f>IFERROR(VLOOKUP($B49,'RoC10'!$A$1:$B$161,2,0),0)</f>
        <v>0</v>
      </c>
      <c r="X49" s="97">
        <f>IFERROR(VLOOKUP(W49,'RoC10'!$B$1:$C$161,2,0),0)</f>
        <v>0</v>
      </c>
      <c r="Y49" s="137">
        <f>IFERROR(VLOOKUP($B49,'RoC11'!$A$1:$B$161,2,0),0)</f>
        <v>36</v>
      </c>
      <c r="Z49" s="97">
        <f>IFERROR(VLOOKUP(Y49,'RoC11'!$B$1:$C$161,2,0),0)</f>
        <v>14.28671513</v>
      </c>
      <c r="AA49" s="97">
        <f>IFERROR(VLOOKUP(E49,'RoC1'!$B$1:$C$160,2,0),0)</f>
        <v>0</v>
      </c>
      <c r="AB49" s="97">
        <f>IFERROR(VLOOKUP(G49,'RoC2'!$B$1:$C$160,2,0),0)</f>
        <v>0</v>
      </c>
      <c r="AC49" s="97">
        <f>IFERROR(VLOOKUP(I49,'RoC3'!$B$1:$C$160,2,0),0)</f>
        <v>0</v>
      </c>
      <c r="AD49" s="97">
        <f>IFERROR(VLOOKUP(K49,'RoC4'!$B$1:$C$160,2,0),0)</f>
        <v>0</v>
      </c>
      <c r="AE49" s="97">
        <f>IFERROR(VLOOKUP(M49,'RoC5'!$B$1:$C$160,2,0),0)</f>
        <v>608.019246</v>
      </c>
      <c r="AF49" s="97">
        <f>IFERROR(VLOOKUP(O49,'RoC6'!$B$1:$C$160,2,0),0)</f>
        <v>646.280209</v>
      </c>
      <c r="AG49" s="97">
        <f>IFERROR(VLOOKUP(Q49,'RoC7'!$B$1:$C$160,2,0),0)</f>
        <v>0</v>
      </c>
      <c r="AH49" s="97">
        <f>IFERROR(VLOOKUP(S49,'RoC8'!$B$1:$C$160,2,0),0)</f>
        <v>620.9794281</v>
      </c>
      <c r="AI49" s="97">
        <f>IFERROR(VLOOKUP(U49,'RoC9'!$B$1:$C$160,2,0),0)</f>
        <v>0</v>
      </c>
      <c r="AJ49" s="97">
        <f>IFERROR(VLOOKUP(W49,'RoC10'!$B$1:$C$160,2,0),0)</f>
        <v>0</v>
      </c>
      <c r="AK49" s="97">
        <f>IFERROR(VLOOKUP(Y49,'RoC11'!$B$1:$C$160,2,0),0)</f>
        <v>14.28671513</v>
      </c>
    </row>
    <row r="50" ht="15.75" customHeight="1">
      <c r="A50" s="135">
        <v>49.0</v>
      </c>
      <c r="B50" s="24" t="s">
        <v>61</v>
      </c>
      <c r="C50" s="93">
        <f t="shared" si="1"/>
        <v>1776.30372</v>
      </c>
      <c r="D50" s="136"/>
      <c r="E50" s="137" t="str">
        <f>IFERROR(VLOOKUP($B50,'RoC1'!$A$1:$B$160,2,0),"0")</f>
        <v>0</v>
      </c>
      <c r="F50" s="97">
        <f>IFERROR(VLOOKUP(E50,'RoC1'!$B$1:$C$160,2,0),0)</f>
        <v>0</v>
      </c>
      <c r="G50" s="137" t="str">
        <f>IFERROR(VLOOKUP($B50,'RoC2'!$A$1:$B$161,2,0),"0")</f>
        <v>0</v>
      </c>
      <c r="H50" s="97">
        <f>IFERROR(VLOOKUP(G50,'RoC2'!$B$1:$C$161,2,0),0)</f>
        <v>0</v>
      </c>
      <c r="I50" s="137">
        <f>IFERROR(VLOOKUP($B50,'RoC3'!$A$1:$B$161,2,0),0)</f>
        <v>0</v>
      </c>
      <c r="J50" s="97">
        <f>IFERROR(VLOOKUP(I50,'RoC3'!$B$1:$C$161,2,0),0)</f>
        <v>0</v>
      </c>
      <c r="K50" s="137">
        <f>IFERROR(VLOOKUP($B50,'RoC4'!$A$1:$B$161,2,0),0)</f>
        <v>0</v>
      </c>
      <c r="L50" s="97">
        <f>IFERROR(VLOOKUP(K50,'RoC4'!$B$1:$C$161,2,0),0)</f>
        <v>0</v>
      </c>
      <c r="M50" s="137">
        <f>IFERROR(VLOOKUP($B50,'RoC5'!$A$1:$B$161,2,0),0)</f>
        <v>0</v>
      </c>
      <c r="N50" s="97">
        <f>IFERROR(VLOOKUP(M50,'RoC5'!$B$1:$C$161,2,0),0)</f>
        <v>0</v>
      </c>
      <c r="O50" s="137">
        <f>IFERROR(VLOOKUP($B50,'RoC6'!$A$1:$B$161,2,0),0)</f>
        <v>5</v>
      </c>
      <c r="P50" s="97">
        <f>IFERROR(VLOOKUP(O50,'RoC6'!$B$1:$C$161,2,0),0)</f>
        <v>857.9285837</v>
      </c>
      <c r="Q50" s="137">
        <f>IFERROR(VLOOKUP($B50,'RoC7'!$A$1:$B$161,2,0),0)</f>
        <v>0</v>
      </c>
      <c r="R50" s="97">
        <f>IFERROR(VLOOKUP(Q50,'RoC7'!$B$1:$C$161,2,0),0)</f>
        <v>0</v>
      </c>
      <c r="S50" s="137">
        <f>IFERROR(VLOOKUP($B50,'RoC8'!$A$1:$B$161,2,0),0)</f>
        <v>13</v>
      </c>
      <c r="T50" s="97">
        <f>IFERROR(VLOOKUP(S50,'RoC8'!$B$1:$C$161,2,0),0)</f>
        <v>501.7017915</v>
      </c>
      <c r="U50" s="137">
        <f>IFERROR(VLOOKUP($B50,'RoC9'!$A$1:$B$161,2,0),0)</f>
        <v>17</v>
      </c>
      <c r="V50" s="97">
        <f>IFERROR(VLOOKUP(U50,'RoC9'!$B$1:$C$161,2,0),0)</f>
        <v>416.673345</v>
      </c>
      <c r="W50" s="137">
        <f>IFERROR(VLOOKUP($B50,'RoC10'!$A$1:$B$161,2,0),0)</f>
        <v>0</v>
      </c>
      <c r="X50" s="97">
        <f>IFERROR(VLOOKUP(W50,'RoC10'!$B$1:$C$161,2,0),0)</f>
        <v>0</v>
      </c>
      <c r="Y50" s="137">
        <f>IFERROR(VLOOKUP($B50,'RoC11'!$A$1:$B$161,2,0),0)</f>
        <v>0</v>
      </c>
      <c r="Z50" s="97">
        <f>IFERROR(VLOOKUP(Y50,'RoC11'!$B$1:$C$161,2,0),0)</f>
        <v>0</v>
      </c>
      <c r="AA50" s="97">
        <f>IFERROR(VLOOKUP(E50,'RoC1'!$B$1:$C$160,2,0),0)</f>
        <v>0</v>
      </c>
      <c r="AB50" s="97">
        <f>IFERROR(VLOOKUP(G50,'RoC2'!$B$1:$C$160,2,0),0)</f>
        <v>0</v>
      </c>
      <c r="AC50" s="97">
        <f>IFERROR(VLOOKUP(I50,'RoC3'!$B$1:$C$160,2,0),0)</f>
        <v>0</v>
      </c>
      <c r="AD50" s="97">
        <f>IFERROR(VLOOKUP(K50,'RoC4'!$B$1:$C$160,2,0),0)</f>
        <v>0</v>
      </c>
      <c r="AE50" s="97">
        <f>IFERROR(VLOOKUP(M50,'RoC5'!$B$1:$C$160,2,0),0)</f>
        <v>0</v>
      </c>
      <c r="AF50" s="97">
        <f>IFERROR(VLOOKUP(O50,'RoC6'!$B$1:$C$160,2,0),0)</f>
        <v>857.9285837</v>
      </c>
      <c r="AG50" s="97">
        <f>IFERROR(VLOOKUP(Q50,'RoC7'!$B$1:$C$160,2,0),0)</f>
        <v>0</v>
      </c>
      <c r="AH50" s="97">
        <f>IFERROR(VLOOKUP(S50,'RoC8'!$B$1:$C$160,2,0),0)</f>
        <v>501.7017915</v>
      </c>
      <c r="AI50" s="97">
        <f>IFERROR(VLOOKUP(U50,'RoC9'!$B$1:$C$160,2,0),0)</f>
        <v>416.673345</v>
      </c>
      <c r="AJ50" s="97">
        <f>IFERROR(VLOOKUP(W50,'RoC10'!$B$1:$C$160,2,0),0)</f>
        <v>0</v>
      </c>
      <c r="AK50" s="97">
        <f>IFERROR(VLOOKUP(Y50,'RoC11'!$B$1:$C$160,2,0),0)</f>
        <v>0</v>
      </c>
    </row>
    <row r="51" ht="15.75" customHeight="1">
      <c r="A51" s="135">
        <v>50.0</v>
      </c>
      <c r="B51" s="6" t="s">
        <v>28</v>
      </c>
      <c r="C51" s="93">
        <f t="shared" si="1"/>
        <v>1753.6113</v>
      </c>
      <c r="D51" s="136"/>
      <c r="E51" s="137">
        <f>IFERROR(VLOOKUP($B51,'RoC1'!$A$1:$B$160,2,0),"0")</f>
        <v>44</v>
      </c>
      <c r="F51" s="97">
        <f>IFERROR(VLOOKUP(E51,'RoC1'!$B$1:$C$160,2,0),0)</f>
        <v>55.03247926</v>
      </c>
      <c r="G51" s="137">
        <f>IFERROR(VLOOKUP($B51,'RoC2'!$A$1:$B$161,2,0),"0")</f>
        <v>46</v>
      </c>
      <c r="H51" s="97">
        <f>IFERROR(VLOOKUP(G51,'RoC2'!$B$1:$C$161,2,0),0)</f>
        <v>123.1045738</v>
      </c>
      <c r="I51" s="137">
        <f>IFERROR(VLOOKUP($B51,'RoC3'!$A$1:$B$161,2,0),0)</f>
        <v>54</v>
      </c>
      <c r="J51" s="97">
        <f>IFERROR(VLOOKUP(I51,'RoC3'!$B$1:$C$161,2,0),0)</f>
        <v>53.90123004</v>
      </c>
      <c r="K51" s="137">
        <f>IFERROR(VLOOKUP($B51,'RoC4'!$A$1:$B$161,2,0),0)</f>
        <v>0</v>
      </c>
      <c r="L51" s="97">
        <f>IFERROR(VLOOKUP(K51,'RoC4'!$B$1:$C$161,2,0),0)</f>
        <v>0</v>
      </c>
      <c r="M51" s="137">
        <f>IFERROR(VLOOKUP($B51,'RoC5'!$A$1:$B$161,2,0),0)</f>
        <v>2</v>
      </c>
      <c r="N51" s="97">
        <f>IFERROR(VLOOKUP(M51,'RoC5'!$B$1:$C$161,2,0),0)</f>
        <v>1193.318682</v>
      </c>
      <c r="O51" s="137">
        <f>IFERROR(VLOOKUP($B51,'RoC6'!$A$1:$B$161,2,0),0)</f>
        <v>0</v>
      </c>
      <c r="P51" s="97">
        <f>IFERROR(VLOOKUP(O51,'RoC6'!$B$1:$C$161,2,0),0)</f>
        <v>0</v>
      </c>
      <c r="Q51" s="137">
        <f>IFERROR(VLOOKUP($B51,'RoC7'!$A$1:$B$161,2,0),0)</f>
        <v>47</v>
      </c>
      <c r="R51" s="97">
        <f>IFERROR(VLOOKUP(Q51,'RoC7'!$B$1:$C$161,2,0),0)</f>
        <v>104.9437379</v>
      </c>
      <c r="S51" s="137">
        <f>IFERROR(VLOOKUP($B51,'RoC8'!$A$1:$B$161,2,0),0)</f>
        <v>0</v>
      </c>
      <c r="T51" s="97">
        <f>IFERROR(VLOOKUP(S51,'RoC8'!$B$1:$C$161,2,0),0)</f>
        <v>0</v>
      </c>
      <c r="U51" s="137">
        <f>IFERROR(VLOOKUP($B51,'RoC9'!$A$1:$B$161,2,0),0)</f>
        <v>28</v>
      </c>
      <c r="V51" s="97">
        <f>IFERROR(VLOOKUP(U51,'RoC9'!$B$1:$C$161,2,0),0)</f>
        <v>223.3105965</v>
      </c>
      <c r="W51" s="137">
        <f>IFERROR(VLOOKUP($B51,'RoC10'!$A$1:$B$161,2,0),0)</f>
        <v>0</v>
      </c>
      <c r="X51" s="97">
        <f>IFERROR(VLOOKUP(W51,'RoC10'!$B$1:$C$161,2,0),0)</f>
        <v>0</v>
      </c>
      <c r="Y51" s="137">
        <f>IFERROR(VLOOKUP($B51,'RoC11'!$A$1:$B$161,2,0),0)</f>
        <v>0</v>
      </c>
      <c r="Z51" s="97">
        <f>IFERROR(VLOOKUP(Y51,'RoC11'!$B$1:$C$161,2,0),0)</f>
        <v>0</v>
      </c>
      <c r="AA51" s="97">
        <f>IFERROR(VLOOKUP(E51,'RoC1'!$B$1:$C$160,2,0),0)</f>
        <v>55.03247926</v>
      </c>
      <c r="AB51" s="97">
        <f>IFERROR(VLOOKUP(G51,'RoC2'!$B$1:$C$160,2,0),0)</f>
        <v>123.1045738</v>
      </c>
      <c r="AC51" s="97">
        <f>IFERROR(VLOOKUP(I51,'RoC3'!$B$1:$C$160,2,0),0)</f>
        <v>53.90123004</v>
      </c>
      <c r="AD51" s="97">
        <f>IFERROR(VLOOKUP(K51,'RoC4'!$B$1:$C$160,2,0),0)</f>
        <v>0</v>
      </c>
      <c r="AE51" s="97">
        <f>IFERROR(VLOOKUP(M51,'RoC5'!$B$1:$C$160,2,0),0)</f>
        <v>1193.318682</v>
      </c>
      <c r="AF51" s="97">
        <f>IFERROR(VLOOKUP(O51,'RoC6'!$B$1:$C$160,2,0),0)</f>
        <v>0</v>
      </c>
      <c r="AG51" s="97">
        <f>IFERROR(VLOOKUP(Q51,'RoC7'!$B$1:$C$160,2,0),0)</f>
        <v>104.9437379</v>
      </c>
      <c r="AH51" s="97">
        <f>IFERROR(VLOOKUP(S51,'RoC8'!$B$1:$C$160,2,0),0)</f>
        <v>0</v>
      </c>
      <c r="AI51" s="97">
        <f>IFERROR(VLOOKUP(U51,'RoC9'!$B$1:$C$160,2,0),0)</f>
        <v>223.3105965</v>
      </c>
      <c r="AJ51" s="97">
        <f>IFERROR(VLOOKUP(W51,'RoC10'!$B$1:$C$160,2,0),0)</f>
        <v>0</v>
      </c>
      <c r="AK51" s="97">
        <f>IFERROR(VLOOKUP(Y51,'RoC11'!$B$1:$C$160,2,0),0)</f>
        <v>0</v>
      </c>
    </row>
    <row r="52" ht="15.75" customHeight="1">
      <c r="A52" s="135">
        <v>51.0</v>
      </c>
      <c r="B52" s="6" t="s">
        <v>18</v>
      </c>
      <c r="C52" s="93">
        <f t="shared" si="1"/>
        <v>1670.789189</v>
      </c>
      <c r="D52" s="136"/>
      <c r="E52" s="137" t="str">
        <f>IFERROR(VLOOKUP($B52,'RoC1'!$A$1:$B$160,2,0),"0")</f>
        <v>0</v>
      </c>
      <c r="F52" s="97">
        <f>IFERROR(VLOOKUP(E52,'RoC1'!$B$1:$C$160,2,0),0)</f>
        <v>0</v>
      </c>
      <c r="G52" s="137">
        <f>IFERROR(VLOOKUP($B52,'RoC2'!$A$1:$B$161,2,0),"0")</f>
        <v>37</v>
      </c>
      <c r="H52" s="97">
        <f>IFERROR(VLOOKUP(G52,'RoC2'!$B$1:$C$161,2,0),0)</f>
        <v>219.9847344</v>
      </c>
      <c r="I52" s="137">
        <f>IFERROR(VLOOKUP($B52,'RoC3'!$A$1:$B$161,2,0),0)</f>
        <v>0</v>
      </c>
      <c r="J52" s="97">
        <f>IFERROR(VLOOKUP(I52,'RoC3'!$B$1:$C$161,2,0),0)</f>
        <v>0</v>
      </c>
      <c r="K52" s="137">
        <f>IFERROR(VLOOKUP($B52,'RoC4'!$A$1:$B$161,2,0),0)</f>
        <v>50</v>
      </c>
      <c r="L52" s="97">
        <f>IFERROR(VLOOKUP(K52,'RoC4'!$B$1:$C$161,2,0),0)</f>
        <v>20.39127071</v>
      </c>
      <c r="M52" s="137">
        <f>IFERROR(VLOOKUP($B52,'RoC5'!$A$1:$B$161,2,0),0)</f>
        <v>44</v>
      </c>
      <c r="N52" s="97">
        <f>IFERROR(VLOOKUP(M52,'RoC5'!$B$1:$C$161,2,0),0)</f>
        <v>158.7624087</v>
      </c>
      <c r="O52" s="137">
        <f>IFERROR(VLOOKUP($B52,'RoC6'!$A$1:$B$161,2,0),0)</f>
        <v>0</v>
      </c>
      <c r="P52" s="97">
        <f>IFERROR(VLOOKUP(O52,'RoC6'!$B$1:$C$161,2,0),0)</f>
        <v>0</v>
      </c>
      <c r="Q52" s="137">
        <f>IFERROR(VLOOKUP($B52,'RoC7'!$A$1:$B$161,2,0),0)</f>
        <v>0</v>
      </c>
      <c r="R52" s="97">
        <f>IFERROR(VLOOKUP(Q52,'RoC7'!$B$1:$C$161,2,0),0)</f>
        <v>0</v>
      </c>
      <c r="S52" s="137">
        <f>IFERROR(VLOOKUP($B52,'RoC8'!$A$1:$B$161,2,0),0)</f>
        <v>0</v>
      </c>
      <c r="T52" s="97">
        <f>IFERROR(VLOOKUP(S52,'RoC8'!$B$1:$C$161,2,0),0)</f>
        <v>0</v>
      </c>
      <c r="U52" s="137">
        <f>IFERROR(VLOOKUP($B52,'RoC9'!$A$1:$B$161,2,0),0)</f>
        <v>7</v>
      </c>
      <c r="V52" s="97">
        <f>IFERROR(VLOOKUP(U52,'RoC9'!$B$1:$C$161,2,0),0)</f>
        <v>705.9257188</v>
      </c>
      <c r="W52" s="137">
        <f>IFERROR(VLOOKUP($B52,'RoC10'!$A$1:$B$161,2,0),0)</f>
        <v>0</v>
      </c>
      <c r="X52" s="97">
        <f>IFERROR(VLOOKUP(W52,'RoC10'!$B$1:$C$161,2,0),0)</f>
        <v>0</v>
      </c>
      <c r="Y52" s="137">
        <f>IFERROR(VLOOKUP($B52,'RoC11'!$A$1:$B$161,2,0),0)</f>
        <v>9</v>
      </c>
      <c r="Z52" s="97">
        <f>IFERROR(VLOOKUP(Y52,'RoC11'!$B$1:$C$161,2,0),0)</f>
        <v>565.7250563</v>
      </c>
      <c r="AA52" s="97">
        <f>IFERROR(VLOOKUP(E52,'RoC1'!$B$1:$C$160,2,0),0)</f>
        <v>0</v>
      </c>
      <c r="AB52" s="97">
        <f>IFERROR(VLOOKUP(G52,'RoC2'!$B$1:$C$160,2,0),0)</f>
        <v>219.9847344</v>
      </c>
      <c r="AC52" s="97">
        <f>IFERROR(VLOOKUP(I52,'RoC3'!$B$1:$C$160,2,0),0)</f>
        <v>0</v>
      </c>
      <c r="AD52" s="97">
        <f>IFERROR(VLOOKUP(K52,'RoC4'!$B$1:$C$160,2,0),0)</f>
        <v>20.39127071</v>
      </c>
      <c r="AE52" s="97">
        <f>IFERROR(VLOOKUP(M52,'RoC5'!$B$1:$C$160,2,0),0)</f>
        <v>158.7624087</v>
      </c>
      <c r="AF52" s="97">
        <f>IFERROR(VLOOKUP(O52,'RoC6'!$B$1:$C$160,2,0),0)</f>
        <v>0</v>
      </c>
      <c r="AG52" s="97">
        <f>IFERROR(VLOOKUP(Q52,'RoC7'!$B$1:$C$160,2,0),0)</f>
        <v>0</v>
      </c>
      <c r="AH52" s="97">
        <f>IFERROR(VLOOKUP(S52,'RoC8'!$B$1:$C$160,2,0),0)</f>
        <v>0</v>
      </c>
      <c r="AI52" s="97">
        <f>IFERROR(VLOOKUP(U52,'RoC9'!$B$1:$C$160,2,0),0)</f>
        <v>705.9257188</v>
      </c>
      <c r="AJ52" s="97">
        <f>IFERROR(VLOOKUP(W52,'RoC10'!$B$1:$C$160,2,0),0)</f>
        <v>0</v>
      </c>
      <c r="AK52" s="97">
        <f>IFERROR(VLOOKUP(Y52,'RoC11'!$B$1:$C$160,2,0),0)</f>
        <v>565.7250563</v>
      </c>
    </row>
    <row r="53" ht="15.75" customHeight="1">
      <c r="A53" s="135">
        <v>52.0</v>
      </c>
      <c r="B53" s="6" t="s">
        <v>64</v>
      </c>
      <c r="C53" s="93">
        <f t="shared" si="1"/>
        <v>1654.708709</v>
      </c>
      <c r="D53" s="136"/>
      <c r="E53" s="137">
        <f>IFERROR(VLOOKUP($B53,'RoC1'!$A$1:$B$160,2,0),"0")</f>
        <v>11</v>
      </c>
      <c r="F53" s="97">
        <f>IFERROR(VLOOKUP(E53,'RoC1'!$B$1:$C$160,2,0),0)</f>
        <v>591.4903569</v>
      </c>
      <c r="G53" s="137">
        <f>IFERROR(VLOOKUP($B53,'RoC2'!$A$1:$B$161,2,0),"0")</f>
        <v>22</v>
      </c>
      <c r="H53" s="97">
        <f>IFERROR(VLOOKUP(G53,'RoC2'!$B$1:$C$161,2,0),0)</f>
        <v>421.3241454</v>
      </c>
      <c r="I53" s="137">
        <f>IFERROR(VLOOKUP($B53,'RoC3'!$A$1:$B$161,2,0),0)</f>
        <v>49</v>
      </c>
      <c r="J53" s="97">
        <f>IFERROR(VLOOKUP(I53,'RoC3'!$B$1:$C$161,2,0),0)</f>
        <v>101.2487175</v>
      </c>
      <c r="K53" s="137">
        <f>IFERROR(VLOOKUP($B53,'RoC4'!$A$1:$B$161,2,0),0)</f>
        <v>43</v>
      </c>
      <c r="L53" s="97">
        <f>IFERROR(VLOOKUP(K53,'RoC4'!$B$1:$C$161,2,0),0)</f>
        <v>95.28667908</v>
      </c>
      <c r="M53" s="137">
        <f>IFERROR(VLOOKUP($B53,'RoC5'!$A$1:$B$161,2,0),0)</f>
        <v>26</v>
      </c>
      <c r="N53" s="97">
        <f>IFERROR(VLOOKUP(M53,'RoC5'!$B$1:$C$161,2,0),0)</f>
        <v>372.8092115</v>
      </c>
      <c r="O53" s="137">
        <f>IFERROR(VLOOKUP($B53,'RoC6'!$A$1:$B$161,2,0),0)</f>
        <v>0</v>
      </c>
      <c r="P53" s="97">
        <f>IFERROR(VLOOKUP(O53,'RoC6'!$B$1:$C$161,2,0),0)</f>
        <v>0</v>
      </c>
      <c r="Q53" s="137">
        <f>IFERROR(VLOOKUP($B53,'RoC7'!$A$1:$B$161,2,0),0)</f>
        <v>0</v>
      </c>
      <c r="R53" s="97">
        <f>IFERROR(VLOOKUP(Q53,'RoC7'!$B$1:$C$161,2,0),0)</f>
        <v>0</v>
      </c>
      <c r="S53" s="137">
        <f>IFERROR(VLOOKUP($B53,'RoC8'!$A$1:$B$161,2,0),0)</f>
        <v>0</v>
      </c>
      <c r="T53" s="97">
        <f>IFERROR(VLOOKUP(S53,'RoC8'!$B$1:$C$161,2,0),0)</f>
        <v>0</v>
      </c>
      <c r="U53" s="137">
        <f>IFERROR(VLOOKUP($B53,'RoC9'!$A$1:$B$161,2,0),0)</f>
        <v>39</v>
      </c>
      <c r="V53" s="97">
        <f>IFERROR(VLOOKUP(U53,'RoC9'!$B$1:$C$161,2,0),0)</f>
        <v>72.54959906</v>
      </c>
      <c r="W53" s="137">
        <f>IFERROR(VLOOKUP($B53,'RoC10'!$A$1:$B$161,2,0),0)</f>
        <v>0</v>
      </c>
      <c r="X53" s="97">
        <f>IFERROR(VLOOKUP(W53,'RoC10'!$B$1:$C$161,2,0),0)</f>
        <v>0</v>
      </c>
      <c r="Y53" s="137">
        <f>IFERROR(VLOOKUP($B53,'RoC11'!$A$1:$B$161,2,0),0)</f>
        <v>0</v>
      </c>
      <c r="Z53" s="97">
        <f>IFERROR(VLOOKUP(Y53,'RoC11'!$B$1:$C$161,2,0),0)</f>
        <v>0</v>
      </c>
      <c r="AA53" s="97">
        <f>IFERROR(VLOOKUP(E53,'RoC1'!$B$1:$C$160,2,0),0)</f>
        <v>591.4903569</v>
      </c>
      <c r="AB53" s="97">
        <f>IFERROR(VLOOKUP(G53,'RoC2'!$B$1:$C$160,2,0),0)</f>
        <v>421.3241454</v>
      </c>
      <c r="AC53" s="97">
        <f>IFERROR(VLOOKUP(I53,'RoC3'!$B$1:$C$160,2,0),0)</f>
        <v>101.2487175</v>
      </c>
      <c r="AD53" s="97">
        <f>IFERROR(VLOOKUP(K53,'RoC4'!$B$1:$C$160,2,0),0)</f>
        <v>95.28667908</v>
      </c>
      <c r="AE53" s="97">
        <f>IFERROR(VLOOKUP(M53,'RoC5'!$B$1:$C$160,2,0),0)</f>
        <v>372.8092115</v>
      </c>
      <c r="AF53" s="97">
        <f>IFERROR(VLOOKUP(O53,'RoC6'!$B$1:$C$160,2,0),0)</f>
        <v>0</v>
      </c>
      <c r="AG53" s="97">
        <f>IFERROR(VLOOKUP(Q53,'RoC7'!$B$1:$C$160,2,0),0)</f>
        <v>0</v>
      </c>
      <c r="AH53" s="97">
        <f>IFERROR(VLOOKUP(S53,'RoC8'!$B$1:$C$160,2,0),0)</f>
        <v>0</v>
      </c>
      <c r="AI53" s="97">
        <f>IFERROR(VLOOKUP(U53,'RoC9'!$B$1:$C$160,2,0),0)</f>
        <v>72.54959906</v>
      </c>
      <c r="AJ53" s="97">
        <f>IFERROR(VLOOKUP(W53,'RoC10'!$B$1:$C$160,2,0),0)</f>
        <v>0</v>
      </c>
      <c r="AK53" s="97">
        <f>IFERROR(VLOOKUP(Y53,'RoC11'!$B$1:$C$160,2,0),0)</f>
        <v>0</v>
      </c>
    </row>
    <row r="54" ht="15.75" customHeight="1">
      <c r="A54" s="135">
        <v>53.0</v>
      </c>
      <c r="B54" s="138" t="s">
        <v>85</v>
      </c>
      <c r="C54" s="93">
        <f t="shared" si="1"/>
        <v>1638.359965</v>
      </c>
      <c r="D54" s="136"/>
      <c r="E54" s="137" t="str">
        <f>IFERROR(VLOOKUP($B54,'RoC1'!$A$1:$B$160,2,0),"0")</f>
        <v>0</v>
      </c>
      <c r="F54" s="97">
        <f>IFERROR(VLOOKUP(E54,'RoC1'!$B$1:$C$160,2,0),0)</f>
        <v>0</v>
      </c>
      <c r="G54" s="137" t="str">
        <f>IFERROR(VLOOKUP($B54,'RoC2'!$A$1:$B$161,2,0),"0")</f>
        <v>0</v>
      </c>
      <c r="H54" s="97">
        <f>IFERROR(VLOOKUP(G54,'RoC2'!$B$1:$C$161,2,0),0)</f>
        <v>0</v>
      </c>
      <c r="I54" s="137">
        <f>IFERROR(VLOOKUP($B54,'RoC3'!$A$1:$B$161,2,0),0)</f>
        <v>5</v>
      </c>
      <c r="J54" s="97">
        <f>IFERROR(VLOOKUP(I54,'RoC3'!$B$1:$C$161,2,0),0)</f>
        <v>895.7071769</v>
      </c>
      <c r="K54" s="137">
        <f>IFERROR(VLOOKUP($B54,'RoC4'!$A$1:$B$161,2,0),0)</f>
        <v>0</v>
      </c>
      <c r="L54" s="97">
        <f>IFERROR(VLOOKUP(K54,'RoC4'!$B$1:$C$161,2,0),0)</f>
        <v>0</v>
      </c>
      <c r="M54" s="137">
        <f>IFERROR(VLOOKUP($B54,'RoC5'!$A$1:$B$161,2,0),0)</f>
        <v>0</v>
      </c>
      <c r="N54" s="97">
        <f>IFERROR(VLOOKUP(M54,'RoC5'!$B$1:$C$161,2,0),0)</f>
        <v>0</v>
      </c>
      <c r="O54" s="137">
        <f>IFERROR(VLOOKUP($B54,'RoC6'!$A$1:$B$161,2,0),0)</f>
        <v>0</v>
      </c>
      <c r="P54" s="97">
        <f>IFERROR(VLOOKUP(O54,'RoC6'!$B$1:$C$161,2,0),0)</f>
        <v>0</v>
      </c>
      <c r="Q54" s="137">
        <f>IFERROR(VLOOKUP($B54,'RoC7'!$A$1:$B$161,2,0),0)</f>
        <v>8</v>
      </c>
      <c r="R54" s="97">
        <f>IFERROR(VLOOKUP(Q54,'RoC7'!$B$1:$C$161,2,0),0)</f>
        <v>742.6527881</v>
      </c>
      <c r="S54" s="137">
        <f>IFERROR(VLOOKUP($B54,'RoC8'!$A$1:$B$161,2,0),0)</f>
        <v>0</v>
      </c>
      <c r="T54" s="97">
        <f>IFERROR(VLOOKUP(S54,'RoC8'!$B$1:$C$161,2,0),0)</f>
        <v>0</v>
      </c>
      <c r="U54" s="137">
        <f>IFERROR(VLOOKUP($B54,'RoC9'!$A$1:$B$161,2,0),0)</f>
        <v>0</v>
      </c>
      <c r="V54" s="97">
        <f>IFERROR(VLOOKUP(U54,'RoC9'!$B$1:$C$161,2,0),0)</f>
        <v>0</v>
      </c>
      <c r="W54" s="137">
        <f>IFERROR(VLOOKUP($B54,'RoC10'!$A$1:$B$161,2,0),0)</f>
        <v>0</v>
      </c>
      <c r="X54" s="97">
        <f>IFERROR(VLOOKUP(W54,'RoC10'!$B$1:$C$161,2,0),0)</f>
        <v>0</v>
      </c>
      <c r="Y54" s="137">
        <f>IFERROR(VLOOKUP($B54,'RoC11'!$A$1:$B$161,2,0),0)</f>
        <v>0</v>
      </c>
      <c r="Z54" s="97">
        <f>IFERROR(VLOOKUP(Y54,'RoC11'!$B$1:$C$161,2,0),0)</f>
        <v>0</v>
      </c>
      <c r="AA54" s="97">
        <f>IFERROR(VLOOKUP(E54,'RoC1'!$B$1:$C$160,2,0),0)</f>
        <v>0</v>
      </c>
      <c r="AB54" s="97">
        <f>IFERROR(VLOOKUP(G54,'RoC2'!$B$1:$C$160,2,0),0)</f>
        <v>0</v>
      </c>
      <c r="AC54" s="97">
        <f>IFERROR(VLOOKUP(I54,'RoC3'!$B$1:$C$160,2,0),0)</f>
        <v>895.7071769</v>
      </c>
      <c r="AD54" s="97">
        <f>IFERROR(VLOOKUP(K54,'RoC4'!$B$1:$C$160,2,0),0)</f>
        <v>0</v>
      </c>
      <c r="AE54" s="97">
        <f>IFERROR(VLOOKUP(M54,'RoC5'!$B$1:$C$160,2,0),0)</f>
        <v>0</v>
      </c>
      <c r="AF54" s="97">
        <f>IFERROR(VLOOKUP(O54,'RoC6'!$B$1:$C$160,2,0),0)</f>
        <v>0</v>
      </c>
      <c r="AG54" s="97">
        <f>IFERROR(VLOOKUP(Q54,'RoC7'!$B$1:$C$160,2,0),0)</f>
        <v>742.6527881</v>
      </c>
      <c r="AH54" s="97">
        <f>IFERROR(VLOOKUP(S54,'RoC8'!$B$1:$C$160,2,0),0)</f>
        <v>0</v>
      </c>
      <c r="AI54" s="97">
        <f>IFERROR(VLOOKUP(U54,'RoC9'!$B$1:$C$160,2,0),0)</f>
        <v>0</v>
      </c>
      <c r="AJ54" s="97">
        <f>IFERROR(VLOOKUP(W54,'RoC10'!$B$1:$C$160,2,0),0)</f>
        <v>0</v>
      </c>
      <c r="AK54" s="97">
        <f>IFERROR(VLOOKUP(Y54,'RoC11'!$B$1:$C$160,2,0),0)</f>
        <v>0</v>
      </c>
    </row>
    <row r="55" ht="15.75" customHeight="1">
      <c r="A55" s="135">
        <v>54.0</v>
      </c>
      <c r="B55" s="138" t="s">
        <v>48</v>
      </c>
      <c r="C55" s="93">
        <f t="shared" si="1"/>
        <v>1608.810573</v>
      </c>
      <c r="D55" s="136"/>
      <c r="E55" s="137" t="str">
        <f>IFERROR(VLOOKUP($B55,'RoC1'!$A$1:$B$160,2,0),"0")</f>
        <v>0</v>
      </c>
      <c r="F55" s="97">
        <f>IFERROR(VLOOKUP(E55,'RoC1'!$B$1:$C$160,2,0),0)</f>
        <v>0</v>
      </c>
      <c r="G55" s="137" t="str">
        <f>IFERROR(VLOOKUP($B55,'RoC2'!$A$1:$B$161,2,0),"0")</f>
        <v>0</v>
      </c>
      <c r="H55" s="97">
        <f>IFERROR(VLOOKUP(G55,'RoC2'!$B$1:$C$161,2,0),0)</f>
        <v>0</v>
      </c>
      <c r="I55" s="137">
        <f>IFERROR(VLOOKUP($B55,'RoC3'!$A$1:$B$161,2,0),0)</f>
        <v>20</v>
      </c>
      <c r="J55" s="97">
        <f>IFERROR(VLOOKUP(I55,'RoC3'!$B$1:$C$161,2,0),0)</f>
        <v>460.6259045</v>
      </c>
      <c r="K55" s="137">
        <f>IFERROR(VLOOKUP($B55,'RoC4'!$A$1:$B$161,2,0),0)</f>
        <v>48</v>
      </c>
      <c r="L55" s="97">
        <f>IFERROR(VLOOKUP(K55,'RoC4'!$B$1:$C$161,2,0),0)</f>
        <v>41.20087863</v>
      </c>
      <c r="M55" s="137">
        <f>IFERROR(VLOOKUP($B55,'RoC5'!$A$1:$B$161,2,0),0)</f>
        <v>34</v>
      </c>
      <c r="N55" s="97">
        <f>IFERROR(VLOOKUP(M55,'RoC5'!$B$1:$C$161,2,0),0)</f>
        <v>268.9403477</v>
      </c>
      <c r="O55" s="137">
        <f>IFERROR(VLOOKUP($B55,'RoC6'!$A$1:$B$161,2,0),0)</f>
        <v>28</v>
      </c>
      <c r="P55" s="97">
        <f>IFERROR(VLOOKUP(O55,'RoC6'!$B$1:$C$161,2,0),0)</f>
        <v>290.4710817</v>
      </c>
      <c r="Q55" s="137">
        <f>IFERROR(VLOOKUP($B55,'RoC7'!$A$1:$B$161,2,0),0)</f>
        <v>51</v>
      </c>
      <c r="R55" s="97">
        <f>IFERROR(VLOOKUP(Q55,'RoC7'!$B$1:$C$161,2,0),0)</f>
        <v>65.43254375</v>
      </c>
      <c r="S55" s="137">
        <f>IFERROR(VLOOKUP($B55,'RoC8'!$A$1:$B$161,2,0),0)</f>
        <v>0</v>
      </c>
      <c r="T55" s="97">
        <f>IFERROR(VLOOKUP(S55,'RoC8'!$B$1:$C$161,2,0),0)</f>
        <v>0</v>
      </c>
      <c r="U55" s="137">
        <f>IFERROR(VLOOKUP($B55,'RoC9'!$A$1:$B$161,2,0),0)</f>
        <v>42</v>
      </c>
      <c r="V55" s="97">
        <f>IFERROR(VLOOKUP(U55,'RoC9'!$B$1:$C$161,2,0),0)</f>
        <v>35.60892396</v>
      </c>
      <c r="W55" s="137">
        <f>IFERROR(VLOOKUP($B55,'RoC10'!$A$1:$B$161,2,0),0)</f>
        <v>35</v>
      </c>
      <c r="X55" s="97">
        <f>IFERROR(VLOOKUP(W55,'RoC10'!$B$1:$C$161,2,0),0)</f>
        <v>55.32275871</v>
      </c>
      <c r="Y55" s="137">
        <f>IFERROR(VLOOKUP($B55,'RoC11'!$A$1:$B$161,2,0),0)</f>
        <v>15</v>
      </c>
      <c r="Z55" s="97">
        <f>IFERROR(VLOOKUP(Y55,'RoC11'!$B$1:$C$161,2,0),0)</f>
        <v>391.2081343</v>
      </c>
      <c r="AA55" s="97">
        <f>IFERROR(VLOOKUP(E55,'RoC1'!$B$1:$C$160,2,0),0)</f>
        <v>0</v>
      </c>
      <c r="AB55" s="97">
        <f>IFERROR(VLOOKUP(G55,'RoC2'!$B$1:$C$160,2,0),0)</f>
        <v>0</v>
      </c>
      <c r="AC55" s="97">
        <f>IFERROR(VLOOKUP(I55,'RoC3'!$B$1:$C$160,2,0),0)</f>
        <v>460.6259045</v>
      </c>
      <c r="AD55" s="97">
        <f>IFERROR(VLOOKUP(K55,'RoC4'!$B$1:$C$160,2,0),0)</f>
        <v>41.20087863</v>
      </c>
      <c r="AE55" s="97">
        <f>IFERROR(VLOOKUP(M55,'RoC5'!$B$1:$C$160,2,0),0)</f>
        <v>268.9403477</v>
      </c>
      <c r="AF55" s="97">
        <f>IFERROR(VLOOKUP(O55,'RoC6'!$B$1:$C$160,2,0),0)</f>
        <v>290.4710817</v>
      </c>
      <c r="AG55" s="97">
        <f>IFERROR(VLOOKUP(Q55,'RoC7'!$B$1:$C$160,2,0),0)</f>
        <v>65.43254375</v>
      </c>
      <c r="AH55" s="97">
        <f>IFERROR(VLOOKUP(S55,'RoC8'!$B$1:$C$160,2,0),0)</f>
        <v>0</v>
      </c>
      <c r="AI55" s="97">
        <f>IFERROR(VLOOKUP(U55,'RoC9'!$B$1:$C$160,2,0),0)</f>
        <v>35.60892396</v>
      </c>
      <c r="AJ55" s="97">
        <f>IFERROR(VLOOKUP(W55,'RoC10'!$B$1:$C$160,2,0),0)</f>
        <v>55.32275871</v>
      </c>
      <c r="AK55" s="97">
        <f>IFERROR(VLOOKUP(Y55,'RoC11'!$B$1:$C$160,2,0),0)</f>
        <v>391.2081343</v>
      </c>
    </row>
    <row r="56" ht="15.75" customHeight="1">
      <c r="A56" s="135">
        <v>55.0</v>
      </c>
      <c r="B56" s="6" t="s">
        <v>19</v>
      </c>
      <c r="C56" s="93">
        <f t="shared" si="1"/>
        <v>1590.76143</v>
      </c>
      <c r="D56" s="136"/>
      <c r="E56" s="137">
        <f>IFERROR(VLOOKUP($B56,'RoC1'!$A$1:$B$160,2,0),"0")</f>
        <v>41</v>
      </c>
      <c r="F56" s="97">
        <f>IFERROR(VLOOKUP(E56,'RoC1'!$B$1:$C$160,2,0),0)</f>
        <v>89.62027376</v>
      </c>
      <c r="G56" s="137">
        <f>IFERROR(VLOOKUP($B56,'RoC2'!$A$1:$B$161,2,0),"0")</f>
        <v>45</v>
      </c>
      <c r="H56" s="97">
        <f>IFERROR(VLOOKUP(G56,'RoC2'!$B$1:$C$161,2,0),0)</f>
        <v>133.3046202</v>
      </c>
      <c r="I56" s="137">
        <f>IFERROR(VLOOKUP($B56,'RoC3'!$A$1:$B$161,2,0),0)</f>
        <v>55</v>
      </c>
      <c r="J56" s="97">
        <f>IFERROR(VLOOKUP(I56,'RoC3'!$B$1:$C$161,2,0),0)</f>
        <v>44.71211335</v>
      </c>
      <c r="K56" s="137">
        <f>IFERROR(VLOOKUP($B56,'RoC4'!$A$1:$B$161,2,0),0)</f>
        <v>14</v>
      </c>
      <c r="L56" s="97">
        <f>IFERROR(VLOOKUP(K56,'RoC4'!$B$1:$C$161,2,0),0)</f>
        <v>532.6088559</v>
      </c>
      <c r="M56" s="137">
        <f>IFERROR(VLOOKUP($B56,'RoC5'!$A$1:$B$161,2,0),0)</f>
        <v>56</v>
      </c>
      <c r="N56" s="97">
        <f>IFERROR(VLOOKUP(M56,'RoC5'!$B$1:$C$161,2,0),0)</f>
        <v>43.96275746</v>
      </c>
      <c r="O56" s="137">
        <f>IFERROR(VLOOKUP($B56,'RoC6'!$A$1:$B$161,2,0),0)</f>
        <v>51</v>
      </c>
      <c r="P56" s="97">
        <f>IFERROR(VLOOKUP(O56,'RoC6'!$B$1:$C$161,2,0),0)</f>
        <v>20.00275672</v>
      </c>
      <c r="Q56" s="137">
        <f>IFERROR(VLOOKUP($B56,'RoC7'!$A$1:$B$161,2,0),0)</f>
        <v>55</v>
      </c>
      <c r="R56" s="97">
        <f>IFERROR(VLOOKUP(Q56,'RoC7'!$B$1:$C$161,2,0),0)</f>
        <v>27.51812826</v>
      </c>
      <c r="S56" s="137">
        <f>IFERROR(VLOOKUP($B56,'RoC8'!$A$1:$B$161,2,0),0)</f>
        <v>7</v>
      </c>
      <c r="T56" s="97">
        <f>IFERROR(VLOOKUP(S56,'RoC8'!$B$1:$C$161,2,0),0)</f>
        <v>699.0319243</v>
      </c>
      <c r="U56" s="137">
        <f>IFERROR(VLOOKUP($B56,'RoC9'!$A$1:$B$161,2,0),0)</f>
        <v>0</v>
      </c>
      <c r="V56" s="97">
        <f>IFERROR(VLOOKUP(U56,'RoC9'!$B$1:$C$161,2,0),0)</f>
        <v>0</v>
      </c>
      <c r="W56" s="137">
        <f>IFERROR(VLOOKUP($B56,'RoC10'!$A$1:$B$161,2,0),0)</f>
        <v>0</v>
      </c>
      <c r="X56" s="97">
        <f>IFERROR(VLOOKUP(W56,'RoC10'!$B$1:$C$161,2,0),0)</f>
        <v>0</v>
      </c>
      <c r="Y56" s="137">
        <f>IFERROR(VLOOKUP($B56,'RoC11'!$A$1:$B$161,2,0),0)</f>
        <v>0</v>
      </c>
      <c r="Z56" s="97">
        <f>IFERROR(VLOOKUP(Y56,'RoC11'!$B$1:$C$161,2,0),0)</f>
        <v>0</v>
      </c>
      <c r="AA56" s="97">
        <f>IFERROR(VLOOKUP(E56,'RoC1'!$B$1:$C$160,2,0),0)</f>
        <v>89.62027376</v>
      </c>
      <c r="AB56" s="97">
        <f>IFERROR(VLOOKUP(G56,'RoC2'!$B$1:$C$160,2,0),0)</f>
        <v>133.3046202</v>
      </c>
      <c r="AC56" s="97">
        <f>IFERROR(VLOOKUP(I56,'RoC3'!$B$1:$C$160,2,0),0)</f>
        <v>44.71211335</v>
      </c>
      <c r="AD56" s="97">
        <f>IFERROR(VLOOKUP(K56,'RoC4'!$B$1:$C$160,2,0),0)</f>
        <v>532.6088559</v>
      </c>
      <c r="AE56" s="97">
        <f>IFERROR(VLOOKUP(M56,'RoC5'!$B$1:$C$160,2,0),0)</f>
        <v>43.96275746</v>
      </c>
      <c r="AF56" s="97">
        <f>IFERROR(VLOOKUP(O56,'RoC6'!$B$1:$C$160,2,0),0)</f>
        <v>20.00275672</v>
      </c>
      <c r="AG56" s="97">
        <f>IFERROR(VLOOKUP(Q56,'RoC7'!$B$1:$C$160,2,0),0)</f>
        <v>27.51812826</v>
      </c>
      <c r="AH56" s="97">
        <f>IFERROR(VLOOKUP(S56,'RoC8'!$B$1:$C$160,2,0),0)</f>
        <v>699.0319243</v>
      </c>
      <c r="AI56" s="97">
        <f>IFERROR(VLOOKUP(U56,'RoC9'!$B$1:$C$160,2,0),0)</f>
        <v>0</v>
      </c>
      <c r="AJ56" s="97">
        <f>IFERROR(VLOOKUP(W56,'RoC10'!$B$1:$C$160,2,0),0)</f>
        <v>0</v>
      </c>
      <c r="AK56" s="97">
        <f>IFERROR(VLOOKUP(Y56,'RoC11'!$B$1:$C$160,2,0),0)</f>
        <v>0</v>
      </c>
    </row>
    <row r="57" ht="15.75" customHeight="1">
      <c r="A57" s="135">
        <v>56.0</v>
      </c>
      <c r="B57" s="6" t="s">
        <v>52</v>
      </c>
      <c r="C57" s="93">
        <f t="shared" si="1"/>
        <v>1577.485179</v>
      </c>
      <c r="D57" s="93"/>
      <c r="E57" s="94" t="str">
        <f>IFERROR(VLOOKUP($B57,'RoC1'!$A$1:$B$160,2,0),"0")</f>
        <v>0</v>
      </c>
      <c r="F57" s="95">
        <f>IFERROR(VLOOKUP(E57,'RoC1'!$B$1:$C$160,2,0),0)</f>
        <v>0</v>
      </c>
      <c r="G57" s="94">
        <f>IFERROR(VLOOKUP($B57,'RoC2'!$A$1:$B$161,2,0),"0")</f>
        <v>26</v>
      </c>
      <c r="H57" s="95">
        <f>IFERROR(VLOOKUP(G57,'RoC2'!$B$1:$C$161,2,0),0)</f>
        <v>360.4050748</v>
      </c>
      <c r="I57" s="94">
        <f>IFERROR(VLOOKUP($B57,'RoC3'!$A$1:$B$161,2,0),0)</f>
        <v>28</v>
      </c>
      <c r="J57" s="95">
        <f>IFERROR(VLOOKUP(I57,'RoC3'!$B$1:$C$161,2,0),0)</f>
        <v>338.7710858</v>
      </c>
      <c r="K57" s="94">
        <f>IFERROR(VLOOKUP($B57,'RoC4'!$A$1:$B$161,2,0),0)</f>
        <v>19</v>
      </c>
      <c r="L57" s="95">
        <f>IFERROR(VLOOKUP(K57,'RoC4'!$B$1:$C$161,2,0),0)</f>
        <v>428.5310898</v>
      </c>
      <c r="M57" s="94">
        <f>IFERROR(VLOOKUP($B57,'RoC5'!$A$1:$B$161,2,0),0)</f>
        <v>0</v>
      </c>
      <c r="N57" s="95">
        <f>IFERROR(VLOOKUP(M57,'RoC5'!$B$1:$C$161,2,0),0)</f>
        <v>0</v>
      </c>
      <c r="O57" s="94">
        <f>IFERROR(VLOOKUP($B57,'RoC6'!$A$1:$B$161,2,0),0)</f>
        <v>25</v>
      </c>
      <c r="P57" s="95">
        <f>IFERROR(VLOOKUP(O57,'RoC6'!$B$1:$C$161,2,0),0)</f>
        <v>334.6766632</v>
      </c>
      <c r="Q57" s="94">
        <f>IFERROR(VLOOKUP($B57,'RoC7'!$A$1:$B$161,2,0),0)</f>
        <v>46</v>
      </c>
      <c r="R57" s="95">
        <f>IFERROR(VLOOKUP(Q57,'RoC7'!$B$1:$C$161,2,0),0)</f>
        <v>115.1012649</v>
      </c>
      <c r="S57" s="94">
        <f>IFERROR(VLOOKUP($B57,'RoC8'!$A$1:$B$161,2,0),0)</f>
        <v>0</v>
      </c>
      <c r="T57" s="95">
        <f>IFERROR(VLOOKUP(S57,'RoC8'!$B$1:$C$161,2,0),0)</f>
        <v>0</v>
      </c>
      <c r="U57" s="94">
        <f>IFERROR(VLOOKUP($B57,'RoC9'!$A$1:$B$161,2,0),0)</f>
        <v>0</v>
      </c>
      <c r="V57" s="95">
        <f>IFERROR(VLOOKUP(U57,'RoC9'!$B$1:$C$161,2,0),0)</f>
        <v>0</v>
      </c>
      <c r="W57" s="94">
        <f>IFERROR(VLOOKUP($B57,'RoC10'!$A$1:$B$161,2,0),0)</f>
        <v>0</v>
      </c>
      <c r="X57" s="95">
        <f>IFERROR(VLOOKUP(W57,'RoC10'!$B$1:$C$161,2,0),0)</f>
        <v>0</v>
      </c>
      <c r="Y57" s="94">
        <f>IFERROR(VLOOKUP($B57,'RoC11'!$A$1:$B$161,2,0),0)</f>
        <v>0</v>
      </c>
      <c r="Z57" s="95">
        <f>IFERROR(VLOOKUP(Y57,'RoC11'!$B$1:$C$161,2,0),0)</f>
        <v>0</v>
      </c>
      <c r="AA57" s="95">
        <f>IFERROR(VLOOKUP(E57,'RoC1'!$B$1:$C$160,2,0),0)</f>
        <v>0</v>
      </c>
      <c r="AB57" s="95">
        <f>IFERROR(VLOOKUP(G57,'RoC2'!$B$1:$C$160,2,0),0)</f>
        <v>360.4050748</v>
      </c>
      <c r="AC57" s="95">
        <f>IFERROR(VLOOKUP(I57,'RoC3'!$B$1:$C$160,2,0),0)</f>
        <v>338.7710858</v>
      </c>
      <c r="AD57" s="95">
        <f>IFERROR(VLOOKUP(K57,'RoC4'!$B$1:$C$160,2,0),0)</f>
        <v>428.5310898</v>
      </c>
      <c r="AE57" s="95">
        <f>IFERROR(VLOOKUP(M57,'RoC5'!$B$1:$C$160,2,0),0)</f>
        <v>0</v>
      </c>
      <c r="AF57" s="95">
        <f>IFERROR(VLOOKUP(O57,'RoC6'!$B$1:$C$160,2,0),0)</f>
        <v>334.6766632</v>
      </c>
      <c r="AG57" s="95">
        <f>IFERROR(VLOOKUP(Q57,'RoC7'!$B$1:$C$160,2,0),0)</f>
        <v>115.1012649</v>
      </c>
      <c r="AH57" s="95">
        <f>IFERROR(VLOOKUP(S57,'RoC8'!$B$1:$C$160,2,0),0)</f>
        <v>0</v>
      </c>
      <c r="AI57" s="95">
        <f>IFERROR(VLOOKUP(U57,'RoC9'!$B$1:$C$160,2,0),0)</f>
        <v>0</v>
      </c>
      <c r="AJ57" s="95">
        <f>IFERROR(VLOOKUP(W57,'RoC10'!$B$1:$C$160,2,0),0)</f>
        <v>0</v>
      </c>
      <c r="AK57" s="95">
        <f>IFERROR(VLOOKUP(Y57,'RoC11'!$B$1:$C$160,2,0),0)</f>
        <v>0</v>
      </c>
    </row>
    <row r="58" ht="15.75" customHeight="1">
      <c r="A58" s="135">
        <v>57.0</v>
      </c>
      <c r="B58" s="6" t="s">
        <v>66</v>
      </c>
      <c r="C58" s="93">
        <f t="shared" si="1"/>
        <v>1534.169471</v>
      </c>
      <c r="D58" s="136"/>
      <c r="E58" s="137" t="str">
        <f>IFERROR(VLOOKUP($B58,'RoC1'!$A$1:$B$160,2,0),"0")</f>
        <v>0</v>
      </c>
      <c r="F58" s="97">
        <f>IFERROR(VLOOKUP(E58,'RoC1'!$B$1:$C$160,2,0),0)</f>
        <v>0</v>
      </c>
      <c r="G58" s="137" t="str">
        <f>IFERROR(VLOOKUP($B58,'RoC2'!$A$1:$B$161,2,0),"0")</f>
        <v>0</v>
      </c>
      <c r="H58" s="97">
        <f>IFERROR(VLOOKUP(G58,'RoC2'!$B$1:$C$161,2,0),0)</f>
        <v>0</v>
      </c>
      <c r="I58" s="137">
        <f>IFERROR(VLOOKUP($B58,'RoC3'!$A$1:$B$161,2,0),0)</f>
        <v>23</v>
      </c>
      <c r="J58" s="97">
        <f>IFERROR(VLOOKUP(I58,'RoC3'!$B$1:$C$161,2,0),0)</f>
        <v>411.4486396</v>
      </c>
      <c r="K58" s="137">
        <f>IFERROR(VLOOKUP($B58,'RoC4'!$A$1:$B$161,2,0),0)</f>
        <v>0</v>
      </c>
      <c r="L58" s="97">
        <f>IFERROR(VLOOKUP(K58,'RoC4'!$B$1:$C$161,2,0),0)</f>
        <v>0</v>
      </c>
      <c r="M58" s="137">
        <f>IFERROR(VLOOKUP($B58,'RoC5'!$A$1:$B$161,2,0),0)</f>
        <v>0</v>
      </c>
      <c r="N58" s="97">
        <f>IFERROR(VLOOKUP(M58,'RoC5'!$B$1:$C$161,2,0),0)</f>
        <v>0</v>
      </c>
      <c r="O58" s="137">
        <f>IFERROR(VLOOKUP($B58,'RoC6'!$A$1:$B$161,2,0),0)</f>
        <v>0</v>
      </c>
      <c r="P58" s="97">
        <f>IFERROR(VLOOKUP(O58,'RoC6'!$B$1:$C$161,2,0),0)</f>
        <v>0</v>
      </c>
      <c r="Q58" s="137">
        <f>IFERROR(VLOOKUP($B58,'RoC7'!$A$1:$B$161,2,0),0)</f>
        <v>52</v>
      </c>
      <c r="R58" s="97">
        <f>IFERROR(VLOOKUP(Q58,'RoC7'!$B$1:$C$161,2,0),0)</f>
        <v>55.81343127</v>
      </c>
      <c r="S58" s="137">
        <f>IFERROR(VLOOKUP($B58,'RoC8'!$A$1:$B$161,2,0),0)</f>
        <v>11</v>
      </c>
      <c r="T58" s="97">
        <f>IFERROR(VLOOKUP(S58,'RoC8'!$B$1:$C$161,2,0),0)</f>
        <v>556.8465902</v>
      </c>
      <c r="U58" s="137">
        <f>IFERROR(VLOOKUP($B58,'RoC9'!$A$1:$B$161,2,0),0)</f>
        <v>0</v>
      </c>
      <c r="V58" s="97">
        <f>IFERROR(VLOOKUP(U58,'RoC9'!$B$1:$C$161,2,0),0)</f>
        <v>0</v>
      </c>
      <c r="W58" s="137">
        <f>IFERROR(VLOOKUP($B58,'RoC10'!$A$1:$B$161,2,0),0)</f>
        <v>19</v>
      </c>
      <c r="X58" s="97">
        <f>IFERROR(VLOOKUP(W58,'RoC10'!$B$1:$C$161,2,0),0)</f>
        <v>322.2570622</v>
      </c>
      <c r="Y58" s="137">
        <f>IFERROR(VLOOKUP($B58,'RoC11'!$A$1:$B$161,2,0),0)</f>
        <v>25</v>
      </c>
      <c r="Z58" s="97">
        <f>IFERROR(VLOOKUP(Y58,'RoC11'!$B$1:$C$161,2,0),0)</f>
        <v>187.8037476</v>
      </c>
      <c r="AA58" s="97">
        <f>IFERROR(VLOOKUP(E58,'RoC1'!$B$1:$C$160,2,0),0)</f>
        <v>0</v>
      </c>
      <c r="AB58" s="97">
        <f>IFERROR(VLOOKUP(G58,'RoC2'!$B$1:$C$160,2,0),0)</f>
        <v>0</v>
      </c>
      <c r="AC58" s="97">
        <f>IFERROR(VLOOKUP(I58,'RoC3'!$B$1:$C$160,2,0),0)</f>
        <v>411.4486396</v>
      </c>
      <c r="AD58" s="97">
        <f>IFERROR(VLOOKUP(K58,'RoC4'!$B$1:$C$160,2,0),0)</f>
        <v>0</v>
      </c>
      <c r="AE58" s="97">
        <f>IFERROR(VLOOKUP(M58,'RoC5'!$B$1:$C$160,2,0),0)</f>
        <v>0</v>
      </c>
      <c r="AF58" s="97">
        <f>IFERROR(VLOOKUP(O58,'RoC6'!$B$1:$C$160,2,0),0)</f>
        <v>0</v>
      </c>
      <c r="AG58" s="97">
        <f>IFERROR(VLOOKUP(Q58,'RoC7'!$B$1:$C$160,2,0),0)</f>
        <v>55.81343127</v>
      </c>
      <c r="AH58" s="97">
        <f>IFERROR(VLOOKUP(S58,'RoC8'!$B$1:$C$160,2,0),0)</f>
        <v>556.8465902</v>
      </c>
      <c r="AI58" s="97">
        <f>IFERROR(VLOOKUP(U58,'RoC9'!$B$1:$C$160,2,0),0)</f>
        <v>0</v>
      </c>
      <c r="AJ58" s="97">
        <f>IFERROR(VLOOKUP(W58,'RoC10'!$B$1:$C$160,2,0),0)</f>
        <v>322.2570622</v>
      </c>
      <c r="AK58" s="97">
        <f>IFERROR(VLOOKUP(Y58,'RoC11'!$B$1:$C$160,2,0),0)</f>
        <v>187.8037476</v>
      </c>
    </row>
    <row r="59" ht="15.75" customHeight="1">
      <c r="A59" s="135">
        <v>58.0</v>
      </c>
      <c r="B59" s="16" t="s">
        <v>82</v>
      </c>
      <c r="C59" s="93">
        <f t="shared" si="1"/>
        <v>1445.734775</v>
      </c>
      <c r="D59" s="136"/>
      <c r="E59" s="137" t="str">
        <f>IFERROR(VLOOKUP($B59,'RoC1'!$A$1:$B$160,2,0),"0")</f>
        <v>0</v>
      </c>
      <c r="F59" s="97">
        <f>IFERROR(VLOOKUP(E59,'RoC1'!$B$1:$C$160,2,0),0)</f>
        <v>0</v>
      </c>
      <c r="G59" s="137">
        <f>IFERROR(VLOOKUP($B59,'RoC2'!$A$1:$B$161,2,0),"0")</f>
        <v>21</v>
      </c>
      <c r="H59" s="97">
        <f>IFERROR(VLOOKUP(G59,'RoC2'!$B$1:$C$161,2,0),0)</f>
        <v>437.7730958</v>
      </c>
      <c r="I59" s="137">
        <f>IFERROR(VLOOKUP($B59,'RoC3'!$A$1:$B$161,2,0),0)</f>
        <v>0</v>
      </c>
      <c r="J59" s="97">
        <f>IFERROR(VLOOKUP(I59,'RoC3'!$B$1:$C$161,2,0),0)</f>
        <v>0</v>
      </c>
      <c r="K59" s="137">
        <f>IFERROR(VLOOKUP($B59,'RoC4'!$A$1:$B$161,2,0),0)</f>
        <v>0</v>
      </c>
      <c r="L59" s="97">
        <f>IFERROR(VLOOKUP(K59,'RoC4'!$B$1:$C$161,2,0),0)</f>
        <v>0</v>
      </c>
      <c r="M59" s="137">
        <f>IFERROR(VLOOKUP($B59,'RoC5'!$A$1:$B$161,2,0),0)</f>
        <v>18</v>
      </c>
      <c r="N59" s="97">
        <f>IFERROR(VLOOKUP(M59,'RoC5'!$B$1:$C$161,2,0),0)</f>
        <v>502.125476</v>
      </c>
      <c r="O59" s="137">
        <f>IFERROR(VLOOKUP($B59,'RoC6'!$A$1:$B$161,2,0),0)</f>
        <v>0</v>
      </c>
      <c r="P59" s="97">
        <f>IFERROR(VLOOKUP(O59,'RoC6'!$B$1:$C$161,2,0),0)</f>
        <v>0</v>
      </c>
      <c r="Q59" s="137">
        <f>IFERROR(VLOOKUP($B59,'RoC7'!$A$1:$B$161,2,0),0)</f>
        <v>29</v>
      </c>
      <c r="R59" s="97">
        <f>IFERROR(VLOOKUP(Q59,'RoC7'!$B$1:$C$161,2,0),0)</f>
        <v>312.1668677</v>
      </c>
      <c r="S59" s="137">
        <f>IFERROR(VLOOKUP($B59,'RoC8'!$A$1:$B$161,2,0),0)</f>
        <v>0</v>
      </c>
      <c r="T59" s="97">
        <f>IFERROR(VLOOKUP(S59,'RoC8'!$B$1:$C$161,2,0),0)</f>
        <v>0</v>
      </c>
      <c r="U59" s="137">
        <f>IFERROR(VLOOKUP($B59,'RoC9'!$A$1:$B$161,2,0),0)</f>
        <v>30</v>
      </c>
      <c r="V59" s="97">
        <f>IFERROR(VLOOKUP(U59,'RoC9'!$B$1:$C$161,2,0),0)</f>
        <v>193.6693359</v>
      </c>
      <c r="W59" s="137">
        <f>IFERROR(VLOOKUP($B59,'RoC10'!$A$1:$B$161,2,0),0)</f>
        <v>0</v>
      </c>
      <c r="X59" s="97">
        <f>IFERROR(VLOOKUP(W59,'RoC10'!$B$1:$C$161,2,0),0)</f>
        <v>0</v>
      </c>
      <c r="Y59" s="137">
        <f>IFERROR(VLOOKUP($B59,'RoC11'!$A$1:$B$161,2,0),0)</f>
        <v>0</v>
      </c>
      <c r="Z59" s="97">
        <f>IFERROR(VLOOKUP(Y59,'RoC11'!$B$1:$C$161,2,0),0)</f>
        <v>0</v>
      </c>
      <c r="AA59" s="97">
        <f>IFERROR(VLOOKUP(E59,'RoC1'!$B$1:$C$160,2,0),0)</f>
        <v>0</v>
      </c>
      <c r="AB59" s="97">
        <f>IFERROR(VLOOKUP(G59,'RoC2'!$B$1:$C$160,2,0),0)</f>
        <v>437.7730958</v>
      </c>
      <c r="AC59" s="97">
        <f>IFERROR(VLOOKUP(I59,'RoC3'!$B$1:$C$160,2,0),0)</f>
        <v>0</v>
      </c>
      <c r="AD59" s="97">
        <f>IFERROR(VLOOKUP(K59,'RoC4'!$B$1:$C$160,2,0),0)</f>
        <v>0</v>
      </c>
      <c r="AE59" s="97">
        <f>IFERROR(VLOOKUP(M59,'RoC5'!$B$1:$C$160,2,0),0)</f>
        <v>502.125476</v>
      </c>
      <c r="AF59" s="97">
        <f>IFERROR(VLOOKUP(O59,'RoC6'!$B$1:$C$160,2,0),0)</f>
        <v>0</v>
      </c>
      <c r="AG59" s="97">
        <f>IFERROR(VLOOKUP(Q59,'RoC7'!$B$1:$C$160,2,0),0)</f>
        <v>312.1668677</v>
      </c>
      <c r="AH59" s="97">
        <f>IFERROR(VLOOKUP(S59,'RoC8'!$B$1:$C$160,2,0),0)</f>
        <v>0</v>
      </c>
      <c r="AI59" s="97">
        <f>IFERROR(VLOOKUP(U59,'RoC9'!$B$1:$C$160,2,0),0)</f>
        <v>193.6693359</v>
      </c>
      <c r="AJ59" s="97">
        <f>IFERROR(VLOOKUP(W59,'RoC10'!$B$1:$C$160,2,0),0)</f>
        <v>0</v>
      </c>
      <c r="AK59" s="97">
        <f>IFERROR(VLOOKUP(Y59,'RoC11'!$B$1:$C$160,2,0),0)</f>
        <v>0</v>
      </c>
    </row>
    <row r="60" ht="15.75" customHeight="1">
      <c r="A60" s="135">
        <v>59.0</v>
      </c>
      <c r="B60" s="6" t="s">
        <v>84</v>
      </c>
      <c r="C60" s="93">
        <f t="shared" si="1"/>
        <v>1398.578547</v>
      </c>
      <c r="D60" s="93"/>
      <c r="E60" s="94">
        <f>IFERROR(VLOOKUP($B60,'RoC1'!$A$1:$B$160,2,0),"0")</f>
        <v>32</v>
      </c>
      <c r="F60" s="95">
        <f>IFERROR(VLOOKUP(E60,'RoC1'!$B$1:$C$160,2,0),0)</f>
        <v>202.6159687</v>
      </c>
      <c r="G60" s="94" t="str">
        <f>IFERROR(VLOOKUP($B60,'RoC2'!$A$1:$B$161,2,0),"0")</f>
        <v>0</v>
      </c>
      <c r="H60" s="95">
        <f>IFERROR(VLOOKUP(G60,'RoC2'!$B$1:$C$161,2,0),0)</f>
        <v>0</v>
      </c>
      <c r="I60" s="94">
        <f>IFERROR(VLOOKUP($B60,'RoC3'!$A$1:$B$161,2,0),0)</f>
        <v>18</v>
      </c>
      <c r="J60" s="95">
        <f>IFERROR(VLOOKUP(I60,'RoC3'!$B$1:$C$161,2,0),0)</f>
        <v>496.5660569</v>
      </c>
      <c r="K60" s="94">
        <f>IFERROR(VLOOKUP($B60,'RoC4'!$A$1:$B$161,2,0),0)</f>
        <v>0</v>
      </c>
      <c r="L60" s="95">
        <f>IFERROR(VLOOKUP(K60,'RoC4'!$B$1:$C$161,2,0),0)</f>
        <v>0</v>
      </c>
      <c r="M60" s="94">
        <f>IFERROR(VLOOKUP($B60,'RoC5'!$A$1:$B$161,2,0),0)</f>
        <v>0</v>
      </c>
      <c r="N60" s="95">
        <f>IFERROR(VLOOKUP(M60,'RoC5'!$B$1:$C$161,2,0),0)</f>
        <v>0</v>
      </c>
      <c r="O60" s="94">
        <f>IFERROR(VLOOKUP($B60,'RoC6'!$A$1:$B$161,2,0),0)</f>
        <v>41</v>
      </c>
      <c r="P60" s="95">
        <f>IFERROR(VLOOKUP(O60,'RoC6'!$B$1:$C$161,2,0),0)</f>
        <v>126.7469984</v>
      </c>
      <c r="Q60" s="94">
        <f>IFERROR(VLOOKUP($B60,'RoC7'!$A$1:$B$161,2,0),0)</f>
        <v>26</v>
      </c>
      <c r="R60" s="95">
        <f>IFERROR(VLOOKUP(Q60,'RoC7'!$B$1:$C$161,2,0),0)</f>
        <v>353.9932244</v>
      </c>
      <c r="S60" s="94">
        <f>IFERROR(VLOOKUP($B60,'RoC8'!$A$1:$B$161,2,0),0)</f>
        <v>0</v>
      </c>
      <c r="T60" s="95">
        <f>IFERROR(VLOOKUP(S60,'RoC8'!$B$1:$C$161,2,0),0)</f>
        <v>0</v>
      </c>
      <c r="U60" s="94">
        <f>IFERROR(VLOOKUP($B60,'RoC9'!$A$1:$B$161,2,0),0)</f>
        <v>37</v>
      </c>
      <c r="V60" s="95">
        <f>IFERROR(VLOOKUP(U60,'RoC9'!$B$1:$C$161,2,0),0)</f>
        <v>98.0143071</v>
      </c>
      <c r="W60" s="94">
        <f>IFERROR(VLOOKUP($B60,'RoC10'!$A$1:$B$161,2,0),0)</f>
        <v>0</v>
      </c>
      <c r="X60" s="95">
        <f>IFERROR(VLOOKUP(W60,'RoC10'!$B$1:$C$161,2,0),0)</f>
        <v>0</v>
      </c>
      <c r="Y60" s="94">
        <f>IFERROR(VLOOKUP($B60,'RoC11'!$A$1:$B$161,2,0),0)</f>
        <v>29</v>
      </c>
      <c r="Z60" s="95">
        <f>IFERROR(VLOOKUP(Y60,'RoC11'!$B$1:$C$161,2,0),0)</f>
        <v>120.6419915</v>
      </c>
      <c r="AA60" s="95">
        <f>IFERROR(VLOOKUP(E60,'RoC1'!$B$1:$C$160,2,0),0)</f>
        <v>202.6159687</v>
      </c>
      <c r="AB60" s="95">
        <f>IFERROR(VLOOKUP(G60,'RoC2'!$B$1:$C$160,2,0),0)</f>
        <v>0</v>
      </c>
      <c r="AC60" s="95">
        <f>IFERROR(VLOOKUP(I60,'RoC3'!$B$1:$C$160,2,0),0)</f>
        <v>496.5660569</v>
      </c>
      <c r="AD60" s="95">
        <f>IFERROR(VLOOKUP(K60,'RoC4'!$B$1:$C$160,2,0),0)</f>
        <v>0</v>
      </c>
      <c r="AE60" s="95">
        <f>IFERROR(VLOOKUP(M60,'RoC5'!$B$1:$C$160,2,0),0)</f>
        <v>0</v>
      </c>
      <c r="AF60" s="95">
        <f>IFERROR(VLOOKUP(O60,'RoC6'!$B$1:$C$160,2,0),0)</f>
        <v>126.7469984</v>
      </c>
      <c r="AG60" s="95">
        <f>IFERROR(VLOOKUP(Q60,'RoC7'!$B$1:$C$160,2,0),0)</f>
        <v>353.9932244</v>
      </c>
      <c r="AH60" s="95">
        <f>IFERROR(VLOOKUP(S60,'RoC8'!$B$1:$C$160,2,0),0)</f>
        <v>0</v>
      </c>
      <c r="AI60" s="95">
        <f>IFERROR(VLOOKUP(U60,'RoC9'!$B$1:$C$160,2,0),0)</f>
        <v>98.0143071</v>
      </c>
      <c r="AJ60" s="95">
        <f>IFERROR(VLOOKUP(W60,'RoC10'!$B$1:$C$160,2,0),0)</f>
        <v>0</v>
      </c>
      <c r="AK60" s="95">
        <f>IFERROR(VLOOKUP(Y60,'RoC11'!$B$1:$C$160,2,0),0)</f>
        <v>120.6419915</v>
      </c>
    </row>
    <row r="61" ht="15.75" customHeight="1">
      <c r="A61" s="135">
        <v>60.0</v>
      </c>
      <c r="B61" s="6" t="s">
        <v>86</v>
      </c>
      <c r="C61" s="93">
        <f t="shared" si="1"/>
        <v>1393.959111</v>
      </c>
      <c r="D61" s="93"/>
      <c r="E61" s="94" t="str">
        <f>IFERROR(VLOOKUP($B61,'RoC1'!$A$1:$B$160,2,0),"0")</f>
        <v>0</v>
      </c>
      <c r="F61" s="95">
        <f>IFERROR(VLOOKUP(E61,'RoC1'!$B$1:$C$160,2,0),0)</f>
        <v>0</v>
      </c>
      <c r="G61" s="94">
        <f>IFERROR(VLOOKUP($B61,'RoC2'!$A$1:$B$161,2,0),"0")</f>
        <v>48</v>
      </c>
      <c r="H61" s="95">
        <f>IFERROR(VLOOKUP(G61,'RoC2'!$B$1:$C$161,2,0),0)</f>
        <v>103.062974</v>
      </c>
      <c r="I61" s="94">
        <f>IFERROR(VLOOKUP($B61,'RoC3'!$A$1:$B$161,2,0),0)</f>
        <v>6</v>
      </c>
      <c r="J61" s="95">
        <f>IFERROR(VLOOKUP(I61,'RoC3'!$B$1:$C$161,2,0),0)</f>
        <v>840.2370212</v>
      </c>
      <c r="K61" s="94">
        <f>IFERROR(VLOOKUP($B61,'RoC4'!$A$1:$B$161,2,0),0)</f>
        <v>0</v>
      </c>
      <c r="L61" s="95">
        <f>IFERROR(VLOOKUP(K61,'RoC4'!$B$1:$C$161,2,0),0)</f>
        <v>0</v>
      </c>
      <c r="M61" s="94">
        <f>IFERROR(VLOOKUP($B61,'RoC5'!$A$1:$B$161,2,0),0)</f>
        <v>0</v>
      </c>
      <c r="N61" s="95">
        <f>IFERROR(VLOOKUP(M61,'RoC5'!$B$1:$C$161,2,0),0)</f>
        <v>0</v>
      </c>
      <c r="O61" s="94">
        <f>IFERROR(VLOOKUP($B61,'RoC6'!$A$1:$B$161,2,0),0)</f>
        <v>44</v>
      </c>
      <c r="P61" s="95">
        <f>IFERROR(VLOOKUP(O61,'RoC6'!$B$1:$C$161,2,0),0)</f>
        <v>93.39674516</v>
      </c>
      <c r="Q61" s="94">
        <f>IFERROR(VLOOKUP($B61,'RoC7'!$A$1:$B$161,2,0),0)</f>
        <v>30</v>
      </c>
      <c r="R61" s="95">
        <f>IFERROR(VLOOKUP(Q61,'RoC7'!$B$1:$C$161,2,0),0)</f>
        <v>298.8587846</v>
      </c>
      <c r="S61" s="94">
        <f>IFERROR(VLOOKUP($B61,'RoC8'!$A$1:$B$161,2,0),0)</f>
        <v>0</v>
      </c>
      <c r="T61" s="95">
        <f>IFERROR(VLOOKUP(S61,'RoC8'!$B$1:$C$161,2,0),0)</f>
        <v>0</v>
      </c>
      <c r="U61" s="94">
        <f>IFERROR(VLOOKUP($B61,'RoC9'!$A$1:$B$161,2,0),0)</f>
        <v>0</v>
      </c>
      <c r="V61" s="95">
        <f>IFERROR(VLOOKUP(U61,'RoC9'!$B$1:$C$161,2,0),0)</f>
        <v>0</v>
      </c>
      <c r="W61" s="94">
        <f>IFERROR(VLOOKUP($B61,'RoC10'!$A$1:$B$161,2,0),0)</f>
        <v>0</v>
      </c>
      <c r="X61" s="95">
        <f>IFERROR(VLOOKUP(W61,'RoC10'!$B$1:$C$161,2,0),0)</f>
        <v>0</v>
      </c>
      <c r="Y61" s="94">
        <f>IFERROR(VLOOKUP($B61,'RoC11'!$A$1:$B$161,2,0),0)</f>
        <v>33</v>
      </c>
      <c r="Z61" s="95">
        <f>IFERROR(VLOOKUP(Y61,'RoC11'!$B$1:$C$161,2,0),0)</f>
        <v>58.4035864</v>
      </c>
      <c r="AA61" s="95">
        <f>IFERROR(VLOOKUP(E61,'RoC1'!$B$1:$C$160,2,0),0)</f>
        <v>0</v>
      </c>
      <c r="AB61" s="95">
        <f>IFERROR(VLOOKUP(G61,'RoC2'!$B$1:$C$160,2,0),0)</f>
        <v>103.062974</v>
      </c>
      <c r="AC61" s="95">
        <f>IFERROR(VLOOKUP(I61,'RoC3'!$B$1:$C$160,2,0),0)</f>
        <v>840.2370212</v>
      </c>
      <c r="AD61" s="95">
        <f>IFERROR(VLOOKUP(K61,'RoC4'!$B$1:$C$160,2,0),0)</f>
        <v>0</v>
      </c>
      <c r="AE61" s="95">
        <f>IFERROR(VLOOKUP(M61,'RoC5'!$B$1:$C$160,2,0),0)</f>
        <v>0</v>
      </c>
      <c r="AF61" s="95">
        <f>IFERROR(VLOOKUP(O61,'RoC6'!$B$1:$C$160,2,0),0)</f>
        <v>93.39674516</v>
      </c>
      <c r="AG61" s="95">
        <f>IFERROR(VLOOKUP(Q61,'RoC7'!$B$1:$C$160,2,0),0)</f>
        <v>298.8587846</v>
      </c>
      <c r="AH61" s="95">
        <f>IFERROR(VLOOKUP(S61,'RoC8'!$B$1:$C$160,2,0),0)</f>
        <v>0</v>
      </c>
      <c r="AI61" s="95">
        <f>IFERROR(VLOOKUP(U61,'RoC9'!$B$1:$C$160,2,0),0)</f>
        <v>0</v>
      </c>
      <c r="AJ61" s="95">
        <f>IFERROR(VLOOKUP(W61,'RoC10'!$B$1:$C$160,2,0),0)</f>
        <v>0</v>
      </c>
      <c r="AK61" s="95">
        <f>IFERROR(VLOOKUP(Y61,'RoC11'!$B$1:$C$160,2,0),0)</f>
        <v>58.4035864</v>
      </c>
    </row>
    <row r="62" ht="15.75" customHeight="1">
      <c r="A62" s="135">
        <v>61.0</v>
      </c>
      <c r="B62" s="6" t="s">
        <v>35</v>
      </c>
      <c r="C62" s="93">
        <f t="shared" si="1"/>
        <v>1317.422948</v>
      </c>
      <c r="D62" s="93"/>
      <c r="E62" s="94" t="str">
        <f>IFERROR(VLOOKUP($B62,'RoC1'!$A$1:$B$160,2,0),"0")</f>
        <v>0</v>
      </c>
      <c r="F62" s="95">
        <f>IFERROR(VLOOKUP(E62,'RoC1'!$B$1:$C$160,2,0),0)</f>
        <v>0</v>
      </c>
      <c r="G62" s="94">
        <f>IFERROR(VLOOKUP($B62,'RoC2'!$A$1:$B$161,2,0),"0")</f>
        <v>25</v>
      </c>
      <c r="H62" s="95">
        <f>IFERROR(VLOOKUP(G62,'RoC2'!$B$1:$C$161,2,0),0)</f>
        <v>374.9852711</v>
      </c>
      <c r="I62" s="94">
        <f>IFERROR(VLOOKUP($B62,'RoC3'!$A$1:$B$161,2,0),0)</f>
        <v>39</v>
      </c>
      <c r="J62" s="95">
        <f>IFERROR(VLOOKUP(I62,'RoC3'!$B$1:$C$161,2,0),0)</f>
        <v>204.6439965</v>
      </c>
      <c r="K62" s="94">
        <f>IFERROR(VLOOKUP($B62,'RoC4'!$A$1:$B$161,2,0),0)</f>
        <v>23</v>
      </c>
      <c r="L62" s="95">
        <f>IFERROR(VLOOKUP(K62,'RoC4'!$B$1:$C$161,2,0),0)</f>
        <v>359.0234654</v>
      </c>
      <c r="M62" s="94">
        <f>IFERROR(VLOOKUP($B62,'RoC5'!$A$1:$B$161,2,0),0)</f>
        <v>55</v>
      </c>
      <c r="N62" s="95">
        <f>IFERROR(VLOOKUP(M62,'RoC5'!$B$1:$C$161,2,0),0)</f>
        <v>52.99348796</v>
      </c>
      <c r="O62" s="94">
        <f>IFERROR(VLOOKUP($B62,'RoC6'!$A$1:$B$161,2,0),0)</f>
        <v>0</v>
      </c>
      <c r="P62" s="95">
        <f>IFERROR(VLOOKUP(O62,'RoC6'!$B$1:$C$161,2,0),0)</f>
        <v>0</v>
      </c>
      <c r="Q62" s="94">
        <f>IFERROR(VLOOKUP($B62,'RoC7'!$A$1:$B$161,2,0),0)</f>
        <v>28</v>
      </c>
      <c r="R62" s="95">
        <f>IFERROR(VLOOKUP(Q62,'RoC7'!$B$1:$C$161,2,0),0)</f>
        <v>325.7767265</v>
      </c>
      <c r="S62" s="94">
        <f>IFERROR(VLOOKUP($B62,'RoC8'!$A$1:$B$161,2,0),0)</f>
        <v>0</v>
      </c>
      <c r="T62" s="95">
        <f>IFERROR(VLOOKUP(S62,'RoC8'!$B$1:$C$161,2,0),0)</f>
        <v>0</v>
      </c>
      <c r="U62" s="94">
        <f>IFERROR(VLOOKUP($B62,'RoC9'!$A$1:$B$161,2,0),0)</f>
        <v>0</v>
      </c>
      <c r="V62" s="95">
        <f>IFERROR(VLOOKUP(U62,'RoC9'!$B$1:$C$161,2,0),0)</f>
        <v>0</v>
      </c>
      <c r="W62" s="94">
        <f>IFERROR(VLOOKUP($B62,'RoC10'!$A$1:$B$161,2,0),0)</f>
        <v>0</v>
      </c>
      <c r="X62" s="95">
        <f>IFERROR(VLOOKUP(W62,'RoC10'!$B$1:$C$161,2,0),0)</f>
        <v>0</v>
      </c>
      <c r="Y62" s="94">
        <f>IFERROR(VLOOKUP($B62,'RoC11'!$A$1:$B$161,2,0),0)</f>
        <v>0</v>
      </c>
      <c r="Z62" s="95">
        <f>IFERROR(VLOOKUP(Y62,'RoC11'!$B$1:$C$161,2,0),0)</f>
        <v>0</v>
      </c>
      <c r="AA62" s="95">
        <f>IFERROR(VLOOKUP(E62,'RoC1'!$B$1:$C$160,2,0),0)</f>
        <v>0</v>
      </c>
      <c r="AB62" s="95">
        <f>IFERROR(VLOOKUP(G62,'RoC2'!$B$1:$C$160,2,0),0)</f>
        <v>374.9852711</v>
      </c>
      <c r="AC62" s="95">
        <f>IFERROR(VLOOKUP(I62,'RoC3'!$B$1:$C$160,2,0),0)</f>
        <v>204.6439965</v>
      </c>
      <c r="AD62" s="95">
        <f>IFERROR(VLOOKUP(K62,'RoC4'!$B$1:$C$160,2,0),0)</f>
        <v>359.0234654</v>
      </c>
      <c r="AE62" s="95">
        <f>IFERROR(VLOOKUP(M62,'RoC5'!$B$1:$C$160,2,0),0)</f>
        <v>52.99348796</v>
      </c>
      <c r="AF62" s="95">
        <f>IFERROR(VLOOKUP(O62,'RoC6'!$B$1:$C$160,2,0),0)</f>
        <v>0</v>
      </c>
      <c r="AG62" s="95">
        <f>IFERROR(VLOOKUP(Q62,'RoC7'!$B$1:$C$160,2,0),0)</f>
        <v>325.7767265</v>
      </c>
      <c r="AH62" s="95">
        <f>IFERROR(VLOOKUP(S62,'RoC8'!$B$1:$C$160,2,0),0)</f>
        <v>0</v>
      </c>
      <c r="AI62" s="95">
        <f>IFERROR(VLOOKUP(U62,'RoC9'!$B$1:$C$160,2,0),0)</f>
        <v>0</v>
      </c>
      <c r="AJ62" s="95">
        <f>IFERROR(VLOOKUP(W62,'RoC10'!$B$1:$C$160,2,0),0)</f>
        <v>0</v>
      </c>
      <c r="AK62" s="95">
        <f>IFERROR(VLOOKUP(Y62,'RoC11'!$B$1:$C$160,2,0),0)</f>
        <v>0</v>
      </c>
    </row>
    <row r="63" ht="15.75" customHeight="1">
      <c r="A63" s="135">
        <v>62.0</v>
      </c>
      <c r="B63" s="6" t="s">
        <v>62</v>
      </c>
      <c r="C63" s="93">
        <f t="shared" si="1"/>
        <v>1305.553231</v>
      </c>
      <c r="D63" s="93"/>
      <c r="E63" s="94">
        <f>IFERROR(VLOOKUP($B63,'RoC1'!$A$1:$B$160,2,0),"0")</f>
        <v>25</v>
      </c>
      <c r="F63" s="95">
        <f>IFERROR(VLOOKUP(E63,'RoC1'!$B$1:$C$160,2,0),0)</f>
        <v>304.2555317</v>
      </c>
      <c r="G63" s="94">
        <f>IFERROR(VLOOKUP($B63,'RoC2'!$A$1:$B$161,2,0),"0")</f>
        <v>51</v>
      </c>
      <c r="H63" s="95">
        <f>IFERROR(VLOOKUP(G63,'RoC2'!$B$1:$C$161,2,0),0)</f>
        <v>73.82742781</v>
      </c>
      <c r="I63" s="94">
        <f>IFERROR(VLOOKUP($B63,'RoC3'!$A$1:$B$161,2,0),0)</f>
        <v>46</v>
      </c>
      <c r="J63" s="95">
        <f>IFERROR(VLOOKUP(I63,'RoC3'!$B$1:$C$161,2,0),0)</f>
        <v>130.9135028</v>
      </c>
      <c r="K63" s="94">
        <f>IFERROR(VLOOKUP($B63,'RoC4'!$A$1:$B$161,2,0),0)</f>
        <v>0</v>
      </c>
      <c r="L63" s="95">
        <f>IFERROR(VLOOKUP(K63,'RoC4'!$B$1:$C$161,2,0),0)</f>
        <v>0</v>
      </c>
      <c r="M63" s="94">
        <f>IFERROR(VLOOKUP($B63,'RoC5'!$A$1:$B$161,2,0),0)</f>
        <v>48</v>
      </c>
      <c r="N63" s="95">
        <f>IFERROR(VLOOKUP(M63,'RoC5'!$B$1:$C$161,2,0),0)</f>
        <v>118.7941269</v>
      </c>
      <c r="O63" s="94">
        <f>IFERROR(VLOOKUP($B63,'RoC6'!$A$1:$B$161,2,0),0)</f>
        <v>0</v>
      </c>
      <c r="P63" s="95">
        <f>IFERROR(VLOOKUP(O63,'RoC6'!$B$1:$C$161,2,0),0)</f>
        <v>0</v>
      </c>
      <c r="Q63" s="94">
        <f>IFERROR(VLOOKUP($B63,'RoC7'!$A$1:$B$161,2,0),0)</f>
        <v>36</v>
      </c>
      <c r="R63" s="95">
        <f>IFERROR(VLOOKUP(Q63,'RoC7'!$B$1:$C$161,2,0),0)</f>
        <v>224.3547991</v>
      </c>
      <c r="S63" s="94">
        <f>IFERROR(VLOOKUP($B63,'RoC8'!$A$1:$B$161,2,0),0)</f>
        <v>26</v>
      </c>
      <c r="T63" s="95">
        <f>IFERROR(VLOOKUP(S63,'RoC8'!$B$1:$C$161,2,0),0)</f>
        <v>244.9621382</v>
      </c>
      <c r="U63" s="94">
        <f>IFERROR(VLOOKUP($B63,'RoC9'!$A$1:$B$161,2,0),0)</f>
        <v>35</v>
      </c>
      <c r="V63" s="95">
        <f>IFERROR(VLOOKUP(U63,'RoC9'!$B$1:$C$161,2,0),0)</f>
        <v>124.231837</v>
      </c>
      <c r="W63" s="94">
        <f>IFERROR(VLOOKUP($B63,'RoC10'!$A$1:$B$161,2,0),0)</f>
        <v>33</v>
      </c>
      <c r="X63" s="95">
        <f>IFERROR(VLOOKUP(W63,'RoC10'!$B$1:$C$161,2,0),0)</f>
        <v>84.21386767</v>
      </c>
      <c r="Y63" s="94">
        <f>IFERROR(VLOOKUP($B63,'RoC11'!$A$1:$B$161,2,0),0)</f>
        <v>0</v>
      </c>
      <c r="Z63" s="95">
        <f>IFERROR(VLOOKUP(Y63,'RoC11'!$B$1:$C$161,2,0),0)</f>
        <v>0</v>
      </c>
      <c r="AA63" s="95">
        <f>IFERROR(VLOOKUP(E63,'RoC1'!$B$1:$C$160,2,0),0)</f>
        <v>304.2555317</v>
      </c>
      <c r="AB63" s="95">
        <f>IFERROR(VLOOKUP(G63,'RoC2'!$B$1:$C$160,2,0),0)</f>
        <v>73.82742781</v>
      </c>
      <c r="AC63" s="95">
        <f>IFERROR(VLOOKUP(I63,'RoC3'!$B$1:$C$160,2,0),0)</f>
        <v>130.9135028</v>
      </c>
      <c r="AD63" s="95">
        <f>IFERROR(VLOOKUP(K63,'RoC4'!$B$1:$C$160,2,0),0)</f>
        <v>0</v>
      </c>
      <c r="AE63" s="95">
        <f>IFERROR(VLOOKUP(M63,'RoC5'!$B$1:$C$160,2,0),0)</f>
        <v>118.7941269</v>
      </c>
      <c r="AF63" s="95">
        <f>IFERROR(VLOOKUP(O63,'RoC6'!$B$1:$C$160,2,0),0)</f>
        <v>0</v>
      </c>
      <c r="AG63" s="95">
        <f>IFERROR(VLOOKUP(Q63,'RoC7'!$B$1:$C$160,2,0),0)</f>
        <v>224.3547991</v>
      </c>
      <c r="AH63" s="95">
        <f>IFERROR(VLOOKUP(S63,'RoC8'!$B$1:$C$160,2,0),0)</f>
        <v>244.9621382</v>
      </c>
      <c r="AI63" s="95">
        <f>IFERROR(VLOOKUP(U63,'RoC9'!$B$1:$C$160,2,0),0)</f>
        <v>124.231837</v>
      </c>
      <c r="AJ63" s="95">
        <f>IFERROR(VLOOKUP(W63,'RoC10'!$B$1:$C$160,2,0),0)</f>
        <v>84.21386767</v>
      </c>
      <c r="AK63" s="95">
        <f>IFERROR(VLOOKUP(Y63,'RoC11'!$B$1:$C$160,2,0),0)</f>
        <v>0</v>
      </c>
    </row>
    <row r="64" ht="15.75" customHeight="1">
      <c r="A64" s="135">
        <v>63.0</v>
      </c>
      <c r="B64" s="6" t="s">
        <v>65</v>
      </c>
      <c r="C64" s="93">
        <f t="shared" si="1"/>
        <v>1267.950817</v>
      </c>
      <c r="D64" s="93"/>
      <c r="E64" s="94">
        <f>IFERROR(VLOOKUP($B64,'RoC1'!$A$1:$B$160,2,0),"0")</f>
        <v>34</v>
      </c>
      <c r="F64" s="95">
        <f>IFERROR(VLOOKUP(E64,'RoC1'!$B$1:$C$160,2,0),0)</f>
        <v>176.0896269</v>
      </c>
      <c r="G64" s="94">
        <f>IFERROR(VLOOKUP($B64,'RoC2'!$A$1:$B$161,2,0),"0")</f>
        <v>34</v>
      </c>
      <c r="H64" s="95">
        <f>IFERROR(VLOOKUP(G64,'RoC2'!$B$1:$C$161,2,0),0)</f>
        <v>255.3233736</v>
      </c>
      <c r="I64" s="94">
        <f>IFERROR(VLOOKUP($B64,'RoC3'!$A$1:$B$161,2,0),0)</f>
        <v>30</v>
      </c>
      <c r="J64" s="95">
        <f>IFERROR(VLOOKUP(I64,'RoC3'!$B$1:$C$161,2,0),0)</f>
        <v>312.1668677</v>
      </c>
      <c r="K64" s="94">
        <f>IFERROR(VLOOKUP($B64,'RoC4'!$A$1:$B$161,2,0),0)</f>
        <v>0</v>
      </c>
      <c r="L64" s="95">
        <f>IFERROR(VLOOKUP(K64,'RoC4'!$B$1:$C$161,2,0),0)</f>
        <v>0</v>
      </c>
      <c r="M64" s="94">
        <f>IFERROR(VLOOKUP($B64,'RoC5'!$A$1:$B$161,2,0),0)</f>
        <v>0</v>
      </c>
      <c r="N64" s="95">
        <f>IFERROR(VLOOKUP(M64,'RoC5'!$B$1:$C$161,2,0),0)</f>
        <v>0</v>
      </c>
      <c r="O64" s="94">
        <f>IFERROR(VLOOKUP($B64,'RoC6'!$A$1:$B$161,2,0),0)</f>
        <v>0</v>
      </c>
      <c r="P64" s="95">
        <f>IFERROR(VLOOKUP(O64,'RoC6'!$B$1:$C$161,2,0),0)</f>
        <v>0</v>
      </c>
      <c r="Q64" s="94">
        <f>IFERROR(VLOOKUP($B64,'RoC7'!$A$1:$B$161,2,0),0)</f>
        <v>0</v>
      </c>
      <c r="R64" s="95">
        <f>IFERROR(VLOOKUP(Q64,'RoC7'!$B$1:$C$161,2,0),0)</f>
        <v>0</v>
      </c>
      <c r="S64" s="94">
        <f>IFERROR(VLOOKUP($B64,'RoC8'!$A$1:$B$161,2,0),0)</f>
        <v>14</v>
      </c>
      <c r="T64" s="95">
        <f>IFERROR(VLOOKUP(S64,'RoC8'!$B$1:$C$161,2,0),0)</f>
        <v>476.6054913</v>
      </c>
      <c r="U64" s="94">
        <f>IFERROR(VLOOKUP($B64,'RoC9'!$A$1:$B$161,2,0),0)</f>
        <v>41</v>
      </c>
      <c r="V64" s="95">
        <f>IFERROR(VLOOKUP(U64,'RoC9'!$B$1:$C$161,2,0),0)</f>
        <v>47.76545788</v>
      </c>
      <c r="W64" s="94">
        <f>IFERROR(VLOOKUP($B64,'RoC10'!$A$1:$B$161,2,0),0)</f>
        <v>0</v>
      </c>
      <c r="X64" s="95">
        <f>IFERROR(VLOOKUP(W64,'RoC10'!$B$1:$C$161,2,0),0)</f>
        <v>0</v>
      </c>
      <c r="Y64" s="94">
        <f>IFERROR(VLOOKUP($B64,'RoC11'!$A$1:$B$161,2,0),0)</f>
        <v>0</v>
      </c>
      <c r="Z64" s="95">
        <f>IFERROR(VLOOKUP(Y64,'RoC11'!$B$1:$C$161,2,0),0)</f>
        <v>0</v>
      </c>
      <c r="AA64" s="95">
        <f>IFERROR(VLOOKUP(E64,'RoC1'!$B$1:$C$160,2,0),0)</f>
        <v>176.0896269</v>
      </c>
      <c r="AB64" s="95">
        <f>IFERROR(VLOOKUP(G64,'RoC2'!$B$1:$C$160,2,0),0)</f>
        <v>255.3233736</v>
      </c>
      <c r="AC64" s="95">
        <f>IFERROR(VLOOKUP(I64,'RoC3'!$B$1:$C$160,2,0),0)</f>
        <v>312.1668677</v>
      </c>
      <c r="AD64" s="95">
        <f>IFERROR(VLOOKUP(K64,'RoC4'!$B$1:$C$160,2,0),0)</f>
        <v>0</v>
      </c>
      <c r="AE64" s="95">
        <f>IFERROR(VLOOKUP(M64,'RoC5'!$B$1:$C$160,2,0),0)</f>
        <v>0</v>
      </c>
      <c r="AF64" s="95">
        <f>IFERROR(VLOOKUP(O64,'RoC6'!$B$1:$C$160,2,0),0)</f>
        <v>0</v>
      </c>
      <c r="AG64" s="95">
        <f>IFERROR(VLOOKUP(Q64,'RoC7'!$B$1:$C$160,2,0),0)</f>
        <v>0</v>
      </c>
      <c r="AH64" s="95">
        <f>IFERROR(VLOOKUP(S64,'RoC8'!$B$1:$C$160,2,0),0)</f>
        <v>476.6054913</v>
      </c>
      <c r="AI64" s="95">
        <f>IFERROR(VLOOKUP(U64,'RoC9'!$B$1:$C$160,2,0),0)</f>
        <v>47.76545788</v>
      </c>
      <c r="AJ64" s="95">
        <f>IFERROR(VLOOKUP(W64,'RoC10'!$B$1:$C$160,2,0),0)</f>
        <v>0</v>
      </c>
      <c r="AK64" s="95">
        <f>IFERROR(VLOOKUP(Y64,'RoC11'!$B$1:$C$160,2,0),0)</f>
        <v>0</v>
      </c>
    </row>
    <row r="65" ht="15.75" customHeight="1">
      <c r="A65" s="135">
        <v>64.0</v>
      </c>
      <c r="B65" s="6" t="s">
        <v>58</v>
      </c>
      <c r="C65" s="93">
        <f t="shared" si="1"/>
        <v>1266.505193</v>
      </c>
      <c r="D65" s="136"/>
      <c r="E65" s="137" t="str">
        <f>IFERROR(VLOOKUP($B65,'RoC1'!$A$1:$B$160,2,0),"0")</f>
        <v>0</v>
      </c>
      <c r="F65" s="97">
        <f>IFERROR(VLOOKUP(E65,'RoC1'!$B$1:$C$160,2,0),0)</f>
        <v>0</v>
      </c>
      <c r="G65" s="137" t="str">
        <f>IFERROR(VLOOKUP($B65,'RoC2'!$A$1:$B$161,2,0),"0")</f>
        <v>0</v>
      </c>
      <c r="H65" s="97">
        <f>IFERROR(VLOOKUP(G65,'RoC2'!$B$1:$C$161,2,0),0)</f>
        <v>0</v>
      </c>
      <c r="I65" s="137">
        <f>IFERROR(VLOOKUP($B65,'RoC3'!$A$1:$B$161,2,0),0)</f>
        <v>38</v>
      </c>
      <c r="J65" s="97">
        <f>IFERROR(VLOOKUP(I65,'RoC3'!$B$1:$C$161,2,0),0)</f>
        <v>215.7856933</v>
      </c>
      <c r="K65" s="137">
        <f>IFERROR(VLOOKUP($B65,'RoC4'!$A$1:$B$161,2,0),0)</f>
        <v>0</v>
      </c>
      <c r="L65" s="97">
        <f>IFERROR(VLOOKUP(K65,'RoC4'!$B$1:$C$161,2,0),0)</f>
        <v>0</v>
      </c>
      <c r="M65" s="137">
        <f>IFERROR(VLOOKUP($B65,'RoC5'!$A$1:$B$161,2,0),0)</f>
        <v>0</v>
      </c>
      <c r="N65" s="97">
        <f>IFERROR(VLOOKUP(M65,'RoC5'!$B$1:$C$161,2,0),0)</f>
        <v>0</v>
      </c>
      <c r="O65" s="137">
        <f>IFERROR(VLOOKUP($B65,'RoC6'!$A$1:$B$161,2,0),0)</f>
        <v>0</v>
      </c>
      <c r="P65" s="97">
        <f>IFERROR(VLOOKUP(O65,'RoC6'!$B$1:$C$161,2,0),0)</f>
        <v>0</v>
      </c>
      <c r="Q65" s="137">
        <f>IFERROR(VLOOKUP($B65,'RoC7'!$A$1:$B$161,2,0),0)</f>
        <v>31</v>
      </c>
      <c r="R65" s="97">
        <f>IFERROR(VLOOKUP(Q65,'RoC7'!$B$1:$C$161,2,0),0)</f>
        <v>285.8325271</v>
      </c>
      <c r="S65" s="137">
        <f>IFERROR(VLOOKUP($B65,'RoC8'!$A$1:$B$161,2,0),0)</f>
        <v>0</v>
      </c>
      <c r="T65" s="97">
        <f>IFERROR(VLOOKUP(S65,'RoC8'!$B$1:$C$161,2,0),0)</f>
        <v>0</v>
      </c>
      <c r="U65" s="137">
        <f>IFERROR(VLOOKUP($B65,'RoC9'!$A$1:$B$161,2,0),0)</f>
        <v>0</v>
      </c>
      <c r="V65" s="97">
        <f>IFERROR(VLOOKUP(U65,'RoC9'!$B$1:$C$161,2,0),0)</f>
        <v>0</v>
      </c>
      <c r="W65" s="137">
        <f>IFERROR(VLOOKUP($B65,'RoC10'!$A$1:$B$161,2,0),0)</f>
        <v>5</v>
      </c>
      <c r="X65" s="97">
        <f>IFERROR(VLOOKUP(W65,'RoC10'!$B$1:$C$161,2,0),0)</f>
        <v>764.8869725</v>
      </c>
      <c r="Y65" s="137">
        <f>IFERROR(VLOOKUP($B65,'RoC11'!$A$1:$B$161,2,0),0)</f>
        <v>0</v>
      </c>
      <c r="Z65" s="97">
        <f>IFERROR(VLOOKUP(Y65,'RoC11'!$B$1:$C$161,2,0),0)</f>
        <v>0</v>
      </c>
      <c r="AA65" s="97">
        <f>IFERROR(VLOOKUP(E65,'RoC1'!$B$1:$C$160,2,0),0)</f>
        <v>0</v>
      </c>
      <c r="AB65" s="97">
        <f>IFERROR(VLOOKUP(G65,'RoC2'!$B$1:$C$160,2,0),0)</f>
        <v>0</v>
      </c>
      <c r="AC65" s="97">
        <f>IFERROR(VLOOKUP(I65,'RoC3'!$B$1:$C$160,2,0),0)</f>
        <v>215.7856933</v>
      </c>
      <c r="AD65" s="97">
        <f>IFERROR(VLOOKUP(K65,'RoC4'!$B$1:$C$160,2,0),0)</f>
        <v>0</v>
      </c>
      <c r="AE65" s="97">
        <f>IFERROR(VLOOKUP(M65,'RoC5'!$B$1:$C$160,2,0),0)</f>
        <v>0</v>
      </c>
      <c r="AF65" s="97">
        <f>IFERROR(VLOOKUP(O65,'RoC6'!$B$1:$C$160,2,0),0)</f>
        <v>0</v>
      </c>
      <c r="AG65" s="97">
        <f>IFERROR(VLOOKUP(Q65,'RoC7'!$B$1:$C$160,2,0),0)</f>
        <v>285.8325271</v>
      </c>
      <c r="AH65" s="97">
        <f>IFERROR(VLOOKUP(S65,'RoC8'!$B$1:$C$160,2,0),0)</f>
        <v>0</v>
      </c>
      <c r="AI65" s="97">
        <f>IFERROR(VLOOKUP(U65,'RoC9'!$B$1:$C$160,2,0),0)</f>
        <v>0</v>
      </c>
      <c r="AJ65" s="97">
        <f>IFERROR(VLOOKUP(W65,'RoC10'!$B$1:$C$160,2,0),0)</f>
        <v>764.8869725</v>
      </c>
      <c r="AK65" s="97">
        <f>IFERROR(VLOOKUP(Y65,'RoC11'!$B$1:$C$160,2,0),0)</f>
        <v>0</v>
      </c>
    </row>
    <row r="66" ht="15.75" customHeight="1">
      <c r="A66" s="135">
        <v>65.0</v>
      </c>
      <c r="B66" s="98" t="s">
        <v>213</v>
      </c>
      <c r="C66" s="93">
        <f t="shared" si="1"/>
        <v>1240.838849</v>
      </c>
      <c r="D66" s="136"/>
      <c r="E66" s="137" t="str">
        <f>IFERROR(VLOOKUP($B66,'RoC1'!$A$1:$B$160,2,0),"0")</f>
        <v>0</v>
      </c>
      <c r="F66" s="97">
        <f>IFERROR(VLOOKUP(E66,'RoC1'!$B$1:$C$160,2,0),0)</f>
        <v>0</v>
      </c>
      <c r="G66" s="137">
        <f>IFERROR(VLOOKUP($B66,'RoC2'!$A$1:$B$161,2,0),"0")</f>
        <v>12</v>
      </c>
      <c r="H66" s="97">
        <f>IFERROR(VLOOKUP(G66,'RoC2'!$B$1:$C$161,2,0),0)</f>
        <v>622.763056</v>
      </c>
      <c r="I66" s="137">
        <f>IFERROR(VLOOKUP($B66,'RoC3'!$A$1:$B$161,2,0),0)</f>
        <v>0</v>
      </c>
      <c r="J66" s="97">
        <f>IFERROR(VLOOKUP(I66,'RoC3'!$B$1:$C$161,2,0),0)</f>
        <v>0</v>
      </c>
      <c r="K66" s="137">
        <f>IFERROR(VLOOKUP($B66,'RoC4'!$A$1:$B$161,2,0),0)</f>
        <v>25</v>
      </c>
      <c r="L66" s="97">
        <f>IFERROR(VLOOKUP(K66,'RoC4'!$B$1:$C$161,2,0),0)</f>
        <v>327.3674969</v>
      </c>
      <c r="M66" s="137">
        <f>IFERROR(VLOOKUP($B66,'RoC5'!$A$1:$B$161,2,0),0)</f>
        <v>0</v>
      </c>
      <c r="N66" s="97">
        <f>IFERROR(VLOOKUP(M66,'RoC5'!$B$1:$C$161,2,0),0)</f>
        <v>0</v>
      </c>
      <c r="O66" s="137">
        <f>IFERROR(VLOOKUP($B66,'RoC6'!$A$1:$B$161,2,0),0)</f>
        <v>50</v>
      </c>
      <c r="P66" s="97">
        <f>IFERROR(VLOOKUP(O66,'RoC6'!$B$1:$C$161,2,0),0)</f>
        <v>30.15304354</v>
      </c>
      <c r="Q66" s="137">
        <f>IFERROR(VLOOKUP($B66,'RoC7'!$A$1:$B$161,2,0),0)</f>
        <v>33</v>
      </c>
      <c r="R66" s="97">
        <f>IFERROR(VLOOKUP(Q66,'RoC7'!$B$1:$C$161,2,0),0)</f>
        <v>260.5552522</v>
      </c>
      <c r="S66" s="137">
        <f>IFERROR(VLOOKUP($B66,'RoC8'!$A$1:$B$161,2,0),0)</f>
        <v>0</v>
      </c>
      <c r="T66" s="97">
        <f>IFERROR(VLOOKUP(S66,'RoC8'!$B$1:$C$161,2,0),0)</f>
        <v>0</v>
      </c>
      <c r="U66" s="137">
        <f>IFERROR(VLOOKUP($B66,'RoC9'!$A$1:$B$161,2,0),0)</f>
        <v>0</v>
      </c>
      <c r="V66" s="97">
        <f>IFERROR(VLOOKUP(U66,'RoC9'!$B$1:$C$161,2,0),0)</f>
        <v>0</v>
      </c>
      <c r="W66" s="137">
        <f>IFERROR(VLOOKUP($B66,'RoC10'!$A$1:$B$161,2,0),0)</f>
        <v>0</v>
      </c>
      <c r="X66" s="97">
        <f>IFERROR(VLOOKUP(W66,'RoC10'!$B$1:$C$161,2,0),0)</f>
        <v>0</v>
      </c>
      <c r="Y66" s="137">
        <f>IFERROR(VLOOKUP($B66,'RoC11'!$A$1:$B$161,2,0),0)</f>
        <v>0</v>
      </c>
      <c r="Z66" s="97">
        <f>IFERROR(VLOOKUP(Y66,'RoC11'!$B$1:$C$161,2,0),0)</f>
        <v>0</v>
      </c>
      <c r="AA66" s="97">
        <f>IFERROR(VLOOKUP(E66,'RoC1'!$B$1:$C$160,2,0),0)</f>
        <v>0</v>
      </c>
      <c r="AB66" s="97">
        <f>IFERROR(VLOOKUP(G66,'RoC2'!$B$1:$C$160,2,0),0)</f>
        <v>622.763056</v>
      </c>
      <c r="AC66" s="97">
        <f>IFERROR(VLOOKUP(I66,'RoC3'!$B$1:$C$160,2,0),0)</f>
        <v>0</v>
      </c>
      <c r="AD66" s="97">
        <f>IFERROR(VLOOKUP(K66,'RoC4'!$B$1:$C$160,2,0),0)</f>
        <v>327.3674969</v>
      </c>
      <c r="AE66" s="97">
        <f>IFERROR(VLOOKUP(M66,'RoC5'!$B$1:$C$160,2,0),0)</f>
        <v>0</v>
      </c>
      <c r="AF66" s="97">
        <f>IFERROR(VLOOKUP(O66,'RoC6'!$B$1:$C$160,2,0),0)</f>
        <v>30.15304354</v>
      </c>
      <c r="AG66" s="97">
        <f>IFERROR(VLOOKUP(Q66,'RoC7'!$B$1:$C$160,2,0),0)</f>
        <v>260.5552522</v>
      </c>
      <c r="AH66" s="97">
        <f>IFERROR(VLOOKUP(S66,'RoC8'!$B$1:$C$160,2,0),0)</f>
        <v>0</v>
      </c>
      <c r="AI66" s="97">
        <f>IFERROR(VLOOKUP(U66,'RoC9'!$B$1:$C$160,2,0),0)</f>
        <v>0</v>
      </c>
      <c r="AJ66" s="97">
        <f>IFERROR(VLOOKUP(W66,'RoC10'!$B$1:$C$160,2,0),0)</f>
        <v>0</v>
      </c>
      <c r="AK66" s="97">
        <f>IFERROR(VLOOKUP(Y66,'RoC11'!$B$1:$C$160,2,0),0)</f>
        <v>0</v>
      </c>
    </row>
    <row r="67" ht="15.75" customHeight="1">
      <c r="A67" s="135">
        <v>66.0</v>
      </c>
      <c r="B67" s="6" t="s">
        <v>74</v>
      </c>
      <c r="C67" s="93">
        <f t="shared" si="1"/>
        <v>1173.403838</v>
      </c>
      <c r="D67" s="93"/>
      <c r="E67" s="94">
        <f>IFERROR(VLOOKUP($B67,'RoC1'!$A$1:$B$160,2,0),"0")</f>
        <v>21</v>
      </c>
      <c r="F67" s="95">
        <f>IFERROR(VLOOKUP(E67,'RoC1'!$B$1:$C$160,2,0),0)</f>
        <v>370.7792751</v>
      </c>
      <c r="G67" s="94" t="str">
        <f>IFERROR(VLOOKUP($B67,'RoC2'!$A$1:$B$161,2,0),"0")</f>
        <v>0</v>
      </c>
      <c r="H67" s="95">
        <f>IFERROR(VLOOKUP(G67,'RoC2'!$B$1:$C$161,2,0),0)</f>
        <v>0</v>
      </c>
      <c r="I67" s="94">
        <f>IFERROR(VLOOKUP($B67,'RoC3'!$A$1:$B$161,2,0),0)</f>
        <v>0</v>
      </c>
      <c r="J67" s="95">
        <f>IFERROR(VLOOKUP(I67,'RoC3'!$B$1:$C$161,2,0),0)</f>
        <v>0</v>
      </c>
      <c r="K67" s="94">
        <f>IFERROR(VLOOKUP($B67,'RoC4'!$A$1:$B$161,2,0),0)</f>
        <v>0</v>
      </c>
      <c r="L67" s="95">
        <f>IFERROR(VLOOKUP(K67,'RoC4'!$B$1:$C$161,2,0),0)</f>
        <v>0</v>
      </c>
      <c r="M67" s="94">
        <f>IFERROR(VLOOKUP($B67,'RoC5'!$A$1:$B$161,2,0),0)</f>
        <v>0</v>
      </c>
      <c r="N67" s="95">
        <f>IFERROR(VLOOKUP(M67,'RoC5'!$B$1:$C$161,2,0),0)</f>
        <v>0</v>
      </c>
      <c r="O67" s="94">
        <f>IFERROR(VLOOKUP($B67,'RoC6'!$A$1:$B$161,2,0),0)</f>
        <v>6</v>
      </c>
      <c r="P67" s="95">
        <f>IFERROR(VLOOKUP(O67,'RoC6'!$B$1:$C$161,2,0),0)</f>
        <v>802.6245631</v>
      </c>
      <c r="Q67" s="94">
        <f>IFERROR(VLOOKUP($B67,'RoC7'!$A$1:$B$161,2,0),0)</f>
        <v>0</v>
      </c>
      <c r="R67" s="95">
        <f>IFERROR(VLOOKUP(Q67,'RoC7'!$B$1:$C$161,2,0),0)</f>
        <v>0</v>
      </c>
      <c r="S67" s="94">
        <f>IFERROR(VLOOKUP($B67,'RoC8'!$A$1:$B$161,2,0),0)</f>
        <v>0</v>
      </c>
      <c r="T67" s="95">
        <f>IFERROR(VLOOKUP(S67,'RoC8'!$B$1:$C$161,2,0),0)</f>
        <v>0</v>
      </c>
      <c r="U67" s="94">
        <f>IFERROR(VLOOKUP($B67,'RoC9'!$A$1:$B$161,2,0),0)</f>
        <v>0</v>
      </c>
      <c r="V67" s="95">
        <f>IFERROR(VLOOKUP(U67,'RoC9'!$B$1:$C$161,2,0),0)</f>
        <v>0</v>
      </c>
      <c r="W67" s="94">
        <f>IFERROR(VLOOKUP($B67,'RoC10'!$A$1:$B$161,2,0),0)</f>
        <v>0</v>
      </c>
      <c r="X67" s="95">
        <f>IFERROR(VLOOKUP(W67,'RoC10'!$B$1:$C$161,2,0),0)</f>
        <v>0</v>
      </c>
      <c r="Y67" s="94">
        <f>IFERROR(VLOOKUP($B67,'RoC11'!$A$1:$B$161,2,0),0)</f>
        <v>0</v>
      </c>
      <c r="Z67" s="95">
        <f>IFERROR(VLOOKUP(Y67,'RoC11'!$B$1:$C$161,2,0),0)</f>
        <v>0</v>
      </c>
      <c r="AA67" s="95">
        <f>IFERROR(VLOOKUP(E67,'RoC1'!$B$1:$C$160,2,0),0)</f>
        <v>370.7792751</v>
      </c>
      <c r="AB67" s="95">
        <f>IFERROR(VLOOKUP(G67,'RoC2'!$B$1:$C$160,2,0),0)</f>
        <v>0</v>
      </c>
      <c r="AC67" s="95">
        <f>IFERROR(VLOOKUP(I67,'RoC3'!$B$1:$C$160,2,0),0)</f>
        <v>0</v>
      </c>
      <c r="AD67" s="95">
        <f>IFERROR(VLOOKUP(K67,'RoC4'!$B$1:$C$160,2,0),0)</f>
        <v>0</v>
      </c>
      <c r="AE67" s="95">
        <f>IFERROR(VLOOKUP(M67,'RoC5'!$B$1:$C$160,2,0),0)</f>
        <v>0</v>
      </c>
      <c r="AF67" s="95">
        <f>IFERROR(VLOOKUP(O67,'RoC6'!$B$1:$C$160,2,0),0)</f>
        <v>802.6245631</v>
      </c>
      <c r="AG67" s="95">
        <f>IFERROR(VLOOKUP(Q67,'RoC7'!$B$1:$C$160,2,0),0)</f>
        <v>0</v>
      </c>
      <c r="AH67" s="95">
        <f>IFERROR(VLOOKUP(S67,'RoC8'!$B$1:$C$160,2,0),0)</f>
        <v>0</v>
      </c>
      <c r="AI67" s="95">
        <f>IFERROR(VLOOKUP(U67,'RoC9'!$B$1:$C$160,2,0),0)</f>
        <v>0</v>
      </c>
      <c r="AJ67" s="95">
        <f>IFERROR(VLOOKUP(W67,'RoC10'!$B$1:$C$160,2,0),0)</f>
        <v>0</v>
      </c>
      <c r="AK67" s="95">
        <f>IFERROR(VLOOKUP(Y67,'RoC11'!$B$1:$C$160,2,0),0)</f>
        <v>0</v>
      </c>
    </row>
    <row r="68" ht="15.75" customHeight="1">
      <c r="A68" s="135">
        <v>67.0</v>
      </c>
      <c r="B68" s="10" t="s">
        <v>81</v>
      </c>
      <c r="C68" s="93">
        <f t="shared" si="1"/>
        <v>1146.256619</v>
      </c>
      <c r="D68" s="136"/>
      <c r="E68" s="137" t="str">
        <f>IFERROR(VLOOKUP($B68,'RoC1'!$A$1:$B$160,2,0),"0")</f>
        <v>0</v>
      </c>
      <c r="F68" s="97">
        <f>IFERROR(VLOOKUP(E68,'RoC1'!$B$1:$C$160,2,0),0)</f>
        <v>0</v>
      </c>
      <c r="G68" s="137">
        <f>IFERROR(VLOOKUP($B68,'RoC2'!$A$1:$B$161,2,0),"0")</f>
        <v>33</v>
      </c>
      <c r="H68" s="97">
        <f>IFERROR(VLOOKUP(G68,'RoC2'!$B$1:$C$161,2,0),0)</f>
        <v>267.5254835</v>
      </c>
      <c r="I68" s="137">
        <f>IFERROR(VLOOKUP($B68,'RoC3'!$A$1:$B$161,2,0),0)</f>
        <v>57</v>
      </c>
      <c r="J68" s="97">
        <f>IFERROR(VLOOKUP(I68,'RoC3'!$B$1:$C$161,2,0),0)</f>
        <v>26.58877974</v>
      </c>
      <c r="K68" s="137">
        <f>IFERROR(VLOOKUP($B68,'RoC4'!$A$1:$B$161,2,0),0)</f>
        <v>5</v>
      </c>
      <c r="L68" s="97">
        <f>IFERROR(VLOOKUP(K68,'RoC4'!$B$1:$C$161,2,0),0)</f>
        <v>852.1423559</v>
      </c>
      <c r="M68" s="137">
        <f>IFERROR(VLOOKUP($B68,'RoC5'!$A$1:$B$161,2,0),0)</f>
        <v>0</v>
      </c>
      <c r="N68" s="97">
        <f>IFERROR(VLOOKUP(M68,'RoC5'!$B$1:$C$161,2,0),0)</f>
        <v>0</v>
      </c>
      <c r="O68" s="137">
        <f>IFERROR(VLOOKUP($B68,'RoC6'!$A$1:$B$161,2,0),0)</f>
        <v>0</v>
      </c>
      <c r="P68" s="97">
        <f>IFERROR(VLOOKUP(O68,'RoC6'!$B$1:$C$161,2,0),0)</f>
        <v>0</v>
      </c>
      <c r="Q68" s="137">
        <f>IFERROR(VLOOKUP($B68,'RoC7'!$A$1:$B$161,2,0),0)</f>
        <v>0</v>
      </c>
      <c r="R68" s="97">
        <f>IFERROR(VLOOKUP(Q68,'RoC7'!$B$1:$C$161,2,0),0)</f>
        <v>0</v>
      </c>
      <c r="S68" s="137">
        <f>IFERROR(VLOOKUP($B68,'RoC8'!$A$1:$B$161,2,0),0)</f>
        <v>0</v>
      </c>
      <c r="T68" s="97">
        <f>IFERROR(VLOOKUP(S68,'RoC8'!$B$1:$C$161,2,0),0)</f>
        <v>0</v>
      </c>
      <c r="U68" s="137">
        <f>IFERROR(VLOOKUP($B68,'RoC9'!$A$1:$B$161,2,0),0)</f>
        <v>0</v>
      </c>
      <c r="V68" s="97">
        <f>IFERROR(VLOOKUP(U68,'RoC9'!$B$1:$C$161,2,0),0)</f>
        <v>0</v>
      </c>
      <c r="W68" s="137">
        <f>IFERROR(VLOOKUP($B68,'RoC10'!$A$1:$B$161,2,0),0)</f>
        <v>0</v>
      </c>
      <c r="X68" s="97">
        <f>IFERROR(VLOOKUP(W68,'RoC10'!$B$1:$C$161,2,0),0)</f>
        <v>0</v>
      </c>
      <c r="Y68" s="137">
        <f>IFERROR(VLOOKUP($B68,'RoC11'!$A$1:$B$161,2,0),0)</f>
        <v>0</v>
      </c>
      <c r="Z68" s="97">
        <f>IFERROR(VLOOKUP(Y68,'RoC11'!$B$1:$C$161,2,0),0)</f>
        <v>0</v>
      </c>
      <c r="AA68" s="97">
        <f>IFERROR(VLOOKUP(E68,'RoC1'!$B$1:$C$160,2,0),0)</f>
        <v>0</v>
      </c>
      <c r="AB68" s="97">
        <f>IFERROR(VLOOKUP(G68,'RoC2'!$B$1:$C$160,2,0),0)</f>
        <v>267.5254835</v>
      </c>
      <c r="AC68" s="97">
        <f>IFERROR(VLOOKUP(I68,'RoC3'!$B$1:$C$160,2,0),0)</f>
        <v>26.58877974</v>
      </c>
      <c r="AD68" s="97">
        <f>IFERROR(VLOOKUP(K68,'RoC4'!$B$1:$C$160,2,0),0)</f>
        <v>852.1423559</v>
      </c>
      <c r="AE68" s="97">
        <f>IFERROR(VLOOKUP(M68,'RoC5'!$B$1:$C$160,2,0),0)</f>
        <v>0</v>
      </c>
      <c r="AF68" s="97">
        <f>IFERROR(VLOOKUP(O68,'RoC6'!$B$1:$C$160,2,0),0)</f>
        <v>0</v>
      </c>
      <c r="AG68" s="97">
        <f>IFERROR(VLOOKUP(Q68,'RoC7'!$B$1:$C$160,2,0),0)</f>
        <v>0</v>
      </c>
      <c r="AH68" s="97">
        <f>IFERROR(VLOOKUP(S68,'RoC8'!$B$1:$C$160,2,0),0)</f>
        <v>0</v>
      </c>
      <c r="AI68" s="97">
        <f>IFERROR(VLOOKUP(U68,'RoC9'!$B$1:$C$160,2,0),0)</f>
        <v>0</v>
      </c>
      <c r="AJ68" s="97">
        <f>IFERROR(VLOOKUP(W68,'RoC10'!$B$1:$C$160,2,0),0)</f>
        <v>0</v>
      </c>
      <c r="AK68" s="97">
        <f>IFERROR(VLOOKUP(Y68,'RoC11'!$B$1:$C$160,2,0),0)</f>
        <v>0</v>
      </c>
    </row>
    <row r="69" ht="15.75" customHeight="1">
      <c r="A69" s="135">
        <v>68.0</v>
      </c>
      <c r="B69" s="24" t="s">
        <v>79</v>
      </c>
      <c r="C69" s="93">
        <f t="shared" si="1"/>
        <v>1142.473211</v>
      </c>
      <c r="D69" s="136"/>
      <c r="E69" s="137" t="str">
        <f>IFERROR(VLOOKUP($B69,'RoC1'!$A$1:$B$160,2,0),"0")</f>
        <v>0</v>
      </c>
      <c r="F69" s="97">
        <f>IFERROR(VLOOKUP(E69,'RoC1'!$B$1:$C$160,2,0),0)</f>
        <v>0</v>
      </c>
      <c r="G69" s="137" t="str">
        <f>IFERROR(VLOOKUP($B69,'RoC2'!$A$1:$B$161,2,0),"0")</f>
        <v>0</v>
      </c>
      <c r="H69" s="97">
        <f>IFERROR(VLOOKUP(G69,'RoC2'!$B$1:$C$161,2,0),0)</f>
        <v>0</v>
      </c>
      <c r="I69" s="137">
        <f>IFERROR(VLOOKUP($B69,'RoC3'!$A$1:$B$161,2,0),0)</f>
        <v>0</v>
      </c>
      <c r="J69" s="97">
        <f>IFERROR(VLOOKUP(I69,'RoC3'!$B$1:$C$161,2,0),0)</f>
        <v>0</v>
      </c>
      <c r="K69" s="137">
        <f>IFERROR(VLOOKUP($B69,'RoC4'!$A$1:$B$161,2,0),0)</f>
        <v>0</v>
      </c>
      <c r="L69" s="97">
        <f>IFERROR(VLOOKUP(K69,'RoC4'!$B$1:$C$161,2,0),0)</f>
        <v>0</v>
      </c>
      <c r="M69" s="137">
        <f>IFERROR(VLOOKUP($B69,'RoC5'!$A$1:$B$161,2,0),0)</f>
        <v>35</v>
      </c>
      <c r="N69" s="97">
        <f>IFERROR(VLOOKUP(M69,'RoC5'!$B$1:$C$161,2,0),0)</f>
        <v>257.109583</v>
      </c>
      <c r="O69" s="137">
        <f>IFERROR(VLOOKUP($B69,'RoC6'!$A$1:$B$161,2,0),0)</f>
        <v>0</v>
      </c>
      <c r="P69" s="97">
        <f>IFERROR(VLOOKUP(O69,'RoC6'!$B$1:$C$161,2,0),0)</f>
        <v>0</v>
      </c>
      <c r="Q69" s="137">
        <f>IFERROR(VLOOKUP($B69,'RoC7'!$A$1:$B$161,2,0),0)</f>
        <v>5</v>
      </c>
      <c r="R69" s="97">
        <f>IFERROR(VLOOKUP(Q69,'RoC7'!$B$1:$C$161,2,0),0)</f>
        <v>885.3636284</v>
      </c>
      <c r="S69" s="137">
        <f>IFERROR(VLOOKUP($B69,'RoC8'!$A$1:$B$161,2,0),0)</f>
        <v>0</v>
      </c>
      <c r="T69" s="97">
        <f>IFERROR(VLOOKUP(S69,'RoC8'!$B$1:$C$161,2,0),0)</f>
        <v>0</v>
      </c>
      <c r="U69" s="137">
        <f>IFERROR(VLOOKUP($B69,'RoC9'!$A$1:$B$161,2,0),0)</f>
        <v>0</v>
      </c>
      <c r="V69" s="97">
        <f>IFERROR(VLOOKUP(U69,'RoC9'!$B$1:$C$161,2,0),0)</f>
        <v>0</v>
      </c>
      <c r="W69" s="137">
        <f>IFERROR(VLOOKUP($B69,'RoC10'!$A$1:$B$161,2,0),0)</f>
        <v>0</v>
      </c>
      <c r="X69" s="97">
        <f>IFERROR(VLOOKUP(W69,'RoC10'!$B$1:$C$161,2,0),0)</f>
        <v>0</v>
      </c>
      <c r="Y69" s="137">
        <f>IFERROR(VLOOKUP($B69,'RoC11'!$A$1:$B$161,2,0),0)</f>
        <v>0</v>
      </c>
      <c r="Z69" s="97">
        <f>IFERROR(VLOOKUP(Y69,'RoC11'!$B$1:$C$161,2,0),0)</f>
        <v>0</v>
      </c>
      <c r="AA69" s="97">
        <f>IFERROR(VLOOKUP(E69,'RoC1'!$B$1:$C$160,2,0),0)</f>
        <v>0</v>
      </c>
      <c r="AB69" s="97">
        <f>IFERROR(VLOOKUP(G69,'RoC2'!$B$1:$C$160,2,0),0)</f>
        <v>0</v>
      </c>
      <c r="AC69" s="97">
        <f>IFERROR(VLOOKUP(I69,'RoC3'!$B$1:$C$160,2,0),0)</f>
        <v>0</v>
      </c>
      <c r="AD69" s="97">
        <f>IFERROR(VLOOKUP(K69,'RoC4'!$B$1:$C$160,2,0),0)</f>
        <v>0</v>
      </c>
      <c r="AE69" s="97">
        <f>IFERROR(VLOOKUP(M69,'RoC5'!$B$1:$C$160,2,0),0)</f>
        <v>257.109583</v>
      </c>
      <c r="AF69" s="97">
        <f>IFERROR(VLOOKUP(O69,'RoC6'!$B$1:$C$160,2,0),0)</f>
        <v>0</v>
      </c>
      <c r="AG69" s="97">
        <f>IFERROR(VLOOKUP(Q69,'RoC7'!$B$1:$C$160,2,0),0)</f>
        <v>885.3636284</v>
      </c>
      <c r="AH69" s="97">
        <f>IFERROR(VLOOKUP(S69,'RoC8'!$B$1:$C$160,2,0),0)</f>
        <v>0</v>
      </c>
      <c r="AI69" s="97">
        <f>IFERROR(VLOOKUP(U69,'RoC9'!$B$1:$C$160,2,0),0)</f>
        <v>0</v>
      </c>
      <c r="AJ69" s="97">
        <f>IFERROR(VLOOKUP(W69,'RoC10'!$B$1:$C$160,2,0),0)</f>
        <v>0</v>
      </c>
      <c r="AK69" s="97">
        <f>IFERROR(VLOOKUP(Y69,'RoC11'!$B$1:$C$160,2,0),0)</f>
        <v>0</v>
      </c>
    </row>
    <row r="70" ht="15.75" customHeight="1">
      <c r="A70" s="135">
        <v>69.0</v>
      </c>
      <c r="B70" s="6" t="s">
        <v>93</v>
      </c>
      <c r="C70" s="93">
        <f t="shared" si="1"/>
        <v>1110.316033</v>
      </c>
      <c r="D70" s="93"/>
      <c r="E70" s="94">
        <f>IFERROR(VLOOKUP($B70,'RoC1'!$A$1:$B$160,2,0),"0")</f>
        <v>27</v>
      </c>
      <c r="F70" s="95">
        <f>IFERROR(VLOOKUP(E70,'RoC1'!$B$1:$C$160,2,0),0)</f>
        <v>273.5860714</v>
      </c>
      <c r="G70" s="94">
        <f>IFERROR(VLOOKUP($B70,'RoC2'!$A$1:$B$161,2,0),"0")</f>
        <v>28</v>
      </c>
      <c r="H70" s="95">
        <f>IFERROR(VLOOKUP(G70,'RoC2'!$B$1:$C$161,2,0),0)</f>
        <v>332.3475493</v>
      </c>
      <c r="I70" s="94">
        <f>IFERROR(VLOOKUP($B70,'RoC3'!$A$1:$B$161,2,0),0)</f>
        <v>0</v>
      </c>
      <c r="J70" s="95">
        <f>IFERROR(VLOOKUP(I70,'RoC3'!$B$1:$C$161,2,0),0)</f>
        <v>0</v>
      </c>
      <c r="K70" s="94">
        <f>IFERROR(VLOOKUP($B70,'RoC4'!$A$1:$B$161,2,0),0)</f>
        <v>0</v>
      </c>
      <c r="L70" s="95">
        <f>IFERROR(VLOOKUP(K70,'RoC4'!$B$1:$C$161,2,0),0)</f>
        <v>0</v>
      </c>
      <c r="M70" s="94">
        <f>IFERROR(VLOOKUP($B70,'RoC5'!$A$1:$B$161,2,0),0)</f>
        <v>0</v>
      </c>
      <c r="N70" s="95">
        <f>IFERROR(VLOOKUP(M70,'RoC5'!$B$1:$C$161,2,0),0)</f>
        <v>0</v>
      </c>
      <c r="O70" s="94">
        <f>IFERROR(VLOOKUP($B70,'RoC6'!$A$1:$B$161,2,0),0)</f>
        <v>0</v>
      </c>
      <c r="P70" s="95">
        <f>IFERROR(VLOOKUP(O70,'RoC6'!$B$1:$C$161,2,0),0)</f>
        <v>0</v>
      </c>
      <c r="Q70" s="94">
        <f>IFERROR(VLOOKUP($B70,'RoC7'!$A$1:$B$161,2,0),0)</f>
        <v>17</v>
      </c>
      <c r="R70" s="95">
        <f>IFERROR(VLOOKUP(Q70,'RoC7'!$B$1:$C$161,2,0),0)</f>
        <v>504.3824125</v>
      </c>
      <c r="S70" s="94">
        <f>IFERROR(VLOOKUP($B70,'RoC8'!$A$1:$B$161,2,0),0)</f>
        <v>0</v>
      </c>
      <c r="T70" s="95">
        <f>IFERROR(VLOOKUP(S70,'RoC8'!$B$1:$C$161,2,0),0)</f>
        <v>0</v>
      </c>
      <c r="U70" s="94">
        <f>IFERROR(VLOOKUP($B70,'RoC9'!$A$1:$B$161,2,0),0)</f>
        <v>0</v>
      </c>
      <c r="V70" s="95">
        <f>IFERROR(VLOOKUP(U70,'RoC9'!$B$1:$C$161,2,0),0)</f>
        <v>0</v>
      </c>
      <c r="W70" s="94">
        <f>IFERROR(VLOOKUP($B70,'RoC10'!$A$1:$B$161,2,0),0)</f>
        <v>0</v>
      </c>
      <c r="X70" s="95">
        <f>IFERROR(VLOOKUP(W70,'RoC10'!$B$1:$C$161,2,0),0)</f>
        <v>0</v>
      </c>
      <c r="Y70" s="94">
        <f>IFERROR(VLOOKUP($B70,'RoC11'!$A$1:$B$161,2,0),0)</f>
        <v>0</v>
      </c>
      <c r="Z70" s="95">
        <f>IFERROR(VLOOKUP(Y70,'RoC11'!$B$1:$C$161,2,0),0)</f>
        <v>0</v>
      </c>
      <c r="AA70" s="95">
        <f>IFERROR(VLOOKUP(E70,'RoC1'!$B$1:$C$160,2,0),0)</f>
        <v>273.5860714</v>
      </c>
      <c r="AB70" s="95">
        <f>IFERROR(VLOOKUP(G70,'RoC2'!$B$1:$C$160,2,0),0)</f>
        <v>332.3475493</v>
      </c>
      <c r="AC70" s="95">
        <f>IFERROR(VLOOKUP(I70,'RoC3'!$B$1:$C$160,2,0),0)</f>
        <v>0</v>
      </c>
      <c r="AD70" s="95">
        <f>IFERROR(VLOOKUP(K70,'RoC4'!$B$1:$C$160,2,0),0)</f>
        <v>0</v>
      </c>
      <c r="AE70" s="95">
        <f>IFERROR(VLOOKUP(M70,'RoC5'!$B$1:$C$160,2,0),0)</f>
        <v>0</v>
      </c>
      <c r="AF70" s="95">
        <f>IFERROR(VLOOKUP(O70,'RoC6'!$B$1:$C$160,2,0),0)</f>
        <v>0</v>
      </c>
      <c r="AG70" s="95">
        <f>IFERROR(VLOOKUP(Q70,'RoC7'!$B$1:$C$160,2,0),0)</f>
        <v>504.3824125</v>
      </c>
      <c r="AH70" s="95">
        <f>IFERROR(VLOOKUP(S70,'RoC8'!$B$1:$C$160,2,0),0)</f>
        <v>0</v>
      </c>
      <c r="AI70" s="95">
        <f>IFERROR(VLOOKUP(U70,'RoC9'!$B$1:$C$160,2,0),0)</f>
        <v>0</v>
      </c>
      <c r="AJ70" s="95">
        <f>IFERROR(VLOOKUP(W70,'RoC10'!$B$1:$C$160,2,0),0)</f>
        <v>0</v>
      </c>
      <c r="AK70" s="95">
        <f>IFERROR(VLOOKUP(Y70,'RoC11'!$B$1:$C$160,2,0),0)</f>
        <v>0</v>
      </c>
    </row>
    <row r="71" ht="15.75" customHeight="1">
      <c r="A71" s="135">
        <v>70.0</v>
      </c>
      <c r="B71" s="6" t="s">
        <v>92</v>
      </c>
      <c r="C71" s="93">
        <f t="shared" si="1"/>
        <v>1102.796066</v>
      </c>
      <c r="D71" s="136"/>
      <c r="E71" s="137">
        <f>IFERROR(VLOOKUP($B71,'RoC1'!$A$1:$B$160,2,0),"0")</f>
        <v>16</v>
      </c>
      <c r="F71" s="97">
        <f>IFERROR(VLOOKUP(E71,'RoC1'!$B$1:$C$160,2,0),0)</f>
        <v>467.7310353</v>
      </c>
      <c r="G71" s="137">
        <f>IFERROR(VLOOKUP($B71,'RoC2'!$A$1:$B$161,2,0),"0")</f>
        <v>49</v>
      </c>
      <c r="H71" s="97">
        <f>IFERROR(VLOOKUP(G71,'RoC2'!$B$1:$C$161,2,0),0)</f>
        <v>93.21188156</v>
      </c>
      <c r="I71" s="137">
        <f>IFERROR(VLOOKUP($B71,'RoC3'!$A$1:$B$161,2,0),0)</f>
        <v>17</v>
      </c>
      <c r="J71" s="97">
        <f>IFERROR(VLOOKUP(I71,'RoC3'!$B$1:$C$161,2,0),0)</f>
        <v>515.7058891</v>
      </c>
      <c r="K71" s="137">
        <f>IFERROR(VLOOKUP($B71,'RoC4'!$A$1:$B$161,2,0),0)</f>
        <v>0</v>
      </c>
      <c r="L71" s="97">
        <f>IFERROR(VLOOKUP(K71,'RoC4'!$B$1:$C$161,2,0),0)</f>
        <v>0</v>
      </c>
      <c r="M71" s="137">
        <f>IFERROR(VLOOKUP($B71,'RoC5'!$A$1:$B$161,2,0),0)</f>
        <v>58</v>
      </c>
      <c r="N71" s="97">
        <f>IFERROR(VLOOKUP(M71,'RoC5'!$B$1:$C$161,2,0),0)</f>
        <v>26.14725988</v>
      </c>
      <c r="O71" s="137">
        <f>IFERROR(VLOOKUP($B71,'RoC6'!$A$1:$B$161,2,0),0)</f>
        <v>0</v>
      </c>
      <c r="P71" s="97">
        <f>IFERROR(VLOOKUP(O71,'RoC6'!$B$1:$C$161,2,0),0)</f>
        <v>0</v>
      </c>
      <c r="Q71" s="137">
        <f>IFERROR(VLOOKUP($B71,'RoC7'!$A$1:$B$161,2,0),0)</f>
        <v>0</v>
      </c>
      <c r="R71" s="97">
        <f>IFERROR(VLOOKUP(Q71,'RoC7'!$B$1:$C$161,2,0),0)</f>
        <v>0</v>
      </c>
      <c r="S71" s="137">
        <f>IFERROR(VLOOKUP($B71,'RoC8'!$A$1:$B$161,2,0),0)</f>
        <v>0</v>
      </c>
      <c r="T71" s="97">
        <f>IFERROR(VLOOKUP(S71,'RoC8'!$B$1:$C$161,2,0),0)</f>
        <v>0</v>
      </c>
      <c r="U71" s="137">
        <f>IFERROR(VLOOKUP($B71,'RoC9'!$A$1:$B$161,2,0),0)</f>
        <v>0</v>
      </c>
      <c r="V71" s="97">
        <f>IFERROR(VLOOKUP(U71,'RoC9'!$B$1:$C$161,2,0),0)</f>
        <v>0</v>
      </c>
      <c r="W71" s="137">
        <f>IFERROR(VLOOKUP($B71,'RoC10'!$A$1:$B$161,2,0),0)</f>
        <v>0</v>
      </c>
      <c r="X71" s="97">
        <f>IFERROR(VLOOKUP(W71,'RoC10'!$B$1:$C$161,2,0),0)</f>
        <v>0</v>
      </c>
      <c r="Y71" s="137">
        <f>IFERROR(VLOOKUP($B71,'RoC11'!$A$1:$B$161,2,0),0)</f>
        <v>0</v>
      </c>
      <c r="Z71" s="97">
        <f>IFERROR(VLOOKUP(Y71,'RoC11'!$B$1:$C$161,2,0),0)</f>
        <v>0</v>
      </c>
      <c r="AA71" s="97">
        <f>IFERROR(VLOOKUP(E71,'RoC1'!$B$1:$C$160,2,0),0)</f>
        <v>467.7310353</v>
      </c>
      <c r="AB71" s="97">
        <f>IFERROR(VLOOKUP(G71,'RoC2'!$B$1:$C$160,2,0),0)</f>
        <v>93.21188156</v>
      </c>
      <c r="AC71" s="97">
        <f>IFERROR(VLOOKUP(I71,'RoC3'!$B$1:$C$160,2,0),0)</f>
        <v>515.7058891</v>
      </c>
      <c r="AD71" s="97">
        <f>IFERROR(VLOOKUP(K71,'RoC4'!$B$1:$C$160,2,0),0)</f>
        <v>0</v>
      </c>
      <c r="AE71" s="97">
        <f>IFERROR(VLOOKUP(M71,'RoC5'!$B$1:$C$160,2,0),0)</f>
        <v>26.14725988</v>
      </c>
      <c r="AF71" s="97">
        <f>IFERROR(VLOOKUP(O71,'RoC6'!$B$1:$C$160,2,0),0)</f>
        <v>0</v>
      </c>
      <c r="AG71" s="97">
        <f>IFERROR(VLOOKUP(Q71,'RoC7'!$B$1:$C$160,2,0),0)</f>
        <v>0</v>
      </c>
      <c r="AH71" s="97">
        <f>IFERROR(VLOOKUP(S71,'RoC8'!$B$1:$C$160,2,0),0)</f>
        <v>0</v>
      </c>
      <c r="AI71" s="97">
        <f>IFERROR(VLOOKUP(U71,'RoC9'!$B$1:$C$160,2,0),0)</f>
        <v>0</v>
      </c>
      <c r="AJ71" s="97">
        <f>IFERROR(VLOOKUP(W71,'RoC10'!$B$1:$C$160,2,0),0)</f>
        <v>0</v>
      </c>
      <c r="AK71" s="97">
        <f>IFERROR(VLOOKUP(Y71,'RoC11'!$B$1:$C$160,2,0),0)</f>
        <v>0</v>
      </c>
    </row>
    <row r="72" ht="15.75" customHeight="1">
      <c r="A72" s="135">
        <v>71.0</v>
      </c>
      <c r="B72" s="139" t="s">
        <v>99</v>
      </c>
      <c r="C72" s="93">
        <f>F72+H72+J72+L72+N72+P72+R72+T72+V72+X72+Z72-small((AA72:AK72),1)</f>
        <v>1029.955725</v>
      </c>
      <c r="D72" s="136"/>
      <c r="E72" s="137" t="str">
        <f>IFERROR(VLOOKUP($B72,'RoC1'!$A$1:$B$160,2,0),"0")</f>
        <v>0</v>
      </c>
      <c r="F72" s="97">
        <f>IFERROR(VLOOKUP(E72,'RoC1'!$B$1:$C$160,2,0),0)</f>
        <v>0</v>
      </c>
      <c r="G72" s="137" t="str">
        <f>IFERROR(VLOOKUP($B72,'RoC2'!$A$1:$B$161,2,0),"0")</f>
        <v>0</v>
      </c>
      <c r="H72" s="97">
        <f>IFERROR(VLOOKUP(G72,'RoC2'!$B$1:$C$161,2,0),0)</f>
        <v>0</v>
      </c>
      <c r="I72" s="137">
        <f>IFERROR(VLOOKUP($B72,'RoC3'!$A$1:$B$161,2,0),0)</f>
        <v>0</v>
      </c>
      <c r="J72" s="97">
        <f>IFERROR(VLOOKUP(I72,'RoC3'!$B$1:$C$161,2,0),0)</f>
        <v>0</v>
      </c>
      <c r="K72" s="137">
        <f>IFERROR(VLOOKUP($B72,'RoC4'!$A$1:$B$161,2,0),0)</f>
        <v>0</v>
      </c>
      <c r="L72" s="97">
        <f>IFERROR(VLOOKUP(K72,'RoC4'!$B$1:$C$161,2,0),0)</f>
        <v>0</v>
      </c>
      <c r="M72" s="137">
        <f>IFERROR(VLOOKUP($B72,'RoC5'!$A$1:$B$161,2,0),0)</f>
        <v>0</v>
      </c>
      <c r="N72" s="97">
        <f>IFERROR(VLOOKUP(M72,'RoC5'!$B$1:$C$161,2,0),0)</f>
        <v>0</v>
      </c>
      <c r="O72" s="137">
        <f>IFERROR(VLOOKUP($B72,'RoC6'!$A$1:$B$161,2,0),0)</f>
        <v>0</v>
      </c>
      <c r="P72" s="97">
        <f>IFERROR(VLOOKUP(O72,'RoC6'!$B$1:$C$161,2,0),0)</f>
        <v>0</v>
      </c>
      <c r="Q72" s="137">
        <f>IFERROR(VLOOKUP($B72,'RoC7'!$A$1:$B$161,2,0),0)</f>
        <v>0</v>
      </c>
      <c r="R72" s="97">
        <f>IFERROR(VLOOKUP(Q72,'RoC7'!$B$1:$C$161,2,0),0)</f>
        <v>0</v>
      </c>
      <c r="S72" s="137">
        <f>IFERROR(VLOOKUP($B72,'RoC8'!$A$1:$B$161,2,0),0)</f>
        <v>0</v>
      </c>
      <c r="T72" s="97">
        <f>IFERROR(VLOOKUP(S72,'RoC8'!$B$1:$C$161,2,0),0)</f>
        <v>0</v>
      </c>
      <c r="U72" s="137">
        <f>IFERROR(VLOOKUP($B72,'RoC9'!$A$1:$B$161,2,0),0)</f>
        <v>0</v>
      </c>
      <c r="V72" s="97">
        <f>IFERROR(VLOOKUP(U72,'RoC9'!$B$1:$C$161,2,0),0)</f>
        <v>0</v>
      </c>
      <c r="W72" s="137">
        <f>IFERROR(VLOOKUP($B72,'RoC10'!$A$1:$B$161,2,0),0)</f>
        <v>0</v>
      </c>
      <c r="X72" s="97">
        <f>IFERROR(VLOOKUP(W72,'RoC10'!$B$1:$C$161,2,0),0)</f>
        <v>0</v>
      </c>
      <c r="Y72" s="137">
        <f>IFERROR(VLOOKUP($B72,'RoC11'!$A$1:$B$161,2,0),0)</f>
        <v>2</v>
      </c>
      <c r="Z72" s="97">
        <f>IFERROR(VLOOKUP(Y72,'RoC11'!$B$1:$C$161,2,0),0)</f>
        <v>1029.955725</v>
      </c>
      <c r="AA72" s="97">
        <f>IFERROR(VLOOKUP(E72,'RoC1'!$B$1:$C$160,2,0),0)</f>
        <v>0</v>
      </c>
      <c r="AB72" s="97">
        <f>IFERROR(VLOOKUP(G72,'RoC2'!$B$1:$C$160,2,0),0)</f>
        <v>0</v>
      </c>
      <c r="AC72" s="97">
        <f>IFERROR(VLOOKUP(I72,'RoC3'!$B$1:$C$160,2,0),0)</f>
        <v>0</v>
      </c>
      <c r="AD72" s="97">
        <f>IFERROR(VLOOKUP(K72,'RoC4'!$B$1:$C$160,2,0),0)</f>
        <v>0</v>
      </c>
      <c r="AE72" s="97">
        <f>IFERROR(VLOOKUP(M72,'RoC5'!$B$1:$C$160,2,0),0)</f>
        <v>0</v>
      </c>
      <c r="AF72" s="97">
        <f>IFERROR(VLOOKUP(O72,'RoC6'!$B$1:$C$160,2,0),0)</f>
        <v>0</v>
      </c>
      <c r="AG72" s="97">
        <f>IFERROR(VLOOKUP(Q72,'RoC7'!$B$1:$C$160,2,0),0)</f>
        <v>0</v>
      </c>
      <c r="AH72" s="97">
        <f>IFERROR(VLOOKUP(S72,'RoC8'!$B$1:$C$160,2,0),0)</f>
        <v>0</v>
      </c>
      <c r="AI72" s="97">
        <f>IFERROR(VLOOKUP(U72,'RoC9'!$B$1:$C$160,2,0),0)</f>
        <v>0</v>
      </c>
      <c r="AJ72" s="97">
        <f>IFERROR(VLOOKUP(W72,'RoC10'!$B$1:$C$160,2,0),0)</f>
        <v>0</v>
      </c>
      <c r="AK72" s="97">
        <f>IFERROR(VLOOKUP(Y72,'RoC11'!$B$1:$C$160,2,0),0)</f>
        <v>1029.955725</v>
      </c>
    </row>
    <row r="73" ht="15.75" customHeight="1">
      <c r="A73" s="135">
        <v>72.0</v>
      </c>
      <c r="B73" s="6" t="s">
        <v>71</v>
      </c>
      <c r="C73" s="93">
        <f t="shared" ref="C73:C99" si="2">F73+H73+J73+L73+N73+P73+R73+T73+V73+X73+Z73-small((AA73:AK73),1)-small((AA73:AK73),2)</f>
        <v>1022.354694</v>
      </c>
      <c r="D73" s="136"/>
      <c r="E73" s="137">
        <f>IFERROR(VLOOKUP($B73,'RoC1'!$A$1:$B$160,2,0),"0")</f>
        <v>19</v>
      </c>
      <c r="F73" s="97">
        <f>IFERROR(VLOOKUP(E73,'RoC1'!$B$1:$C$160,2,0),0)</f>
        <v>407.3287813</v>
      </c>
      <c r="G73" s="137" t="str">
        <f>IFERROR(VLOOKUP($B73,'RoC2'!$A$1:$B$161,2,0),"0")</f>
        <v>0</v>
      </c>
      <c r="H73" s="97">
        <f>IFERROR(VLOOKUP(G73,'RoC2'!$B$1:$C$161,2,0),0)</f>
        <v>0</v>
      </c>
      <c r="I73" s="137">
        <f>IFERROR(VLOOKUP($B73,'RoC3'!$A$1:$B$161,2,0),0)</f>
        <v>0</v>
      </c>
      <c r="J73" s="97">
        <f>IFERROR(VLOOKUP(I73,'RoC3'!$B$1:$C$161,2,0),0)</f>
        <v>0</v>
      </c>
      <c r="K73" s="137">
        <f>IFERROR(VLOOKUP($B73,'RoC4'!$A$1:$B$161,2,0),0)</f>
        <v>32</v>
      </c>
      <c r="L73" s="97">
        <f>IFERROR(VLOOKUP(K73,'RoC4'!$B$1:$C$161,2,0),0)</f>
        <v>227.9813373</v>
      </c>
      <c r="M73" s="137">
        <f>IFERROR(VLOOKUP($B73,'RoC5'!$A$1:$B$161,2,0),0)</f>
        <v>0</v>
      </c>
      <c r="N73" s="97">
        <f>IFERROR(VLOOKUP(M73,'RoC5'!$B$1:$C$161,2,0),0)</f>
        <v>0</v>
      </c>
      <c r="O73" s="137">
        <f>IFERROR(VLOOKUP($B73,'RoC6'!$A$1:$B$161,2,0),0)</f>
        <v>24</v>
      </c>
      <c r="P73" s="97">
        <f>IFERROR(VLOOKUP(O73,'RoC6'!$B$1:$C$161,2,0),0)</f>
        <v>350.1850398</v>
      </c>
      <c r="Q73" s="137">
        <f>IFERROR(VLOOKUP($B73,'RoC7'!$A$1:$B$161,2,0),0)</f>
        <v>54</v>
      </c>
      <c r="R73" s="97">
        <f>IFERROR(VLOOKUP(Q73,'RoC7'!$B$1:$C$161,2,0),0)</f>
        <v>36.85953564</v>
      </c>
      <c r="S73" s="137">
        <f>IFERROR(VLOOKUP($B73,'RoC8'!$A$1:$B$161,2,0),0)</f>
        <v>0</v>
      </c>
      <c r="T73" s="97">
        <f>IFERROR(VLOOKUP(S73,'RoC8'!$B$1:$C$161,2,0),0)</f>
        <v>0</v>
      </c>
      <c r="U73" s="137">
        <f>IFERROR(VLOOKUP($B73,'RoC9'!$A$1:$B$161,2,0),0)</f>
        <v>0</v>
      </c>
      <c r="V73" s="97">
        <f>IFERROR(VLOOKUP(U73,'RoC9'!$B$1:$C$161,2,0),0)</f>
        <v>0</v>
      </c>
      <c r="W73" s="137">
        <f>IFERROR(VLOOKUP($B73,'RoC10'!$A$1:$B$161,2,0),0)</f>
        <v>0</v>
      </c>
      <c r="X73" s="97">
        <f>IFERROR(VLOOKUP(W73,'RoC10'!$B$1:$C$161,2,0),0)</f>
        <v>0</v>
      </c>
      <c r="Y73" s="137">
        <f>IFERROR(VLOOKUP($B73,'RoC11'!$A$1:$B$161,2,0),0)</f>
        <v>0</v>
      </c>
      <c r="Z73" s="97">
        <f>IFERROR(VLOOKUP(Y73,'RoC11'!$B$1:$C$161,2,0),0)</f>
        <v>0</v>
      </c>
      <c r="AA73" s="97">
        <f>IFERROR(VLOOKUP(E73,'RoC1'!$B$1:$C$160,2,0),0)</f>
        <v>407.3287813</v>
      </c>
      <c r="AB73" s="97">
        <f>IFERROR(VLOOKUP(G73,'RoC2'!$B$1:$C$160,2,0),0)</f>
        <v>0</v>
      </c>
      <c r="AC73" s="97">
        <f>IFERROR(VLOOKUP(I73,'RoC3'!$B$1:$C$160,2,0),0)</f>
        <v>0</v>
      </c>
      <c r="AD73" s="97">
        <f>IFERROR(VLOOKUP(K73,'RoC4'!$B$1:$C$160,2,0),0)</f>
        <v>227.9813373</v>
      </c>
      <c r="AE73" s="97">
        <f>IFERROR(VLOOKUP(M73,'RoC5'!$B$1:$C$160,2,0),0)</f>
        <v>0</v>
      </c>
      <c r="AF73" s="97">
        <f>IFERROR(VLOOKUP(O73,'RoC6'!$B$1:$C$160,2,0),0)</f>
        <v>350.1850398</v>
      </c>
      <c r="AG73" s="97">
        <f>IFERROR(VLOOKUP(Q73,'RoC7'!$B$1:$C$160,2,0),0)</f>
        <v>36.85953564</v>
      </c>
      <c r="AH73" s="97">
        <f>IFERROR(VLOOKUP(S73,'RoC8'!$B$1:$C$160,2,0),0)</f>
        <v>0</v>
      </c>
      <c r="AI73" s="97">
        <f>IFERROR(VLOOKUP(U73,'RoC9'!$B$1:$C$160,2,0),0)</f>
        <v>0</v>
      </c>
      <c r="AJ73" s="97">
        <f>IFERROR(VLOOKUP(W73,'RoC10'!$B$1:$C$160,2,0),0)</f>
        <v>0</v>
      </c>
      <c r="AK73" s="97">
        <f>IFERROR(VLOOKUP(Y73,'RoC11'!$B$1:$C$160,2,0),0)</f>
        <v>0</v>
      </c>
    </row>
    <row r="74" ht="15.75" customHeight="1">
      <c r="A74" s="135">
        <v>73.0</v>
      </c>
      <c r="B74" s="6" t="s">
        <v>54</v>
      </c>
      <c r="C74" s="93">
        <f t="shared" si="2"/>
        <v>1018.020376</v>
      </c>
      <c r="D74" s="136"/>
      <c r="E74" s="137" t="str">
        <f>IFERROR(VLOOKUP($B74,'RoC1'!$A$1:$B$160,2,0),"0")</f>
        <v>0</v>
      </c>
      <c r="F74" s="97">
        <f>IFERROR(VLOOKUP(E74,'RoC1'!$B$1:$C$160,2,0),0)</f>
        <v>0</v>
      </c>
      <c r="G74" s="137">
        <f>IFERROR(VLOOKUP($B74,'RoC2'!$A$1:$B$161,2,0),"0")</f>
        <v>24</v>
      </c>
      <c r="H74" s="97">
        <f>IFERROR(VLOOKUP(G74,'RoC2'!$B$1:$C$161,2,0),0)</f>
        <v>389.9738882</v>
      </c>
      <c r="I74" s="137">
        <f>IFERROR(VLOOKUP($B74,'RoC3'!$A$1:$B$161,2,0),0)</f>
        <v>12</v>
      </c>
      <c r="J74" s="97">
        <f>IFERROR(VLOOKUP(I74,'RoC3'!$B$1:$C$161,2,0),0)</f>
        <v>628.0464881</v>
      </c>
      <c r="K74" s="137">
        <f>IFERROR(VLOOKUP($B74,'RoC4'!$A$1:$B$161,2,0),0)</f>
        <v>0</v>
      </c>
      <c r="L74" s="97">
        <f>IFERROR(VLOOKUP(K74,'RoC4'!$B$1:$C$161,2,0),0)</f>
        <v>0</v>
      </c>
      <c r="M74" s="137">
        <f>IFERROR(VLOOKUP($B74,'RoC5'!$A$1:$B$161,2,0),0)</f>
        <v>0</v>
      </c>
      <c r="N74" s="97">
        <f>IFERROR(VLOOKUP(M74,'RoC5'!$B$1:$C$161,2,0),0)</f>
        <v>0</v>
      </c>
      <c r="O74" s="137">
        <f>IFERROR(VLOOKUP($B74,'RoC6'!$A$1:$B$161,2,0),0)</f>
        <v>0</v>
      </c>
      <c r="P74" s="97">
        <f>IFERROR(VLOOKUP(O74,'RoC6'!$B$1:$C$161,2,0),0)</f>
        <v>0</v>
      </c>
      <c r="Q74" s="137">
        <f>IFERROR(VLOOKUP($B74,'RoC7'!$A$1:$B$161,2,0),0)</f>
        <v>0</v>
      </c>
      <c r="R74" s="97">
        <f>IFERROR(VLOOKUP(Q74,'RoC7'!$B$1:$C$161,2,0),0)</f>
        <v>0</v>
      </c>
      <c r="S74" s="137">
        <f>IFERROR(VLOOKUP($B74,'RoC8'!$A$1:$B$161,2,0),0)</f>
        <v>0</v>
      </c>
      <c r="T74" s="97">
        <f>IFERROR(VLOOKUP(S74,'RoC8'!$B$1:$C$161,2,0),0)</f>
        <v>0</v>
      </c>
      <c r="U74" s="137">
        <f>IFERROR(VLOOKUP($B74,'RoC9'!$A$1:$B$161,2,0),0)</f>
        <v>0</v>
      </c>
      <c r="V74" s="97">
        <f>IFERROR(VLOOKUP(U74,'RoC9'!$B$1:$C$161,2,0),0)</f>
        <v>0</v>
      </c>
      <c r="W74" s="137">
        <f>IFERROR(VLOOKUP($B74,'RoC10'!$A$1:$B$161,2,0),0)</f>
        <v>0</v>
      </c>
      <c r="X74" s="97">
        <f>IFERROR(VLOOKUP(W74,'RoC10'!$B$1:$C$161,2,0),0)</f>
        <v>0</v>
      </c>
      <c r="Y74" s="137">
        <f>IFERROR(VLOOKUP($B74,'RoC11'!$A$1:$B$161,2,0),0)</f>
        <v>0</v>
      </c>
      <c r="Z74" s="97">
        <f>IFERROR(VLOOKUP(Y74,'RoC11'!$B$1:$C$161,2,0),0)</f>
        <v>0</v>
      </c>
      <c r="AA74" s="97">
        <f>IFERROR(VLOOKUP(E74,'RoC1'!$B$1:$C$160,2,0),0)</f>
        <v>0</v>
      </c>
      <c r="AB74" s="97">
        <f>IFERROR(VLOOKUP(G74,'RoC2'!$B$1:$C$160,2,0),0)</f>
        <v>389.9738882</v>
      </c>
      <c r="AC74" s="97">
        <f>IFERROR(VLOOKUP(I74,'RoC3'!$B$1:$C$160,2,0),0)</f>
        <v>628.0464881</v>
      </c>
      <c r="AD74" s="97">
        <f>IFERROR(VLOOKUP(K74,'RoC4'!$B$1:$C$160,2,0),0)</f>
        <v>0</v>
      </c>
      <c r="AE74" s="97">
        <f>IFERROR(VLOOKUP(M74,'RoC5'!$B$1:$C$160,2,0),0)</f>
        <v>0</v>
      </c>
      <c r="AF74" s="97">
        <f>IFERROR(VLOOKUP(O74,'RoC6'!$B$1:$C$160,2,0),0)</f>
        <v>0</v>
      </c>
      <c r="AG74" s="97">
        <f>IFERROR(VLOOKUP(Q74,'RoC7'!$B$1:$C$160,2,0),0)</f>
        <v>0</v>
      </c>
      <c r="AH74" s="97">
        <f>IFERROR(VLOOKUP(S74,'RoC8'!$B$1:$C$160,2,0),0)</f>
        <v>0</v>
      </c>
      <c r="AI74" s="97">
        <f>IFERROR(VLOOKUP(U74,'RoC9'!$B$1:$C$160,2,0),0)</f>
        <v>0</v>
      </c>
      <c r="AJ74" s="97">
        <f>IFERROR(VLOOKUP(W74,'RoC10'!$B$1:$C$160,2,0),0)</f>
        <v>0</v>
      </c>
      <c r="AK74" s="97">
        <f>IFERROR(VLOOKUP(Y74,'RoC11'!$B$1:$C$160,2,0),0)</f>
        <v>0</v>
      </c>
    </row>
    <row r="75" ht="15.75" customHeight="1">
      <c r="A75" s="135">
        <v>74.0</v>
      </c>
      <c r="B75" s="6" t="s">
        <v>49</v>
      </c>
      <c r="C75" s="93">
        <f t="shared" si="2"/>
        <v>986.7008568</v>
      </c>
      <c r="D75" s="93"/>
      <c r="E75" s="94" t="str">
        <f>IFERROR(VLOOKUP($B75,'RoC1'!$A$1:$B$160,2,0),"0")</f>
        <v>0</v>
      </c>
      <c r="F75" s="95">
        <f>IFERROR(VLOOKUP(E75,'RoC1'!$B$1:$C$160,2,0),0)</f>
        <v>0</v>
      </c>
      <c r="G75" s="94" t="str">
        <f>IFERROR(VLOOKUP($B75,'RoC2'!$A$1:$B$161,2,0),"0")</f>
        <v>0</v>
      </c>
      <c r="H75" s="95">
        <f>IFERROR(VLOOKUP(G75,'RoC2'!$B$1:$C$161,2,0),0)</f>
        <v>0</v>
      </c>
      <c r="I75" s="94">
        <f>IFERROR(VLOOKUP($B75,'RoC3'!$A$1:$B$161,2,0),0)</f>
        <v>51</v>
      </c>
      <c r="J75" s="95">
        <f>IFERROR(VLOOKUP(I75,'RoC3'!$B$1:$C$161,2,0),0)</f>
        <v>82.01548001</v>
      </c>
      <c r="K75" s="94">
        <f>IFERROR(VLOOKUP($B75,'RoC4'!$A$1:$B$161,2,0),0)</f>
        <v>0</v>
      </c>
      <c r="L75" s="95">
        <f>IFERROR(VLOOKUP(K75,'RoC4'!$B$1:$C$161,2,0),0)</f>
        <v>0</v>
      </c>
      <c r="M75" s="94">
        <f>IFERROR(VLOOKUP($B75,'RoC5'!$A$1:$B$161,2,0),0)</f>
        <v>45</v>
      </c>
      <c r="N75" s="95">
        <f>IFERROR(VLOOKUP(M75,'RoC5'!$B$1:$C$161,2,0),0)</f>
        <v>148.5863045</v>
      </c>
      <c r="O75" s="94">
        <f>IFERROR(VLOOKUP($B75,'RoC6'!$A$1:$B$161,2,0),0)</f>
        <v>34</v>
      </c>
      <c r="P75" s="95">
        <f>IFERROR(VLOOKUP(O75,'RoC6'!$B$1:$C$161,2,0),0)</f>
        <v>210.2985474</v>
      </c>
      <c r="Q75" s="94">
        <f>IFERROR(VLOOKUP($B75,'RoC7'!$A$1:$B$161,2,0),0)</f>
        <v>15</v>
      </c>
      <c r="R75" s="95">
        <f>IFERROR(VLOOKUP(Q75,'RoC7'!$B$1:$C$161,2,0),0)</f>
        <v>545.800525</v>
      </c>
      <c r="S75" s="94">
        <f>IFERROR(VLOOKUP($B75,'RoC8'!$A$1:$B$161,2,0),0)</f>
        <v>0</v>
      </c>
      <c r="T75" s="95">
        <f>IFERROR(VLOOKUP(S75,'RoC8'!$B$1:$C$161,2,0),0)</f>
        <v>0</v>
      </c>
      <c r="U75" s="94">
        <f>IFERROR(VLOOKUP($B75,'RoC9'!$A$1:$B$161,2,0),0)</f>
        <v>0</v>
      </c>
      <c r="V75" s="95">
        <f>IFERROR(VLOOKUP(U75,'RoC9'!$B$1:$C$161,2,0),0)</f>
        <v>0</v>
      </c>
      <c r="W75" s="94">
        <f>IFERROR(VLOOKUP($B75,'RoC10'!$A$1:$B$161,2,0),0)</f>
        <v>0</v>
      </c>
      <c r="X75" s="95">
        <f>IFERROR(VLOOKUP(W75,'RoC10'!$B$1:$C$161,2,0),0)</f>
        <v>0</v>
      </c>
      <c r="Y75" s="94">
        <f>IFERROR(VLOOKUP($B75,'RoC11'!$A$1:$B$161,2,0),0)</f>
        <v>0</v>
      </c>
      <c r="Z75" s="95">
        <f>IFERROR(VLOOKUP(Y75,'RoC11'!$B$1:$C$161,2,0),0)</f>
        <v>0</v>
      </c>
      <c r="AA75" s="95">
        <f>IFERROR(VLOOKUP(E75,'RoC1'!$B$1:$C$160,2,0),0)</f>
        <v>0</v>
      </c>
      <c r="AB75" s="95">
        <f>IFERROR(VLOOKUP(G75,'RoC2'!$B$1:$C$160,2,0),0)</f>
        <v>0</v>
      </c>
      <c r="AC75" s="95">
        <f>IFERROR(VLOOKUP(I75,'RoC3'!$B$1:$C$160,2,0),0)</f>
        <v>82.01548001</v>
      </c>
      <c r="AD75" s="95">
        <f>IFERROR(VLOOKUP(K75,'RoC4'!$B$1:$C$160,2,0),0)</f>
        <v>0</v>
      </c>
      <c r="AE75" s="95">
        <f>IFERROR(VLOOKUP(M75,'RoC5'!$B$1:$C$160,2,0),0)</f>
        <v>148.5863045</v>
      </c>
      <c r="AF75" s="95">
        <f>IFERROR(VLOOKUP(O75,'RoC6'!$B$1:$C$160,2,0),0)</f>
        <v>210.2985474</v>
      </c>
      <c r="AG75" s="95">
        <f>IFERROR(VLOOKUP(Q75,'RoC7'!$B$1:$C$160,2,0),0)</f>
        <v>545.800525</v>
      </c>
      <c r="AH75" s="95">
        <f>IFERROR(VLOOKUP(S75,'RoC8'!$B$1:$C$160,2,0),0)</f>
        <v>0</v>
      </c>
      <c r="AI75" s="95">
        <f>IFERROR(VLOOKUP(U75,'RoC9'!$B$1:$C$160,2,0),0)</f>
        <v>0</v>
      </c>
      <c r="AJ75" s="95">
        <f>IFERROR(VLOOKUP(W75,'RoC10'!$B$1:$C$160,2,0),0)</f>
        <v>0</v>
      </c>
      <c r="AK75" s="95">
        <f>IFERROR(VLOOKUP(Y75,'RoC11'!$B$1:$C$160,2,0),0)</f>
        <v>0</v>
      </c>
    </row>
    <row r="76" ht="15.75" customHeight="1">
      <c r="A76" s="135">
        <v>75.0</v>
      </c>
      <c r="B76" s="140" t="s">
        <v>88</v>
      </c>
      <c r="C76" s="93">
        <f t="shared" si="2"/>
        <v>934.0547034</v>
      </c>
      <c r="D76" s="136"/>
      <c r="E76" s="137" t="str">
        <f>IFERROR(VLOOKUP($B76,'RoC1'!$A$1:$B$160,2,0),"0")</f>
        <v>0</v>
      </c>
      <c r="F76" s="97">
        <f>IFERROR(VLOOKUP(E76,'RoC1'!$B$1:$C$160,2,0),0)</f>
        <v>0</v>
      </c>
      <c r="G76" s="137">
        <f>IFERROR(VLOOKUP($B76,'RoC2'!$A$1:$B$161,2,0),"0")</f>
        <v>44</v>
      </c>
      <c r="H76" s="97">
        <f>IFERROR(VLOOKUP(G76,'RoC2'!$B$1:$C$161,2,0),0)</f>
        <v>143.6310663</v>
      </c>
      <c r="I76" s="137">
        <f>IFERROR(VLOOKUP($B76,'RoC3'!$A$1:$B$161,2,0),0)</f>
        <v>41</v>
      </c>
      <c r="J76" s="97">
        <f>IFERROR(VLOOKUP(I76,'RoC3'!$B$1:$C$161,2,0),0)</f>
        <v>182.8535947</v>
      </c>
      <c r="K76" s="137">
        <f>IFERROR(VLOOKUP($B76,'RoC4'!$A$1:$B$161,2,0),0)</f>
        <v>0</v>
      </c>
      <c r="L76" s="97">
        <f>IFERROR(VLOOKUP(K76,'RoC4'!$B$1:$C$161,2,0),0)</f>
        <v>0</v>
      </c>
      <c r="M76" s="137">
        <f>IFERROR(VLOOKUP($B76,'RoC5'!$A$1:$B$161,2,0),0)</f>
        <v>0</v>
      </c>
      <c r="N76" s="97">
        <f>IFERROR(VLOOKUP(M76,'RoC5'!$B$1:$C$161,2,0),0)</f>
        <v>0</v>
      </c>
      <c r="O76" s="137">
        <f>IFERROR(VLOOKUP($B76,'RoC6'!$A$1:$B$161,2,0),0)</f>
        <v>0</v>
      </c>
      <c r="P76" s="97">
        <f>IFERROR(VLOOKUP(O76,'RoC6'!$B$1:$C$161,2,0),0)</f>
        <v>0</v>
      </c>
      <c r="Q76" s="137">
        <f>IFERROR(VLOOKUP($B76,'RoC7'!$A$1:$B$161,2,0),0)</f>
        <v>23</v>
      </c>
      <c r="R76" s="97">
        <f>IFERROR(VLOOKUP(Q76,'RoC7'!$B$1:$C$161,2,0),0)</f>
        <v>399.2311259</v>
      </c>
      <c r="S76" s="137">
        <f>IFERROR(VLOOKUP($B76,'RoC8'!$A$1:$B$161,2,0),0)</f>
        <v>0</v>
      </c>
      <c r="T76" s="97">
        <f>IFERROR(VLOOKUP(S76,'RoC8'!$B$1:$C$161,2,0),0)</f>
        <v>0</v>
      </c>
      <c r="U76" s="137">
        <f>IFERROR(VLOOKUP($B76,'RoC9'!$A$1:$B$161,2,0),0)</f>
        <v>29</v>
      </c>
      <c r="V76" s="97">
        <f>IFERROR(VLOOKUP(U76,'RoC9'!$B$1:$C$161,2,0),0)</f>
        <v>208.3389165</v>
      </c>
      <c r="W76" s="137">
        <f>IFERROR(VLOOKUP($B76,'RoC10'!$A$1:$B$161,2,0),0)</f>
        <v>0</v>
      </c>
      <c r="X76" s="97">
        <f>IFERROR(VLOOKUP(W76,'RoC10'!$B$1:$C$161,2,0),0)</f>
        <v>0</v>
      </c>
      <c r="Y76" s="137">
        <f>IFERROR(VLOOKUP($B76,'RoC11'!$A$1:$B$161,2,0),0)</f>
        <v>0</v>
      </c>
      <c r="Z76" s="97">
        <f>IFERROR(VLOOKUP(Y76,'RoC11'!$B$1:$C$161,2,0),0)</f>
        <v>0</v>
      </c>
      <c r="AA76" s="97">
        <f>IFERROR(VLOOKUP(E76,'RoC1'!$B$1:$C$160,2,0),0)</f>
        <v>0</v>
      </c>
      <c r="AB76" s="97">
        <f>IFERROR(VLOOKUP(G76,'RoC2'!$B$1:$C$160,2,0),0)</f>
        <v>143.6310663</v>
      </c>
      <c r="AC76" s="97">
        <f>IFERROR(VLOOKUP(I76,'RoC3'!$B$1:$C$160,2,0),0)</f>
        <v>182.8535947</v>
      </c>
      <c r="AD76" s="97">
        <f>IFERROR(VLOOKUP(K76,'RoC4'!$B$1:$C$160,2,0),0)</f>
        <v>0</v>
      </c>
      <c r="AE76" s="97">
        <f>IFERROR(VLOOKUP(M76,'RoC5'!$B$1:$C$160,2,0),0)</f>
        <v>0</v>
      </c>
      <c r="AF76" s="97">
        <f>IFERROR(VLOOKUP(O76,'RoC6'!$B$1:$C$160,2,0),0)</f>
        <v>0</v>
      </c>
      <c r="AG76" s="97">
        <f>IFERROR(VLOOKUP(Q76,'RoC7'!$B$1:$C$160,2,0),0)</f>
        <v>399.2311259</v>
      </c>
      <c r="AH76" s="97">
        <f>IFERROR(VLOOKUP(S76,'RoC8'!$B$1:$C$160,2,0),0)</f>
        <v>0</v>
      </c>
      <c r="AI76" s="97">
        <f>IFERROR(VLOOKUP(U76,'RoC9'!$B$1:$C$160,2,0),0)</f>
        <v>208.3389165</v>
      </c>
      <c r="AJ76" s="97">
        <f>IFERROR(VLOOKUP(W76,'RoC10'!$B$1:$C$160,2,0),0)</f>
        <v>0</v>
      </c>
      <c r="AK76" s="97">
        <f>IFERROR(VLOOKUP(Y76,'RoC11'!$B$1:$C$160,2,0),0)</f>
        <v>0</v>
      </c>
    </row>
    <row r="77" ht="15.75" customHeight="1">
      <c r="A77" s="135">
        <v>76.0</v>
      </c>
      <c r="B77" s="141" t="s">
        <v>108</v>
      </c>
      <c r="C77" s="93">
        <f t="shared" si="2"/>
        <v>902.0066915</v>
      </c>
      <c r="D77" s="136"/>
      <c r="E77" s="137">
        <f>IFERROR(VLOOKUP($B77,'RoC1'!$A$1:$B$160,2,0),"0")</f>
        <v>4</v>
      </c>
      <c r="F77" s="97">
        <f>IFERROR(VLOOKUP(E77,'RoC1'!$B$1:$C$160,2,0),0)</f>
        <v>902.0066915</v>
      </c>
      <c r="G77" s="137" t="str">
        <f>IFERROR(VLOOKUP($B77,'RoC2'!$A$1:$B$161,2,0),"0")</f>
        <v>0</v>
      </c>
      <c r="H77" s="97">
        <f>IFERROR(VLOOKUP(G77,'RoC2'!$B$1:$C$161,2,0),0)</f>
        <v>0</v>
      </c>
      <c r="I77" s="137">
        <f>IFERROR(VLOOKUP($B77,'RoC3'!$A$1:$B$161,2,0),0)</f>
        <v>0</v>
      </c>
      <c r="J77" s="97">
        <f>IFERROR(VLOOKUP(I77,'RoC3'!$B$1:$C$161,2,0),0)</f>
        <v>0</v>
      </c>
      <c r="K77" s="137">
        <f>IFERROR(VLOOKUP($B77,'RoC4'!$A$1:$B$161,2,0),0)</f>
        <v>0</v>
      </c>
      <c r="L77" s="97">
        <f>IFERROR(VLOOKUP(K77,'RoC4'!$B$1:$C$161,2,0),0)</f>
        <v>0</v>
      </c>
      <c r="M77" s="137">
        <f>IFERROR(VLOOKUP($B77,'RoC5'!$A$1:$B$161,2,0),0)</f>
        <v>0</v>
      </c>
      <c r="N77" s="97">
        <f>IFERROR(VLOOKUP(M77,'RoC5'!$B$1:$C$161,2,0),0)</f>
        <v>0</v>
      </c>
      <c r="O77" s="137">
        <f>IFERROR(VLOOKUP($B77,'RoC6'!$A$1:$B$161,2,0),0)</f>
        <v>0</v>
      </c>
      <c r="P77" s="97">
        <f>IFERROR(VLOOKUP(O77,'RoC6'!$B$1:$C$161,2,0),0)</f>
        <v>0</v>
      </c>
      <c r="Q77" s="137">
        <f>IFERROR(VLOOKUP($B77,'RoC7'!$A$1:$B$161,2,0),0)</f>
        <v>0</v>
      </c>
      <c r="R77" s="97">
        <f>IFERROR(VLOOKUP(Q77,'RoC7'!$B$1:$C$161,2,0),0)</f>
        <v>0</v>
      </c>
      <c r="S77" s="137">
        <f>IFERROR(VLOOKUP($B77,'RoC8'!$A$1:$B$161,2,0),0)</f>
        <v>0</v>
      </c>
      <c r="T77" s="97">
        <f>IFERROR(VLOOKUP(S77,'RoC8'!$B$1:$C$161,2,0),0)</f>
        <v>0</v>
      </c>
      <c r="U77" s="137">
        <f>IFERROR(VLOOKUP($B77,'RoC9'!$A$1:$B$161,2,0),0)</f>
        <v>0</v>
      </c>
      <c r="V77" s="97">
        <f>IFERROR(VLOOKUP(U77,'RoC9'!$B$1:$C$161,2,0),0)</f>
        <v>0</v>
      </c>
      <c r="W77" s="137">
        <f>IFERROR(VLOOKUP($B77,'RoC10'!$A$1:$B$161,2,0),0)</f>
        <v>0</v>
      </c>
      <c r="X77" s="97">
        <f>IFERROR(VLOOKUP(W77,'RoC10'!$B$1:$C$161,2,0),0)</f>
        <v>0</v>
      </c>
      <c r="Y77" s="137">
        <f>IFERROR(VLOOKUP($B77,'RoC11'!$A$1:$B$161,2,0),0)</f>
        <v>0</v>
      </c>
      <c r="Z77" s="97">
        <f>IFERROR(VLOOKUP(Y77,'RoC11'!$B$1:$C$161,2,0),0)</f>
        <v>0</v>
      </c>
      <c r="AA77" s="97">
        <f>IFERROR(VLOOKUP(E77,'RoC1'!$B$1:$C$160,2,0),0)</f>
        <v>902.0066915</v>
      </c>
      <c r="AB77" s="97">
        <f>IFERROR(VLOOKUP(G77,'RoC2'!$B$1:$C$160,2,0),0)</f>
        <v>0</v>
      </c>
      <c r="AC77" s="97">
        <f>IFERROR(VLOOKUP(I77,'RoC3'!$B$1:$C$160,2,0),0)</f>
        <v>0</v>
      </c>
      <c r="AD77" s="97">
        <f>IFERROR(VLOOKUP(K77,'RoC4'!$B$1:$C$160,2,0),0)</f>
        <v>0</v>
      </c>
      <c r="AE77" s="97">
        <f>IFERROR(VLOOKUP(M77,'RoC5'!$B$1:$C$160,2,0),0)</f>
        <v>0</v>
      </c>
      <c r="AF77" s="97">
        <f>IFERROR(VLOOKUP(O77,'RoC6'!$B$1:$C$160,2,0),0)</f>
        <v>0</v>
      </c>
      <c r="AG77" s="97">
        <f>IFERROR(VLOOKUP(Q77,'RoC7'!$B$1:$C$160,2,0),0)</f>
        <v>0</v>
      </c>
      <c r="AH77" s="97">
        <f>IFERROR(VLOOKUP(S77,'RoC8'!$B$1:$C$160,2,0),0)</f>
        <v>0</v>
      </c>
      <c r="AI77" s="97">
        <f>IFERROR(VLOOKUP(U77,'RoC9'!$B$1:$C$160,2,0),0)</f>
        <v>0</v>
      </c>
      <c r="AJ77" s="97">
        <f>IFERROR(VLOOKUP(W77,'RoC10'!$B$1:$C$160,2,0),0)</f>
        <v>0</v>
      </c>
      <c r="AK77" s="97">
        <f>IFERROR(VLOOKUP(Y77,'RoC11'!$B$1:$C$160,2,0),0)</f>
        <v>0</v>
      </c>
    </row>
    <row r="78" ht="15.75" customHeight="1">
      <c r="A78" s="135">
        <v>77.0</v>
      </c>
      <c r="B78" s="10" t="s">
        <v>192</v>
      </c>
      <c r="C78" s="93">
        <f t="shared" si="2"/>
        <v>901.4616226</v>
      </c>
      <c r="D78" s="136"/>
      <c r="E78" s="137" t="str">
        <f>IFERROR(VLOOKUP($B78,'RoC1'!$A$1:$B$160,2,0),"0")</f>
        <v>0</v>
      </c>
      <c r="F78" s="97">
        <f>IFERROR(VLOOKUP(E78,'RoC1'!$B$1:$C$160,2,0),0)</f>
        <v>0</v>
      </c>
      <c r="G78" s="137">
        <f>IFERROR(VLOOKUP($B78,'RoC2'!$A$1:$B$161,2,0),"0")</f>
        <v>50</v>
      </c>
      <c r="H78" s="97">
        <f>IFERROR(VLOOKUP(G78,'RoC2'!$B$1:$C$161,2,0),0)</f>
        <v>83.46805682</v>
      </c>
      <c r="I78" s="137">
        <f>IFERROR(VLOOKUP($B78,'RoC3'!$A$1:$B$161,2,0),0)</f>
        <v>0</v>
      </c>
      <c r="J78" s="97">
        <f>IFERROR(VLOOKUP(I78,'RoC3'!$B$1:$C$161,2,0),0)</f>
        <v>0</v>
      </c>
      <c r="K78" s="137">
        <f>IFERROR(VLOOKUP($B78,'RoC4'!$A$1:$B$161,2,0),0)</f>
        <v>11</v>
      </c>
      <c r="L78" s="97">
        <f>IFERROR(VLOOKUP(K78,'RoC4'!$B$1:$C$161,2,0),0)</f>
        <v>610.3690182</v>
      </c>
      <c r="M78" s="137">
        <f>IFERROR(VLOOKUP($B78,'RoC5'!$A$1:$B$161,2,0),0)</f>
        <v>0</v>
      </c>
      <c r="N78" s="97">
        <f>IFERROR(VLOOKUP(M78,'RoC5'!$B$1:$C$161,2,0),0)</f>
        <v>0</v>
      </c>
      <c r="O78" s="137">
        <f>IFERROR(VLOOKUP($B78,'RoC6'!$A$1:$B$161,2,0),0)</f>
        <v>46</v>
      </c>
      <c r="P78" s="97">
        <f>IFERROR(VLOOKUP(O78,'RoC6'!$B$1:$C$161,2,0),0)</f>
        <v>71.83911662</v>
      </c>
      <c r="Q78" s="137">
        <f>IFERROR(VLOOKUP($B78,'RoC7'!$A$1:$B$161,2,0),0)</f>
        <v>44</v>
      </c>
      <c r="R78" s="97">
        <f>IFERROR(VLOOKUP(Q78,'RoC7'!$B$1:$C$161,2,0),0)</f>
        <v>135.7854309</v>
      </c>
      <c r="S78" s="137">
        <f>IFERROR(VLOOKUP($B78,'RoC8'!$A$1:$B$161,2,0),0)</f>
        <v>0</v>
      </c>
      <c r="T78" s="97">
        <f>IFERROR(VLOOKUP(S78,'RoC8'!$B$1:$C$161,2,0),0)</f>
        <v>0</v>
      </c>
      <c r="U78" s="137">
        <f>IFERROR(VLOOKUP($B78,'RoC9'!$A$1:$B$161,2,0),0)</f>
        <v>0</v>
      </c>
      <c r="V78" s="97">
        <f>IFERROR(VLOOKUP(U78,'RoC9'!$B$1:$C$161,2,0),0)</f>
        <v>0</v>
      </c>
      <c r="W78" s="137">
        <f>IFERROR(VLOOKUP($B78,'RoC10'!$A$1:$B$161,2,0),0)</f>
        <v>0</v>
      </c>
      <c r="X78" s="97">
        <f>IFERROR(VLOOKUP(W78,'RoC10'!$B$1:$C$161,2,0),0)</f>
        <v>0</v>
      </c>
      <c r="Y78" s="137">
        <f>IFERROR(VLOOKUP($B78,'RoC11'!$A$1:$B$161,2,0),0)</f>
        <v>0</v>
      </c>
      <c r="Z78" s="97">
        <f>IFERROR(VLOOKUP(Y78,'RoC11'!$B$1:$C$161,2,0),0)</f>
        <v>0</v>
      </c>
      <c r="AA78" s="97">
        <f>IFERROR(VLOOKUP(E78,'RoC1'!$B$1:$C$160,2,0),0)</f>
        <v>0</v>
      </c>
      <c r="AB78" s="97">
        <f>IFERROR(VLOOKUP(G78,'RoC2'!$B$1:$C$160,2,0),0)</f>
        <v>83.46805682</v>
      </c>
      <c r="AC78" s="97">
        <f>IFERROR(VLOOKUP(I78,'RoC3'!$B$1:$C$160,2,0),0)</f>
        <v>0</v>
      </c>
      <c r="AD78" s="97">
        <f>IFERROR(VLOOKUP(K78,'RoC4'!$B$1:$C$160,2,0),0)</f>
        <v>610.3690182</v>
      </c>
      <c r="AE78" s="97">
        <f>IFERROR(VLOOKUP(M78,'RoC5'!$B$1:$C$160,2,0),0)</f>
        <v>0</v>
      </c>
      <c r="AF78" s="97">
        <f>IFERROR(VLOOKUP(O78,'RoC6'!$B$1:$C$160,2,0),0)</f>
        <v>71.83911662</v>
      </c>
      <c r="AG78" s="97">
        <f>IFERROR(VLOOKUP(Q78,'RoC7'!$B$1:$C$160,2,0),0)</f>
        <v>135.7854309</v>
      </c>
      <c r="AH78" s="97">
        <f>IFERROR(VLOOKUP(S78,'RoC8'!$B$1:$C$160,2,0),0)</f>
        <v>0</v>
      </c>
      <c r="AI78" s="97">
        <f>IFERROR(VLOOKUP(U78,'RoC9'!$B$1:$C$160,2,0),0)</f>
        <v>0</v>
      </c>
      <c r="AJ78" s="97">
        <f>IFERROR(VLOOKUP(W78,'RoC10'!$B$1:$C$160,2,0),0)</f>
        <v>0</v>
      </c>
      <c r="AK78" s="97">
        <f>IFERROR(VLOOKUP(Y78,'RoC11'!$B$1:$C$160,2,0),0)</f>
        <v>0</v>
      </c>
    </row>
    <row r="79" ht="15.75" customHeight="1">
      <c r="A79" s="135">
        <v>78.0</v>
      </c>
      <c r="B79" s="6" t="s">
        <v>110</v>
      </c>
      <c r="C79" s="93">
        <f t="shared" si="2"/>
        <v>846.3419989</v>
      </c>
      <c r="D79" s="136"/>
      <c r="E79" s="137">
        <f>IFERROR(VLOOKUP($B79,'RoC1'!$A$1:$B$160,2,0),"0")</f>
        <v>28</v>
      </c>
      <c r="F79" s="97">
        <f>IFERROR(VLOOKUP(E79,'RoC1'!$B$1:$C$160,2,0),0)</f>
        <v>258.7867463</v>
      </c>
      <c r="G79" s="137" t="str">
        <f>IFERROR(VLOOKUP($B79,'RoC2'!$A$1:$B$161,2,0),"0")</f>
        <v>0</v>
      </c>
      <c r="H79" s="97">
        <f>IFERROR(VLOOKUP(G79,'RoC2'!$B$1:$C$161,2,0),0)</f>
        <v>0</v>
      </c>
      <c r="I79" s="137">
        <f>IFERROR(VLOOKUP($B79,'RoC3'!$A$1:$B$161,2,0),0)</f>
        <v>0</v>
      </c>
      <c r="J79" s="97">
        <f>IFERROR(VLOOKUP(I79,'RoC3'!$B$1:$C$161,2,0),0)</f>
        <v>0</v>
      </c>
      <c r="K79" s="137">
        <f>IFERROR(VLOOKUP($B79,'RoC4'!$A$1:$B$161,2,0),0)</f>
        <v>0</v>
      </c>
      <c r="L79" s="97">
        <f>IFERROR(VLOOKUP(K79,'RoC4'!$B$1:$C$161,2,0),0)</f>
        <v>0</v>
      </c>
      <c r="M79" s="137">
        <f>IFERROR(VLOOKUP($B79,'RoC5'!$A$1:$B$161,2,0),0)</f>
        <v>0</v>
      </c>
      <c r="N79" s="97">
        <f>IFERROR(VLOOKUP(M79,'RoC5'!$B$1:$C$161,2,0),0)</f>
        <v>0</v>
      </c>
      <c r="O79" s="137">
        <f>IFERROR(VLOOKUP($B79,'RoC6'!$A$1:$B$161,2,0),0)</f>
        <v>0</v>
      </c>
      <c r="P79" s="97">
        <f>IFERROR(VLOOKUP(O79,'RoC6'!$B$1:$C$161,2,0),0)</f>
        <v>0</v>
      </c>
      <c r="Q79" s="137">
        <f>IFERROR(VLOOKUP($B79,'RoC7'!$A$1:$B$161,2,0),0)</f>
        <v>0</v>
      </c>
      <c r="R79" s="97">
        <f>IFERROR(VLOOKUP(Q79,'RoC7'!$B$1:$C$161,2,0),0)</f>
        <v>0</v>
      </c>
      <c r="S79" s="137">
        <f>IFERROR(VLOOKUP($B79,'RoC8'!$A$1:$B$161,2,0),0)</f>
        <v>10</v>
      </c>
      <c r="T79" s="97">
        <f>IFERROR(VLOOKUP(S79,'RoC8'!$B$1:$C$161,2,0),0)</f>
        <v>587.5552526</v>
      </c>
      <c r="U79" s="137">
        <f>IFERROR(VLOOKUP($B79,'RoC9'!$A$1:$B$161,2,0),0)</f>
        <v>0</v>
      </c>
      <c r="V79" s="97">
        <f>IFERROR(VLOOKUP(U79,'RoC9'!$B$1:$C$161,2,0),0)</f>
        <v>0</v>
      </c>
      <c r="W79" s="137">
        <f>IFERROR(VLOOKUP($B79,'RoC10'!$A$1:$B$161,2,0),0)</f>
        <v>0</v>
      </c>
      <c r="X79" s="97">
        <f>IFERROR(VLOOKUP(W79,'RoC10'!$B$1:$C$161,2,0),0)</f>
        <v>0</v>
      </c>
      <c r="Y79" s="137">
        <f>IFERROR(VLOOKUP($B79,'RoC11'!$A$1:$B$161,2,0),0)</f>
        <v>0</v>
      </c>
      <c r="Z79" s="97">
        <f>IFERROR(VLOOKUP(Y79,'RoC11'!$B$1:$C$161,2,0),0)</f>
        <v>0</v>
      </c>
      <c r="AA79" s="97">
        <f>IFERROR(VLOOKUP(E79,'RoC1'!$B$1:$C$160,2,0),0)</f>
        <v>258.7867463</v>
      </c>
      <c r="AB79" s="97">
        <f>IFERROR(VLOOKUP(G79,'RoC2'!$B$1:$C$160,2,0),0)</f>
        <v>0</v>
      </c>
      <c r="AC79" s="97">
        <f>IFERROR(VLOOKUP(I79,'RoC3'!$B$1:$C$160,2,0),0)</f>
        <v>0</v>
      </c>
      <c r="AD79" s="97">
        <f>IFERROR(VLOOKUP(K79,'RoC4'!$B$1:$C$160,2,0),0)</f>
        <v>0</v>
      </c>
      <c r="AE79" s="97">
        <f>IFERROR(VLOOKUP(M79,'RoC5'!$B$1:$C$160,2,0),0)</f>
        <v>0</v>
      </c>
      <c r="AF79" s="97">
        <f>IFERROR(VLOOKUP(O79,'RoC6'!$B$1:$C$160,2,0),0)</f>
        <v>0</v>
      </c>
      <c r="AG79" s="97">
        <f>IFERROR(VLOOKUP(Q79,'RoC7'!$B$1:$C$160,2,0),0)</f>
        <v>0</v>
      </c>
      <c r="AH79" s="97">
        <f>IFERROR(VLOOKUP(S79,'RoC8'!$B$1:$C$160,2,0),0)</f>
        <v>587.5552526</v>
      </c>
      <c r="AI79" s="97">
        <f>IFERROR(VLOOKUP(U79,'RoC9'!$B$1:$C$160,2,0),0)</f>
        <v>0</v>
      </c>
      <c r="AJ79" s="97">
        <f>IFERROR(VLOOKUP(W79,'RoC10'!$B$1:$C$160,2,0),0)</f>
        <v>0</v>
      </c>
      <c r="AK79" s="97">
        <f>IFERROR(VLOOKUP(Y79,'RoC11'!$B$1:$C$160,2,0),0)</f>
        <v>0</v>
      </c>
    </row>
    <row r="80" ht="15.75" customHeight="1">
      <c r="A80" s="135">
        <v>79.0</v>
      </c>
      <c r="B80" s="98" t="s">
        <v>72</v>
      </c>
      <c r="C80" s="93">
        <f t="shared" si="2"/>
        <v>837.088717</v>
      </c>
      <c r="D80" s="136"/>
      <c r="E80" s="137">
        <f>IFERROR(VLOOKUP($B80,'RoC1'!$A$1:$B$160,2,0),"0")</f>
        <v>46</v>
      </c>
      <c r="F80" s="97">
        <f>IFERROR(VLOOKUP(E80,'RoC1'!$B$1:$C$160,2,0),0)</f>
        <v>32.65457533</v>
      </c>
      <c r="G80" s="137">
        <f>IFERROR(VLOOKUP($B80,'RoC2'!$A$1:$B$161,2,0),"0")</f>
        <v>52</v>
      </c>
      <c r="H80" s="97">
        <f>IFERROR(VLOOKUP(G80,'RoC2'!$B$1:$C$161,2,0),0)</f>
        <v>64.28616206</v>
      </c>
      <c r="I80" s="137">
        <f>IFERROR(VLOOKUP($B80,'RoC3'!$A$1:$B$161,2,0),0)</f>
        <v>48</v>
      </c>
      <c r="J80" s="97">
        <f>IFERROR(VLOOKUP(I80,'RoC3'!$B$1:$C$161,2,0),0)</f>
        <v>111.0239827</v>
      </c>
      <c r="K80" s="137">
        <f>IFERROR(VLOOKUP($B80,'RoC4'!$A$1:$B$161,2,0),0)</f>
        <v>40</v>
      </c>
      <c r="L80" s="97">
        <f>IFERROR(VLOOKUP(K80,'RoC4'!$B$1:$C$161,2,0),0)</f>
        <v>129.366862</v>
      </c>
      <c r="M80" s="137">
        <f>IFERROR(VLOOKUP($B80,'RoC5'!$A$1:$B$161,2,0),0)</f>
        <v>59</v>
      </c>
      <c r="N80" s="97">
        <f>IFERROR(VLOOKUP(M80,'RoC5'!$B$1:$C$161,2,0),0)</f>
        <v>17.35717011</v>
      </c>
      <c r="O80" s="137">
        <f>IFERROR(VLOOKUP($B80,'RoC6'!$A$1:$B$161,2,0),0)</f>
        <v>29</v>
      </c>
      <c r="P80" s="97">
        <f>IFERROR(VLOOKUP(O80,'RoC6'!$B$1:$C$161,2,0),0)</f>
        <v>276.4166145</v>
      </c>
      <c r="Q80" s="137">
        <f>IFERROR(VLOOKUP($B80,'RoC7'!$A$1:$B$161,2,0),0)</f>
        <v>56</v>
      </c>
      <c r="R80" s="97">
        <f>IFERROR(VLOOKUP(Q80,'RoC7'!$B$1:$C$161,2,0),0)</f>
        <v>18.26296543</v>
      </c>
      <c r="S80" s="137">
        <f>IFERROR(VLOOKUP($B80,'RoC8'!$A$1:$B$161,2,0),0)</f>
        <v>41</v>
      </c>
      <c r="T80" s="97">
        <f>IFERROR(VLOOKUP(S80,'RoC8'!$B$1:$C$161,2,0),0)</f>
        <v>36.43301282</v>
      </c>
      <c r="U80" s="137">
        <f>IFERROR(VLOOKUP($B80,'RoC9'!$A$1:$B$161,2,0),0)</f>
        <v>33</v>
      </c>
      <c r="V80" s="97">
        <f>IFERROR(VLOOKUP(U80,'RoC9'!$B$1:$C$161,2,0),0)</f>
        <v>151.2873721</v>
      </c>
      <c r="W80" s="137">
        <f>IFERROR(VLOOKUP($B80,'RoC10'!$A$1:$B$161,2,0),0)</f>
        <v>0</v>
      </c>
      <c r="X80" s="97">
        <f>IFERROR(VLOOKUP(W80,'RoC10'!$B$1:$C$161,2,0),0)</f>
        <v>0</v>
      </c>
      <c r="Y80" s="137">
        <f>IFERROR(VLOOKUP($B80,'RoC11'!$A$1:$B$161,2,0),0)</f>
        <v>0</v>
      </c>
      <c r="Z80" s="97">
        <f>IFERROR(VLOOKUP(Y80,'RoC11'!$B$1:$C$161,2,0),0)</f>
        <v>0</v>
      </c>
      <c r="AA80" s="97">
        <f>IFERROR(VLOOKUP(E80,'RoC1'!$B$1:$C$160,2,0),0)</f>
        <v>32.65457533</v>
      </c>
      <c r="AB80" s="97">
        <f>IFERROR(VLOOKUP(G80,'RoC2'!$B$1:$C$160,2,0),0)</f>
        <v>64.28616206</v>
      </c>
      <c r="AC80" s="97">
        <f>IFERROR(VLOOKUP(I80,'RoC3'!$B$1:$C$160,2,0),0)</f>
        <v>111.0239827</v>
      </c>
      <c r="AD80" s="97">
        <f>IFERROR(VLOOKUP(K80,'RoC4'!$B$1:$C$160,2,0),0)</f>
        <v>129.366862</v>
      </c>
      <c r="AE80" s="97">
        <f>IFERROR(VLOOKUP(M80,'RoC5'!$B$1:$C$160,2,0),0)</f>
        <v>17.35717011</v>
      </c>
      <c r="AF80" s="97">
        <f>IFERROR(VLOOKUP(O80,'RoC6'!$B$1:$C$160,2,0),0)</f>
        <v>276.4166145</v>
      </c>
      <c r="AG80" s="97">
        <f>IFERROR(VLOOKUP(Q80,'RoC7'!$B$1:$C$160,2,0),0)</f>
        <v>18.26296543</v>
      </c>
      <c r="AH80" s="97">
        <f>IFERROR(VLOOKUP(S80,'RoC8'!$B$1:$C$160,2,0),0)</f>
        <v>36.43301282</v>
      </c>
      <c r="AI80" s="97">
        <f>IFERROR(VLOOKUP(U80,'RoC9'!$B$1:$C$160,2,0),0)</f>
        <v>151.2873721</v>
      </c>
      <c r="AJ80" s="97">
        <f>IFERROR(VLOOKUP(W80,'RoC10'!$B$1:$C$160,2,0),0)</f>
        <v>0</v>
      </c>
      <c r="AK80" s="97">
        <f>IFERROR(VLOOKUP(Y80,'RoC11'!$B$1:$C$160,2,0),0)</f>
        <v>0</v>
      </c>
    </row>
    <row r="81" ht="15.75" customHeight="1">
      <c r="A81" s="135">
        <v>80.0</v>
      </c>
      <c r="B81" s="6" t="s">
        <v>56</v>
      </c>
      <c r="C81" s="93">
        <f t="shared" si="2"/>
        <v>824.2452226</v>
      </c>
      <c r="D81" s="93"/>
      <c r="E81" s="94">
        <f>IFERROR(VLOOKUP($B81,'RoC1'!$A$1:$B$160,2,0),"0")</f>
        <v>33</v>
      </c>
      <c r="F81" s="95">
        <f>IFERROR(VLOOKUP(E81,'RoC1'!$B$1:$C$160,2,0),0)</f>
        <v>189.235992</v>
      </c>
      <c r="G81" s="94">
        <f>IFERROR(VLOOKUP($B81,'RoC2'!$A$1:$B$161,2,0),"0")</f>
        <v>56</v>
      </c>
      <c r="H81" s="95">
        <f>IFERROR(VLOOKUP(G81,'RoC2'!$B$1:$C$161,2,0),0)</f>
        <v>27.0454706</v>
      </c>
      <c r="I81" s="94">
        <f>IFERROR(VLOOKUP($B81,'RoC3'!$A$1:$B$161,2,0),0)</f>
        <v>27</v>
      </c>
      <c r="J81" s="95">
        <f>IFERROR(VLOOKUP(I81,'RoC3'!$B$1:$C$161,2,0),0)</f>
        <v>352.5484945</v>
      </c>
      <c r="K81" s="94">
        <f>IFERROR(VLOOKUP($B81,'RoC4'!$A$1:$B$161,2,0),0)</f>
        <v>0</v>
      </c>
      <c r="L81" s="95">
        <f>IFERROR(VLOOKUP(K81,'RoC4'!$B$1:$C$161,2,0),0)</f>
        <v>0</v>
      </c>
      <c r="M81" s="94">
        <f>IFERROR(VLOOKUP($B81,'RoC5'!$A$1:$B$161,2,0),0)</f>
        <v>49</v>
      </c>
      <c r="N81" s="95">
        <f>IFERROR(VLOOKUP(M81,'RoC5'!$B$1:$C$161,2,0),0)</f>
        <v>109.0923138</v>
      </c>
      <c r="O81" s="94">
        <f>IFERROR(VLOOKUP($B81,'RoC6'!$A$1:$B$161,2,0),0)</f>
        <v>0</v>
      </c>
      <c r="P81" s="95">
        <f>IFERROR(VLOOKUP(O81,'RoC6'!$B$1:$C$161,2,0),0)</f>
        <v>0</v>
      </c>
      <c r="Q81" s="94">
        <f>IFERROR(VLOOKUP($B81,'RoC7'!$A$1:$B$161,2,0),0)</f>
        <v>43</v>
      </c>
      <c r="R81" s="95">
        <f>IFERROR(VLOOKUP(Q81,'RoC7'!$B$1:$C$161,2,0),0)</f>
        <v>146.3229517</v>
      </c>
      <c r="S81" s="94">
        <f>IFERROR(VLOOKUP($B81,'RoC8'!$A$1:$B$161,2,0),0)</f>
        <v>0</v>
      </c>
      <c r="T81" s="95">
        <f>IFERROR(VLOOKUP(S81,'RoC8'!$B$1:$C$161,2,0),0)</f>
        <v>0</v>
      </c>
      <c r="U81" s="94">
        <f>IFERROR(VLOOKUP($B81,'RoC9'!$A$1:$B$161,2,0),0)</f>
        <v>0</v>
      </c>
      <c r="V81" s="95">
        <f>IFERROR(VLOOKUP(U81,'RoC9'!$B$1:$C$161,2,0),0)</f>
        <v>0</v>
      </c>
      <c r="W81" s="94">
        <f>IFERROR(VLOOKUP($B81,'RoC10'!$A$1:$B$161,2,0),0)</f>
        <v>0</v>
      </c>
      <c r="X81" s="95">
        <f>IFERROR(VLOOKUP(W81,'RoC10'!$B$1:$C$161,2,0),0)</f>
        <v>0</v>
      </c>
      <c r="Y81" s="94">
        <f>IFERROR(VLOOKUP($B81,'RoC11'!$A$1:$B$161,2,0),0)</f>
        <v>0</v>
      </c>
      <c r="Z81" s="95">
        <f>IFERROR(VLOOKUP(Y81,'RoC11'!$B$1:$C$161,2,0),0)</f>
        <v>0</v>
      </c>
      <c r="AA81" s="95">
        <f>IFERROR(VLOOKUP(E81,'RoC1'!$B$1:$C$160,2,0),0)</f>
        <v>189.235992</v>
      </c>
      <c r="AB81" s="95">
        <f>IFERROR(VLOOKUP(G81,'RoC2'!$B$1:$C$160,2,0),0)</f>
        <v>27.0454706</v>
      </c>
      <c r="AC81" s="95">
        <f>IFERROR(VLOOKUP(I81,'RoC3'!$B$1:$C$160,2,0),0)</f>
        <v>352.5484945</v>
      </c>
      <c r="AD81" s="95">
        <f>IFERROR(VLOOKUP(K81,'RoC4'!$B$1:$C$160,2,0),0)</f>
        <v>0</v>
      </c>
      <c r="AE81" s="95">
        <f>IFERROR(VLOOKUP(M81,'RoC5'!$B$1:$C$160,2,0),0)</f>
        <v>109.0923138</v>
      </c>
      <c r="AF81" s="95">
        <f>IFERROR(VLOOKUP(O81,'RoC6'!$B$1:$C$160,2,0),0)</f>
        <v>0</v>
      </c>
      <c r="AG81" s="95">
        <f>IFERROR(VLOOKUP(Q81,'RoC7'!$B$1:$C$160,2,0),0)</f>
        <v>146.3229517</v>
      </c>
      <c r="AH81" s="95">
        <f>IFERROR(VLOOKUP(S81,'RoC8'!$B$1:$C$160,2,0),0)</f>
        <v>0</v>
      </c>
      <c r="AI81" s="95">
        <f>IFERROR(VLOOKUP(U81,'RoC9'!$B$1:$C$160,2,0),0)</f>
        <v>0</v>
      </c>
      <c r="AJ81" s="95">
        <f>IFERROR(VLOOKUP(W81,'RoC10'!$B$1:$C$160,2,0),0)</f>
        <v>0</v>
      </c>
      <c r="AK81" s="95">
        <f>IFERROR(VLOOKUP(Y81,'RoC11'!$B$1:$C$160,2,0),0)</f>
        <v>0</v>
      </c>
    </row>
    <row r="82" ht="15.75" customHeight="1">
      <c r="A82" s="135">
        <v>81.0</v>
      </c>
      <c r="B82" s="6" t="s">
        <v>57</v>
      </c>
      <c r="C82" s="93">
        <f t="shared" si="2"/>
        <v>803.8970158</v>
      </c>
      <c r="D82" s="93"/>
      <c r="E82" s="94">
        <f>IFERROR(VLOOKUP($B82,'RoC1'!$A$1:$B$160,2,0),"0")</f>
        <v>40</v>
      </c>
      <c r="F82" s="95">
        <f>IFERROR(VLOOKUP(E82,'RoC1'!$B$1:$C$160,2,0),0)</f>
        <v>101.4471276</v>
      </c>
      <c r="G82" s="94" t="str">
        <f>IFERROR(VLOOKUP($B82,'RoC2'!$A$1:$B$161,2,0),"0")</f>
        <v>0</v>
      </c>
      <c r="H82" s="95">
        <f>IFERROR(VLOOKUP(G82,'RoC2'!$B$1:$C$161,2,0),0)</f>
        <v>0</v>
      </c>
      <c r="I82" s="94">
        <f>IFERROR(VLOOKUP($B82,'RoC3'!$A$1:$B$161,2,0),0)</f>
        <v>43</v>
      </c>
      <c r="J82" s="95">
        <f>IFERROR(VLOOKUP(I82,'RoC3'!$B$1:$C$161,2,0),0)</f>
        <v>161.6693429</v>
      </c>
      <c r="K82" s="94">
        <f>IFERROR(VLOOKUP($B82,'RoC4'!$A$1:$B$161,2,0),0)</f>
        <v>38</v>
      </c>
      <c r="L82" s="95">
        <f>IFERROR(VLOOKUP(K82,'RoC4'!$B$1:$C$161,2,0),0)</f>
        <v>152.8758667</v>
      </c>
      <c r="M82" s="94">
        <f>IFERROR(VLOOKUP($B82,'RoC5'!$A$1:$B$161,2,0),0)</f>
        <v>0</v>
      </c>
      <c r="N82" s="95">
        <f>IFERROR(VLOOKUP(M82,'RoC5'!$B$1:$C$161,2,0),0)</f>
        <v>0</v>
      </c>
      <c r="O82" s="94">
        <f>IFERROR(VLOOKUP($B82,'RoC6'!$A$1:$B$161,2,0),0)</f>
        <v>0</v>
      </c>
      <c r="P82" s="95">
        <f>IFERROR(VLOOKUP(O82,'RoC6'!$B$1:$C$161,2,0),0)</f>
        <v>0</v>
      </c>
      <c r="Q82" s="94">
        <f>IFERROR(VLOOKUP($B82,'RoC7'!$A$1:$B$161,2,0),0)</f>
        <v>0</v>
      </c>
      <c r="R82" s="95">
        <f>IFERROR(VLOOKUP(Q82,'RoC7'!$B$1:$C$161,2,0),0)</f>
        <v>0</v>
      </c>
      <c r="S82" s="94">
        <f>IFERROR(VLOOKUP($B82,'RoC8'!$A$1:$B$161,2,0),0)</f>
        <v>18</v>
      </c>
      <c r="T82" s="95">
        <f>IFERROR(VLOOKUP(S82,'RoC8'!$B$1:$C$161,2,0),0)</f>
        <v>387.9046786</v>
      </c>
      <c r="U82" s="94">
        <f>IFERROR(VLOOKUP($B82,'RoC9'!$A$1:$B$161,2,0),0)</f>
        <v>0</v>
      </c>
      <c r="V82" s="95">
        <f>IFERROR(VLOOKUP(U82,'RoC9'!$B$1:$C$161,2,0),0)</f>
        <v>0</v>
      </c>
      <c r="W82" s="94">
        <f>IFERROR(VLOOKUP($B82,'RoC10'!$A$1:$B$161,2,0),0)</f>
        <v>0</v>
      </c>
      <c r="X82" s="95">
        <f>IFERROR(VLOOKUP(W82,'RoC10'!$B$1:$C$161,2,0),0)</f>
        <v>0</v>
      </c>
      <c r="Y82" s="94">
        <f>IFERROR(VLOOKUP($B82,'RoC11'!$A$1:$B$161,2,0),0)</f>
        <v>0</v>
      </c>
      <c r="Z82" s="95">
        <f>IFERROR(VLOOKUP(Y82,'RoC11'!$B$1:$C$161,2,0),0)</f>
        <v>0</v>
      </c>
      <c r="AA82" s="95">
        <f>IFERROR(VLOOKUP(E82,'RoC1'!$B$1:$C$160,2,0),0)</f>
        <v>101.4471276</v>
      </c>
      <c r="AB82" s="95">
        <f>IFERROR(VLOOKUP(G82,'RoC2'!$B$1:$C$160,2,0),0)</f>
        <v>0</v>
      </c>
      <c r="AC82" s="95">
        <f>IFERROR(VLOOKUP(I82,'RoC3'!$B$1:$C$160,2,0),0)</f>
        <v>161.6693429</v>
      </c>
      <c r="AD82" s="95">
        <f>IFERROR(VLOOKUP(K82,'RoC4'!$B$1:$C$160,2,0),0)</f>
        <v>152.8758667</v>
      </c>
      <c r="AE82" s="95">
        <f>IFERROR(VLOOKUP(M82,'RoC5'!$B$1:$C$160,2,0),0)</f>
        <v>0</v>
      </c>
      <c r="AF82" s="95">
        <f>IFERROR(VLOOKUP(O82,'RoC6'!$B$1:$C$160,2,0),0)</f>
        <v>0</v>
      </c>
      <c r="AG82" s="95">
        <f>IFERROR(VLOOKUP(Q82,'RoC7'!$B$1:$C$160,2,0),0)</f>
        <v>0</v>
      </c>
      <c r="AH82" s="95">
        <f>IFERROR(VLOOKUP(S82,'RoC8'!$B$1:$C$160,2,0),0)</f>
        <v>387.9046786</v>
      </c>
      <c r="AI82" s="95">
        <f>IFERROR(VLOOKUP(U82,'RoC9'!$B$1:$C$160,2,0),0)</f>
        <v>0</v>
      </c>
      <c r="AJ82" s="95">
        <f>IFERROR(VLOOKUP(W82,'RoC10'!$B$1:$C$160,2,0),0)</f>
        <v>0</v>
      </c>
      <c r="AK82" s="95">
        <f>IFERROR(VLOOKUP(Y82,'RoC11'!$B$1:$C$160,2,0),0)</f>
        <v>0</v>
      </c>
    </row>
    <row r="83" ht="15.75" customHeight="1">
      <c r="A83" s="135">
        <v>82.0</v>
      </c>
      <c r="B83" s="6" t="s">
        <v>97</v>
      </c>
      <c r="C83" s="93">
        <f t="shared" si="2"/>
        <v>748.1336287</v>
      </c>
      <c r="D83" s="136"/>
      <c r="E83" s="137" t="str">
        <f>IFERROR(VLOOKUP($B83,'RoC1'!$A$1:$B$160,2,0),"0")</f>
        <v>0</v>
      </c>
      <c r="F83" s="97">
        <f>IFERROR(VLOOKUP(E83,'RoC1'!$B$1:$C$160,2,0),0)</f>
        <v>0</v>
      </c>
      <c r="G83" s="137" t="str">
        <f>IFERROR(VLOOKUP($B83,'RoC2'!$A$1:$B$161,2,0),"0")</f>
        <v>0</v>
      </c>
      <c r="H83" s="97">
        <f>IFERROR(VLOOKUP(G83,'RoC2'!$B$1:$C$161,2,0),0)</f>
        <v>0</v>
      </c>
      <c r="I83" s="137">
        <f>IFERROR(VLOOKUP($B83,'RoC3'!$A$1:$B$161,2,0),0)</f>
        <v>0</v>
      </c>
      <c r="J83" s="97">
        <f>IFERROR(VLOOKUP(I83,'RoC3'!$B$1:$C$161,2,0),0)</f>
        <v>0</v>
      </c>
      <c r="K83" s="137">
        <f>IFERROR(VLOOKUP($B83,'RoC4'!$A$1:$B$161,2,0),0)</f>
        <v>29</v>
      </c>
      <c r="L83" s="97">
        <f>IFERROR(VLOOKUP(K83,'RoC4'!$B$1:$C$161,2,0),0)</f>
        <v>268.7108064</v>
      </c>
      <c r="M83" s="137">
        <f>IFERROR(VLOOKUP($B83,'RoC5'!$A$1:$B$161,2,0),0)</f>
        <v>22</v>
      </c>
      <c r="N83" s="97">
        <f>IFERROR(VLOOKUP(M83,'RoC5'!$B$1:$C$161,2,0),0)</f>
        <v>433.1325916</v>
      </c>
      <c r="O83" s="137">
        <f>IFERROR(VLOOKUP($B83,'RoC6'!$A$1:$B$161,2,0),0)</f>
        <v>0</v>
      </c>
      <c r="P83" s="97">
        <f>IFERROR(VLOOKUP(O83,'RoC6'!$B$1:$C$161,2,0),0)</f>
        <v>0</v>
      </c>
      <c r="Q83" s="137">
        <f>IFERROR(VLOOKUP($B83,'RoC7'!$A$1:$B$161,2,0),0)</f>
        <v>53</v>
      </c>
      <c r="R83" s="97">
        <f>IFERROR(VLOOKUP(Q83,'RoC7'!$B$1:$C$161,2,0),0)</f>
        <v>46.2902307</v>
      </c>
      <c r="S83" s="137">
        <f>IFERROR(VLOOKUP($B83,'RoC8'!$A$1:$B$161,2,0),0)</f>
        <v>0</v>
      </c>
      <c r="T83" s="97">
        <f>IFERROR(VLOOKUP(S83,'RoC8'!$B$1:$C$161,2,0),0)</f>
        <v>0</v>
      </c>
      <c r="U83" s="137">
        <f>IFERROR(VLOOKUP($B83,'RoC9'!$A$1:$B$161,2,0),0)</f>
        <v>0</v>
      </c>
      <c r="V83" s="97">
        <f>IFERROR(VLOOKUP(U83,'RoC9'!$B$1:$C$161,2,0),0)</f>
        <v>0</v>
      </c>
      <c r="W83" s="137">
        <f>IFERROR(VLOOKUP($B83,'RoC10'!$A$1:$B$161,2,0),0)</f>
        <v>0</v>
      </c>
      <c r="X83" s="97">
        <f>IFERROR(VLOOKUP(W83,'RoC10'!$B$1:$C$161,2,0),0)</f>
        <v>0</v>
      </c>
      <c r="Y83" s="137">
        <f>IFERROR(VLOOKUP($B83,'RoC11'!$A$1:$B$161,2,0),0)</f>
        <v>0</v>
      </c>
      <c r="Z83" s="97">
        <f>IFERROR(VLOOKUP(Y83,'RoC11'!$B$1:$C$161,2,0),0)</f>
        <v>0</v>
      </c>
      <c r="AA83" s="97">
        <f>IFERROR(VLOOKUP(E83,'RoC1'!$B$1:$C$160,2,0),0)</f>
        <v>0</v>
      </c>
      <c r="AB83" s="97">
        <f>IFERROR(VLOOKUP(G83,'RoC2'!$B$1:$C$160,2,0),0)</f>
        <v>0</v>
      </c>
      <c r="AC83" s="97">
        <f>IFERROR(VLOOKUP(I83,'RoC3'!$B$1:$C$160,2,0),0)</f>
        <v>0</v>
      </c>
      <c r="AD83" s="97">
        <f>IFERROR(VLOOKUP(K83,'RoC4'!$B$1:$C$160,2,0),0)</f>
        <v>268.7108064</v>
      </c>
      <c r="AE83" s="97">
        <f>IFERROR(VLOOKUP(M83,'RoC5'!$B$1:$C$160,2,0),0)</f>
        <v>433.1325916</v>
      </c>
      <c r="AF83" s="97">
        <f>IFERROR(VLOOKUP(O83,'RoC6'!$B$1:$C$160,2,0),0)</f>
        <v>0</v>
      </c>
      <c r="AG83" s="97">
        <f>IFERROR(VLOOKUP(Q83,'RoC7'!$B$1:$C$160,2,0),0)</f>
        <v>46.2902307</v>
      </c>
      <c r="AH83" s="97">
        <f>IFERROR(VLOOKUP(S83,'RoC8'!$B$1:$C$160,2,0),0)</f>
        <v>0</v>
      </c>
      <c r="AI83" s="97">
        <f>IFERROR(VLOOKUP(U83,'RoC9'!$B$1:$C$160,2,0),0)</f>
        <v>0</v>
      </c>
      <c r="AJ83" s="97">
        <f>IFERROR(VLOOKUP(W83,'RoC10'!$B$1:$C$160,2,0),0)</f>
        <v>0</v>
      </c>
      <c r="AK83" s="97">
        <f>IFERROR(VLOOKUP(Y83,'RoC11'!$B$1:$C$160,2,0),0)</f>
        <v>0</v>
      </c>
    </row>
    <row r="84" ht="15.75" customHeight="1">
      <c r="A84" s="135">
        <v>83.0</v>
      </c>
      <c r="B84" s="24" t="s">
        <v>214</v>
      </c>
      <c r="C84" s="93">
        <f t="shared" si="2"/>
        <v>720.8707961</v>
      </c>
      <c r="D84" s="136"/>
      <c r="E84" s="137" t="str">
        <f>IFERROR(VLOOKUP($B84,'RoC1'!$A$1:$B$160,2,0),"0")</f>
        <v>0</v>
      </c>
      <c r="F84" s="97">
        <f>IFERROR(VLOOKUP(E84,'RoC1'!$B$1:$C$160,2,0),0)</f>
        <v>0</v>
      </c>
      <c r="G84" s="137" t="str">
        <f>IFERROR(VLOOKUP($B84,'RoC2'!$A$1:$B$161,2,0),"0")</f>
        <v>0</v>
      </c>
      <c r="H84" s="97">
        <f>IFERROR(VLOOKUP(G84,'RoC2'!$B$1:$C$161,2,0),0)</f>
        <v>0</v>
      </c>
      <c r="I84" s="137">
        <f>IFERROR(VLOOKUP($B84,'RoC3'!$A$1:$B$161,2,0),0)</f>
        <v>0</v>
      </c>
      <c r="J84" s="97">
        <f>IFERROR(VLOOKUP(I84,'RoC3'!$B$1:$C$161,2,0),0)</f>
        <v>0</v>
      </c>
      <c r="K84" s="137">
        <f>IFERROR(VLOOKUP($B84,'RoC4'!$A$1:$B$161,2,0),0)</f>
        <v>0</v>
      </c>
      <c r="L84" s="97">
        <f>IFERROR(VLOOKUP(K84,'RoC4'!$B$1:$C$161,2,0),0)</f>
        <v>0</v>
      </c>
      <c r="M84" s="137">
        <f>IFERROR(VLOOKUP($B84,'RoC5'!$A$1:$B$161,2,0),0)</f>
        <v>0</v>
      </c>
      <c r="N84" s="97">
        <f>IFERROR(VLOOKUP(M84,'RoC5'!$B$1:$C$161,2,0),0)</f>
        <v>0</v>
      </c>
      <c r="O84" s="137">
        <f>IFERROR(VLOOKUP($B84,'RoC6'!$A$1:$B$161,2,0),0)</f>
        <v>0</v>
      </c>
      <c r="P84" s="97">
        <f>IFERROR(VLOOKUP(O84,'RoC6'!$B$1:$C$161,2,0),0)</f>
        <v>0</v>
      </c>
      <c r="Q84" s="137">
        <f>IFERROR(VLOOKUP($B84,'RoC7'!$A$1:$B$161,2,0),0)</f>
        <v>19</v>
      </c>
      <c r="R84" s="97">
        <f>IFERROR(VLOOKUP(Q84,'RoC7'!$B$1:$C$161,2,0),0)</f>
        <v>466.6212524</v>
      </c>
      <c r="S84" s="137">
        <f>IFERROR(VLOOKUP($B84,'RoC8'!$A$1:$B$161,2,0),0)</f>
        <v>0</v>
      </c>
      <c r="T84" s="97">
        <f>IFERROR(VLOOKUP(S84,'RoC8'!$B$1:$C$161,2,0),0)</f>
        <v>0</v>
      </c>
      <c r="U84" s="137">
        <f>IFERROR(VLOOKUP($B84,'RoC9'!$A$1:$B$161,2,0),0)</f>
        <v>26</v>
      </c>
      <c r="V84" s="97">
        <f>IFERROR(VLOOKUP(U84,'RoC9'!$B$1:$C$161,2,0),0)</f>
        <v>254.2495436</v>
      </c>
      <c r="W84" s="137">
        <f>IFERROR(VLOOKUP($B84,'RoC10'!$A$1:$B$161,2,0),0)</f>
        <v>0</v>
      </c>
      <c r="X84" s="97">
        <f>IFERROR(VLOOKUP(W84,'RoC10'!$B$1:$C$161,2,0),0)</f>
        <v>0</v>
      </c>
      <c r="Y84" s="137">
        <f>IFERROR(VLOOKUP($B84,'RoC11'!$A$1:$B$161,2,0),0)</f>
        <v>0</v>
      </c>
      <c r="Z84" s="97">
        <f>IFERROR(VLOOKUP(Y84,'RoC11'!$B$1:$C$161,2,0),0)</f>
        <v>0</v>
      </c>
      <c r="AA84" s="97">
        <f>IFERROR(VLOOKUP(E84,'RoC1'!$B$1:$C$160,2,0),0)</f>
        <v>0</v>
      </c>
      <c r="AB84" s="97">
        <f>IFERROR(VLOOKUP(G84,'RoC2'!$B$1:$C$160,2,0),0)</f>
        <v>0</v>
      </c>
      <c r="AC84" s="97">
        <f>IFERROR(VLOOKUP(I84,'RoC3'!$B$1:$C$160,2,0),0)</f>
        <v>0</v>
      </c>
      <c r="AD84" s="97">
        <f>IFERROR(VLOOKUP(K84,'RoC4'!$B$1:$C$160,2,0),0)</f>
        <v>0</v>
      </c>
      <c r="AE84" s="97">
        <f>IFERROR(VLOOKUP(M84,'RoC5'!$B$1:$C$160,2,0),0)</f>
        <v>0</v>
      </c>
      <c r="AF84" s="97">
        <f>IFERROR(VLOOKUP(O84,'RoC6'!$B$1:$C$160,2,0),0)</f>
        <v>0</v>
      </c>
      <c r="AG84" s="97">
        <f>IFERROR(VLOOKUP(Q84,'RoC7'!$B$1:$C$160,2,0),0)</f>
        <v>466.6212524</v>
      </c>
      <c r="AH84" s="97">
        <f>IFERROR(VLOOKUP(S84,'RoC8'!$B$1:$C$160,2,0),0)</f>
        <v>0</v>
      </c>
      <c r="AI84" s="97">
        <f>IFERROR(VLOOKUP(U84,'RoC9'!$B$1:$C$160,2,0),0)</f>
        <v>254.2495436</v>
      </c>
      <c r="AJ84" s="97">
        <f>IFERROR(VLOOKUP(W84,'RoC10'!$B$1:$C$160,2,0),0)</f>
        <v>0</v>
      </c>
      <c r="AK84" s="97">
        <f>IFERROR(VLOOKUP(Y84,'RoC11'!$B$1:$C$160,2,0),0)</f>
        <v>0</v>
      </c>
    </row>
    <row r="85" ht="15.75" customHeight="1">
      <c r="A85" s="135">
        <v>84.0</v>
      </c>
      <c r="B85" s="142" t="s">
        <v>76</v>
      </c>
      <c r="C85" s="93">
        <f t="shared" si="2"/>
        <v>711.9175049</v>
      </c>
      <c r="D85" s="136"/>
      <c r="E85" s="137" t="str">
        <f>IFERROR(VLOOKUP($B85,'RoC1'!$A$1:$B$160,2,0),"0")</f>
        <v>0</v>
      </c>
      <c r="F85" s="97">
        <f>IFERROR(VLOOKUP(E85,'RoC1'!$B$1:$C$160,2,0),0)</f>
        <v>0</v>
      </c>
      <c r="G85" s="137">
        <f>IFERROR(VLOOKUP($B85,'RoC2'!$A$1:$B$161,2,0),"0")</f>
        <v>9</v>
      </c>
      <c r="H85" s="97">
        <f>IFERROR(VLOOKUP(G85,'RoC2'!$B$1:$C$161,2,0),0)</f>
        <v>711.9175049</v>
      </c>
      <c r="I85" s="137">
        <f>IFERROR(VLOOKUP($B85,'RoC3'!$A$1:$B$161,2,0),0)</f>
        <v>0</v>
      </c>
      <c r="J85" s="97">
        <f>IFERROR(VLOOKUP(I85,'RoC3'!$B$1:$C$161,2,0),0)</f>
        <v>0</v>
      </c>
      <c r="K85" s="137">
        <f>IFERROR(VLOOKUP($B85,'RoC4'!$A$1:$B$161,2,0),0)</f>
        <v>0</v>
      </c>
      <c r="L85" s="97">
        <f>IFERROR(VLOOKUP(K85,'RoC4'!$B$1:$C$161,2,0),0)</f>
        <v>0</v>
      </c>
      <c r="M85" s="137">
        <f>IFERROR(VLOOKUP($B85,'RoC5'!$A$1:$B$161,2,0),0)</f>
        <v>0</v>
      </c>
      <c r="N85" s="97">
        <f>IFERROR(VLOOKUP(M85,'RoC5'!$B$1:$C$161,2,0),0)</f>
        <v>0</v>
      </c>
      <c r="O85" s="137">
        <f>IFERROR(VLOOKUP($B85,'RoC6'!$A$1:$B$161,2,0),0)</f>
        <v>0</v>
      </c>
      <c r="P85" s="97">
        <f>IFERROR(VLOOKUP(O85,'RoC6'!$B$1:$C$161,2,0),0)</f>
        <v>0</v>
      </c>
      <c r="Q85" s="137">
        <f>IFERROR(VLOOKUP($B85,'RoC7'!$A$1:$B$161,2,0),0)</f>
        <v>0</v>
      </c>
      <c r="R85" s="97">
        <f>IFERROR(VLOOKUP(Q85,'RoC7'!$B$1:$C$161,2,0),0)</f>
        <v>0</v>
      </c>
      <c r="S85" s="137">
        <f>IFERROR(VLOOKUP($B85,'RoC8'!$A$1:$B$161,2,0),0)</f>
        <v>0</v>
      </c>
      <c r="T85" s="97">
        <f>IFERROR(VLOOKUP(S85,'RoC8'!$B$1:$C$161,2,0),0)</f>
        <v>0</v>
      </c>
      <c r="U85" s="137">
        <f>IFERROR(VLOOKUP($B85,'RoC9'!$A$1:$B$161,2,0),0)</f>
        <v>0</v>
      </c>
      <c r="V85" s="97">
        <f>IFERROR(VLOOKUP(U85,'RoC9'!$B$1:$C$161,2,0),0)</f>
        <v>0</v>
      </c>
      <c r="W85" s="137">
        <f>IFERROR(VLOOKUP($B85,'RoC10'!$A$1:$B$161,2,0),0)</f>
        <v>0</v>
      </c>
      <c r="X85" s="97">
        <f>IFERROR(VLOOKUP(W85,'RoC10'!$B$1:$C$161,2,0),0)</f>
        <v>0</v>
      </c>
      <c r="Y85" s="137">
        <f>IFERROR(VLOOKUP($B85,'RoC11'!$A$1:$B$161,2,0),0)</f>
        <v>0</v>
      </c>
      <c r="Z85" s="97">
        <f>IFERROR(VLOOKUP(Y85,'RoC11'!$B$1:$C$161,2,0),0)</f>
        <v>0</v>
      </c>
      <c r="AA85" s="97">
        <f>IFERROR(VLOOKUP(E85,'RoC1'!$B$1:$C$160,2,0),0)</f>
        <v>0</v>
      </c>
      <c r="AB85" s="97">
        <f>IFERROR(VLOOKUP(G85,'RoC2'!$B$1:$C$160,2,0),0)</f>
        <v>711.9175049</v>
      </c>
      <c r="AC85" s="97">
        <f>IFERROR(VLOOKUP(I85,'RoC3'!$B$1:$C$160,2,0),0)</f>
        <v>0</v>
      </c>
      <c r="AD85" s="97">
        <f>IFERROR(VLOOKUP(K85,'RoC4'!$B$1:$C$160,2,0),0)</f>
        <v>0</v>
      </c>
      <c r="AE85" s="97">
        <f>IFERROR(VLOOKUP(M85,'RoC5'!$B$1:$C$160,2,0),0)</f>
        <v>0</v>
      </c>
      <c r="AF85" s="97">
        <f>IFERROR(VLOOKUP(O85,'RoC6'!$B$1:$C$160,2,0),0)</f>
        <v>0</v>
      </c>
      <c r="AG85" s="97">
        <f>IFERROR(VLOOKUP(Q85,'RoC7'!$B$1:$C$160,2,0),0)</f>
        <v>0</v>
      </c>
      <c r="AH85" s="97">
        <f>IFERROR(VLOOKUP(S85,'RoC8'!$B$1:$C$160,2,0),0)</f>
        <v>0</v>
      </c>
      <c r="AI85" s="97">
        <f>IFERROR(VLOOKUP(U85,'RoC9'!$B$1:$C$160,2,0),0)</f>
        <v>0</v>
      </c>
      <c r="AJ85" s="97">
        <f>IFERROR(VLOOKUP(W85,'RoC10'!$B$1:$C$160,2,0),0)</f>
        <v>0</v>
      </c>
      <c r="AK85" s="97">
        <f>IFERROR(VLOOKUP(Y85,'RoC11'!$B$1:$C$160,2,0),0)</f>
        <v>0</v>
      </c>
    </row>
    <row r="86" ht="15.75" customHeight="1">
      <c r="A86" s="135">
        <v>85.0</v>
      </c>
      <c r="B86" s="6" t="s">
        <v>102</v>
      </c>
      <c r="C86" s="93">
        <f t="shared" si="2"/>
        <v>703.959785</v>
      </c>
      <c r="D86" s="136"/>
      <c r="E86" s="137">
        <f>IFERROR(VLOOKUP($B86,'RoC1'!$A$1:$B$160,2,0),"0")</f>
        <v>26</v>
      </c>
      <c r="F86" s="97">
        <f>IFERROR(VLOOKUP(E86,'RoC1'!$B$1:$C$160,2,0),0)</f>
        <v>288.7332122</v>
      </c>
      <c r="G86" s="137" t="str">
        <f>IFERROR(VLOOKUP($B86,'RoC2'!$A$1:$B$161,2,0),"0")</f>
        <v>0</v>
      </c>
      <c r="H86" s="97">
        <f>IFERROR(VLOOKUP(G86,'RoC2'!$B$1:$C$161,2,0),0)</f>
        <v>0</v>
      </c>
      <c r="I86" s="137">
        <f>IFERROR(VLOOKUP($B86,'RoC3'!$A$1:$B$161,2,0),0)</f>
        <v>0</v>
      </c>
      <c r="J86" s="97">
        <f>IFERROR(VLOOKUP(I86,'RoC3'!$B$1:$C$161,2,0),0)</f>
        <v>0</v>
      </c>
      <c r="K86" s="137">
        <f>IFERROR(VLOOKUP($B86,'RoC4'!$A$1:$B$161,2,0),0)</f>
        <v>0</v>
      </c>
      <c r="L86" s="97">
        <f>IFERROR(VLOOKUP(K86,'RoC4'!$B$1:$C$161,2,0),0)</f>
        <v>0</v>
      </c>
      <c r="M86" s="137">
        <f>IFERROR(VLOOKUP($B86,'RoC5'!$A$1:$B$161,2,0),0)</f>
        <v>0</v>
      </c>
      <c r="N86" s="97">
        <f>IFERROR(VLOOKUP(M86,'RoC5'!$B$1:$C$161,2,0),0)</f>
        <v>0</v>
      </c>
      <c r="O86" s="137">
        <f>IFERROR(VLOOKUP($B86,'RoC6'!$A$1:$B$161,2,0),0)</f>
        <v>0</v>
      </c>
      <c r="P86" s="97">
        <f>IFERROR(VLOOKUP(O86,'RoC6'!$B$1:$C$161,2,0),0)</f>
        <v>0</v>
      </c>
      <c r="Q86" s="137">
        <f>IFERROR(VLOOKUP($B86,'RoC7'!$A$1:$B$161,2,0),0)</f>
        <v>22</v>
      </c>
      <c r="R86" s="97">
        <f>IFERROR(VLOOKUP(Q86,'RoC7'!$B$1:$C$161,2,0),0)</f>
        <v>415.2265728</v>
      </c>
      <c r="S86" s="137">
        <f>IFERROR(VLOOKUP($B86,'RoC8'!$A$1:$B$161,2,0),0)</f>
        <v>0</v>
      </c>
      <c r="T86" s="97">
        <f>IFERROR(VLOOKUP(S86,'RoC8'!$B$1:$C$161,2,0),0)</f>
        <v>0</v>
      </c>
      <c r="U86" s="137">
        <f>IFERROR(VLOOKUP($B86,'RoC9'!$A$1:$B$161,2,0),0)</f>
        <v>0</v>
      </c>
      <c r="V86" s="97">
        <f>IFERROR(VLOOKUP(U86,'RoC9'!$B$1:$C$161,2,0),0)</f>
        <v>0</v>
      </c>
      <c r="W86" s="137">
        <f>IFERROR(VLOOKUP($B86,'RoC10'!$A$1:$B$161,2,0),0)</f>
        <v>0</v>
      </c>
      <c r="X86" s="97">
        <f>IFERROR(VLOOKUP(W86,'RoC10'!$B$1:$C$161,2,0),0)</f>
        <v>0</v>
      </c>
      <c r="Y86" s="137">
        <f>IFERROR(VLOOKUP($B86,'RoC11'!$A$1:$B$161,2,0),0)</f>
        <v>0</v>
      </c>
      <c r="Z86" s="97">
        <f>IFERROR(VLOOKUP(Y86,'RoC11'!$B$1:$C$161,2,0),0)</f>
        <v>0</v>
      </c>
      <c r="AA86" s="97">
        <f>IFERROR(VLOOKUP(E86,'RoC1'!$B$1:$C$160,2,0),0)</f>
        <v>288.7332122</v>
      </c>
      <c r="AB86" s="97">
        <f>IFERROR(VLOOKUP(G86,'RoC2'!$B$1:$C$160,2,0),0)</f>
        <v>0</v>
      </c>
      <c r="AC86" s="97">
        <f>IFERROR(VLOOKUP(I86,'RoC3'!$B$1:$C$160,2,0),0)</f>
        <v>0</v>
      </c>
      <c r="AD86" s="97">
        <f>IFERROR(VLOOKUP(K86,'RoC4'!$B$1:$C$160,2,0),0)</f>
        <v>0</v>
      </c>
      <c r="AE86" s="97">
        <f>IFERROR(VLOOKUP(M86,'RoC5'!$B$1:$C$160,2,0),0)</f>
        <v>0</v>
      </c>
      <c r="AF86" s="97">
        <f>IFERROR(VLOOKUP(O86,'RoC6'!$B$1:$C$160,2,0),0)</f>
        <v>0</v>
      </c>
      <c r="AG86" s="97">
        <f>IFERROR(VLOOKUP(Q86,'RoC7'!$B$1:$C$160,2,0),0)</f>
        <v>415.2265728</v>
      </c>
      <c r="AH86" s="97">
        <f>IFERROR(VLOOKUP(S86,'RoC8'!$B$1:$C$160,2,0),0)</f>
        <v>0</v>
      </c>
      <c r="AI86" s="97">
        <f>IFERROR(VLOOKUP(U86,'RoC9'!$B$1:$C$160,2,0),0)</f>
        <v>0</v>
      </c>
      <c r="AJ86" s="97">
        <f>IFERROR(VLOOKUP(W86,'RoC10'!$B$1:$C$160,2,0),0)</f>
        <v>0</v>
      </c>
      <c r="AK86" s="97">
        <f>IFERROR(VLOOKUP(Y86,'RoC11'!$B$1:$C$160,2,0),0)</f>
        <v>0</v>
      </c>
    </row>
    <row r="87" ht="15.75" customHeight="1">
      <c r="A87" s="135">
        <v>86.0</v>
      </c>
      <c r="B87" s="24" t="s">
        <v>111</v>
      </c>
      <c r="C87" s="93">
        <f t="shared" si="2"/>
        <v>563.0235418</v>
      </c>
      <c r="D87" s="136"/>
      <c r="E87" s="137" t="str">
        <f>IFERROR(VLOOKUP($B87,'RoC1'!$A$1:$B$160,2,0),"0")</f>
        <v>0</v>
      </c>
      <c r="F87" s="97">
        <f>IFERROR(VLOOKUP(E87,'RoC1'!$B$1:$C$160,2,0),0)</f>
        <v>0</v>
      </c>
      <c r="G87" s="137" t="str">
        <f>IFERROR(VLOOKUP($B87,'RoC2'!$A$1:$B$161,2,0),"0")</f>
        <v>0</v>
      </c>
      <c r="H87" s="97">
        <f>IFERROR(VLOOKUP(G87,'RoC2'!$B$1:$C$161,2,0),0)</f>
        <v>0</v>
      </c>
      <c r="I87" s="137">
        <f>IFERROR(VLOOKUP($B87,'RoC3'!$A$1:$B$161,2,0),0)</f>
        <v>0</v>
      </c>
      <c r="J87" s="97">
        <f>IFERROR(VLOOKUP(I87,'RoC3'!$B$1:$C$161,2,0),0)</f>
        <v>0</v>
      </c>
      <c r="K87" s="137">
        <f>IFERROR(VLOOKUP($B87,'RoC4'!$A$1:$B$161,2,0),0)</f>
        <v>0</v>
      </c>
      <c r="L87" s="97">
        <f>IFERROR(VLOOKUP(K87,'RoC4'!$B$1:$C$161,2,0),0)</f>
        <v>0</v>
      </c>
      <c r="M87" s="137">
        <f>IFERROR(VLOOKUP($B87,'RoC5'!$A$1:$B$161,2,0),0)</f>
        <v>0</v>
      </c>
      <c r="N87" s="97">
        <f>IFERROR(VLOOKUP(M87,'RoC5'!$B$1:$C$161,2,0),0)</f>
        <v>0</v>
      </c>
      <c r="O87" s="137">
        <f>IFERROR(VLOOKUP($B87,'RoC6'!$A$1:$B$161,2,0),0)</f>
        <v>13</v>
      </c>
      <c r="P87" s="97">
        <f>IFERROR(VLOOKUP(O87,'RoC6'!$B$1:$C$161,2,0),0)</f>
        <v>563.0235418</v>
      </c>
      <c r="Q87" s="137">
        <f>IFERROR(VLOOKUP($B87,'RoC7'!$A$1:$B$161,2,0),0)</f>
        <v>0</v>
      </c>
      <c r="R87" s="97">
        <f>IFERROR(VLOOKUP(Q87,'RoC7'!$B$1:$C$161,2,0),0)</f>
        <v>0</v>
      </c>
      <c r="S87" s="137">
        <f>IFERROR(VLOOKUP($B87,'RoC8'!$A$1:$B$161,2,0),0)</f>
        <v>0</v>
      </c>
      <c r="T87" s="97">
        <f>IFERROR(VLOOKUP(S87,'RoC8'!$B$1:$C$161,2,0),0)</f>
        <v>0</v>
      </c>
      <c r="U87" s="137">
        <f>IFERROR(VLOOKUP($B87,'RoC9'!$A$1:$B$161,2,0),0)</f>
        <v>0</v>
      </c>
      <c r="V87" s="97">
        <f>IFERROR(VLOOKUP(U87,'RoC9'!$B$1:$C$161,2,0),0)</f>
        <v>0</v>
      </c>
      <c r="W87" s="137">
        <f>IFERROR(VLOOKUP($B87,'RoC10'!$A$1:$B$161,2,0),0)</f>
        <v>0</v>
      </c>
      <c r="X87" s="97">
        <f>IFERROR(VLOOKUP(W87,'RoC10'!$B$1:$C$161,2,0),0)</f>
        <v>0</v>
      </c>
      <c r="Y87" s="137">
        <f>IFERROR(VLOOKUP($B87,'RoC11'!$A$1:$B$161,2,0),0)</f>
        <v>0</v>
      </c>
      <c r="Z87" s="97">
        <f>IFERROR(VLOOKUP(Y87,'RoC11'!$B$1:$C$161,2,0),0)</f>
        <v>0</v>
      </c>
      <c r="AA87" s="97">
        <f>IFERROR(VLOOKUP(E87,'RoC1'!$B$1:$C$160,2,0),0)</f>
        <v>0</v>
      </c>
      <c r="AB87" s="97">
        <f>IFERROR(VLOOKUP(G87,'RoC2'!$B$1:$C$160,2,0),0)</f>
        <v>0</v>
      </c>
      <c r="AC87" s="97">
        <f>IFERROR(VLOOKUP(I87,'RoC3'!$B$1:$C$160,2,0),0)</f>
        <v>0</v>
      </c>
      <c r="AD87" s="97">
        <f>IFERROR(VLOOKUP(K87,'RoC4'!$B$1:$C$160,2,0),0)</f>
        <v>0</v>
      </c>
      <c r="AE87" s="97">
        <f>IFERROR(VLOOKUP(M87,'RoC5'!$B$1:$C$160,2,0),0)</f>
        <v>0</v>
      </c>
      <c r="AF87" s="97">
        <f>IFERROR(VLOOKUP(O87,'RoC6'!$B$1:$C$160,2,0),0)</f>
        <v>563.0235418</v>
      </c>
      <c r="AG87" s="97">
        <f>IFERROR(VLOOKUP(Q87,'RoC7'!$B$1:$C$160,2,0),0)</f>
        <v>0</v>
      </c>
      <c r="AH87" s="97">
        <f>IFERROR(VLOOKUP(S87,'RoC8'!$B$1:$C$160,2,0),0)</f>
        <v>0</v>
      </c>
      <c r="AI87" s="97">
        <f>IFERROR(VLOOKUP(U87,'RoC9'!$B$1:$C$160,2,0),0)</f>
        <v>0</v>
      </c>
      <c r="AJ87" s="97">
        <f>IFERROR(VLOOKUP(W87,'RoC10'!$B$1:$C$160,2,0),0)</f>
        <v>0</v>
      </c>
      <c r="AK87" s="97">
        <f>IFERROR(VLOOKUP(Y87,'RoC11'!$B$1:$C$160,2,0),0)</f>
        <v>0</v>
      </c>
    </row>
    <row r="88" ht="15.75" customHeight="1">
      <c r="A88" s="135">
        <v>87.0</v>
      </c>
      <c r="B88" s="24" t="s">
        <v>119</v>
      </c>
      <c r="C88" s="93">
        <f t="shared" si="2"/>
        <v>538.8712322</v>
      </c>
      <c r="D88" s="136"/>
      <c r="E88" s="137" t="str">
        <f>IFERROR(VLOOKUP($B88,'RoC1'!$A$1:$B$160,2,0),"0")</f>
        <v>0</v>
      </c>
      <c r="F88" s="97">
        <f>IFERROR(VLOOKUP(E88,'RoC1'!$B$1:$C$160,2,0),0)</f>
        <v>0</v>
      </c>
      <c r="G88" s="137" t="str">
        <f>IFERROR(VLOOKUP($B88,'RoC2'!$A$1:$B$161,2,0),"0")</f>
        <v>0</v>
      </c>
      <c r="H88" s="97">
        <f>IFERROR(VLOOKUP(G88,'RoC2'!$B$1:$C$161,2,0),0)</f>
        <v>0</v>
      </c>
      <c r="I88" s="137">
        <f>IFERROR(VLOOKUP($B88,'RoC3'!$A$1:$B$161,2,0),0)</f>
        <v>0</v>
      </c>
      <c r="J88" s="97">
        <f>IFERROR(VLOOKUP(I88,'RoC3'!$B$1:$C$161,2,0),0)</f>
        <v>0</v>
      </c>
      <c r="K88" s="137">
        <f>IFERROR(VLOOKUP($B88,'RoC4'!$A$1:$B$161,2,0),0)</f>
        <v>0</v>
      </c>
      <c r="L88" s="97">
        <f>IFERROR(VLOOKUP(K88,'RoC4'!$B$1:$C$161,2,0),0)</f>
        <v>0</v>
      </c>
      <c r="M88" s="137">
        <f>IFERROR(VLOOKUP($B88,'RoC5'!$A$1:$B$161,2,0),0)</f>
        <v>0</v>
      </c>
      <c r="N88" s="97">
        <f>IFERROR(VLOOKUP(M88,'RoC5'!$B$1:$C$161,2,0),0)</f>
        <v>0</v>
      </c>
      <c r="O88" s="137">
        <f>IFERROR(VLOOKUP($B88,'RoC6'!$A$1:$B$161,2,0),0)</f>
        <v>14</v>
      </c>
      <c r="P88" s="97">
        <f>IFERROR(VLOOKUP(O88,'RoC6'!$B$1:$C$161,2,0),0)</f>
        <v>538.8712322</v>
      </c>
      <c r="Q88" s="137">
        <f>IFERROR(VLOOKUP($B88,'RoC7'!$A$1:$B$161,2,0),0)</f>
        <v>0</v>
      </c>
      <c r="R88" s="97">
        <f>IFERROR(VLOOKUP(Q88,'RoC7'!$B$1:$C$161,2,0),0)</f>
        <v>0</v>
      </c>
      <c r="S88" s="137">
        <f>IFERROR(VLOOKUP($B88,'RoC8'!$A$1:$B$161,2,0),0)</f>
        <v>0</v>
      </c>
      <c r="T88" s="97">
        <f>IFERROR(VLOOKUP(S88,'RoC8'!$B$1:$C$161,2,0),0)</f>
        <v>0</v>
      </c>
      <c r="U88" s="137">
        <f>IFERROR(VLOOKUP($B88,'RoC9'!$A$1:$B$161,2,0),0)</f>
        <v>0</v>
      </c>
      <c r="V88" s="97">
        <f>IFERROR(VLOOKUP(U88,'RoC9'!$B$1:$C$161,2,0),0)</f>
        <v>0</v>
      </c>
      <c r="W88" s="137">
        <f>IFERROR(VLOOKUP($B88,'RoC10'!$A$1:$B$161,2,0),0)</f>
        <v>0</v>
      </c>
      <c r="X88" s="97">
        <f>IFERROR(VLOOKUP(W88,'RoC10'!$B$1:$C$161,2,0),0)</f>
        <v>0</v>
      </c>
      <c r="Y88" s="137">
        <f>IFERROR(VLOOKUP($B88,'RoC11'!$A$1:$B$161,2,0),0)</f>
        <v>0</v>
      </c>
      <c r="Z88" s="97">
        <f>IFERROR(VLOOKUP(Y88,'RoC11'!$B$1:$C$161,2,0),0)</f>
        <v>0</v>
      </c>
      <c r="AA88" s="97">
        <f>IFERROR(VLOOKUP(E88,'RoC1'!$B$1:$C$160,2,0),0)</f>
        <v>0</v>
      </c>
      <c r="AB88" s="97">
        <f>IFERROR(VLOOKUP(G88,'RoC2'!$B$1:$C$160,2,0),0)</f>
        <v>0</v>
      </c>
      <c r="AC88" s="97">
        <f>IFERROR(VLOOKUP(I88,'RoC3'!$B$1:$C$160,2,0),0)</f>
        <v>0</v>
      </c>
      <c r="AD88" s="97">
        <f>IFERROR(VLOOKUP(K88,'RoC4'!$B$1:$C$160,2,0),0)</f>
        <v>0</v>
      </c>
      <c r="AE88" s="97">
        <f>IFERROR(VLOOKUP(M88,'RoC5'!$B$1:$C$160,2,0),0)</f>
        <v>0</v>
      </c>
      <c r="AF88" s="97">
        <f>IFERROR(VLOOKUP(O88,'RoC6'!$B$1:$C$160,2,0),0)</f>
        <v>538.8712322</v>
      </c>
      <c r="AG88" s="97">
        <f>IFERROR(VLOOKUP(Q88,'RoC7'!$B$1:$C$160,2,0),0)</f>
        <v>0</v>
      </c>
      <c r="AH88" s="97">
        <f>IFERROR(VLOOKUP(S88,'RoC8'!$B$1:$C$160,2,0),0)</f>
        <v>0</v>
      </c>
      <c r="AI88" s="97">
        <f>IFERROR(VLOOKUP(U88,'RoC9'!$B$1:$C$160,2,0),0)</f>
        <v>0</v>
      </c>
      <c r="AJ88" s="97">
        <f>IFERROR(VLOOKUP(W88,'RoC10'!$B$1:$C$160,2,0),0)</f>
        <v>0</v>
      </c>
      <c r="AK88" s="97">
        <f>IFERROR(VLOOKUP(Y88,'RoC11'!$B$1:$C$160,2,0),0)</f>
        <v>0</v>
      </c>
    </row>
    <row r="89" ht="15.75" customHeight="1">
      <c r="A89" s="135">
        <v>88.0</v>
      </c>
      <c r="B89" s="24" t="s">
        <v>89</v>
      </c>
      <c r="C89" s="93">
        <f t="shared" si="2"/>
        <v>521.1975593</v>
      </c>
      <c r="D89" s="136"/>
      <c r="E89" s="137" t="str">
        <f>IFERROR(VLOOKUP($B89,'RoC1'!$A$1:$B$160,2,0),"0")</f>
        <v>0</v>
      </c>
      <c r="F89" s="97">
        <f>IFERROR(VLOOKUP(E89,'RoC1'!$B$1:$C$160,2,0),0)</f>
        <v>0</v>
      </c>
      <c r="G89" s="137" t="str">
        <f>IFERROR(VLOOKUP($B89,'RoC2'!$A$1:$B$161,2,0),"0")</f>
        <v>0</v>
      </c>
      <c r="H89" s="97">
        <f>IFERROR(VLOOKUP(G89,'RoC2'!$B$1:$C$161,2,0),0)</f>
        <v>0</v>
      </c>
      <c r="I89" s="137">
        <f>IFERROR(VLOOKUP($B89,'RoC3'!$A$1:$B$161,2,0),0)</f>
        <v>0</v>
      </c>
      <c r="J89" s="97">
        <f>IFERROR(VLOOKUP(I89,'RoC3'!$B$1:$C$161,2,0),0)</f>
        <v>0</v>
      </c>
      <c r="K89" s="137">
        <f>IFERROR(VLOOKUP($B89,'RoC4'!$A$1:$B$161,2,0),0)</f>
        <v>0</v>
      </c>
      <c r="L89" s="97">
        <f>IFERROR(VLOOKUP(K89,'RoC4'!$B$1:$C$161,2,0),0)</f>
        <v>0</v>
      </c>
      <c r="M89" s="137">
        <f>IFERROR(VLOOKUP($B89,'RoC5'!$A$1:$B$161,2,0),0)</f>
        <v>17</v>
      </c>
      <c r="N89" s="97">
        <f>IFERROR(VLOOKUP(M89,'RoC5'!$B$1:$C$161,2,0),0)</f>
        <v>521.1975593</v>
      </c>
      <c r="O89" s="137">
        <f>IFERROR(VLOOKUP($B89,'RoC6'!$A$1:$B$161,2,0),0)</f>
        <v>0</v>
      </c>
      <c r="P89" s="97">
        <f>IFERROR(VLOOKUP(O89,'RoC6'!$B$1:$C$161,2,0),0)</f>
        <v>0</v>
      </c>
      <c r="Q89" s="137">
        <f>IFERROR(VLOOKUP($B89,'RoC7'!$A$1:$B$161,2,0),0)</f>
        <v>0</v>
      </c>
      <c r="R89" s="97">
        <f>IFERROR(VLOOKUP(Q89,'RoC7'!$B$1:$C$161,2,0),0)</f>
        <v>0</v>
      </c>
      <c r="S89" s="137">
        <f>IFERROR(VLOOKUP($B89,'RoC8'!$A$1:$B$161,2,0),0)</f>
        <v>0</v>
      </c>
      <c r="T89" s="97">
        <f>IFERROR(VLOOKUP(S89,'RoC8'!$B$1:$C$161,2,0),0)</f>
        <v>0</v>
      </c>
      <c r="U89" s="137">
        <f>IFERROR(VLOOKUP($B89,'RoC9'!$A$1:$B$161,2,0),0)</f>
        <v>0</v>
      </c>
      <c r="V89" s="97">
        <f>IFERROR(VLOOKUP(U89,'RoC9'!$B$1:$C$161,2,0),0)</f>
        <v>0</v>
      </c>
      <c r="W89" s="137">
        <f>IFERROR(VLOOKUP($B89,'RoC10'!$A$1:$B$161,2,0),0)</f>
        <v>0</v>
      </c>
      <c r="X89" s="97">
        <f>IFERROR(VLOOKUP(W89,'RoC10'!$B$1:$C$161,2,0),0)</f>
        <v>0</v>
      </c>
      <c r="Y89" s="137">
        <f>IFERROR(VLOOKUP($B89,'RoC11'!$A$1:$B$161,2,0),0)</f>
        <v>0</v>
      </c>
      <c r="Z89" s="97">
        <f>IFERROR(VLOOKUP(Y89,'RoC11'!$B$1:$C$161,2,0),0)</f>
        <v>0</v>
      </c>
      <c r="AA89" s="97">
        <f>IFERROR(VLOOKUP(E89,'RoC1'!$B$1:$C$160,2,0),0)</f>
        <v>0</v>
      </c>
      <c r="AB89" s="97">
        <f>IFERROR(VLOOKUP(G89,'RoC2'!$B$1:$C$160,2,0),0)</f>
        <v>0</v>
      </c>
      <c r="AC89" s="97">
        <f>IFERROR(VLOOKUP(I89,'RoC3'!$B$1:$C$160,2,0),0)</f>
        <v>0</v>
      </c>
      <c r="AD89" s="97">
        <f>IFERROR(VLOOKUP(K89,'RoC4'!$B$1:$C$160,2,0),0)</f>
        <v>0</v>
      </c>
      <c r="AE89" s="97">
        <f>IFERROR(VLOOKUP(M89,'RoC5'!$B$1:$C$160,2,0),0)</f>
        <v>521.1975593</v>
      </c>
      <c r="AF89" s="97">
        <f>IFERROR(VLOOKUP(O89,'RoC6'!$B$1:$C$160,2,0),0)</f>
        <v>0</v>
      </c>
      <c r="AG89" s="97">
        <f>IFERROR(VLOOKUP(Q89,'RoC7'!$B$1:$C$160,2,0),0)</f>
        <v>0</v>
      </c>
      <c r="AH89" s="97">
        <f>IFERROR(VLOOKUP(S89,'RoC8'!$B$1:$C$160,2,0),0)</f>
        <v>0</v>
      </c>
      <c r="AI89" s="97">
        <f>IFERROR(VLOOKUP(U89,'RoC9'!$B$1:$C$160,2,0),0)</f>
        <v>0</v>
      </c>
      <c r="AJ89" s="97">
        <f>IFERROR(VLOOKUP(W89,'RoC10'!$B$1:$C$160,2,0),0)</f>
        <v>0</v>
      </c>
      <c r="AK89" s="97">
        <f>IFERROR(VLOOKUP(Y89,'RoC11'!$B$1:$C$160,2,0),0)</f>
        <v>0</v>
      </c>
    </row>
    <row r="90" ht="15.75" customHeight="1">
      <c r="A90" s="135">
        <v>89.0</v>
      </c>
      <c r="B90" s="24" t="s">
        <v>109</v>
      </c>
      <c r="C90" s="93">
        <f t="shared" si="2"/>
        <v>468.1332108</v>
      </c>
      <c r="D90" s="136"/>
      <c r="E90" s="137" t="str">
        <f>IFERROR(VLOOKUP($B90,'RoC1'!$A$1:$B$160,2,0),"0")</f>
        <v>0</v>
      </c>
      <c r="F90" s="97">
        <f>IFERROR(VLOOKUP(E90,'RoC1'!$B$1:$C$160,2,0),0)</f>
        <v>0</v>
      </c>
      <c r="G90" s="137" t="str">
        <f>IFERROR(VLOOKUP($B90,'RoC2'!$A$1:$B$161,2,0),"0")</f>
        <v>0</v>
      </c>
      <c r="H90" s="97">
        <f>IFERROR(VLOOKUP(G90,'RoC2'!$B$1:$C$161,2,0),0)</f>
        <v>0</v>
      </c>
      <c r="I90" s="137">
        <f>IFERROR(VLOOKUP($B90,'RoC3'!$A$1:$B$161,2,0),0)</f>
        <v>0</v>
      </c>
      <c r="J90" s="97">
        <f>IFERROR(VLOOKUP(I90,'RoC3'!$B$1:$C$161,2,0),0)</f>
        <v>0</v>
      </c>
      <c r="K90" s="137">
        <f>IFERROR(VLOOKUP($B90,'RoC4'!$A$1:$B$161,2,0),0)</f>
        <v>0</v>
      </c>
      <c r="L90" s="97">
        <f>IFERROR(VLOOKUP(K90,'RoC4'!$B$1:$C$161,2,0),0)</f>
        <v>0</v>
      </c>
      <c r="M90" s="137">
        <f>IFERROR(VLOOKUP($B90,'RoC5'!$A$1:$B$161,2,0),0)</f>
        <v>23</v>
      </c>
      <c r="N90" s="97">
        <f>IFERROR(VLOOKUP(M90,'RoC5'!$B$1:$C$161,2,0),0)</f>
        <v>417.3626342</v>
      </c>
      <c r="O90" s="137">
        <f>IFERROR(VLOOKUP($B90,'RoC6'!$A$1:$B$161,2,0),0)</f>
        <v>48</v>
      </c>
      <c r="P90" s="97">
        <f>IFERROR(VLOOKUP(O90,'RoC6'!$B$1:$C$161,2,0),0)</f>
        <v>50.77057666</v>
      </c>
      <c r="Q90" s="137">
        <f>IFERROR(VLOOKUP($B90,'RoC7'!$A$1:$B$161,2,0),0)</f>
        <v>0</v>
      </c>
      <c r="R90" s="97">
        <f>IFERROR(VLOOKUP(Q90,'RoC7'!$B$1:$C$161,2,0),0)</f>
        <v>0</v>
      </c>
      <c r="S90" s="137">
        <f>IFERROR(VLOOKUP($B90,'RoC8'!$A$1:$B$161,2,0),0)</f>
        <v>0</v>
      </c>
      <c r="T90" s="97">
        <f>IFERROR(VLOOKUP(S90,'RoC8'!$B$1:$C$161,2,0),0)</f>
        <v>0</v>
      </c>
      <c r="U90" s="137">
        <f>IFERROR(VLOOKUP($B90,'RoC9'!$A$1:$B$161,2,0),0)</f>
        <v>0</v>
      </c>
      <c r="V90" s="97">
        <f>IFERROR(VLOOKUP(U90,'RoC9'!$B$1:$C$161,2,0),0)</f>
        <v>0</v>
      </c>
      <c r="W90" s="137">
        <f>IFERROR(VLOOKUP($B90,'RoC10'!$A$1:$B$161,2,0),0)</f>
        <v>0</v>
      </c>
      <c r="X90" s="97">
        <f>IFERROR(VLOOKUP(W90,'RoC10'!$B$1:$C$161,2,0),0)</f>
        <v>0</v>
      </c>
      <c r="Y90" s="137">
        <f>IFERROR(VLOOKUP($B90,'RoC11'!$A$1:$B$161,2,0),0)</f>
        <v>0</v>
      </c>
      <c r="Z90" s="97">
        <f>IFERROR(VLOOKUP(Y90,'RoC11'!$B$1:$C$161,2,0),0)</f>
        <v>0</v>
      </c>
      <c r="AA90" s="97">
        <f>IFERROR(VLOOKUP(E90,'RoC1'!$B$1:$C$160,2,0),0)</f>
        <v>0</v>
      </c>
      <c r="AB90" s="97">
        <f>IFERROR(VLOOKUP(G90,'RoC2'!$B$1:$C$160,2,0),0)</f>
        <v>0</v>
      </c>
      <c r="AC90" s="97">
        <f>IFERROR(VLOOKUP(I90,'RoC3'!$B$1:$C$160,2,0),0)</f>
        <v>0</v>
      </c>
      <c r="AD90" s="97">
        <f>IFERROR(VLOOKUP(K90,'RoC4'!$B$1:$C$160,2,0),0)</f>
        <v>0</v>
      </c>
      <c r="AE90" s="97">
        <f>IFERROR(VLOOKUP(M90,'RoC5'!$B$1:$C$160,2,0),0)</f>
        <v>417.3626342</v>
      </c>
      <c r="AF90" s="97">
        <f>IFERROR(VLOOKUP(O90,'RoC6'!$B$1:$C$160,2,0),0)</f>
        <v>50.77057666</v>
      </c>
      <c r="AG90" s="97">
        <f>IFERROR(VLOOKUP(Q90,'RoC7'!$B$1:$C$160,2,0),0)</f>
        <v>0</v>
      </c>
      <c r="AH90" s="97">
        <f>IFERROR(VLOOKUP(S90,'RoC8'!$B$1:$C$160,2,0),0)</f>
        <v>0</v>
      </c>
      <c r="AI90" s="97">
        <f>IFERROR(VLOOKUP(U90,'RoC9'!$B$1:$C$160,2,0),0)</f>
        <v>0</v>
      </c>
      <c r="AJ90" s="97">
        <f>IFERROR(VLOOKUP(W90,'RoC10'!$B$1:$C$160,2,0),0)</f>
        <v>0</v>
      </c>
      <c r="AK90" s="97">
        <f>IFERROR(VLOOKUP(Y90,'RoC11'!$B$1:$C$160,2,0),0)</f>
        <v>0</v>
      </c>
    </row>
    <row r="91" ht="15.75" customHeight="1">
      <c r="A91" s="135">
        <v>90.0</v>
      </c>
      <c r="B91" s="6" t="s">
        <v>100</v>
      </c>
      <c r="C91" s="93">
        <f t="shared" si="2"/>
        <v>453.8509709</v>
      </c>
      <c r="D91" s="136"/>
      <c r="E91" s="137" t="str">
        <f>IFERROR(VLOOKUP($B91,'RoC1'!$A$1:$B$160,2,0),"0")</f>
        <v>0</v>
      </c>
      <c r="F91" s="97">
        <f>IFERROR(VLOOKUP(E91,'RoC1'!$B$1:$C$160,2,0),0)</f>
        <v>0</v>
      </c>
      <c r="G91" s="137" t="str">
        <f>IFERROR(VLOOKUP($B91,'RoC2'!$A$1:$B$161,2,0),"0")</f>
        <v>0</v>
      </c>
      <c r="H91" s="97">
        <f>IFERROR(VLOOKUP(G91,'RoC2'!$B$1:$C$161,2,0),0)</f>
        <v>0</v>
      </c>
      <c r="I91" s="137">
        <f>IFERROR(VLOOKUP($B91,'RoC3'!$A$1:$B$161,2,0),0)</f>
        <v>33</v>
      </c>
      <c r="J91" s="97">
        <f>IFERROR(VLOOKUP(I91,'RoC3'!$B$1:$C$161,2,0),0)</f>
        <v>274.3349532</v>
      </c>
      <c r="K91" s="137">
        <f>IFERROR(VLOOKUP($B91,'RoC4'!$A$1:$B$161,2,0),0)</f>
        <v>0</v>
      </c>
      <c r="L91" s="97">
        <f>IFERROR(VLOOKUP(K91,'RoC4'!$B$1:$C$161,2,0),0)</f>
        <v>0</v>
      </c>
      <c r="M91" s="137">
        <f>IFERROR(VLOOKUP($B91,'RoC5'!$A$1:$B$161,2,0),0)</f>
        <v>42</v>
      </c>
      <c r="N91" s="97">
        <f>IFERROR(VLOOKUP(M91,'RoC5'!$B$1:$C$161,2,0),0)</f>
        <v>179.5160177</v>
      </c>
      <c r="O91" s="137">
        <f>IFERROR(VLOOKUP($B91,'RoC6'!$A$1:$B$161,2,0),0)</f>
        <v>0</v>
      </c>
      <c r="P91" s="97">
        <f>IFERROR(VLOOKUP(O91,'RoC6'!$B$1:$C$161,2,0),0)</f>
        <v>0</v>
      </c>
      <c r="Q91" s="137">
        <f>IFERROR(VLOOKUP($B91,'RoC7'!$A$1:$B$161,2,0),0)</f>
        <v>0</v>
      </c>
      <c r="R91" s="97">
        <f>IFERROR(VLOOKUP(Q91,'RoC7'!$B$1:$C$161,2,0),0)</f>
        <v>0</v>
      </c>
      <c r="S91" s="137">
        <f>IFERROR(VLOOKUP($B91,'RoC8'!$A$1:$B$161,2,0),0)</f>
        <v>0</v>
      </c>
      <c r="T91" s="97">
        <f>IFERROR(VLOOKUP(S91,'RoC8'!$B$1:$C$161,2,0),0)</f>
        <v>0</v>
      </c>
      <c r="U91" s="137">
        <f>IFERROR(VLOOKUP($B91,'RoC9'!$A$1:$B$161,2,0),0)</f>
        <v>0</v>
      </c>
      <c r="V91" s="97">
        <f>IFERROR(VLOOKUP(U91,'RoC9'!$B$1:$C$161,2,0),0)</f>
        <v>0</v>
      </c>
      <c r="W91" s="137">
        <f>IFERROR(VLOOKUP($B91,'RoC10'!$A$1:$B$161,2,0),0)</f>
        <v>0</v>
      </c>
      <c r="X91" s="97">
        <f>IFERROR(VLOOKUP(W91,'RoC10'!$B$1:$C$161,2,0),0)</f>
        <v>0</v>
      </c>
      <c r="Y91" s="137">
        <f>IFERROR(VLOOKUP($B91,'RoC11'!$A$1:$B$161,2,0),0)</f>
        <v>0</v>
      </c>
      <c r="Z91" s="97">
        <f>IFERROR(VLOOKUP(Y91,'RoC11'!$B$1:$C$161,2,0),0)</f>
        <v>0</v>
      </c>
      <c r="AA91" s="97">
        <f>IFERROR(VLOOKUP(E91,'RoC1'!$B$1:$C$160,2,0),0)</f>
        <v>0</v>
      </c>
      <c r="AB91" s="97">
        <f>IFERROR(VLOOKUP(G91,'RoC2'!$B$1:$C$160,2,0),0)</f>
        <v>0</v>
      </c>
      <c r="AC91" s="97">
        <f>IFERROR(VLOOKUP(I91,'RoC3'!$B$1:$C$160,2,0),0)</f>
        <v>274.3349532</v>
      </c>
      <c r="AD91" s="97">
        <f>IFERROR(VLOOKUP(K91,'RoC4'!$B$1:$C$160,2,0),0)</f>
        <v>0</v>
      </c>
      <c r="AE91" s="97">
        <f>IFERROR(VLOOKUP(M91,'RoC5'!$B$1:$C$160,2,0),0)</f>
        <v>179.5160177</v>
      </c>
      <c r="AF91" s="97">
        <f>IFERROR(VLOOKUP(O91,'RoC6'!$B$1:$C$160,2,0),0)</f>
        <v>0</v>
      </c>
      <c r="AG91" s="97">
        <f>IFERROR(VLOOKUP(Q91,'RoC7'!$B$1:$C$160,2,0),0)</f>
        <v>0</v>
      </c>
      <c r="AH91" s="97">
        <f>IFERROR(VLOOKUP(S91,'RoC8'!$B$1:$C$160,2,0),0)</f>
        <v>0</v>
      </c>
      <c r="AI91" s="97">
        <f>IFERROR(VLOOKUP(U91,'RoC9'!$B$1:$C$160,2,0),0)</f>
        <v>0</v>
      </c>
      <c r="AJ91" s="97">
        <f>IFERROR(VLOOKUP(W91,'RoC10'!$B$1:$C$160,2,0),0)</f>
        <v>0</v>
      </c>
      <c r="AK91" s="97">
        <f>IFERROR(VLOOKUP(Y91,'RoC11'!$B$1:$C$160,2,0),0)</f>
        <v>0</v>
      </c>
    </row>
    <row r="92" ht="15.75" customHeight="1">
      <c r="A92" s="135">
        <v>91.0</v>
      </c>
      <c r="B92" s="6" t="s">
        <v>90</v>
      </c>
      <c r="C92" s="93">
        <f t="shared" si="2"/>
        <v>453.1566153</v>
      </c>
      <c r="D92" s="93"/>
      <c r="E92" s="94">
        <f>IFERROR(VLOOKUP($B92,'RoC1'!$A$1:$B$160,2,0),"0")</f>
        <v>38</v>
      </c>
      <c r="F92" s="95">
        <f>IFERROR(VLOOKUP(E92,'RoC1'!$B$1:$C$160,2,0),0)</f>
        <v>125.5911478</v>
      </c>
      <c r="G92" s="94" t="str">
        <f>IFERROR(VLOOKUP($B92,'RoC2'!$A$1:$B$161,2,0),"0")</f>
        <v>0</v>
      </c>
      <c r="H92" s="95">
        <f>IFERROR(VLOOKUP(G92,'RoC2'!$B$1:$C$161,2,0),0)</f>
        <v>0</v>
      </c>
      <c r="I92" s="94">
        <f>IFERROR(VLOOKUP($B92,'RoC3'!$A$1:$B$161,2,0),0)</f>
        <v>50</v>
      </c>
      <c r="J92" s="95">
        <f>IFERROR(VLOOKUP(I92,'RoC3'!$B$1:$C$161,2,0),0)</f>
        <v>91.5805747</v>
      </c>
      <c r="K92" s="94">
        <f>IFERROR(VLOOKUP($B92,'RoC4'!$A$1:$B$161,2,0),0)</f>
        <v>0</v>
      </c>
      <c r="L92" s="95">
        <f>IFERROR(VLOOKUP(K92,'RoC4'!$B$1:$C$161,2,0),0)</f>
        <v>0</v>
      </c>
      <c r="M92" s="94">
        <f>IFERROR(VLOOKUP($B92,'RoC5'!$A$1:$B$161,2,0),0)</f>
        <v>0</v>
      </c>
      <c r="N92" s="95">
        <f>IFERROR(VLOOKUP(M92,'RoC5'!$B$1:$C$161,2,0),0)</f>
        <v>0</v>
      </c>
      <c r="O92" s="94">
        <f>IFERROR(VLOOKUP($B92,'RoC6'!$A$1:$B$161,2,0),0)</f>
        <v>32</v>
      </c>
      <c r="P92" s="95">
        <f>IFERROR(VLOOKUP(O92,'RoC6'!$B$1:$C$161,2,0),0)</f>
        <v>235.9848928</v>
      </c>
      <c r="Q92" s="94">
        <f>IFERROR(VLOOKUP($B92,'RoC7'!$A$1:$B$161,2,0),0)</f>
        <v>0</v>
      </c>
      <c r="R92" s="95">
        <f>IFERROR(VLOOKUP(Q92,'RoC7'!$B$1:$C$161,2,0),0)</f>
        <v>0</v>
      </c>
      <c r="S92" s="94">
        <f>IFERROR(VLOOKUP($B92,'RoC8'!$A$1:$B$161,2,0),0)</f>
        <v>0</v>
      </c>
      <c r="T92" s="95">
        <f>IFERROR(VLOOKUP(S92,'RoC8'!$B$1:$C$161,2,0),0)</f>
        <v>0</v>
      </c>
      <c r="U92" s="94">
        <f>IFERROR(VLOOKUP($B92,'RoC9'!$A$1:$B$161,2,0),0)</f>
        <v>0</v>
      </c>
      <c r="V92" s="95">
        <f>IFERROR(VLOOKUP(U92,'RoC9'!$B$1:$C$161,2,0),0)</f>
        <v>0</v>
      </c>
      <c r="W92" s="94">
        <f>IFERROR(VLOOKUP($B92,'RoC10'!$A$1:$B$161,2,0),0)</f>
        <v>0</v>
      </c>
      <c r="X92" s="95">
        <f>IFERROR(VLOOKUP(W92,'RoC10'!$B$1:$C$161,2,0),0)</f>
        <v>0</v>
      </c>
      <c r="Y92" s="94">
        <f>IFERROR(VLOOKUP($B92,'RoC11'!$A$1:$B$161,2,0),0)</f>
        <v>0</v>
      </c>
      <c r="Z92" s="95">
        <f>IFERROR(VLOOKUP(Y92,'RoC11'!$B$1:$C$161,2,0),0)</f>
        <v>0</v>
      </c>
      <c r="AA92" s="95">
        <f>IFERROR(VLOOKUP(E92,'RoC1'!$B$1:$C$160,2,0),0)</f>
        <v>125.5911478</v>
      </c>
      <c r="AB92" s="95">
        <f>IFERROR(VLOOKUP(G92,'RoC2'!$B$1:$C$160,2,0),0)</f>
        <v>0</v>
      </c>
      <c r="AC92" s="95">
        <f>IFERROR(VLOOKUP(I92,'RoC3'!$B$1:$C$160,2,0),0)</f>
        <v>91.5805747</v>
      </c>
      <c r="AD92" s="95">
        <f>IFERROR(VLOOKUP(K92,'RoC4'!$B$1:$C$160,2,0),0)</f>
        <v>0</v>
      </c>
      <c r="AE92" s="95">
        <f>IFERROR(VLOOKUP(M92,'RoC5'!$B$1:$C$160,2,0),0)</f>
        <v>0</v>
      </c>
      <c r="AF92" s="95">
        <f>IFERROR(VLOOKUP(O92,'RoC6'!$B$1:$C$160,2,0),0)</f>
        <v>235.9848928</v>
      </c>
      <c r="AG92" s="95">
        <f>IFERROR(VLOOKUP(Q92,'RoC7'!$B$1:$C$160,2,0),0)</f>
        <v>0</v>
      </c>
      <c r="AH92" s="95">
        <f>IFERROR(VLOOKUP(S92,'RoC8'!$B$1:$C$160,2,0),0)</f>
        <v>0</v>
      </c>
      <c r="AI92" s="95">
        <f>IFERROR(VLOOKUP(U92,'RoC9'!$B$1:$C$160,2,0),0)</f>
        <v>0</v>
      </c>
      <c r="AJ92" s="95">
        <f>IFERROR(VLOOKUP(W92,'RoC10'!$B$1:$C$160,2,0),0)</f>
        <v>0</v>
      </c>
      <c r="AK92" s="95">
        <f>IFERROR(VLOOKUP(Y92,'RoC11'!$B$1:$C$160,2,0),0)</f>
        <v>0</v>
      </c>
    </row>
    <row r="93" ht="15.75" customHeight="1">
      <c r="A93" s="135">
        <v>92.0</v>
      </c>
      <c r="B93" s="6" t="s">
        <v>67</v>
      </c>
      <c r="C93" s="93">
        <f t="shared" si="2"/>
        <v>452.9512267</v>
      </c>
      <c r="D93" s="136"/>
      <c r="E93" s="137">
        <f>IFERROR(VLOOKUP($B93,'RoC1'!$A$1:$B$160,2,0),"0")</f>
        <v>30</v>
      </c>
      <c r="F93" s="97">
        <f>IFERROR(VLOOKUP(E93,'RoC1'!$B$1:$C$160,2,0),0)</f>
        <v>230.1365142</v>
      </c>
      <c r="G93" s="137" t="str">
        <f>IFERROR(VLOOKUP($B93,'RoC2'!$A$1:$B$161,2,0),"0")</f>
        <v>0</v>
      </c>
      <c r="H93" s="97">
        <f>IFERROR(VLOOKUP(G93,'RoC2'!$B$1:$C$161,2,0),0)</f>
        <v>0</v>
      </c>
      <c r="I93" s="137">
        <f>IFERROR(VLOOKUP($B93,'RoC3'!$A$1:$B$161,2,0),0)</f>
        <v>0</v>
      </c>
      <c r="J93" s="97">
        <f>IFERROR(VLOOKUP(I93,'RoC3'!$B$1:$C$161,2,0),0)</f>
        <v>0</v>
      </c>
      <c r="K93" s="137">
        <f>IFERROR(VLOOKUP($B93,'RoC4'!$A$1:$B$161,2,0),0)</f>
        <v>0</v>
      </c>
      <c r="L93" s="97">
        <f>IFERROR(VLOOKUP(K93,'RoC4'!$B$1:$C$161,2,0),0)</f>
        <v>0</v>
      </c>
      <c r="M93" s="137">
        <f>IFERROR(VLOOKUP($B93,'RoC5'!$A$1:$B$161,2,0),0)</f>
        <v>38</v>
      </c>
      <c r="N93" s="97">
        <f>IFERROR(VLOOKUP(M93,'RoC5'!$B$1:$C$161,2,0),0)</f>
        <v>222.8147125</v>
      </c>
      <c r="O93" s="137">
        <f>IFERROR(VLOOKUP($B93,'RoC6'!$A$1:$B$161,2,0),0)</f>
        <v>0</v>
      </c>
      <c r="P93" s="97">
        <f>IFERROR(VLOOKUP(O93,'RoC6'!$B$1:$C$161,2,0),0)</f>
        <v>0</v>
      </c>
      <c r="Q93" s="137">
        <f>IFERROR(VLOOKUP($B93,'RoC7'!$A$1:$B$161,2,0),0)</f>
        <v>0</v>
      </c>
      <c r="R93" s="97">
        <f>IFERROR(VLOOKUP(Q93,'RoC7'!$B$1:$C$161,2,0),0)</f>
        <v>0</v>
      </c>
      <c r="S93" s="137">
        <f>IFERROR(VLOOKUP($B93,'RoC8'!$A$1:$B$161,2,0),0)</f>
        <v>0</v>
      </c>
      <c r="T93" s="97">
        <f>IFERROR(VLOOKUP(S93,'RoC8'!$B$1:$C$161,2,0),0)</f>
        <v>0</v>
      </c>
      <c r="U93" s="137">
        <f>IFERROR(VLOOKUP($B93,'RoC9'!$A$1:$B$161,2,0),0)</f>
        <v>0</v>
      </c>
      <c r="V93" s="97">
        <f>IFERROR(VLOOKUP(U93,'RoC9'!$B$1:$C$161,2,0),0)</f>
        <v>0</v>
      </c>
      <c r="W93" s="137">
        <f>IFERROR(VLOOKUP($B93,'RoC10'!$A$1:$B$161,2,0),0)</f>
        <v>0</v>
      </c>
      <c r="X93" s="97">
        <f>IFERROR(VLOOKUP(W93,'RoC10'!$B$1:$C$161,2,0),0)</f>
        <v>0</v>
      </c>
      <c r="Y93" s="137">
        <f>IFERROR(VLOOKUP($B93,'RoC11'!$A$1:$B$161,2,0),0)</f>
        <v>0</v>
      </c>
      <c r="Z93" s="97">
        <f>IFERROR(VLOOKUP(Y93,'RoC11'!$B$1:$C$161,2,0),0)</f>
        <v>0</v>
      </c>
      <c r="AA93" s="97">
        <f>IFERROR(VLOOKUP(E93,'RoC1'!$B$1:$C$160,2,0),0)</f>
        <v>230.1365142</v>
      </c>
      <c r="AB93" s="97">
        <f>IFERROR(VLOOKUP(G93,'RoC2'!$B$1:$C$160,2,0),0)</f>
        <v>0</v>
      </c>
      <c r="AC93" s="97">
        <f>IFERROR(VLOOKUP(I93,'RoC3'!$B$1:$C$160,2,0),0)</f>
        <v>0</v>
      </c>
      <c r="AD93" s="97">
        <f>IFERROR(VLOOKUP(K93,'RoC4'!$B$1:$C$160,2,0),0)</f>
        <v>0</v>
      </c>
      <c r="AE93" s="97">
        <f>IFERROR(VLOOKUP(M93,'RoC5'!$B$1:$C$160,2,0),0)</f>
        <v>222.8147125</v>
      </c>
      <c r="AF93" s="97">
        <f>IFERROR(VLOOKUP(O93,'RoC6'!$B$1:$C$160,2,0),0)</f>
        <v>0</v>
      </c>
      <c r="AG93" s="97">
        <f>IFERROR(VLOOKUP(Q93,'RoC7'!$B$1:$C$160,2,0),0)</f>
        <v>0</v>
      </c>
      <c r="AH93" s="97">
        <f>IFERROR(VLOOKUP(S93,'RoC8'!$B$1:$C$160,2,0),0)</f>
        <v>0</v>
      </c>
      <c r="AI93" s="97">
        <f>IFERROR(VLOOKUP(U93,'RoC9'!$B$1:$C$160,2,0),0)</f>
        <v>0</v>
      </c>
      <c r="AJ93" s="97">
        <f>IFERROR(VLOOKUP(W93,'RoC10'!$B$1:$C$160,2,0),0)</f>
        <v>0</v>
      </c>
      <c r="AK93" s="97">
        <f>IFERROR(VLOOKUP(Y93,'RoC11'!$B$1:$C$160,2,0),0)</f>
        <v>0</v>
      </c>
    </row>
    <row r="94" ht="15.75" customHeight="1">
      <c r="A94" s="135">
        <v>93.0</v>
      </c>
      <c r="B94" s="24" t="s">
        <v>95</v>
      </c>
      <c r="C94" s="93">
        <f t="shared" si="2"/>
        <v>449.4352116</v>
      </c>
      <c r="D94" s="136"/>
      <c r="E94" s="137" t="str">
        <f>IFERROR(VLOOKUP($B94,'RoC1'!$A$1:$B$160,2,0),"0")</f>
        <v>0</v>
      </c>
      <c r="F94" s="97">
        <f>IFERROR(VLOOKUP(E94,'RoC1'!$B$1:$C$160,2,0),0)</f>
        <v>0</v>
      </c>
      <c r="G94" s="137" t="str">
        <f>IFERROR(VLOOKUP($B94,'RoC2'!$A$1:$B$161,2,0),"0")</f>
        <v>0</v>
      </c>
      <c r="H94" s="97">
        <f>IFERROR(VLOOKUP(G94,'RoC2'!$B$1:$C$161,2,0),0)</f>
        <v>0</v>
      </c>
      <c r="I94" s="137">
        <f>IFERROR(VLOOKUP($B94,'RoC3'!$A$1:$B$161,2,0),0)</f>
        <v>0</v>
      </c>
      <c r="J94" s="97">
        <f>IFERROR(VLOOKUP(I94,'RoC3'!$B$1:$C$161,2,0),0)</f>
        <v>0</v>
      </c>
      <c r="K94" s="137">
        <f>IFERROR(VLOOKUP($B94,'RoC4'!$A$1:$B$161,2,0),0)</f>
        <v>0</v>
      </c>
      <c r="L94" s="97">
        <f>IFERROR(VLOOKUP(K94,'RoC4'!$B$1:$C$161,2,0),0)</f>
        <v>0</v>
      </c>
      <c r="M94" s="137">
        <f>IFERROR(VLOOKUP($B94,'RoC5'!$A$1:$B$161,2,0),0)</f>
        <v>21</v>
      </c>
      <c r="N94" s="97">
        <f>IFERROR(VLOOKUP(M94,'RoC5'!$B$1:$C$161,2,0),0)</f>
        <v>449.4352116</v>
      </c>
      <c r="O94" s="137">
        <f>IFERROR(VLOOKUP($B94,'RoC6'!$A$1:$B$161,2,0),0)</f>
        <v>0</v>
      </c>
      <c r="P94" s="97">
        <f>IFERROR(VLOOKUP(O94,'RoC6'!$B$1:$C$161,2,0),0)</f>
        <v>0</v>
      </c>
      <c r="Q94" s="137">
        <f>IFERROR(VLOOKUP($B94,'RoC7'!$A$1:$B$161,2,0),0)</f>
        <v>0</v>
      </c>
      <c r="R94" s="97">
        <f>IFERROR(VLOOKUP(Q94,'RoC7'!$B$1:$C$161,2,0),0)</f>
        <v>0</v>
      </c>
      <c r="S94" s="137">
        <f>IFERROR(VLOOKUP($B94,'RoC8'!$A$1:$B$161,2,0),0)</f>
        <v>0</v>
      </c>
      <c r="T94" s="97">
        <f>IFERROR(VLOOKUP(S94,'RoC8'!$B$1:$C$161,2,0),0)</f>
        <v>0</v>
      </c>
      <c r="U94" s="137">
        <f>IFERROR(VLOOKUP($B94,'RoC9'!$A$1:$B$161,2,0),0)</f>
        <v>0</v>
      </c>
      <c r="V94" s="97">
        <f>IFERROR(VLOOKUP(U94,'RoC9'!$B$1:$C$161,2,0),0)</f>
        <v>0</v>
      </c>
      <c r="W94" s="137">
        <f>IFERROR(VLOOKUP($B94,'RoC10'!$A$1:$B$161,2,0),0)</f>
        <v>0</v>
      </c>
      <c r="X94" s="97">
        <f>IFERROR(VLOOKUP(W94,'RoC10'!$B$1:$C$161,2,0),0)</f>
        <v>0</v>
      </c>
      <c r="Y94" s="137">
        <f>IFERROR(VLOOKUP($B94,'RoC11'!$A$1:$B$161,2,0),0)</f>
        <v>0</v>
      </c>
      <c r="Z94" s="97">
        <f>IFERROR(VLOOKUP(Y94,'RoC11'!$B$1:$C$161,2,0),0)</f>
        <v>0</v>
      </c>
      <c r="AA94" s="97">
        <f>IFERROR(VLOOKUP(E94,'RoC1'!$B$1:$C$160,2,0),0)</f>
        <v>0</v>
      </c>
      <c r="AB94" s="97">
        <f>IFERROR(VLOOKUP(G94,'RoC2'!$B$1:$C$160,2,0),0)</f>
        <v>0</v>
      </c>
      <c r="AC94" s="97">
        <f>IFERROR(VLOOKUP(I94,'RoC3'!$B$1:$C$160,2,0),0)</f>
        <v>0</v>
      </c>
      <c r="AD94" s="97">
        <f>IFERROR(VLOOKUP(K94,'RoC4'!$B$1:$C$160,2,0),0)</f>
        <v>0</v>
      </c>
      <c r="AE94" s="97">
        <f>IFERROR(VLOOKUP(M94,'RoC5'!$B$1:$C$160,2,0),0)</f>
        <v>449.4352116</v>
      </c>
      <c r="AF94" s="97">
        <f>IFERROR(VLOOKUP(O94,'RoC6'!$B$1:$C$160,2,0),0)</f>
        <v>0</v>
      </c>
      <c r="AG94" s="97">
        <f>IFERROR(VLOOKUP(Q94,'RoC7'!$B$1:$C$160,2,0),0)</f>
        <v>0</v>
      </c>
      <c r="AH94" s="97">
        <f>IFERROR(VLOOKUP(S94,'RoC8'!$B$1:$C$160,2,0),0)</f>
        <v>0</v>
      </c>
      <c r="AI94" s="97">
        <f>IFERROR(VLOOKUP(U94,'RoC9'!$B$1:$C$160,2,0),0)</f>
        <v>0</v>
      </c>
      <c r="AJ94" s="97">
        <f>IFERROR(VLOOKUP(W94,'RoC10'!$B$1:$C$160,2,0),0)</f>
        <v>0</v>
      </c>
      <c r="AK94" s="97">
        <f>IFERROR(VLOOKUP(Y94,'RoC11'!$B$1:$C$160,2,0),0)</f>
        <v>0</v>
      </c>
    </row>
    <row r="95" ht="15.75" customHeight="1">
      <c r="A95" s="135">
        <v>94.0</v>
      </c>
      <c r="B95" s="15" t="s">
        <v>27</v>
      </c>
      <c r="C95" s="93">
        <f t="shared" si="2"/>
        <v>435.4140721</v>
      </c>
      <c r="D95" s="93"/>
      <c r="E95" s="94" t="str">
        <f>IFERROR(VLOOKUP($B95,'RoC1'!$A$1:$B$160,2,0),"0")</f>
        <v>0</v>
      </c>
      <c r="F95" s="95">
        <f>IFERROR(VLOOKUP(E95,'RoC1'!$B$1:$C$160,2,0),0)</f>
        <v>0</v>
      </c>
      <c r="G95" s="94" t="str">
        <f>IFERROR(VLOOKUP($B95,'RoC2'!$A$1:$B$161,2,0),"0")</f>
        <v>0</v>
      </c>
      <c r="H95" s="95">
        <f>IFERROR(VLOOKUP(G95,'RoC2'!$B$1:$C$161,2,0),0)</f>
        <v>0</v>
      </c>
      <c r="I95" s="94">
        <f>IFERROR(VLOOKUP($B95,'RoC3'!$A$1:$B$161,2,0),0)</f>
        <v>0</v>
      </c>
      <c r="J95" s="95">
        <f>IFERROR(VLOOKUP(I95,'RoC3'!$B$1:$C$161,2,0),0)</f>
        <v>0</v>
      </c>
      <c r="K95" s="94">
        <f>IFERROR(VLOOKUP($B95,'RoC4'!$A$1:$B$161,2,0),0)</f>
        <v>46</v>
      </c>
      <c r="L95" s="95">
        <f>IFERROR(VLOOKUP(K95,'RoC4'!$B$1:$C$161,2,0),0)</f>
        <v>62.46238864</v>
      </c>
      <c r="M95" s="94">
        <f>IFERROR(VLOOKUP($B95,'RoC5'!$A$1:$B$161,2,0),0)</f>
        <v>0</v>
      </c>
      <c r="N95" s="95">
        <f>IFERROR(VLOOKUP(M95,'RoC5'!$B$1:$C$161,2,0),0)</f>
        <v>0</v>
      </c>
      <c r="O95" s="94">
        <f>IFERROR(VLOOKUP($B95,'RoC6'!$A$1:$B$161,2,0),0)</f>
        <v>0</v>
      </c>
      <c r="P95" s="95">
        <f>IFERROR(VLOOKUP(O95,'RoC6'!$B$1:$C$161,2,0),0)</f>
        <v>0</v>
      </c>
      <c r="Q95" s="94">
        <f>IFERROR(VLOOKUP($B95,'RoC7'!$A$1:$B$161,2,0),0)</f>
        <v>0</v>
      </c>
      <c r="R95" s="95">
        <f>IFERROR(VLOOKUP(Q95,'RoC7'!$B$1:$C$161,2,0),0)</f>
        <v>0</v>
      </c>
      <c r="S95" s="94">
        <f>IFERROR(VLOOKUP($B95,'RoC8'!$A$1:$B$161,2,0),0)</f>
        <v>0</v>
      </c>
      <c r="T95" s="95">
        <f>IFERROR(VLOOKUP(S95,'RoC8'!$B$1:$C$161,2,0),0)</f>
        <v>0</v>
      </c>
      <c r="U95" s="94">
        <f>IFERROR(VLOOKUP($B95,'RoC9'!$A$1:$B$161,2,0),0)</f>
        <v>31</v>
      </c>
      <c r="V95" s="95">
        <f>IFERROR(VLOOKUP(U95,'RoC9'!$B$1:$C$161,2,0),0)</f>
        <v>179.2823476</v>
      </c>
      <c r="W95" s="94">
        <f>IFERROR(VLOOKUP($B95,'RoC10'!$A$1:$B$161,2,0),0)</f>
        <v>26</v>
      </c>
      <c r="X95" s="95">
        <f>IFERROR(VLOOKUP(W95,'RoC10'!$B$1:$C$161,2,0),0)</f>
        <v>193.6693359</v>
      </c>
      <c r="Y95" s="94">
        <f>IFERROR(VLOOKUP($B95,'RoC11'!$A$1:$B$161,2,0),0)</f>
        <v>0</v>
      </c>
      <c r="Z95" s="95">
        <f>IFERROR(VLOOKUP(Y95,'RoC11'!$B$1:$C$161,2,0),0)</f>
        <v>0</v>
      </c>
      <c r="AA95" s="95">
        <f>IFERROR(VLOOKUP(E95,'RoC1'!$B$1:$C$160,2,0),0)</f>
        <v>0</v>
      </c>
      <c r="AB95" s="95">
        <f>IFERROR(VLOOKUP(G95,'RoC2'!$B$1:$C$160,2,0),0)</f>
        <v>0</v>
      </c>
      <c r="AC95" s="95">
        <f>IFERROR(VLOOKUP(I95,'RoC3'!$B$1:$C$160,2,0),0)</f>
        <v>0</v>
      </c>
      <c r="AD95" s="95">
        <f>IFERROR(VLOOKUP(K95,'RoC4'!$B$1:$C$160,2,0),0)</f>
        <v>62.46238864</v>
      </c>
      <c r="AE95" s="95">
        <f>IFERROR(VLOOKUP(M95,'RoC5'!$B$1:$C$160,2,0),0)</f>
        <v>0</v>
      </c>
      <c r="AF95" s="95">
        <f>IFERROR(VLOOKUP(O95,'RoC6'!$B$1:$C$160,2,0),0)</f>
        <v>0</v>
      </c>
      <c r="AG95" s="95">
        <f>IFERROR(VLOOKUP(Q95,'RoC7'!$B$1:$C$160,2,0),0)</f>
        <v>0</v>
      </c>
      <c r="AH95" s="95">
        <f>IFERROR(VLOOKUP(S95,'RoC8'!$B$1:$C$160,2,0),0)</f>
        <v>0</v>
      </c>
      <c r="AI95" s="95">
        <f>IFERROR(VLOOKUP(U95,'RoC9'!$B$1:$C$160,2,0),0)</f>
        <v>179.2823476</v>
      </c>
      <c r="AJ95" s="95">
        <f>IFERROR(VLOOKUP(W95,'RoC10'!$B$1:$C$160,2,0),0)</f>
        <v>193.6693359</v>
      </c>
      <c r="AK95" s="95">
        <f>IFERROR(VLOOKUP(Y95,'RoC11'!$B$1:$C$160,2,0),0)</f>
        <v>0</v>
      </c>
    </row>
    <row r="96" ht="15.75" customHeight="1">
      <c r="A96" s="135">
        <v>95.0</v>
      </c>
      <c r="B96" s="138" t="s">
        <v>83</v>
      </c>
      <c r="C96" s="93">
        <f t="shared" si="2"/>
        <v>427.2910459</v>
      </c>
      <c r="D96" s="136"/>
      <c r="E96" s="137" t="str">
        <f>IFERROR(VLOOKUP($B96,'RoC1'!$A$1:$B$160,2,0),"0")</f>
        <v>0</v>
      </c>
      <c r="F96" s="97">
        <f>IFERROR(VLOOKUP(E96,'RoC1'!$B$1:$C$160,2,0),0)</f>
        <v>0</v>
      </c>
      <c r="G96" s="137" t="str">
        <f>IFERROR(VLOOKUP($B96,'RoC2'!$A$1:$B$161,2,0),"0")</f>
        <v>0</v>
      </c>
      <c r="H96" s="97">
        <f>IFERROR(VLOOKUP(G96,'RoC2'!$B$1:$C$161,2,0),0)</f>
        <v>0</v>
      </c>
      <c r="I96" s="137">
        <f>IFERROR(VLOOKUP($B96,'RoC3'!$A$1:$B$161,2,0),0)</f>
        <v>22</v>
      </c>
      <c r="J96" s="97">
        <f>IFERROR(VLOOKUP(I96,'RoC3'!$B$1:$C$161,2,0),0)</f>
        <v>427.2910459</v>
      </c>
      <c r="K96" s="137">
        <f>IFERROR(VLOOKUP($B96,'RoC4'!$A$1:$B$161,2,0),0)</f>
        <v>0</v>
      </c>
      <c r="L96" s="97">
        <f>IFERROR(VLOOKUP(K96,'RoC4'!$B$1:$C$161,2,0),0)</f>
        <v>0</v>
      </c>
      <c r="M96" s="137">
        <f>IFERROR(VLOOKUP($B96,'RoC5'!$A$1:$B$161,2,0),0)</f>
        <v>0</v>
      </c>
      <c r="N96" s="97">
        <f>IFERROR(VLOOKUP(M96,'RoC5'!$B$1:$C$161,2,0),0)</f>
        <v>0</v>
      </c>
      <c r="O96" s="137">
        <f>IFERROR(VLOOKUP($B96,'RoC6'!$A$1:$B$161,2,0),0)</f>
        <v>0</v>
      </c>
      <c r="P96" s="97">
        <f>IFERROR(VLOOKUP(O96,'RoC6'!$B$1:$C$161,2,0),0)</f>
        <v>0</v>
      </c>
      <c r="Q96" s="137">
        <f>IFERROR(VLOOKUP($B96,'RoC7'!$A$1:$B$161,2,0),0)</f>
        <v>0</v>
      </c>
      <c r="R96" s="97">
        <f>IFERROR(VLOOKUP(Q96,'RoC7'!$B$1:$C$161,2,0),0)</f>
        <v>0</v>
      </c>
      <c r="S96" s="137">
        <f>IFERROR(VLOOKUP($B96,'RoC8'!$A$1:$B$161,2,0),0)</f>
        <v>0</v>
      </c>
      <c r="T96" s="97">
        <f>IFERROR(VLOOKUP(S96,'RoC8'!$B$1:$C$161,2,0),0)</f>
        <v>0</v>
      </c>
      <c r="U96" s="137">
        <f>IFERROR(VLOOKUP($B96,'RoC9'!$A$1:$B$161,2,0),0)</f>
        <v>0</v>
      </c>
      <c r="V96" s="97">
        <f>IFERROR(VLOOKUP(U96,'RoC9'!$B$1:$C$161,2,0),0)</f>
        <v>0</v>
      </c>
      <c r="W96" s="137">
        <f>IFERROR(VLOOKUP($B96,'RoC10'!$A$1:$B$161,2,0),0)</f>
        <v>0</v>
      </c>
      <c r="X96" s="97">
        <f>IFERROR(VLOOKUP(W96,'RoC10'!$B$1:$C$161,2,0),0)</f>
        <v>0</v>
      </c>
      <c r="Y96" s="137">
        <f>IFERROR(VLOOKUP($B96,'RoC11'!$A$1:$B$161,2,0),0)</f>
        <v>0</v>
      </c>
      <c r="Z96" s="97">
        <f>IFERROR(VLOOKUP(Y96,'RoC11'!$B$1:$C$161,2,0),0)</f>
        <v>0</v>
      </c>
      <c r="AA96" s="97">
        <f>IFERROR(VLOOKUP(E96,'RoC1'!$B$1:$C$160,2,0),0)</f>
        <v>0</v>
      </c>
      <c r="AB96" s="97">
        <f>IFERROR(VLOOKUP(G96,'RoC2'!$B$1:$C$160,2,0),0)</f>
        <v>0</v>
      </c>
      <c r="AC96" s="97">
        <f>IFERROR(VLOOKUP(I96,'RoC3'!$B$1:$C$160,2,0),0)</f>
        <v>427.2910459</v>
      </c>
      <c r="AD96" s="97">
        <f>IFERROR(VLOOKUP(K96,'RoC4'!$B$1:$C$160,2,0),0)</f>
        <v>0</v>
      </c>
      <c r="AE96" s="97">
        <f>IFERROR(VLOOKUP(M96,'RoC5'!$B$1:$C$160,2,0),0)</f>
        <v>0</v>
      </c>
      <c r="AF96" s="97">
        <f>IFERROR(VLOOKUP(O96,'RoC6'!$B$1:$C$160,2,0),0)</f>
        <v>0</v>
      </c>
      <c r="AG96" s="97">
        <f>IFERROR(VLOOKUP(Q96,'RoC7'!$B$1:$C$160,2,0),0)</f>
        <v>0</v>
      </c>
      <c r="AH96" s="97">
        <f>IFERROR(VLOOKUP(S96,'RoC8'!$B$1:$C$160,2,0),0)</f>
        <v>0</v>
      </c>
      <c r="AI96" s="97">
        <f>IFERROR(VLOOKUP(U96,'RoC9'!$B$1:$C$160,2,0),0)</f>
        <v>0</v>
      </c>
      <c r="AJ96" s="97">
        <f>IFERROR(VLOOKUP(W96,'RoC10'!$B$1:$C$160,2,0),0)</f>
        <v>0</v>
      </c>
      <c r="AK96" s="97">
        <f>IFERROR(VLOOKUP(Y96,'RoC11'!$B$1:$C$160,2,0),0)</f>
        <v>0</v>
      </c>
    </row>
    <row r="97" ht="15.75" customHeight="1">
      <c r="A97" s="135">
        <v>96.0</v>
      </c>
      <c r="B97" s="24" t="s">
        <v>115</v>
      </c>
      <c r="C97" s="93">
        <f t="shared" si="2"/>
        <v>399.5283078</v>
      </c>
      <c r="D97" s="136"/>
      <c r="E97" s="137" t="str">
        <f>IFERROR(VLOOKUP($B97,'RoC1'!$A$1:$B$160,2,0),"0")</f>
        <v>0</v>
      </c>
      <c r="F97" s="97">
        <f>IFERROR(VLOOKUP(E97,'RoC1'!$B$1:$C$160,2,0),0)</f>
        <v>0</v>
      </c>
      <c r="G97" s="137" t="str">
        <f>IFERROR(VLOOKUP($B97,'RoC2'!$A$1:$B$161,2,0),"0")</f>
        <v>0</v>
      </c>
      <c r="H97" s="97">
        <f>IFERROR(VLOOKUP(G97,'RoC2'!$B$1:$C$161,2,0),0)</f>
        <v>0</v>
      </c>
      <c r="I97" s="137">
        <f>IFERROR(VLOOKUP($B97,'RoC3'!$A$1:$B$161,2,0),0)</f>
        <v>0</v>
      </c>
      <c r="J97" s="97">
        <f>IFERROR(VLOOKUP(I97,'RoC3'!$B$1:$C$161,2,0),0)</f>
        <v>0</v>
      </c>
      <c r="K97" s="137">
        <f>IFERROR(VLOOKUP($B97,'RoC4'!$A$1:$B$161,2,0),0)</f>
        <v>0</v>
      </c>
      <c r="L97" s="97">
        <f>IFERROR(VLOOKUP(K97,'RoC4'!$B$1:$C$161,2,0),0)</f>
        <v>0</v>
      </c>
      <c r="M97" s="137">
        <f>IFERROR(VLOOKUP($B97,'RoC5'!$A$1:$B$161,2,0),0)</f>
        <v>0</v>
      </c>
      <c r="N97" s="97">
        <f>IFERROR(VLOOKUP(M97,'RoC5'!$B$1:$C$161,2,0),0)</f>
        <v>0</v>
      </c>
      <c r="O97" s="137">
        <f>IFERROR(VLOOKUP($B97,'RoC6'!$A$1:$B$161,2,0),0)</f>
        <v>21</v>
      </c>
      <c r="P97" s="97">
        <f>IFERROR(VLOOKUP(O97,'RoC6'!$B$1:$C$161,2,0),0)</f>
        <v>399.5283078</v>
      </c>
      <c r="Q97" s="137">
        <f>IFERROR(VLOOKUP($B97,'RoC7'!$A$1:$B$161,2,0),0)</f>
        <v>0</v>
      </c>
      <c r="R97" s="97">
        <f>IFERROR(VLOOKUP(Q97,'RoC7'!$B$1:$C$161,2,0),0)</f>
        <v>0</v>
      </c>
      <c r="S97" s="137">
        <f>IFERROR(VLOOKUP($B97,'RoC8'!$A$1:$B$161,2,0),0)</f>
        <v>0</v>
      </c>
      <c r="T97" s="97">
        <f>IFERROR(VLOOKUP(S97,'RoC8'!$B$1:$C$161,2,0),0)</f>
        <v>0</v>
      </c>
      <c r="U97" s="137">
        <f>IFERROR(VLOOKUP($B97,'RoC9'!$A$1:$B$161,2,0),0)</f>
        <v>0</v>
      </c>
      <c r="V97" s="97">
        <f>IFERROR(VLOOKUP(U97,'RoC9'!$B$1:$C$161,2,0),0)</f>
        <v>0</v>
      </c>
      <c r="W97" s="137">
        <f>IFERROR(VLOOKUP($B97,'RoC10'!$A$1:$B$161,2,0),0)</f>
        <v>0</v>
      </c>
      <c r="X97" s="97">
        <f>IFERROR(VLOOKUP(W97,'RoC10'!$B$1:$C$161,2,0),0)</f>
        <v>0</v>
      </c>
      <c r="Y97" s="137">
        <f>IFERROR(VLOOKUP($B97,'RoC11'!$A$1:$B$161,2,0),0)</f>
        <v>0</v>
      </c>
      <c r="Z97" s="97">
        <f>IFERROR(VLOOKUP(Y97,'RoC11'!$B$1:$C$161,2,0),0)</f>
        <v>0</v>
      </c>
      <c r="AA97" s="97">
        <f>IFERROR(VLOOKUP(E97,'RoC1'!$B$1:$C$160,2,0),0)</f>
        <v>0</v>
      </c>
      <c r="AB97" s="97">
        <f>IFERROR(VLOOKUP(G97,'RoC2'!$B$1:$C$160,2,0),0)</f>
        <v>0</v>
      </c>
      <c r="AC97" s="97">
        <f>IFERROR(VLOOKUP(I97,'RoC3'!$B$1:$C$160,2,0),0)</f>
        <v>0</v>
      </c>
      <c r="AD97" s="97">
        <f>IFERROR(VLOOKUP(K97,'RoC4'!$B$1:$C$160,2,0),0)</f>
        <v>0</v>
      </c>
      <c r="AE97" s="97">
        <f>IFERROR(VLOOKUP(M97,'RoC5'!$B$1:$C$160,2,0),0)</f>
        <v>0</v>
      </c>
      <c r="AF97" s="97">
        <f>IFERROR(VLOOKUP(O97,'RoC6'!$B$1:$C$160,2,0),0)</f>
        <v>399.5283078</v>
      </c>
      <c r="AG97" s="97">
        <f>IFERROR(VLOOKUP(Q97,'RoC7'!$B$1:$C$160,2,0),0)</f>
        <v>0</v>
      </c>
      <c r="AH97" s="97">
        <f>IFERROR(VLOOKUP(S97,'RoC8'!$B$1:$C$160,2,0),0)</f>
        <v>0</v>
      </c>
      <c r="AI97" s="97">
        <f>IFERROR(VLOOKUP(U97,'RoC9'!$B$1:$C$160,2,0),0)</f>
        <v>0</v>
      </c>
      <c r="AJ97" s="97">
        <f>IFERROR(VLOOKUP(W97,'RoC10'!$B$1:$C$160,2,0),0)</f>
        <v>0</v>
      </c>
      <c r="AK97" s="97">
        <f>IFERROR(VLOOKUP(Y97,'RoC11'!$B$1:$C$160,2,0),0)</f>
        <v>0</v>
      </c>
    </row>
    <row r="98" ht="15.75" customHeight="1">
      <c r="A98" s="135">
        <v>97.0</v>
      </c>
      <c r="B98" s="24" t="s">
        <v>116</v>
      </c>
      <c r="C98" s="93">
        <f t="shared" si="2"/>
        <v>382.56781</v>
      </c>
      <c r="D98" s="136"/>
      <c r="E98" s="137" t="str">
        <f>IFERROR(VLOOKUP($B98,'RoC1'!$A$1:$B$160,2,0),"0")</f>
        <v>0</v>
      </c>
      <c r="F98" s="97">
        <f>IFERROR(VLOOKUP(E98,'RoC1'!$B$1:$C$160,2,0),0)</f>
        <v>0</v>
      </c>
      <c r="G98" s="137" t="str">
        <f>IFERROR(VLOOKUP($B98,'RoC2'!$A$1:$B$161,2,0),"0")</f>
        <v>0</v>
      </c>
      <c r="H98" s="97">
        <f>IFERROR(VLOOKUP(G98,'RoC2'!$B$1:$C$161,2,0),0)</f>
        <v>0</v>
      </c>
      <c r="I98" s="137">
        <f>IFERROR(VLOOKUP($B98,'RoC3'!$A$1:$B$161,2,0),0)</f>
        <v>0</v>
      </c>
      <c r="J98" s="97">
        <f>IFERROR(VLOOKUP(I98,'RoC3'!$B$1:$C$161,2,0),0)</f>
        <v>0</v>
      </c>
      <c r="K98" s="137">
        <f>IFERROR(VLOOKUP($B98,'RoC4'!$A$1:$B$161,2,0),0)</f>
        <v>0</v>
      </c>
      <c r="L98" s="97">
        <f>IFERROR(VLOOKUP(K98,'RoC4'!$B$1:$C$161,2,0),0)</f>
        <v>0</v>
      </c>
      <c r="M98" s="137">
        <f>IFERROR(VLOOKUP($B98,'RoC5'!$A$1:$B$161,2,0),0)</f>
        <v>0</v>
      </c>
      <c r="N98" s="97">
        <f>IFERROR(VLOOKUP(M98,'RoC5'!$B$1:$C$161,2,0),0)</f>
        <v>0</v>
      </c>
      <c r="O98" s="137">
        <f>IFERROR(VLOOKUP($B98,'RoC6'!$A$1:$B$161,2,0),0)</f>
        <v>22</v>
      </c>
      <c r="P98" s="97">
        <f>IFERROR(VLOOKUP(O98,'RoC6'!$B$1:$C$161,2,0),0)</f>
        <v>382.56781</v>
      </c>
      <c r="Q98" s="137">
        <f>IFERROR(VLOOKUP($B98,'RoC7'!$A$1:$B$161,2,0),0)</f>
        <v>0</v>
      </c>
      <c r="R98" s="97">
        <f>IFERROR(VLOOKUP(Q98,'RoC7'!$B$1:$C$161,2,0),0)</f>
        <v>0</v>
      </c>
      <c r="S98" s="137">
        <f>IFERROR(VLOOKUP($B98,'RoC8'!$A$1:$B$161,2,0),0)</f>
        <v>0</v>
      </c>
      <c r="T98" s="97">
        <f>IFERROR(VLOOKUP(S98,'RoC8'!$B$1:$C$161,2,0),0)</f>
        <v>0</v>
      </c>
      <c r="U98" s="137">
        <f>IFERROR(VLOOKUP($B98,'RoC9'!$A$1:$B$161,2,0),0)</f>
        <v>0</v>
      </c>
      <c r="V98" s="97">
        <f>IFERROR(VLOOKUP(U98,'RoC9'!$B$1:$C$161,2,0),0)</f>
        <v>0</v>
      </c>
      <c r="W98" s="137">
        <f>IFERROR(VLOOKUP($B98,'RoC10'!$A$1:$B$161,2,0),0)</f>
        <v>0</v>
      </c>
      <c r="X98" s="97">
        <f>IFERROR(VLOOKUP(W98,'RoC10'!$B$1:$C$161,2,0),0)</f>
        <v>0</v>
      </c>
      <c r="Y98" s="137">
        <f>IFERROR(VLOOKUP($B98,'RoC11'!$A$1:$B$161,2,0),0)</f>
        <v>0</v>
      </c>
      <c r="Z98" s="97">
        <f>IFERROR(VLOOKUP(Y98,'RoC11'!$B$1:$C$161,2,0),0)</f>
        <v>0</v>
      </c>
      <c r="AA98" s="97">
        <f>IFERROR(VLOOKUP(E98,'RoC1'!$B$1:$C$160,2,0),0)</f>
        <v>0</v>
      </c>
      <c r="AB98" s="97">
        <f>IFERROR(VLOOKUP(G98,'RoC2'!$B$1:$C$160,2,0),0)</f>
        <v>0</v>
      </c>
      <c r="AC98" s="97">
        <f>IFERROR(VLOOKUP(I98,'RoC3'!$B$1:$C$160,2,0),0)</f>
        <v>0</v>
      </c>
      <c r="AD98" s="97">
        <f>IFERROR(VLOOKUP(K98,'RoC4'!$B$1:$C$160,2,0),0)</f>
        <v>0</v>
      </c>
      <c r="AE98" s="97">
        <f>IFERROR(VLOOKUP(M98,'RoC5'!$B$1:$C$160,2,0),0)</f>
        <v>0</v>
      </c>
      <c r="AF98" s="97">
        <f>IFERROR(VLOOKUP(O98,'RoC6'!$B$1:$C$160,2,0),0)</f>
        <v>382.56781</v>
      </c>
      <c r="AG98" s="97">
        <f>IFERROR(VLOOKUP(Q98,'RoC7'!$B$1:$C$160,2,0),0)</f>
        <v>0</v>
      </c>
      <c r="AH98" s="97">
        <f>IFERROR(VLOOKUP(S98,'RoC8'!$B$1:$C$160,2,0),0)</f>
        <v>0</v>
      </c>
      <c r="AI98" s="97">
        <f>IFERROR(VLOOKUP(U98,'RoC9'!$B$1:$C$160,2,0),0)</f>
        <v>0</v>
      </c>
      <c r="AJ98" s="97">
        <f>IFERROR(VLOOKUP(W98,'RoC10'!$B$1:$C$160,2,0),0)</f>
        <v>0</v>
      </c>
      <c r="AK98" s="97">
        <f>IFERROR(VLOOKUP(Y98,'RoC11'!$B$1:$C$160,2,0),0)</f>
        <v>0</v>
      </c>
    </row>
    <row r="99" ht="15.75" customHeight="1">
      <c r="A99" s="135">
        <v>98.0</v>
      </c>
      <c r="B99" s="143" t="s">
        <v>112</v>
      </c>
      <c r="C99" s="93">
        <f t="shared" si="2"/>
        <v>353.4030858</v>
      </c>
      <c r="D99" s="136"/>
      <c r="E99" s="137">
        <f>IFERROR(VLOOKUP($B99,'RoC1'!$A$1:$B$160,2,0),"0")</f>
        <v>22</v>
      </c>
      <c r="F99" s="97">
        <f>IFERROR(VLOOKUP(E99,'RoC1'!$B$1:$C$160,2,0),0)</f>
        <v>353.4030858</v>
      </c>
      <c r="G99" s="137" t="str">
        <f>IFERROR(VLOOKUP($B99,'RoC2'!$A$1:$B$161,2,0),"0")</f>
        <v>0</v>
      </c>
      <c r="H99" s="97">
        <f>IFERROR(VLOOKUP(G99,'RoC2'!$B$1:$C$161,2,0),0)</f>
        <v>0</v>
      </c>
      <c r="I99" s="137">
        <f>IFERROR(VLOOKUP($B99,'RoC3'!$A$1:$B$161,2,0),0)</f>
        <v>0</v>
      </c>
      <c r="J99" s="97">
        <f>IFERROR(VLOOKUP(I99,'RoC3'!$B$1:$C$161,2,0),0)</f>
        <v>0</v>
      </c>
      <c r="K99" s="137">
        <f>IFERROR(VLOOKUP($B99,'RoC4'!$A$1:$B$161,2,0),0)</f>
        <v>0</v>
      </c>
      <c r="L99" s="97">
        <f>IFERROR(VLOOKUP(K99,'RoC4'!$B$1:$C$161,2,0),0)</f>
        <v>0</v>
      </c>
      <c r="M99" s="137">
        <f>IFERROR(VLOOKUP($B99,'RoC5'!$A$1:$B$161,2,0),0)</f>
        <v>0</v>
      </c>
      <c r="N99" s="97">
        <f>IFERROR(VLOOKUP(M99,'RoC5'!$B$1:$C$161,2,0),0)</f>
        <v>0</v>
      </c>
      <c r="O99" s="137">
        <f>IFERROR(VLOOKUP($B99,'RoC6'!$A$1:$B$161,2,0),0)</f>
        <v>0</v>
      </c>
      <c r="P99" s="97">
        <f>IFERROR(VLOOKUP(O99,'RoC6'!$B$1:$C$161,2,0),0)</f>
        <v>0</v>
      </c>
      <c r="Q99" s="137">
        <f>IFERROR(VLOOKUP($B99,'RoC7'!$A$1:$B$161,2,0),0)</f>
        <v>0</v>
      </c>
      <c r="R99" s="97">
        <f>IFERROR(VLOOKUP(Q99,'RoC7'!$B$1:$C$161,2,0),0)</f>
        <v>0</v>
      </c>
      <c r="S99" s="137">
        <f>IFERROR(VLOOKUP($B99,'RoC8'!$A$1:$B$161,2,0),0)</f>
        <v>0</v>
      </c>
      <c r="T99" s="97">
        <f>IFERROR(VLOOKUP(S99,'RoC8'!$B$1:$C$161,2,0),0)</f>
        <v>0</v>
      </c>
      <c r="U99" s="137">
        <f>IFERROR(VLOOKUP($B99,'RoC9'!$A$1:$B$161,2,0),0)</f>
        <v>0</v>
      </c>
      <c r="V99" s="97">
        <f>IFERROR(VLOOKUP(U99,'RoC9'!$B$1:$C$161,2,0),0)</f>
        <v>0</v>
      </c>
      <c r="W99" s="137">
        <f>IFERROR(VLOOKUP($B99,'RoC10'!$A$1:$B$161,2,0),0)</f>
        <v>0</v>
      </c>
      <c r="X99" s="97">
        <f>IFERROR(VLOOKUP(W99,'RoC10'!$B$1:$C$161,2,0),0)</f>
        <v>0</v>
      </c>
      <c r="Y99" s="137">
        <f>IFERROR(VLOOKUP($B99,'RoC11'!$A$1:$B$161,2,0),0)</f>
        <v>0</v>
      </c>
      <c r="Z99" s="97">
        <f>IFERROR(VLOOKUP(Y99,'RoC11'!$B$1:$C$161,2,0),0)</f>
        <v>0</v>
      </c>
      <c r="AA99" s="97">
        <f>IFERROR(VLOOKUP(E99,'RoC1'!$B$1:$C$160,2,0),0)</f>
        <v>353.4030858</v>
      </c>
      <c r="AB99" s="97">
        <f>IFERROR(VLOOKUP(G99,'RoC2'!$B$1:$C$160,2,0),0)</f>
        <v>0</v>
      </c>
      <c r="AC99" s="97">
        <f>IFERROR(VLOOKUP(I99,'RoC3'!$B$1:$C$160,2,0),0)</f>
        <v>0</v>
      </c>
      <c r="AD99" s="97">
        <f>IFERROR(VLOOKUP(K99,'RoC4'!$B$1:$C$160,2,0),0)</f>
        <v>0</v>
      </c>
      <c r="AE99" s="97">
        <f>IFERROR(VLOOKUP(M99,'RoC5'!$B$1:$C$160,2,0),0)</f>
        <v>0</v>
      </c>
      <c r="AF99" s="97">
        <f>IFERROR(VLOOKUP(O99,'RoC6'!$B$1:$C$160,2,0),0)</f>
        <v>0</v>
      </c>
      <c r="AG99" s="97">
        <f>IFERROR(VLOOKUP(Q99,'RoC7'!$B$1:$C$160,2,0),0)</f>
        <v>0</v>
      </c>
      <c r="AH99" s="97">
        <f>IFERROR(VLOOKUP(S99,'RoC8'!$B$1:$C$160,2,0),0)</f>
        <v>0</v>
      </c>
      <c r="AI99" s="97">
        <f>IFERROR(VLOOKUP(U99,'RoC9'!$B$1:$C$160,2,0),0)</f>
        <v>0</v>
      </c>
      <c r="AJ99" s="97">
        <f>IFERROR(VLOOKUP(W99,'RoC10'!$B$1:$C$160,2,0),0)</f>
        <v>0</v>
      </c>
      <c r="AK99" s="97">
        <f>IFERROR(VLOOKUP(Y99,'RoC11'!$B$1:$C$160,2,0),0)</f>
        <v>0</v>
      </c>
    </row>
    <row r="100" ht="15.75" customHeight="1">
      <c r="A100" s="135">
        <v>99.0</v>
      </c>
      <c r="B100" s="139" t="s">
        <v>215</v>
      </c>
      <c r="C100" s="93">
        <f>F100+H100+J100+L100+N100+P100+R100+T100+V100+X100+Z100-small((AA100:AK100),1)</f>
        <v>322.8074023</v>
      </c>
      <c r="D100" s="136"/>
      <c r="E100" s="137" t="str">
        <f>IFERROR(VLOOKUP($B100,'RoC1'!$A$1:$B$160,2,0),"0")</f>
        <v>0</v>
      </c>
      <c r="F100" s="97">
        <f>IFERROR(VLOOKUP(E100,'RoC1'!$B$1:$C$160,2,0),0)</f>
        <v>0</v>
      </c>
      <c r="G100" s="137" t="str">
        <f>IFERROR(VLOOKUP($B100,'RoC2'!$A$1:$B$161,2,0),"0")</f>
        <v>0</v>
      </c>
      <c r="H100" s="97">
        <f>IFERROR(VLOOKUP(G100,'RoC2'!$B$1:$C$161,2,0),0)</f>
        <v>0</v>
      </c>
      <c r="I100" s="137">
        <f>IFERROR(VLOOKUP($B100,'RoC3'!$A$1:$B$161,2,0),0)</f>
        <v>0</v>
      </c>
      <c r="J100" s="97">
        <f>IFERROR(VLOOKUP(I100,'RoC3'!$B$1:$C$161,2,0),0)</f>
        <v>0</v>
      </c>
      <c r="K100" s="137">
        <f>IFERROR(VLOOKUP($B100,'RoC4'!$A$1:$B$161,2,0),0)</f>
        <v>0</v>
      </c>
      <c r="L100" s="97">
        <f>IFERROR(VLOOKUP(K100,'RoC4'!$B$1:$C$161,2,0),0)</f>
        <v>0</v>
      </c>
      <c r="M100" s="137">
        <f>IFERROR(VLOOKUP($B100,'RoC5'!$A$1:$B$161,2,0),0)</f>
        <v>0</v>
      </c>
      <c r="N100" s="97">
        <f>IFERROR(VLOOKUP(M100,'RoC5'!$B$1:$C$161,2,0),0)</f>
        <v>0</v>
      </c>
      <c r="O100" s="137">
        <f>IFERROR(VLOOKUP($B100,'RoC6'!$A$1:$B$161,2,0),0)</f>
        <v>0</v>
      </c>
      <c r="P100" s="97">
        <f>IFERROR(VLOOKUP(O100,'RoC6'!$B$1:$C$161,2,0),0)</f>
        <v>0</v>
      </c>
      <c r="Q100" s="137">
        <f>IFERROR(VLOOKUP($B100,'RoC7'!$A$1:$B$161,2,0),0)</f>
        <v>0</v>
      </c>
      <c r="R100" s="97">
        <f>IFERROR(VLOOKUP(Q100,'RoC7'!$B$1:$C$161,2,0),0)</f>
        <v>0</v>
      </c>
      <c r="S100" s="137">
        <f>IFERROR(VLOOKUP($B100,'RoC8'!$A$1:$B$161,2,0),0)</f>
        <v>0</v>
      </c>
      <c r="T100" s="97">
        <f>IFERROR(VLOOKUP(S100,'RoC8'!$B$1:$C$161,2,0),0)</f>
        <v>0</v>
      </c>
      <c r="U100" s="137">
        <f>IFERROR(VLOOKUP($B100,'RoC9'!$A$1:$B$161,2,0),0)</f>
        <v>0</v>
      </c>
      <c r="V100" s="97">
        <f>IFERROR(VLOOKUP(U100,'RoC9'!$B$1:$C$161,2,0),0)</f>
        <v>0</v>
      </c>
      <c r="W100" s="137">
        <f>IFERROR(VLOOKUP($B100,'RoC10'!$A$1:$B$161,2,0),0)</f>
        <v>0</v>
      </c>
      <c r="X100" s="97">
        <f>IFERROR(VLOOKUP(W100,'RoC10'!$B$1:$C$161,2,0),0)</f>
        <v>0</v>
      </c>
      <c r="Y100" s="137">
        <f>IFERROR(VLOOKUP($B100,'RoC11'!$A$1:$B$161,2,0),0)</f>
        <v>18</v>
      </c>
      <c r="Z100" s="97">
        <f>IFERROR(VLOOKUP(Y100,'RoC11'!$B$1:$C$161,2,0),0)</f>
        <v>322.8074023</v>
      </c>
      <c r="AA100" s="97">
        <f>IFERROR(VLOOKUP(E100,'RoC1'!$B$1:$C$160,2,0),0)</f>
        <v>0</v>
      </c>
      <c r="AB100" s="97">
        <f>IFERROR(VLOOKUP(G100,'RoC2'!$B$1:$C$160,2,0),0)</f>
        <v>0</v>
      </c>
      <c r="AC100" s="97">
        <f>IFERROR(VLOOKUP(I100,'RoC3'!$B$1:$C$160,2,0),0)</f>
        <v>0</v>
      </c>
      <c r="AD100" s="97">
        <f>IFERROR(VLOOKUP(K100,'RoC4'!$B$1:$C$160,2,0),0)</f>
        <v>0</v>
      </c>
      <c r="AE100" s="97">
        <f>IFERROR(VLOOKUP(M100,'RoC5'!$B$1:$C$160,2,0),0)</f>
        <v>0</v>
      </c>
      <c r="AF100" s="97">
        <f>IFERROR(VLOOKUP(O100,'RoC6'!$B$1:$C$160,2,0),0)</f>
        <v>0</v>
      </c>
      <c r="AG100" s="97">
        <f>IFERROR(VLOOKUP(Q100,'RoC7'!$B$1:$C$160,2,0),0)</f>
        <v>0</v>
      </c>
      <c r="AH100" s="97">
        <f>IFERROR(VLOOKUP(S100,'RoC8'!$B$1:$C$160,2,0),0)</f>
        <v>0</v>
      </c>
      <c r="AI100" s="97">
        <f>IFERROR(VLOOKUP(U100,'RoC9'!$B$1:$C$160,2,0),0)</f>
        <v>0</v>
      </c>
      <c r="AJ100" s="97">
        <f>IFERROR(VLOOKUP(W100,'RoC10'!$B$1:$C$160,2,0),0)</f>
        <v>0</v>
      </c>
      <c r="AK100" s="97">
        <f>IFERROR(VLOOKUP(Y100,'RoC11'!$B$1:$C$160,2,0),0)</f>
        <v>322.8074023</v>
      </c>
    </row>
    <row r="101" ht="15.75" customHeight="1">
      <c r="A101" s="135">
        <v>100.0</v>
      </c>
      <c r="B101" s="138" t="s">
        <v>87</v>
      </c>
      <c r="C101" s="93">
        <f>F101+H101+J101+L101+N101+P101+R101+T101+V101+X101+Z101-small((AA101:AK101),1)-small((AA101:AK101),2)</f>
        <v>309.4430268</v>
      </c>
      <c r="D101" s="136"/>
      <c r="E101" s="137" t="str">
        <f>IFERROR(VLOOKUP($B101,'RoC1'!$A$1:$B$160,2,0),"0")</f>
        <v>0</v>
      </c>
      <c r="F101" s="97">
        <f>IFERROR(VLOOKUP(E101,'RoC1'!$B$1:$C$160,2,0),0)</f>
        <v>0</v>
      </c>
      <c r="G101" s="137" t="str">
        <f>IFERROR(VLOOKUP($B101,'RoC2'!$A$1:$B$161,2,0),"0")</f>
        <v>0</v>
      </c>
      <c r="H101" s="97">
        <f>IFERROR(VLOOKUP(G101,'RoC2'!$B$1:$C$161,2,0),0)</f>
        <v>0</v>
      </c>
      <c r="I101" s="137">
        <f>IFERROR(VLOOKUP($B101,'RoC3'!$A$1:$B$161,2,0),0)</f>
        <v>31</v>
      </c>
      <c r="J101" s="97">
        <f>IFERROR(VLOOKUP(I101,'RoC3'!$B$1:$C$161,2,0),0)</f>
        <v>299.2977418</v>
      </c>
      <c r="K101" s="137">
        <f>IFERROR(VLOOKUP($B101,'RoC4'!$A$1:$B$161,2,0),0)</f>
        <v>51</v>
      </c>
      <c r="L101" s="97">
        <f>IFERROR(VLOOKUP(K101,'RoC4'!$B$1:$C$161,2,0),0)</f>
        <v>10.145285</v>
      </c>
      <c r="M101" s="137">
        <f>IFERROR(VLOOKUP($B101,'RoC5'!$A$1:$B$161,2,0),0)</f>
        <v>0</v>
      </c>
      <c r="N101" s="97">
        <f>IFERROR(VLOOKUP(M101,'RoC5'!$B$1:$C$161,2,0),0)</f>
        <v>0</v>
      </c>
      <c r="O101" s="137">
        <f>IFERROR(VLOOKUP($B101,'RoC6'!$A$1:$B$161,2,0),0)</f>
        <v>0</v>
      </c>
      <c r="P101" s="97">
        <f>IFERROR(VLOOKUP(O101,'RoC6'!$B$1:$C$161,2,0),0)</f>
        <v>0</v>
      </c>
      <c r="Q101" s="137">
        <f>IFERROR(VLOOKUP($B101,'RoC7'!$A$1:$B$161,2,0),0)</f>
        <v>0</v>
      </c>
      <c r="R101" s="97">
        <f>IFERROR(VLOOKUP(Q101,'RoC7'!$B$1:$C$161,2,0),0)</f>
        <v>0</v>
      </c>
      <c r="S101" s="137">
        <f>IFERROR(VLOOKUP($B101,'RoC8'!$A$1:$B$161,2,0),0)</f>
        <v>0</v>
      </c>
      <c r="T101" s="97">
        <f>IFERROR(VLOOKUP(S101,'RoC8'!$B$1:$C$161,2,0),0)</f>
        <v>0</v>
      </c>
      <c r="U101" s="137">
        <f>IFERROR(VLOOKUP($B101,'RoC9'!$A$1:$B$161,2,0),0)</f>
        <v>0</v>
      </c>
      <c r="V101" s="97">
        <f>IFERROR(VLOOKUP(U101,'RoC9'!$B$1:$C$161,2,0),0)</f>
        <v>0</v>
      </c>
      <c r="W101" s="137">
        <f>IFERROR(VLOOKUP($B101,'RoC10'!$A$1:$B$161,2,0),0)</f>
        <v>0</v>
      </c>
      <c r="X101" s="97">
        <f>IFERROR(VLOOKUP(W101,'RoC10'!$B$1:$C$161,2,0),0)</f>
        <v>0</v>
      </c>
      <c r="Y101" s="137">
        <f>IFERROR(VLOOKUP($B101,'RoC11'!$A$1:$B$161,2,0),0)</f>
        <v>0</v>
      </c>
      <c r="Z101" s="97">
        <f>IFERROR(VLOOKUP(Y101,'RoC11'!$B$1:$C$161,2,0),0)</f>
        <v>0</v>
      </c>
      <c r="AA101" s="97">
        <f>IFERROR(VLOOKUP(E101,'RoC1'!$B$1:$C$160,2,0),0)</f>
        <v>0</v>
      </c>
      <c r="AB101" s="97">
        <f>IFERROR(VLOOKUP(G101,'RoC2'!$B$1:$C$160,2,0),0)</f>
        <v>0</v>
      </c>
      <c r="AC101" s="97">
        <f>IFERROR(VLOOKUP(I101,'RoC3'!$B$1:$C$160,2,0),0)</f>
        <v>299.2977418</v>
      </c>
      <c r="AD101" s="97">
        <f>IFERROR(VLOOKUP(K101,'RoC4'!$B$1:$C$160,2,0),0)</f>
        <v>10.145285</v>
      </c>
      <c r="AE101" s="97">
        <f>IFERROR(VLOOKUP(M101,'RoC5'!$B$1:$C$160,2,0),0)</f>
        <v>0</v>
      </c>
      <c r="AF101" s="97">
        <f>IFERROR(VLOOKUP(O101,'RoC6'!$B$1:$C$160,2,0),0)</f>
        <v>0</v>
      </c>
      <c r="AG101" s="97">
        <f>IFERROR(VLOOKUP(Q101,'RoC7'!$B$1:$C$160,2,0),0)</f>
        <v>0</v>
      </c>
      <c r="AH101" s="97">
        <f>IFERROR(VLOOKUP(S101,'RoC8'!$B$1:$C$160,2,0),0)</f>
        <v>0</v>
      </c>
      <c r="AI101" s="97">
        <f>IFERROR(VLOOKUP(U101,'RoC9'!$B$1:$C$160,2,0),0)</f>
        <v>0</v>
      </c>
      <c r="AJ101" s="97">
        <f>IFERROR(VLOOKUP(W101,'RoC10'!$B$1:$C$160,2,0),0)</f>
        <v>0</v>
      </c>
      <c r="AK101" s="97">
        <f>IFERROR(VLOOKUP(Y101,'RoC11'!$B$1:$C$160,2,0),0)</f>
        <v>0</v>
      </c>
    </row>
    <row r="102" ht="15.75" customHeight="1">
      <c r="A102" s="135">
        <v>101.0</v>
      </c>
      <c r="B102" s="139" t="s">
        <v>125</v>
      </c>
      <c r="C102" s="93">
        <f>F102+H102+J102+L102+N102+P102+R102+T102+V102+X102+Z102-small((AA102:AK102),1)</f>
        <v>261.5611086</v>
      </c>
      <c r="D102" s="136"/>
      <c r="E102" s="137" t="str">
        <f>IFERROR(VLOOKUP($B102,'RoC1'!$A$1:$B$160,2,0),"0")</f>
        <v>0</v>
      </c>
      <c r="F102" s="97">
        <f>IFERROR(VLOOKUP(E102,'RoC1'!$B$1:$C$160,2,0),0)</f>
        <v>0</v>
      </c>
      <c r="G102" s="137" t="str">
        <f>IFERROR(VLOOKUP($B102,'RoC2'!$A$1:$B$161,2,0),"0")</f>
        <v>0</v>
      </c>
      <c r="H102" s="97">
        <f>IFERROR(VLOOKUP(G102,'RoC2'!$B$1:$C$161,2,0),0)</f>
        <v>0</v>
      </c>
      <c r="I102" s="137">
        <f>IFERROR(VLOOKUP($B102,'RoC3'!$A$1:$B$161,2,0),0)</f>
        <v>0</v>
      </c>
      <c r="J102" s="97">
        <f>IFERROR(VLOOKUP(I102,'RoC3'!$B$1:$C$161,2,0),0)</f>
        <v>0</v>
      </c>
      <c r="K102" s="137">
        <f>IFERROR(VLOOKUP($B102,'RoC4'!$A$1:$B$161,2,0),0)</f>
        <v>0</v>
      </c>
      <c r="L102" s="97">
        <f>IFERROR(VLOOKUP(K102,'RoC4'!$B$1:$C$161,2,0),0)</f>
        <v>0</v>
      </c>
      <c r="M102" s="137">
        <f>IFERROR(VLOOKUP($B102,'RoC5'!$A$1:$B$161,2,0),0)</f>
        <v>0</v>
      </c>
      <c r="N102" s="97">
        <f>IFERROR(VLOOKUP(M102,'RoC5'!$B$1:$C$161,2,0),0)</f>
        <v>0</v>
      </c>
      <c r="O102" s="137">
        <f>IFERROR(VLOOKUP($B102,'RoC6'!$A$1:$B$161,2,0),0)</f>
        <v>0</v>
      </c>
      <c r="P102" s="97">
        <f>IFERROR(VLOOKUP(O102,'RoC6'!$B$1:$C$161,2,0),0)</f>
        <v>0</v>
      </c>
      <c r="Q102" s="137">
        <f>IFERROR(VLOOKUP($B102,'RoC7'!$A$1:$B$161,2,0),0)</f>
        <v>0</v>
      </c>
      <c r="R102" s="97">
        <f>IFERROR(VLOOKUP(Q102,'RoC7'!$B$1:$C$161,2,0),0)</f>
        <v>0</v>
      </c>
      <c r="S102" s="137">
        <f>IFERROR(VLOOKUP($B102,'RoC8'!$A$1:$B$161,2,0),0)</f>
        <v>0</v>
      </c>
      <c r="T102" s="97">
        <f>IFERROR(VLOOKUP(S102,'RoC8'!$B$1:$C$161,2,0),0)</f>
        <v>0</v>
      </c>
      <c r="U102" s="137">
        <f>IFERROR(VLOOKUP($B102,'RoC9'!$A$1:$B$161,2,0),0)</f>
        <v>0</v>
      </c>
      <c r="V102" s="97">
        <f>IFERROR(VLOOKUP(U102,'RoC9'!$B$1:$C$161,2,0),0)</f>
        <v>0</v>
      </c>
      <c r="W102" s="137">
        <f>IFERROR(VLOOKUP($B102,'RoC10'!$A$1:$B$161,2,0),0)</f>
        <v>0</v>
      </c>
      <c r="X102" s="97">
        <f>IFERROR(VLOOKUP(W102,'RoC10'!$B$1:$C$161,2,0),0)</f>
        <v>0</v>
      </c>
      <c r="Y102" s="137">
        <f>IFERROR(VLOOKUP($B102,'RoC11'!$A$1:$B$161,2,0),0)</f>
        <v>21</v>
      </c>
      <c r="Z102" s="97">
        <f>IFERROR(VLOOKUP(Y102,'RoC11'!$B$1:$C$161,2,0),0)</f>
        <v>261.5611086</v>
      </c>
      <c r="AA102" s="97">
        <f>IFERROR(VLOOKUP(E102,'RoC1'!$B$1:$C$160,2,0),0)</f>
        <v>0</v>
      </c>
      <c r="AB102" s="97">
        <f>IFERROR(VLOOKUP(G102,'RoC2'!$B$1:$C$160,2,0),0)</f>
        <v>0</v>
      </c>
      <c r="AC102" s="97">
        <f>IFERROR(VLOOKUP(I102,'RoC3'!$B$1:$C$160,2,0),0)</f>
        <v>0</v>
      </c>
      <c r="AD102" s="97">
        <f>IFERROR(VLOOKUP(K102,'RoC4'!$B$1:$C$160,2,0),0)</f>
        <v>0</v>
      </c>
      <c r="AE102" s="97">
        <f>IFERROR(VLOOKUP(M102,'RoC5'!$B$1:$C$160,2,0),0)</f>
        <v>0</v>
      </c>
      <c r="AF102" s="97">
        <f>IFERROR(VLOOKUP(O102,'RoC6'!$B$1:$C$160,2,0),0)</f>
        <v>0</v>
      </c>
      <c r="AG102" s="97">
        <f>IFERROR(VLOOKUP(Q102,'RoC7'!$B$1:$C$160,2,0),0)</f>
        <v>0</v>
      </c>
      <c r="AH102" s="97">
        <f>IFERROR(VLOOKUP(S102,'RoC8'!$B$1:$C$160,2,0),0)</f>
        <v>0</v>
      </c>
      <c r="AI102" s="97">
        <f>IFERROR(VLOOKUP(U102,'RoC9'!$B$1:$C$160,2,0),0)</f>
        <v>0</v>
      </c>
      <c r="AJ102" s="97">
        <f>IFERROR(VLOOKUP(W102,'RoC10'!$B$1:$C$160,2,0),0)</f>
        <v>0</v>
      </c>
      <c r="AK102" s="97">
        <f>IFERROR(VLOOKUP(Y102,'RoC11'!$B$1:$C$160,2,0),0)</f>
        <v>261.5611086</v>
      </c>
    </row>
    <row r="103" ht="15.75" customHeight="1">
      <c r="A103" s="135">
        <v>102.0</v>
      </c>
      <c r="B103" s="24" t="s">
        <v>134</v>
      </c>
      <c r="C103" s="93">
        <f t="shared" ref="C103:C118" si="3">F103+H103+J103+L103+N103+P103+R103+T103+V103+X103+Z103-small((AA103:AK103),1)-small((AA103:AK103),2)</f>
        <v>245.4857632</v>
      </c>
      <c r="D103" s="136"/>
      <c r="E103" s="137" t="str">
        <f>IFERROR(VLOOKUP($B103,'RoC1'!$A$1:$B$160,2,0),"0")</f>
        <v>0</v>
      </c>
      <c r="F103" s="97">
        <f>IFERROR(VLOOKUP(E103,'RoC1'!$B$1:$C$160,2,0),0)</f>
        <v>0</v>
      </c>
      <c r="G103" s="137" t="str">
        <f>IFERROR(VLOOKUP($B103,'RoC2'!$A$1:$B$161,2,0),"0")</f>
        <v>0</v>
      </c>
      <c r="H103" s="97">
        <f>IFERROR(VLOOKUP(G103,'RoC2'!$B$1:$C$161,2,0),0)</f>
        <v>0</v>
      </c>
      <c r="I103" s="137">
        <f>IFERROR(VLOOKUP($B103,'RoC3'!$A$1:$B$161,2,0),0)</f>
        <v>0</v>
      </c>
      <c r="J103" s="97">
        <f>IFERROR(VLOOKUP(I103,'RoC3'!$B$1:$C$161,2,0),0)</f>
        <v>0</v>
      </c>
      <c r="K103" s="137">
        <f>IFERROR(VLOOKUP($B103,'RoC4'!$A$1:$B$161,2,0),0)</f>
        <v>0</v>
      </c>
      <c r="L103" s="97">
        <f>IFERROR(VLOOKUP(K103,'RoC4'!$B$1:$C$161,2,0),0)</f>
        <v>0</v>
      </c>
      <c r="M103" s="137">
        <f>IFERROR(VLOOKUP($B103,'RoC5'!$A$1:$B$161,2,0),0)</f>
        <v>36</v>
      </c>
      <c r="N103" s="97">
        <f>IFERROR(VLOOKUP(M103,'RoC5'!$B$1:$C$161,2,0),0)</f>
        <v>245.4857632</v>
      </c>
      <c r="O103" s="137">
        <f>IFERROR(VLOOKUP($B103,'RoC6'!$A$1:$B$161,2,0),0)</f>
        <v>0</v>
      </c>
      <c r="P103" s="97">
        <f>IFERROR(VLOOKUP(O103,'RoC6'!$B$1:$C$161,2,0),0)</f>
        <v>0</v>
      </c>
      <c r="Q103" s="137">
        <f>IFERROR(VLOOKUP($B103,'RoC7'!$A$1:$B$161,2,0),0)</f>
        <v>0</v>
      </c>
      <c r="R103" s="97">
        <f>IFERROR(VLOOKUP(Q103,'RoC7'!$B$1:$C$161,2,0),0)</f>
        <v>0</v>
      </c>
      <c r="S103" s="137">
        <f>IFERROR(VLOOKUP($B103,'RoC8'!$A$1:$B$161,2,0),0)</f>
        <v>0</v>
      </c>
      <c r="T103" s="97">
        <f>IFERROR(VLOOKUP(S103,'RoC8'!$B$1:$C$161,2,0),0)</f>
        <v>0</v>
      </c>
      <c r="U103" s="137">
        <f>IFERROR(VLOOKUP($B103,'RoC9'!$A$1:$B$161,2,0),0)</f>
        <v>0</v>
      </c>
      <c r="V103" s="97">
        <f>IFERROR(VLOOKUP(U103,'RoC9'!$B$1:$C$161,2,0),0)</f>
        <v>0</v>
      </c>
      <c r="W103" s="137">
        <f>IFERROR(VLOOKUP($B103,'RoC10'!$A$1:$B$161,2,0),0)</f>
        <v>0</v>
      </c>
      <c r="X103" s="97">
        <f>IFERROR(VLOOKUP(W103,'RoC10'!$B$1:$C$161,2,0),0)</f>
        <v>0</v>
      </c>
      <c r="Y103" s="137">
        <f>IFERROR(VLOOKUP($B103,'RoC11'!$A$1:$B$161,2,0),0)</f>
        <v>0</v>
      </c>
      <c r="Z103" s="97">
        <f>IFERROR(VLOOKUP(Y103,'RoC11'!$B$1:$C$161,2,0),0)</f>
        <v>0</v>
      </c>
      <c r="AA103" s="97">
        <f>IFERROR(VLOOKUP(E103,'RoC1'!$B$1:$C$160,2,0),0)</f>
        <v>0</v>
      </c>
      <c r="AB103" s="97">
        <f>IFERROR(VLOOKUP(G103,'RoC2'!$B$1:$C$160,2,0),0)</f>
        <v>0</v>
      </c>
      <c r="AC103" s="97">
        <f>IFERROR(VLOOKUP(I103,'RoC3'!$B$1:$C$160,2,0),0)</f>
        <v>0</v>
      </c>
      <c r="AD103" s="97">
        <f>IFERROR(VLOOKUP(K103,'RoC4'!$B$1:$C$160,2,0),0)</f>
        <v>0</v>
      </c>
      <c r="AE103" s="97">
        <f>IFERROR(VLOOKUP(M103,'RoC5'!$B$1:$C$160,2,0),0)</f>
        <v>245.4857632</v>
      </c>
      <c r="AF103" s="97">
        <f>IFERROR(VLOOKUP(O103,'RoC6'!$B$1:$C$160,2,0),0)</f>
        <v>0</v>
      </c>
      <c r="AG103" s="97">
        <f>IFERROR(VLOOKUP(Q103,'RoC7'!$B$1:$C$160,2,0),0)</f>
        <v>0</v>
      </c>
      <c r="AH103" s="97">
        <f>IFERROR(VLOOKUP(S103,'RoC8'!$B$1:$C$160,2,0),0)</f>
        <v>0</v>
      </c>
      <c r="AI103" s="97">
        <f>IFERROR(VLOOKUP(U103,'RoC9'!$B$1:$C$160,2,0),0)</f>
        <v>0</v>
      </c>
      <c r="AJ103" s="97">
        <f>IFERROR(VLOOKUP(W103,'RoC10'!$B$1:$C$160,2,0),0)</f>
        <v>0</v>
      </c>
      <c r="AK103" s="97">
        <f>IFERROR(VLOOKUP(Y103,'RoC11'!$B$1:$C$160,2,0),0)</f>
        <v>0</v>
      </c>
    </row>
    <row r="104" ht="15.75" customHeight="1">
      <c r="A104" s="135">
        <v>103.0</v>
      </c>
      <c r="B104" s="6" t="s">
        <v>94</v>
      </c>
      <c r="C104" s="93">
        <f t="shared" si="3"/>
        <v>234.0575948</v>
      </c>
      <c r="D104" s="136"/>
      <c r="E104" s="137" t="str">
        <f>IFERROR(VLOOKUP($B104,'RoC1'!$A$1:$B$160,2,0),"0")</f>
        <v>0</v>
      </c>
      <c r="F104" s="97">
        <f>IFERROR(VLOOKUP(E104,'RoC1'!$B$1:$C$160,2,0),0)</f>
        <v>0</v>
      </c>
      <c r="G104" s="137" t="str">
        <f>IFERROR(VLOOKUP($B104,'RoC2'!$A$1:$B$161,2,0),"0")</f>
        <v>0</v>
      </c>
      <c r="H104" s="97">
        <f>IFERROR(VLOOKUP(G104,'RoC2'!$B$1:$C$161,2,0),0)</f>
        <v>0</v>
      </c>
      <c r="I104" s="137">
        <f>IFERROR(VLOOKUP($B104,'RoC3'!$A$1:$B$161,2,0),0)</f>
        <v>0</v>
      </c>
      <c r="J104" s="97">
        <f>IFERROR(VLOOKUP(I104,'RoC3'!$B$1:$C$161,2,0),0)</f>
        <v>0</v>
      </c>
      <c r="K104" s="137">
        <f>IFERROR(VLOOKUP($B104,'RoC4'!$A$1:$B$161,2,0),0)</f>
        <v>0</v>
      </c>
      <c r="L104" s="97">
        <f>IFERROR(VLOOKUP(K104,'RoC4'!$B$1:$C$161,2,0),0)</f>
        <v>0</v>
      </c>
      <c r="M104" s="137">
        <f>IFERROR(VLOOKUP($B104,'RoC5'!$A$1:$B$161,2,0),0)</f>
        <v>37</v>
      </c>
      <c r="N104" s="97">
        <f>IFERROR(VLOOKUP(M104,'RoC5'!$B$1:$C$161,2,0),0)</f>
        <v>234.0575948</v>
      </c>
      <c r="O104" s="137">
        <f>IFERROR(VLOOKUP($B104,'RoC6'!$A$1:$B$161,2,0),0)</f>
        <v>0</v>
      </c>
      <c r="P104" s="97">
        <f>IFERROR(VLOOKUP(O104,'RoC6'!$B$1:$C$161,2,0),0)</f>
        <v>0</v>
      </c>
      <c r="Q104" s="137">
        <f>IFERROR(VLOOKUP($B104,'RoC7'!$A$1:$B$161,2,0),0)</f>
        <v>0</v>
      </c>
      <c r="R104" s="97">
        <f>IFERROR(VLOOKUP(Q104,'RoC7'!$B$1:$C$161,2,0),0)</f>
        <v>0</v>
      </c>
      <c r="S104" s="137">
        <f>IFERROR(VLOOKUP($B104,'RoC8'!$A$1:$B$161,2,0),0)</f>
        <v>0</v>
      </c>
      <c r="T104" s="97">
        <f>IFERROR(VLOOKUP(S104,'RoC8'!$B$1:$C$161,2,0),0)</f>
        <v>0</v>
      </c>
      <c r="U104" s="137">
        <f>IFERROR(VLOOKUP($B104,'RoC9'!$A$1:$B$161,2,0),0)</f>
        <v>0</v>
      </c>
      <c r="V104" s="97">
        <f>IFERROR(VLOOKUP(U104,'RoC9'!$B$1:$C$161,2,0),0)</f>
        <v>0</v>
      </c>
      <c r="W104" s="137">
        <f>IFERROR(VLOOKUP($B104,'RoC10'!$A$1:$B$161,2,0),0)</f>
        <v>0</v>
      </c>
      <c r="X104" s="97">
        <f>IFERROR(VLOOKUP(W104,'RoC10'!$B$1:$C$161,2,0),0)</f>
        <v>0</v>
      </c>
      <c r="Y104" s="137">
        <f>IFERROR(VLOOKUP($B104,'RoC11'!$A$1:$B$161,2,0),0)</f>
        <v>0</v>
      </c>
      <c r="Z104" s="97">
        <f>IFERROR(VLOOKUP(Y104,'RoC11'!$B$1:$C$161,2,0),0)</f>
        <v>0</v>
      </c>
      <c r="AA104" s="97">
        <f>IFERROR(VLOOKUP(E104,'RoC1'!$B$1:$C$160,2,0),0)</f>
        <v>0</v>
      </c>
      <c r="AB104" s="97">
        <f>IFERROR(VLOOKUP(G104,'RoC2'!$B$1:$C$160,2,0),0)</f>
        <v>0</v>
      </c>
      <c r="AC104" s="97">
        <f>IFERROR(VLOOKUP(I104,'RoC3'!$B$1:$C$160,2,0),0)</f>
        <v>0</v>
      </c>
      <c r="AD104" s="97">
        <f>IFERROR(VLOOKUP(K104,'RoC4'!$B$1:$C$160,2,0),0)</f>
        <v>0</v>
      </c>
      <c r="AE104" s="97">
        <f>IFERROR(VLOOKUP(M104,'RoC5'!$B$1:$C$160,2,0),0)</f>
        <v>234.0575948</v>
      </c>
      <c r="AF104" s="97">
        <f>IFERROR(VLOOKUP(O104,'RoC6'!$B$1:$C$160,2,0),0)</f>
        <v>0</v>
      </c>
      <c r="AG104" s="97">
        <f>IFERROR(VLOOKUP(Q104,'RoC7'!$B$1:$C$160,2,0),0)</f>
        <v>0</v>
      </c>
      <c r="AH104" s="97">
        <f>IFERROR(VLOOKUP(S104,'RoC8'!$B$1:$C$160,2,0),0)</f>
        <v>0</v>
      </c>
      <c r="AI104" s="97">
        <f>IFERROR(VLOOKUP(U104,'RoC9'!$B$1:$C$160,2,0),0)</f>
        <v>0</v>
      </c>
      <c r="AJ104" s="97">
        <f>IFERROR(VLOOKUP(W104,'RoC10'!$B$1:$C$160,2,0),0)</f>
        <v>0</v>
      </c>
      <c r="AK104" s="97">
        <f>IFERROR(VLOOKUP(Y104,'RoC11'!$B$1:$C$160,2,0),0)</f>
        <v>0</v>
      </c>
    </row>
    <row r="105" ht="15.75" customHeight="1">
      <c r="A105" s="135">
        <v>104.0</v>
      </c>
      <c r="B105" s="6" t="s">
        <v>96</v>
      </c>
      <c r="C105" s="93">
        <f t="shared" si="3"/>
        <v>231.5647799</v>
      </c>
      <c r="D105" s="93"/>
      <c r="E105" s="94" t="str">
        <f>IFERROR(VLOOKUP($B105,'RoC1'!$A$1:$B$160,2,0),"0")</f>
        <v>0</v>
      </c>
      <c r="F105" s="95">
        <f>IFERROR(VLOOKUP(E105,'RoC1'!$B$1:$C$160,2,0),0)</f>
        <v>0</v>
      </c>
      <c r="G105" s="94">
        <f>IFERROR(VLOOKUP($B105,'RoC2'!$A$1:$B$161,2,0),"0")</f>
        <v>36</v>
      </c>
      <c r="H105" s="95">
        <f>IFERROR(VLOOKUP(G105,'RoC2'!$B$1:$C$161,2,0),0)</f>
        <v>231.5647799</v>
      </c>
      <c r="I105" s="94">
        <f>IFERROR(VLOOKUP($B105,'RoC3'!$A$1:$B$161,2,0),0)</f>
        <v>0</v>
      </c>
      <c r="J105" s="95">
        <f>IFERROR(VLOOKUP(I105,'RoC3'!$B$1:$C$161,2,0),0)</f>
        <v>0</v>
      </c>
      <c r="K105" s="94">
        <f>IFERROR(VLOOKUP($B105,'RoC4'!$A$1:$B$161,2,0),0)</f>
        <v>0</v>
      </c>
      <c r="L105" s="95">
        <f>IFERROR(VLOOKUP(K105,'RoC4'!$B$1:$C$161,2,0),0)</f>
        <v>0</v>
      </c>
      <c r="M105" s="94">
        <f>IFERROR(VLOOKUP($B105,'RoC5'!$A$1:$B$161,2,0),0)</f>
        <v>0</v>
      </c>
      <c r="N105" s="95">
        <f>IFERROR(VLOOKUP(M105,'RoC5'!$B$1:$C$161,2,0),0)</f>
        <v>0</v>
      </c>
      <c r="O105" s="94">
        <f>IFERROR(VLOOKUP($B105,'RoC6'!$A$1:$B$161,2,0),0)</f>
        <v>0</v>
      </c>
      <c r="P105" s="95">
        <f>IFERROR(VLOOKUP(O105,'RoC6'!$B$1:$C$161,2,0),0)</f>
        <v>0</v>
      </c>
      <c r="Q105" s="94">
        <f>IFERROR(VLOOKUP($B105,'RoC7'!$A$1:$B$161,2,0),0)</f>
        <v>0</v>
      </c>
      <c r="R105" s="95">
        <f>IFERROR(VLOOKUP(Q105,'RoC7'!$B$1:$C$161,2,0),0)</f>
        <v>0</v>
      </c>
      <c r="S105" s="94">
        <f>IFERROR(VLOOKUP($B105,'RoC8'!$A$1:$B$161,2,0),0)</f>
        <v>0</v>
      </c>
      <c r="T105" s="95">
        <f>IFERROR(VLOOKUP(S105,'RoC8'!$B$1:$C$161,2,0),0)</f>
        <v>0</v>
      </c>
      <c r="U105" s="94">
        <f>IFERROR(VLOOKUP($B105,'RoC9'!$A$1:$B$161,2,0),0)</f>
        <v>0</v>
      </c>
      <c r="V105" s="95">
        <f>IFERROR(VLOOKUP(U105,'RoC9'!$B$1:$C$161,2,0),0)</f>
        <v>0</v>
      </c>
      <c r="W105" s="94">
        <f>IFERROR(VLOOKUP($B105,'RoC10'!$A$1:$B$161,2,0),0)</f>
        <v>0</v>
      </c>
      <c r="X105" s="95">
        <f>IFERROR(VLOOKUP(W105,'RoC10'!$B$1:$C$161,2,0),0)</f>
        <v>0</v>
      </c>
      <c r="Y105" s="94">
        <f>IFERROR(VLOOKUP($B105,'RoC11'!$A$1:$B$161,2,0),0)</f>
        <v>0</v>
      </c>
      <c r="Z105" s="95">
        <f>IFERROR(VLOOKUP(Y105,'RoC11'!$B$1:$C$161,2,0),0)</f>
        <v>0</v>
      </c>
      <c r="AA105" s="95">
        <f>IFERROR(VLOOKUP(E105,'RoC1'!$B$1:$C$160,2,0),0)</f>
        <v>0</v>
      </c>
      <c r="AB105" s="95">
        <f>IFERROR(VLOOKUP(G105,'RoC2'!$B$1:$C$160,2,0),0)</f>
        <v>231.5647799</v>
      </c>
      <c r="AC105" s="95">
        <f>IFERROR(VLOOKUP(I105,'RoC3'!$B$1:$C$160,2,0),0)</f>
        <v>0</v>
      </c>
      <c r="AD105" s="95">
        <f>IFERROR(VLOOKUP(K105,'RoC4'!$B$1:$C$160,2,0),0)</f>
        <v>0</v>
      </c>
      <c r="AE105" s="95">
        <f>IFERROR(VLOOKUP(M105,'RoC5'!$B$1:$C$160,2,0),0)</f>
        <v>0</v>
      </c>
      <c r="AF105" s="95">
        <f>IFERROR(VLOOKUP(O105,'RoC6'!$B$1:$C$160,2,0),0)</f>
        <v>0</v>
      </c>
      <c r="AG105" s="95">
        <f>IFERROR(VLOOKUP(Q105,'RoC7'!$B$1:$C$160,2,0),0)</f>
        <v>0</v>
      </c>
      <c r="AH105" s="95">
        <f>IFERROR(VLOOKUP(S105,'RoC8'!$B$1:$C$160,2,0),0)</f>
        <v>0</v>
      </c>
      <c r="AI105" s="95">
        <f>IFERROR(VLOOKUP(U105,'RoC9'!$B$1:$C$160,2,0),0)</f>
        <v>0</v>
      </c>
      <c r="AJ105" s="95">
        <f>IFERROR(VLOOKUP(W105,'RoC10'!$B$1:$C$160,2,0),0)</f>
        <v>0</v>
      </c>
      <c r="AK105" s="95">
        <f>IFERROR(VLOOKUP(Y105,'RoC11'!$B$1:$C$160,2,0),0)</f>
        <v>0</v>
      </c>
    </row>
    <row r="106" ht="15.75" customHeight="1">
      <c r="A106" s="135">
        <v>105.0</v>
      </c>
      <c r="B106" s="17" t="s">
        <v>135</v>
      </c>
      <c r="C106" s="93">
        <f t="shared" si="3"/>
        <v>211.7475803</v>
      </c>
      <c r="D106" s="136"/>
      <c r="E106" s="137" t="str">
        <f>IFERROR(VLOOKUP($B106,'RoC1'!$A$1:$B$160,2,0),"0")</f>
        <v>0</v>
      </c>
      <c r="F106" s="97">
        <f>IFERROR(VLOOKUP(E106,'RoC1'!$B$1:$C$160,2,0),0)</f>
        <v>0</v>
      </c>
      <c r="G106" s="137" t="str">
        <f>IFERROR(VLOOKUP($B106,'RoC2'!$A$1:$B$161,2,0),"0")</f>
        <v>0</v>
      </c>
      <c r="H106" s="97">
        <f>IFERROR(VLOOKUP(G106,'RoC2'!$B$1:$C$161,2,0),0)</f>
        <v>0</v>
      </c>
      <c r="I106" s="137">
        <f>IFERROR(VLOOKUP($B106,'RoC3'!$A$1:$B$161,2,0),0)</f>
        <v>0</v>
      </c>
      <c r="J106" s="97">
        <f>IFERROR(VLOOKUP(I106,'RoC3'!$B$1:$C$161,2,0),0)</f>
        <v>0</v>
      </c>
      <c r="K106" s="137">
        <f>IFERROR(VLOOKUP($B106,'RoC4'!$A$1:$B$161,2,0),0)</f>
        <v>0</v>
      </c>
      <c r="L106" s="97">
        <f>IFERROR(VLOOKUP(K106,'RoC4'!$B$1:$C$161,2,0),0)</f>
        <v>0</v>
      </c>
      <c r="M106" s="137">
        <f>IFERROR(VLOOKUP($B106,'RoC5'!$A$1:$B$161,2,0),0)</f>
        <v>39</v>
      </c>
      <c r="N106" s="97">
        <f>IFERROR(VLOOKUP(M106,'RoC5'!$B$1:$C$161,2,0),0)</f>
        <v>211.7475803</v>
      </c>
      <c r="O106" s="137">
        <f>IFERROR(VLOOKUP($B106,'RoC6'!$A$1:$B$161,2,0),0)</f>
        <v>0</v>
      </c>
      <c r="P106" s="97">
        <f>IFERROR(VLOOKUP(O106,'RoC6'!$B$1:$C$161,2,0),0)</f>
        <v>0</v>
      </c>
      <c r="Q106" s="137">
        <f>IFERROR(VLOOKUP($B106,'RoC7'!$A$1:$B$161,2,0),0)</f>
        <v>0</v>
      </c>
      <c r="R106" s="97">
        <f>IFERROR(VLOOKUP(Q106,'RoC7'!$B$1:$C$161,2,0),0)</f>
        <v>0</v>
      </c>
      <c r="S106" s="137">
        <f>IFERROR(VLOOKUP($B106,'RoC8'!$A$1:$B$161,2,0),0)</f>
        <v>0</v>
      </c>
      <c r="T106" s="97">
        <f>IFERROR(VLOOKUP(S106,'RoC8'!$B$1:$C$161,2,0),0)</f>
        <v>0</v>
      </c>
      <c r="U106" s="137">
        <f>IFERROR(VLOOKUP($B106,'RoC9'!$A$1:$B$161,2,0),0)</f>
        <v>0</v>
      </c>
      <c r="V106" s="97">
        <f>IFERROR(VLOOKUP(U106,'RoC9'!$B$1:$C$161,2,0),0)</f>
        <v>0</v>
      </c>
      <c r="W106" s="137">
        <f>IFERROR(VLOOKUP($B106,'RoC10'!$A$1:$B$161,2,0),0)</f>
        <v>0</v>
      </c>
      <c r="X106" s="97">
        <f>IFERROR(VLOOKUP(W106,'RoC10'!$B$1:$C$161,2,0),0)</f>
        <v>0</v>
      </c>
      <c r="Y106" s="137">
        <f>IFERROR(VLOOKUP($B106,'RoC11'!$A$1:$B$161,2,0),0)</f>
        <v>0</v>
      </c>
      <c r="Z106" s="97">
        <f>IFERROR(VLOOKUP(Y106,'RoC11'!$B$1:$C$161,2,0),0)</f>
        <v>0</v>
      </c>
      <c r="AA106" s="97">
        <f>IFERROR(VLOOKUP(E106,'RoC1'!$B$1:$C$160,2,0),0)</f>
        <v>0</v>
      </c>
      <c r="AB106" s="97">
        <f>IFERROR(VLOOKUP(G106,'RoC2'!$B$1:$C$160,2,0),0)</f>
        <v>0</v>
      </c>
      <c r="AC106" s="97">
        <f>IFERROR(VLOOKUP(I106,'RoC3'!$B$1:$C$160,2,0),0)</f>
        <v>0</v>
      </c>
      <c r="AD106" s="97">
        <f>IFERROR(VLOOKUP(K106,'RoC4'!$B$1:$C$160,2,0),0)</f>
        <v>0</v>
      </c>
      <c r="AE106" s="97">
        <f>IFERROR(VLOOKUP(M106,'RoC5'!$B$1:$C$160,2,0),0)</f>
        <v>211.7475803</v>
      </c>
      <c r="AF106" s="97">
        <f>IFERROR(VLOOKUP(O106,'RoC6'!$B$1:$C$160,2,0),0)</f>
        <v>0</v>
      </c>
      <c r="AG106" s="97">
        <f>IFERROR(VLOOKUP(Q106,'RoC7'!$B$1:$C$160,2,0),0)</f>
        <v>0</v>
      </c>
      <c r="AH106" s="97">
        <f>IFERROR(VLOOKUP(S106,'RoC8'!$B$1:$C$160,2,0),0)</f>
        <v>0</v>
      </c>
      <c r="AI106" s="97">
        <f>IFERROR(VLOOKUP(U106,'RoC9'!$B$1:$C$160,2,0),0)</f>
        <v>0</v>
      </c>
      <c r="AJ106" s="97">
        <f>IFERROR(VLOOKUP(W106,'RoC10'!$B$1:$C$160,2,0),0)</f>
        <v>0</v>
      </c>
      <c r="AK106" s="97">
        <f>IFERROR(VLOOKUP(Y106,'RoC11'!$B$1:$C$160,2,0),0)</f>
        <v>0</v>
      </c>
    </row>
    <row r="107" ht="15.75" customHeight="1">
      <c r="A107" s="135">
        <v>106.0</v>
      </c>
      <c r="B107" s="138" t="s">
        <v>69</v>
      </c>
      <c r="C107" s="93">
        <f t="shared" si="3"/>
        <v>204.9352051</v>
      </c>
      <c r="D107" s="136"/>
      <c r="E107" s="137" t="str">
        <f>IFERROR(VLOOKUP($B107,'RoC1'!$A$1:$B$160,2,0),"0")</f>
        <v>0</v>
      </c>
      <c r="F107" s="97">
        <f>IFERROR(VLOOKUP(E107,'RoC1'!$B$1:$C$160,2,0),0)</f>
        <v>0</v>
      </c>
      <c r="G107" s="137" t="str">
        <f>IFERROR(VLOOKUP($B107,'RoC2'!$A$1:$B$161,2,0),"0")</f>
        <v>0</v>
      </c>
      <c r="H107" s="97">
        <f>IFERROR(VLOOKUP(G107,'RoC2'!$B$1:$C$161,2,0),0)</f>
        <v>0</v>
      </c>
      <c r="I107" s="137">
        <f>IFERROR(VLOOKUP($B107,'RoC3'!$A$1:$B$161,2,0),0)</f>
        <v>52</v>
      </c>
      <c r="J107" s="97">
        <f>IFERROR(VLOOKUP(I107,'RoC3'!$B$1:$C$161,2,0),0)</f>
        <v>72.54959906</v>
      </c>
      <c r="K107" s="137">
        <f>IFERROR(VLOOKUP($B107,'RoC4'!$A$1:$B$161,2,0),0)</f>
        <v>47</v>
      </c>
      <c r="L107" s="97">
        <f>IFERROR(VLOOKUP(K107,'RoC4'!$B$1:$C$161,2,0),0)</f>
        <v>51.77288133</v>
      </c>
      <c r="M107" s="137">
        <f>IFERROR(VLOOKUP($B107,'RoC5'!$A$1:$B$161,2,0),0)</f>
        <v>52</v>
      </c>
      <c r="N107" s="97">
        <f>IFERROR(VLOOKUP(M107,'RoC5'!$B$1:$C$161,2,0),0)</f>
        <v>80.61272473</v>
      </c>
      <c r="O107" s="137">
        <f>IFERROR(VLOOKUP($B107,'RoC6'!$A$1:$B$161,2,0),0)</f>
        <v>0</v>
      </c>
      <c r="P107" s="97">
        <f>IFERROR(VLOOKUP(O107,'RoC6'!$B$1:$C$161,2,0),0)</f>
        <v>0</v>
      </c>
      <c r="Q107" s="137">
        <f>IFERROR(VLOOKUP($B107,'RoC7'!$A$1:$B$161,2,0),0)</f>
        <v>0</v>
      </c>
      <c r="R107" s="97">
        <f>IFERROR(VLOOKUP(Q107,'RoC7'!$B$1:$C$161,2,0),0)</f>
        <v>0</v>
      </c>
      <c r="S107" s="137">
        <f>IFERROR(VLOOKUP($B107,'RoC8'!$A$1:$B$161,2,0),0)</f>
        <v>0</v>
      </c>
      <c r="T107" s="97">
        <f>IFERROR(VLOOKUP(S107,'RoC8'!$B$1:$C$161,2,0),0)</f>
        <v>0</v>
      </c>
      <c r="U107" s="137">
        <f>IFERROR(VLOOKUP($B107,'RoC9'!$A$1:$B$161,2,0),0)</f>
        <v>0</v>
      </c>
      <c r="V107" s="97">
        <f>IFERROR(VLOOKUP(U107,'RoC9'!$B$1:$C$161,2,0),0)</f>
        <v>0</v>
      </c>
      <c r="W107" s="137">
        <f>IFERROR(VLOOKUP($B107,'RoC10'!$A$1:$B$161,2,0),0)</f>
        <v>0</v>
      </c>
      <c r="X107" s="97">
        <f>IFERROR(VLOOKUP(W107,'RoC10'!$B$1:$C$161,2,0),0)</f>
        <v>0</v>
      </c>
      <c r="Y107" s="137">
        <f>IFERROR(VLOOKUP($B107,'RoC11'!$A$1:$B$161,2,0),0)</f>
        <v>0</v>
      </c>
      <c r="Z107" s="97">
        <f>IFERROR(VLOOKUP(Y107,'RoC11'!$B$1:$C$161,2,0),0)</f>
        <v>0</v>
      </c>
      <c r="AA107" s="97">
        <f>IFERROR(VLOOKUP(E107,'RoC1'!$B$1:$C$160,2,0),0)</f>
        <v>0</v>
      </c>
      <c r="AB107" s="97">
        <f>IFERROR(VLOOKUP(G107,'RoC2'!$B$1:$C$160,2,0),0)</f>
        <v>0</v>
      </c>
      <c r="AC107" s="97">
        <f>IFERROR(VLOOKUP(I107,'RoC3'!$B$1:$C$160,2,0),0)</f>
        <v>72.54959906</v>
      </c>
      <c r="AD107" s="97">
        <f>IFERROR(VLOOKUP(K107,'RoC4'!$B$1:$C$160,2,0),0)</f>
        <v>51.77288133</v>
      </c>
      <c r="AE107" s="97">
        <f>IFERROR(VLOOKUP(M107,'RoC5'!$B$1:$C$160,2,0),0)</f>
        <v>80.61272473</v>
      </c>
      <c r="AF107" s="97">
        <f>IFERROR(VLOOKUP(O107,'RoC6'!$B$1:$C$160,2,0),0)</f>
        <v>0</v>
      </c>
      <c r="AG107" s="97">
        <f>IFERROR(VLOOKUP(Q107,'RoC7'!$B$1:$C$160,2,0),0)</f>
        <v>0</v>
      </c>
      <c r="AH107" s="97">
        <f>IFERROR(VLOOKUP(S107,'RoC8'!$B$1:$C$160,2,0),0)</f>
        <v>0</v>
      </c>
      <c r="AI107" s="97">
        <f>IFERROR(VLOOKUP(U107,'RoC9'!$B$1:$C$160,2,0),0)</f>
        <v>0</v>
      </c>
      <c r="AJ107" s="97">
        <f>IFERROR(VLOOKUP(W107,'RoC10'!$B$1:$C$160,2,0),0)</f>
        <v>0</v>
      </c>
      <c r="AK107" s="97">
        <f>IFERROR(VLOOKUP(Y107,'RoC11'!$B$1:$C$160,2,0),0)</f>
        <v>0</v>
      </c>
    </row>
    <row r="108" ht="15.75" customHeight="1">
      <c r="A108" s="135">
        <v>107.0</v>
      </c>
      <c r="B108" s="17" t="s">
        <v>216</v>
      </c>
      <c r="C108" s="93">
        <f t="shared" si="3"/>
        <v>189.4910516</v>
      </c>
      <c r="D108" s="136"/>
      <c r="E108" s="137" t="str">
        <f>IFERROR(VLOOKUP($B108,'RoC1'!$A$1:$B$160,2,0),"0")</f>
        <v>0</v>
      </c>
      <c r="F108" s="97">
        <f>IFERROR(VLOOKUP(E108,'RoC1'!$B$1:$C$160,2,0),0)</f>
        <v>0</v>
      </c>
      <c r="G108" s="137" t="str">
        <f>IFERROR(VLOOKUP($B108,'RoC2'!$A$1:$B$161,2,0),"0")</f>
        <v>0</v>
      </c>
      <c r="H108" s="97">
        <f>IFERROR(VLOOKUP(G108,'RoC2'!$B$1:$C$161,2,0),0)</f>
        <v>0</v>
      </c>
      <c r="I108" s="137">
        <f>IFERROR(VLOOKUP($B108,'RoC3'!$A$1:$B$161,2,0),0)</f>
        <v>0</v>
      </c>
      <c r="J108" s="97">
        <f>IFERROR(VLOOKUP(I108,'RoC3'!$B$1:$C$161,2,0),0)</f>
        <v>0</v>
      </c>
      <c r="K108" s="137">
        <f>IFERROR(VLOOKUP($B108,'RoC4'!$A$1:$B$161,2,0),0)</f>
        <v>35</v>
      </c>
      <c r="L108" s="97">
        <f>IFERROR(VLOOKUP(K108,'RoC4'!$B$1:$C$161,2,0),0)</f>
        <v>189.4910516</v>
      </c>
      <c r="M108" s="137">
        <f>IFERROR(VLOOKUP($B108,'RoC5'!$A$1:$B$161,2,0),0)</f>
        <v>0</v>
      </c>
      <c r="N108" s="97">
        <f>IFERROR(VLOOKUP(M108,'RoC5'!$B$1:$C$161,2,0),0)</f>
        <v>0</v>
      </c>
      <c r="O108" s="137">
        <f>IFERROR(VLOOKUP($B108,'RoC6'!$A$1:$B$161,2,0),0)</f>
        <v>0</v>
      </c>
      <c r="P108" s="97">
        <f>IFERROR(VLOOKUP(O108,'RoC6'!$B$1:$C$161,2,0),0)</f>
        <v>0</v>
      </c>
      <c r="Q108" s="137">
        <f>IFERROR(VLOOKUP($B108,'RoC7'!$A$1:$B$161,2,0),0)</f>
        <v>0</v>
      </c>
      <c r="R108" s="97">
        <f>IFERROR(VLOOKUP(Q108,'RoC7'!$B$1:$C$161,2,0),0)</f>
        <v>0</v>
      </c>
      <c r="S108" s="137">
        <f>IFERROR(VLOOKUP($B108,'RoC8'!$A$1:$B$161,2,0),0)</f>
        <v>0</v>
      </c>
      <c r="T108" s="97">
        <f>IFERROR(VLOOKUP(S108,'RoC8'!$B$1:$C$161,2,0),0)</f>
        <v>0</v>
      </c>
      <c r="U108" s="137">
        <f>IFERROR(VLOOKUP($B108,'RoC9'!$A$1:$B$161,2,0),0)</f>
        <v>0</v>
      </c>
      <c r="V108" s="97">
        <f>IFERROR(VLOOKUP(U108,'RoC9'!$B$1:$C$161,2,0),0)</f>
        <v>0</v>
      </c>
      <c r="W108" s="137">
        <f>IFERROR(VLOOKUP($B108,'RoC10'!$A$1:$B$161,2,0),0)</f>
        <v>0</v>
      </c>
      <c r="X108" s="97">
        <f>IFERROR(VLOOKUP(W108,'RoC10'!$B$1:$C$161,2,0),0)</f>
        <v>0</v>
      </c>
      <c r="Y108" s="137">
        <f>IFERROR(VLOOKUP($B108,'RoC11'!$A$1:$B$161,2,0),0)</f>
        <v>0</v>
      </c>
      <c r="Z108" s="97">
        <f>IFERROR(VLOOKUP(Y108,'RoC11'!$B$1:$C$161,2,0),0)</f>
        <v>0</v>
      </c>
      <c r="AA108" s="97">
        <f>IFERROR(VLOOKUP(E108,'RoC1'!$B$1:$C$160,2,0),0)</f>
        <v>0</v>
      </c>
      <c r="AB108" s="97">
        <f>IFERROR(VLOOKUP(G108,'RoC2'!$B$1:$C$160,2,0),0)</f>
        <v>0</v>
      </c>
      <c r="AC108" s="97">
        <f>IFERROR(VLOOKUP(I108,'RoC3'!$B$1:$C$160,2,0),0)</f>
        <v>0</v>
      </c>
      <c r="AD108" s="97">
        <f>IFERROR(VLOOKUP(K108,'RoC4'!$B$1:$C$160,2,0),0)</f>
        <v>189.4910516</v>
      </c>
      <c r="AE108" s="97">
        <f>IFERROR(VLOOKUP(M108,'RoC5'!$B$1:$C$160,2,0),0)</f>
        <v>0</v>
      </c>
      <c r="AF108" s="97">
        <f>IFERROR(VLOOKUP(O108,'RoC6'!$B$1:$C$160,2,0),0)</f>
        <v>0</v>
      </c>
      <c r="AG108" s="97">
        <f>IFERROR(VLOOKUP(Q108,'RoC7'!$B$1:$C$160,2,0),0)</f>
        <v>0</v>
      </c>
      <c r="AH108" s="97">
        <f>IFERROR(VLOOKUP(S108,'RoC8'!$B$1:$C$160,2,0),0)</f>
        <v>0</v>
      </c>
      <c r="AI108" s="97">
        <f>IFERROR(VLOOKUP(U108,'RoC9'!$B$1:$C$160,2,0),0)</f>
        <v>0</v>
      </c>
      <c r="AJ108" s="97">
        <f>IFERROR(VLOOKUP(W108,'RoC10'!$B$1:$C$160,2,0),0)</f>
        <v>0</v>
      </c>
      <c r="AK108" s="97">
        <f>IFERROR(VLOOKUP(Y108,'RoC11'!$B$1:$C$160,2,0),0)</f>
        <v>0</v>
      </c>
    </row>
    <row r="109" ht="15.75" customHeight="1">
      <c r="A109" s="135">
        <v>108.0</v>
      </c>
      <c r="B109" s="17" t="s">
        <v>130</v>
      </c>
      <c r="C109" s="93">
        <f t="shared" si="3"/>
        <v>164.8912551</v>
      </c>
      <c r="D109" s="136"/>
      <c r="E109" s="137" t="str">
        <f>IFERROR(VLOOKUP($B109,'RoC1'!$A$1:$B$160,2,0),"0")</f>
        <v>0</v>
      </c>
      <c r="F109" s="97">
        <f>IFERROR(VLOOKUP(E109,'RoC1'!$B$1:$C$160,2,0),0)</f>
        <v>0</v>
      </c>
      <c r="G109" s="137" t="str">
        <f>IFERROR(VLOOKUP($B109,'RoC2'!$A$1:$B$161,2,0),"0")</f>
        <v>0</v>
      </c>
      <c r="H109" s="97">
        <f>IFERROR(VLOOKUP(G109,'RoC2'!$B$1:$C$161,2,0),0)</f>
        <v>0</v>
      </c>
      <c r="I109" s="137">
        <f>IFERROR(VLOOKUP($B109,'RoC3'!$A$1:$B$161,2,0),0)</f>
        <v>0</v>
      </c>
      <c r="J109" s="97">
        <f>IFERROR(VLOOKUP(I109,'RoC3'!$B$1:$C$161,2,0),0)</f>
        <v>0</v>
      </c>
      <c r="K109" s="137">
        <f>IFERROR(VLOOKUP($B109,'RoC4'!$A$1:$B$161,2,0),0)</f>
        <v>37</v>
      </c>
      <c r="L109" s="97">
        <f>IFERROR(VLOOKUP(K109,'RoC4'!$B$1:$C$161,2,0),0)</f>
        <v>164.8912551</v>
      </c>
      <c r="M109" s="137">
        <f>IFERROR(VLOOKUP($B109,'RoC5'!$A$1:$B$161,2,0),0)</f>
        <v>0</v>
      </c>
      <c r="N109" s="97">
        <f>IFERROR(VLOOKUP(M109,'RoC5'!$B$1:$C$161,2,0),0)</f>
        <v>0</v>
      </c>
      <c r="O109" s="137">
        <f>IFERROR(VLOOKUP($B109,'RoC6'!$A$1:$B$161,2,0),0)</f>
        <v>0</v>
      </c>
      <c r="P109" s="97">
        <f>IFERROR(VLOOKUP(O109,'RoC6'!$B$1:$C$161,2,0),0)</f>
        <v>0</v>
      </c>
      <c r="Q109" s="137">
        <f>IFERROR(VLOOKUP($B109,'RoC7'!$A$1:$B$161,2,0),0)</f>
        <v>0</v>
      </c>
      <c r="R109" s="97">
        <f>IFERROR(VLOOKUP(Q109,'RoC7'!$B$1:$C$161,2,0),0)</f>
        <v>0</v>
      </c>
      <c r="S109" s="137">
        <f>IFERROR(VLOOKUP($B109,'RoC8'!$A$1:$B$161,2,0),0)</f>
        <v>0</v>
      </c>
      <c r="T109" s="97">
        <f>IFERROR(VLOOKUP(S109,'RoC8'!$B$1:$C$161,2,0),0)</f>
        <v>0</v>
      </c>
      <c r="U109" s="137">
        <f>IFERROR(VLOOKUP($B109,'RoC9'!$A$1:$B$161,2,0),0)</f>
        <v>0</v>
      </c>
      <c r="V109" s="97">
        <f>IFERROR(VLOOKUP(U109,'RoC9'!$B$1:$C$161,2,0),0)</f>
        <v>0</v>
      </c>
      <c r="W109" s="137">
        <f>IFERROR(VLOOKUP($B109,'RoC10'!$A$1:$B$161,2,0),0)</f>
        <v>0</v>
      </c>
      <c r="X109" s="97">
        <f>IFERROR(VLOOKUP(W109,'RoC10'!$B$1:$C$161,2,0),0)</f>
        <v>0</v>
      </c>
      <c r="Y109" s="137">
        <f>IFERROR(VLOOKUP($B109,'RoC11'!$A$1:$B$161,2,0),0)</f>
        <v>0</v>
      </c>
      <c r="Z109" s="97">
        <f>IFERROR(VLOOKUP(Y109,'RoC11'!$B$1:$C$161,2,0),0)</f>
        <v>0</v>
      </c>
      <c r="AA109" s="97">
        <f>IFERROR(VLOOKUP(E109,'RoC1'!$B$1:$C$160,2,0),0)</f>
        <v>0</v>
      </c>
      <c r="AB109" s="97">
        <f>IFERROR(VLOOKUP(G109,'RoC2'!$B$1:$C$160,2,0),0)</f>
        <v>0</v>
      </c>
      <c r="AC109" s="97">
        <f>IFERROR(VLOOKUP(I109,'RoC3'!$B$1:$C$160,2,0),0)</f>
        <v>0</v>
      </c>
      <c r="AD109" s="97">
        <f>IFERROR(VLOOKUP(K109,'RoC4'!$B$1:$C$160,2,0),0)</f>
        <v>164.8912551</v>
      </c>
      <c r="AE109" s="97">
        <f>IFERROR(VLOOKUP(M109,'RoC5'!$B$1:$C$160,2,0),0)</f>
        <v>0</v>
      </c>
      <c r="AF109" s="97">
        <f>IFERROR(VLOOKUP(O109,'RoC6'!$B$1:$C$160,2,0),0)</f>
        <v>0</v>
      </c>
      <c r="AG109" s="97">
        <f>IFERROR(VLOOKUP(Q109,'RoC7'!$B$1:$C$160,2,0),0)</f>
        <v>0</v>
      </c>
      <c r="AH109" s="97">
        <f>IFERROR(VLOOKUP(S109,'RoC8'!$B$1:$C$160,2,0),0)</f>
        <v>0</v>
      </c>
      <c r="AI109" s="97">
        <f>IFERROR(VLOOKUP(U109,'RoC9'!$B$1:$C$160,2,0),0)</f>
        <v>0</v>
      </c>
      <c r="AJ109" s="97">
        <f>IFERROR(VLOOKUP(W109,'RoC10'!$B$1:$C$160,2,0),0)</f>
        <v>0</v>
      </c>
      <c r="AK109" s="97">
        <f>IFERROR(VLOOKUP(Y109,'RoC11'!$B$1:$C$160,2,0),0)</f>
        <v>0</v>
      </c>
    </row>
    <row r="110" ht="15.75" customHeight="1">
      <c r="A110" s="135">
        <v>109.0</v>
      </c>
      <c r="B110" s="24" t="s">
        <v>122</v>
      </c>
      <c r="C110" s="93">
        <f t="shared" si="3"/>
        <v>141.0373036</v>
      </c>
      <c r="D110" s="136"/>
      <c r="E110" s="137" t="str">
        <f>IFERROR(VLOOKUP($B110,'RoC1'!$A$1:$B$160,2,0),"0")</f>
        <v>0</v>
      </c>
      <c r="F110" s="97">
        <f>IFERROR(VLOOKUP(E110,'RoC1'!$B$1:$C$160,2,0),0)</f>
        <v>0</v>
      </c>
      <c r="G110" s="137" t="str">
        <f>IFERROR(VLOOKUP($B110,'RoC2'!$A$1:$B$161,2,0),"0")</f>
        <v>0</v>
      </c>
      <c r="H110" s="97">
        <f>IFERROR(VLOOKUP(G110,'RoC2'!$B$1:$C$161,2,0),0)</f>
        <v>0</v>
      </c>
      <c r="I110" s="137">
        <f>IFERROR(VLOOKUP($B110,'RoC3'!$A$1:$B$161,2,0),0)</f>
        <v>0</v>
      </c>
      <c r="J110" s="97">
        <f>IFERROR(VLOOKUP(I110,'RoC3'!$B$1:$C$161,2,0),0)</f>
        <v>0</v>
      </c>
      <c r="K110" s="137">
        <f>IFERROR(VLOOKUP($B110,'RoC4'!$A$1:$B$161,2,0),0)</f>
        <v>0</v>
      </c>
      <c r="L110" s="97">
        <f>IFERROR(VLOOKUP(K110,'RoC4'!$B$1:$C$161,2,0),0)</f>
        <v>0</v>
      </c>
      <c r="M110" s="137">
        <f>IFERROR(VLOOKUP($B110,'RoC5'!$A$1:$B$161,2,0),0)</f>
        <v>0</v>
      </c>
      <c r="N110" s="97">
        <f>IFERROR(VLOOKUP(M110,'RoC5'!$B$1:$C$161,2,0),0)</f>
        <v>0</v>
      </c>
      <c r="O110" s="137">
        <f>IFERROR(VLOOKUP($B110,'RoC6'!$A$1:$B$161,2,0),0)</f>
        <v>0</v>
      </c>
      <c r="P110" s="97">
        <f>IFERROR(VLOOKUP(O110,'RoC6'!$B$1:$C$161,2,0),0)</f>
        <v>0</v>
      </c>
      <c r="Q110" s="137">
        <f>IFERROR(VLOOKUP($B110,'RoC7'!$A$1:$B$161,2,0),0)</f>
        <v>0</v>
      </c>
      <c r="R110" s="97">
        <f>IFERROR(VLOOKUP(Q110,'RoC7'!$B$1:$C$161,2,0),0)</f>
        <v>0</v>
      </c>
      <c r="S110" s="137">
        <f>IFERROR(VLOOKUP($B110,'RoC8'!$A$1:$B$161,2,0),0)</f>
        <v>33</v>
      </c>
      <c r="T110" s="97">
        <f>IFERROR(VLOOKUP(S110,'RoC8'!$B$1:$C$161,2,0),0)</f>
        <v>141.0373036</v>
      </c>
      <c r="U110" s="137">
        <f>IFERROR(VLOOKUP($B110,'RoC9'!$A$1:$B$161,2,0),0)</f>
        <v>0</v>
      </c>
      <c r="V110" s="97">
        <f>IFERROR(VLOOKUP(U110,'RoC9'!$B$1:$C$161,2,0),0)</f>
        <v>0</v>
      </c>
      <c r="W110" s="137">
        <f>IFERROR(VLOOKUP($B110,'RoC10'!$A$1:$B$161,2,0),0)</f>
        <v>0</v>
      </c>
      <c r="X110" s="97">
        <f>IFERROR(VLOOKUP(W110,'RoC10'!$B$1:$C$161,2,0),0)</f>
        <v>0</v>
      </c>
      <c r="Y110" s="137">
        <f>IFERROR(VLOOKUP($B110,'RoC11'!$A$1:$B$161,2,0),0)</f>
        <v>0</v>
      </c>
      <c r="Z110" s="97">
        <f>IFERROR(VLOOKUP(Y110,'RoC11'!$B$1:$C$161,2,0),0)</f>
        <v>0</v>
      </c>
      <c r="AA110" s="97">
        <f>IFERROR(VLOOKUP(E110,'RoC1'!$B$1:$C$160,2,0),0)</f>
        <v>0</v>
      </c>
      <c r="AB110" s="97">
        <f>IFERROR(VLOOKUP(G110,'RoC2'!$B$1:$C$160,2,0),0)</f>
        <v>0</v>
      </c>
      <c r="AC110" s="97">
        <f>IFERROR(VLOOKUP(I110,'RoC3'!$B$1:$C$160,2,0),0)</f>
        <v>0</v>
      </c>
      <c r="AD110" s="97">
        <f>IFERROR(VLOOKUP(K110,'RoC4'!$B$1:$C$160,2,0),0)</f>
        <v>0</v>
      </c>
      <c r="AE110" s="97">
        <f>IFERROR(VLOOKUP(M110,'RoC5'!$B$1:$C$160,2,0),0)</f>
        <v>0</v>
      </c>
      <c r="AF110" s="97">
        <f>IFERROR(VLOOKUP(O110,'RoC6'!$B$1:$C$160,2,0),0)</f>
        <v>0</v>
      </c>
      <c r="AG110" s="97">
        <f>IFERROR(VLOOKUP(Q110,'RoC7'!$B$1:$C$160,2,0),0)</f>
        <v>0</v>
      </c>
      <c r="AH110" s="97">
        <f>IFERROR(VLOOKUP(S110,'RoC8'!$B$1:$C$160,2,0),0)</f>
        <v>141.0373036</v>
      </c>
      <c r="AI110" s="97">
        <f>IFERROR(VLOOKUP(U110,'RoC9'!$B$1:$C$160,2,0),0)</f>
        <v>0</v>
      </c>
      <c r="AJ110" s="97">
        <f>IFERROR(VLOOKUP(W110,'RoC10'!$B$1:$C$160,2,0),0)</f>
        <v>0</v>
      </c>
      <c r="AK110" s="97">
        <f>IFERROR(VLOOKUP(Y110,'RoC11'!$B$1:$C$160,2,0),0)</f>
        <v>0</v>
      </c>
    </row>
    <row r="111" ht="15.75" customHeight="1">
      <c r="A111" s="135">
        <v>110.0</v>
      </c>
      <c r="B111" s="98" t="s">
        <v>217</v>
      </c>
      <c r="C111" s="93">
        <f t="shared" si="3"/>
        <v>111.0239827</v>
      </c>
      <c r="D111" s="136"/>
      <c r="E111" s="137" t="str">
        <f>IFERROR(VLOOKUP($B111,'RoC1'!$A$1:$B$160,2,0),"0")</f>
        <v>0</v>
      </c>
      <c r="F111" s="97">
        <f>IFERROR(VLOOKUP(E111,'RoC1'!$B$1:$C$160,2,0),0)</f>
        <v>0</v>
      </c>
      <c r="G111" s="137" t="str">
        <f>IFERROR(VLOOKUP($B111,'RoC2'!$A$1:$B$161,2,0),"0")</f>
        <v>0</v>
      </c>
      <c r="H111" s="97">
        <f>IFERROR(VLOOKUP(G111,'RoC2'!$B$1:$C$161,2,0),0)</f>
        <v>0</v>
      </c>
      <c r="I111" s="137">
        <f>IFERROR(VLOOKUP($B111,'RoC3'!$A$1:$B$161,2,0),0)</f>
        <v>0</v>
      </c>
      <c r="J111" s="97">
        <f>IFERROR(VLOOKUP(I111,'RoC3'!$B$1:$C$161,2,0),0)</f>
        <v>0</v>
      </c>
      <c r="K111" s="137">
        <f>IFERROR(VLOOKUP($B111,'RoC4'!$A$1:$B$161,2,0),0)</f>
        <v>0</v>
      </c>
      <c r="L111" s="97">
        <f>IFERROR(VLOOKUP(K111,'RoC4'!$B$1:$C$161,2,0),0)</f>
        <v>0</v>
      </c>
      <c r="M111" s="137">
        <f>IFERROR(VLOOKUP($B111,'RoC5'!$A$1:$B$161,2,0),0)</f>
        <v>0</v>
      </c>
      <c r="N111" s="97">
        <f>IFERROR(VLOOKUP(M111,'RoC5'!$B$1:$C$161,2,0),0)</f>
        <v>0</v>
      </c>
      <c r="O111" s="137">
        <f>IFERROR(VLOOKUP($B111,'RoC6'!$A$1:$B$161,2,0),0)</f>
        <v>0</v>
      </c>
      <c r="P111" s="97">
        <f>IFERROR(VLOOKUP(O111,'RoC6'!$B$1:$C$161,2,0),0)</f>
        <v>0</v>
      </c>
      <c r="Q111" s="137">
        <f>IFERROR(VLOOKUP($B111,'RoC7'!$A$1:$B$161,2,0),0)</f>
        <v>0</v>
      </c>
      <c r="R111" s="97">
        <f>IFERROR(VLOOKUP(Q111,'RoC7'!$B$1:$C$161,2,0),0)</f>
        <v>0</v>
      </c>
      <c r="S111" s="137">
        <f>IFERROR(VLOOKUP($B111,'RoC8'!$A$1:$B$161,2,0),0)</f>
        <v>0</v>
      </c>
      <c r="T111" s="97">
        <f>IFERROR(VLOOKUP(S111,'RoC8'!$B$1:$C$161,2,0),0)</f>
        <v>0</v>
      </c>
      <c r="U111" s="137">
        <f>IFERROR(VLOOKUP($B111,'RoC9'!$A$1:$B$161,2,0),0)</f>
        <v>36</v>
      </c>
      <c r="V111" s="97">
        <f>IFERROR(VLOOKUP(U111,'RoC9'!$B$1:$C$161,2,0),0)</f>
        <v>111.0239827</v>
      </c>
      <c r="W111" s="137">
        <f>IFERROR(VLOOKUP($B111,'RoC10'!$A$1:$B$161,2,0),0)</f>
        <v>0</v>
      </c>
      <c r="X111" s="97">
        <f>IFERROR(VLOOKUP(W111,'RoC10'!$B$1:$C$161,2,0),0)</f>
        <v>0</v>
      </c>
      <c r="Y111" s="137">
        <f>IFERROR(VLOOKUP($B111,'RoC11'!$A$1:$B$161,2,0),0)</f>
        <v>0</v>
      </c>
      <c r="Z111" s="97">
        <f>IFERROR(VLOOKUP(Y111,'RoC11'!$B$1:$C$161,2,0),0)</f>
        <v>0</v>
      </c>
      <c r="AA111" s="97">
        <f>IFERROR(VLOOKUP(E111,'RoC1'!$B$1:$C$160,2,0),0)</f>
        <v>0</v>
      </c>
      <c r="AB111" s="97">
        <f>IFERROR(VLOOKUP(G111,'RoC2'!$B$1:$C$160,2,0),0)</f>
        <v>0</v>
      </c>
      <c r="AC111" s="97">
        <f>IFERROR(VLOOKUP(I111,'RoC3'!$B$1:$C$160,2,0),0)</f>
        <v>0</v>
      </c>
      <c r="AD111" s="97">
        <f>IFERROR(VLOOKUP(K111,'RoC4'!$B$1:$C$160,2,0),0)</f>
        <v>0</v>
      </c>
      <c r="AE111" s="97">
        <f>IFERROR(VLOOKUP(M111,'RoC5'!$B$1:$C$160,2,0),0)</f>
        <v>0</v>
      </c>
      <c r="AF111" s="97">
        <f>IFERROR(VLOOKUP(O111,'RoC6'!$B$1:$C$160,2,0),0)</f>
        <v>0</v>
      </c>
      <c r="AG111" s="97">
        <f>IFERROR(VLOOKUP(Q111,'RoC7'!$B$1:$C$160,2,0),0)</f>
        <v>0</v>
      </c>
      <c r="AH111" s="97">
        <f>IFERROR(VLOOKUP(S111,'RoC8'!$B$1:$C$160,2,0),0)</f>
        <v>0</v>
      </c>
      <c r="AI111" s="97">
        <f>IFERROR(VLOOKUP(U111,'RoC9'!$B$1:$C$160,2,0),0)</f>
        <v>111.0239827</v>
      </c>
      <c r="AJ111" s="97">
        <f>IFERROR(VLOOKUP(W111,'RoC10'!$B$1:$C$160,2,0),0)</f>
        <v>0</v>
      </c>
      <c r="AK111" s="97">
        <f>IFERROR(VLOOKUP(Y111,'RoC11'!$B$1:$C$160,2,0),0)</f>
        <v>0</v>
      </c>
    </row>
    <row r="112" ht="15.75" customHeight="1">
      <c r="A112" s="135">
        <v>111.0</v>
      </c>
      <c r="B112" s="24" t="s">
        <v>91</v>
      </c>
      <c r="C112" s="93">
        <f t="shared" si="3"/>
        <v>61.24620548</v>
      </c>
      <c r="D112" s="136"/>
      <c r="E112" s="137" t="str">
        <f>IFERROR(VLOOKUP($B112,'RoC1'!$A$1:$B$160,2,0),"0")</f>
        <v>0</v>
      </c>
      <c r="F112" s="97">
        <f>IFERROR(VLOOKUP(E112,'RoC1'!$B$1:$C$160,2,0),0)</f>
        <v>0</v>
      </c>
      <c r="G112" s="137" t="str">
        <f>IFERROR(VLOOKUP($B112,'RoC2'!$A$1:$B$161,2,0),"0")</f>
        <v>0</v>
      </c>
      <c r="H112" s="97">
        <f>IFERROR(VLOOKUP(G112,'RoC2'!$B$1:$C$161,2,0),0)</f>
        <v>0</v>
      </c>
      <c r="I112" s="137">
        <f>IFERROR(VLOOKUP($B112,'RoC3'!$A$1:$B$161,2,0),0)</f>
        <v>0</v>
      </c>
      <c r="J112" s="97">
        <f>IFERROR(VLOOKUP(I112,'RoC3'!$B$1:$C$161,2,0),0)</f>
        <v>0</v>
      </c>
      <c r="K112" s="137">
        <f>IFERROR(VLOOKUP($B112,'RoC4'!$A$1:$B$161,2,0),0)</f>
        <v>0</v>
      </c>
      <c r="L112" s="97">
        <f>IFERROR(VLOOKUP(K112,'RoC4'!$B$1:$C$161,2,0),0)</f>
        <v>0</v>
      </c>
      <c r="M112" s="137">
        <f>IFERROR(VLOOKUP($B112,'RoC5'!$A$1:$B$161,2,0),0)</f>
        <v>0</v>
      </c>
      <c r="N112" s="97">
        <f>IFERROR(VLOOKUP(M112,'RoC5'!$B$1:$C$161,2,0),0)</f>
        <v>0</v>
      </c>
      <c r="O112" s="137">
        <f>IFERROR(VLOOKUP($B112,'RoC6'!$A$1:$B$161,2,0),0)</f>
        <v>47</v>
      </c>
      <c r="P112" s="97">
        <f>IFERROR(VLOOKUP(O112,'RoC6'!$B$1:$C$161,2,0),0)</f>
        <v>61.24620548</v>
      </c>
      <c r="Q112" s="137">
        <f>IFERROR(VLOOKUP($B112,'RoC7'!$A$1:$B$161,2,0),0)</f>
        <v>0</v>
      </c>
      <c r="R112" s="97">
        <f>IFERROR(VLOOKUP(Q112,'RoC7'!$B$1:$C$161,2,0),0)</f>
        <v>0</v>
      </c>
      <c r="S112" s="137">
        <f>IFERROR(VLOOKUP($B112,'RoC8'!$A$1:$B$161,2,0),0)</f>
        <v>0</v>
      </c>
      <c r="T112" s="97">
        <f>IFERROR(VLOOKUP(S112,'RoC8'!$B$1:$C$161,2,0),0)</f>
        <v>0</v>
      </c>
      <c r="U112" s="137">
        <f>IFERROR(VLOOKUP($B112,'RoC9'!$A$1:$B$161,2,0),0)</f>
        <v>0</v>
      </c>
      <c r="V112" s="97">
        <f>IFERROR(VLOOKUP(U112,'RoC9'!$B$1:$C$161,2,0),0)</f>
        <v>0</v>
      </c>
      <c r="W112" s="137">
        <f>IFERROR(VLOOKUP($B112,'RoC10'!$A$1:$B$161,2,0),0)</f>
        <v>0</v>
      </c>
      <c r="X112" s="97">
        <f>IFERROR(VLOOKUP(W112,'RoC10'!$B$1:$C$161,2,0),0)</f>
        <v>0</v>
      </c>
      <c r="Y112" s="137">
        <f>IFERROR(VLOOKUP($B112,'RoC11'!$A$1:$B$161,2,0),0)</f>
        <v>0</v>
      </c>
      <c r="Z112" s="97">
        <f>IFERROR(VLOOKUP(Y112,'RoC11'!$B$1:$C$161,2,0),0)</f>
        <v>0</v>
      </c>
      <c r="AA112" s="97">
        <f>IFERROR(VLOOKUP(E112,'RoC1'!$B$1:$C$160,2,0),0)</f>
        <v>0</v>
      </c>
      <c r="AB112" s="97">
        <f>IFERROR(VLOOKUP(G112,'RoC2'!$B$1:$C$160,2,0),0)</f>
        <v>0</v>
      </c>
      <c r="AC112" s="97">
        <f>IFERROR(VLOOKUP(I112,'RoC3'!$B$1:$C$160,2,0),0)</f>
        <v>0</v>
      </c>
      <c r="AD112" s="97">
        <f>IFERROR(VLOOKUP(K112,'RoC4'!$B$1:$C$160,2,0),0)</f>
        <v>0</v>
      </c>
      <c r="AE112" s="97">
        <f>IFERROR(VLOOKUP(M112,'RoC5'!$B$1:$C$160,2,0),0)</f>
        <v>0</v>
      </c>
      <c r="AF112" s="97">
        <f>IFERROR(VLOOKUP(O112,'RoC6'!$B$1:$C$160,2,0),0)</f>
        <v>61.24620548</v>
      </c>
      <c r="AG112" s="97">
        <f>IFERROR(VLOOKUP(Q112,'RoC7'!$B$1:$C$160,2,0),0)</f>
        <v>0</v>
      </c>
      <c r="AH112" s="97">
        <f>IFERROR(VLOOKUP(S112,'RoC8'!$B$1:$C$160,2,0),0)</f>
        <v>0</v>
      </c>
      <c r="AI112" s="97">
        <f>IFERROR(VLOOKUP(U112,'RoC9'!$B$1:$C$160,2,0),0)</f>
        <v>0</v>
      </c>
      <c r="AJ112" s="97">
        <f>IFERROR(VLOOKUP(W112,'RoC10'!$B$1:$C$160,2,0),0)</f>
        <v>0</v>
      </c>
      <c r="AK112" s="97">
        <f>IFERROR(VLOOKUP(Y112,'RoC11'!$B$1:$C$160,2,0),0)</f>
        <v>0</v>
      </c>
    </row>
    <row r="113" ht="15.75" customHeight="1">
      <c r="A113" s="135">
        <v>112.0</v>
      </c>
      <c r="B113" s="6" t="s">
        <v>149</v>
      </c>
      <c r="C113" s="93">
        <f t="shared" si="3"/>
        <v>45.48747805</v>
      </c>
      <c r="D113" s="93"/>
      <c r="E113" s="94" t="str">
        <f>IFERROR(VLOOKUP($B113,'RoC1'!$A$1:$B$160,2,0),"0")</f>
        <v>0</v>
      </c>
      <c r="F113" s="95">
        <f>IFERROR(VLOOKUP(E113,'RoC1'!$B$1:$C$160,2,0),0)</f>
        <v>0</v>
      </c>
      <c r="G113" s="94">
        <f>IFERROR(VLOOKUP($B113,'RoC2'!$A$1:$B$161,2,0),"0")</f>
        <v>54</v>
      </c>
      <c r="H113" s="95">
        <f>IFERROR(VLOOKUP(G113,'RoC2'!$B$1:$C$161,2,0),0)</f>
        <v>45.48747805</v>
      </c>
      <c r="I113" s="94">
        <f>IFERROR(VLOOKUP($B113,'RoC3'!$A$1:$B$161,2,0),0)</f>
        <v>0</v>
      </c>
      <c r="J113" s="95">
        <f>IFERROR(VLOOKUP(I113,'RoC3'!$B$1:$C$161,2,0),0)</f>
        <v>0</v>
      </c>
      <c r="K113" s="94">
        <f>IFERROR(VLOOKUP($B113,'RoC4'!$A$1:$B$161,2,0),0)</f>
        <v>0</v>
      </c>
      <c r="L113" s="95">
        <f>IFERROR(VLOOKUP(K113,'RoC4'!$B$1:$C$161,2,0),0)</f>
        <v>0</v>
      </c>
      <c r="M113" s="94">
        <f>IFERROR(VLOOKUP($B113,'RoC5'!$A$1:$B$161,2,0),0)</f>
        <v>0</v>
      </c>
      <c r="N113" s="95">
        <f>IFERROR(VLOOKUP(M113,'RoC5'!$B$1:$C$161,2,0),0)</f>
        <v>0</v>
      </c>
      <c r="O113" s="94">
        <f>IFERROR(VLOOKUP($B113,'RoC6'!$A$1:$B$161,2,0),0)</f>
        <v>0</v>
      </c>
      <c r="P113" s="95">
        <f>IFERROR(VLOOKUP(O113,'RoC6'!$B$1:$C$161,2,0),0)</f>
        <v>0</v>
      </c>
      <c r="Q113" s="94">
        <f>IFERROR(VLOOKUP($B113,'RoC7'!$A$1:$B$161,2,0),0)</f>
        <v>0</v>
      </c>
      <c r="R113" s="95">
        <f>IFERROR(VLOOKUP(Q113,'RoC7'!$B$1:$C$161,2,0),0)</f>
        <v>0</v>
      </c>
      <c r="S113" s="94">
        <f>IFERROR(VLOOKUP($B113,'RoC8'!$A$1:$B$161,2,0),0)</f>
        <v>0</v>
      </c>
      <c r="T113" s="95">
        <f>IFERROR(VLOOKUP(S113,'RoC8'!$B$1:$C$161,2,0),0)</f>
        <v>0</v>
      </c>
      <c r="U113" s="94">
        <f>IFERROR(VLOOKUP($B113,'RoC9'!$A$1:$B$161,2,0),0)</f>
        <v>0</v>
      </c>
      <c r="V113" s="95">
        <f>IFERROR(VLOOKUP(U113,'RoC9'!$B$1:$C$161,2,0),0)</f>
        <v>0</v>
      </c>
      <c r="W113" s="94">
        <f>IFERROR(VLOOKUP($B113,'RoC10'!$A$1:$B$161,2,0),0)</f>
        <v>0</v>
      </c>
      <c r="X113" s="95">
        <f>IFERROR(VLOOKUP(W113,'RoC10'!$B$1:$C$161,2,0),0)</f>
        <v>0</v>
      </c>
      <c r="Y113" s="94">
        <f>IFERROR(VLOOKUP($B113,'RoC11'!$A$1:$B$161,2,0),0)</f>
        <v>0</v>
      </c>
      <c r="Z113" s="95">
        <f>IFERROR(VLOOKUP(Y113,'RoC11'!$B$1:$C$161,2,0),0)</f>
        <v>0</v>
      </c>
      <c r="AA113" s="95">
        <f>IFERROR(VLOOKUP(E113,'RoC1'!$B$1:$C$160,2,0),0)</f>
        <v>0</v>
      </c>
      <c r="AB113" s="95">
        <f>IFERROR(VLOOKUP(G113,'RoC2'!$B$1:$C$160,2,0),0)</f>
        <v>45.48747805</v>
      </c>
      <c r="AC113" s="95">
        <f>IFERROR(VLOOKUP(I113,'RoC3'!$B$1:$C$160,2,0),0)</f>
        <v>0</v>
      </c>
      <c r="AD113" s="95">
        <f>IFERROR(VLOOKUP(K113,'RoC4'!$B$1:$C$160,2,0),0)</f>
        <v>0</v>
      </c>
      <c r="AE113" s="95">
        <f>IFERROR(VLOOKUP(M113,'RoC5'!$B$1:$C$160,2,0),0)</f>
        <v>0</v>
      </c>
      <c r="AF113" s="95">
        <f>IFERROR(VLOOKUP(O113,'RoC6'!$B$1:$C$160,2,0),0)</f>
        <v>0</v>
      </c>
      <c r="AG113" s="95">
        <f>IFERROR(VLOOKUP(Q113,'RoC7'!$B$1:$C$160,2,0),0)</f>
        <v>0</v>
      </c>
      <c r="AH113" s="95">
        <f>IFERROR(VLOOKUP(S113,'RoC8'!$B$1:$C$160,2,0),0)</f>
        <v>0</v>
      </c>
      <c r="AI113" s="95">
        <f>IFERROR(VLOOKUP(U113,'RoC9'!$B$1:$C$160,2,0),0)</f>
        <v>0</v>
      </c>
      <c r="AJ113" s="95">
        <f>IFERROR(VLOOKUP(W113,'RoC10'!$B$1:$C$160,2,0),0)</f>
        <v>0</v>
      </c>
      <c r="AK113" s="95">
        <f>IFERROR(VLOOKUP(Y113,'RoC11'!$B$1:$C$160,2,0),0)</f>
        <v>0</v>
      </c>
    </row>
    <row r="114" ht="15.75" customHeight="1">
      <c r="A114" s="135">
        <v>113.0</v>
      </c>
      <c r="B114" s="31" t="s">
        <v>78</v>
      </c>
      <c r="C114" s="93">
        <f t="shared" si="3"/>
        <v>23.6000433</v>
      </c>
      <c r="D114" s="136"/>
      <c r="E114" s="137" t="str">
        <f>IFERROR(VLOOKUP($B114,'RoC1'!$A$1:$B$160,2,0),"0")</f>
        <v>0</v>
      </c>
      <c r="F114" s="97">
        <f>IFERROR(VLOOKUP(E114,'RoC1'!$B$1:$C$160,2,0),0)</f>
        <v>0</v>
      </c>
      <c r="G114" s="137" t="str">
        <f>IFERROR(VLOOKUP($B114,'RoC2'!$A$1:$B$161,2,0),"0")</f>
        <v>0</v>
      </c>
      <c r="H114" s="97">
        <f>IFERROR(VLOOKUP(G114,'RoC2'!$B$1:$C$161,2,0),0)</f>
        <v>0</v>
      </c>
      <c r="I114" s="137">
        <f>IFERROR(VLOOKUP($B114,'RoC3'!$A$1:$B$161,2,0),0)</f>
        <v>0</v>
      </c>
      <c r="J114" s="97">
        <f>IFERROR(VLOOKUP(I114,'RoC3'!$B$1:$C$161,2,0),0)</f>
        <v>0</v>
      </c>
      <c r="K114" s="137">
        <f>IFERROR(VLOOKUP($B114,'RoC4'!$A$1:$B$161,2,0),0)</f>
        <v>0</v>
      </c>
      <c r="L114" s="97">
        <f>IFERROR(VLOOKUP(K114,'RoC4'!$B$1:$C$161,2,0),0)</f>
        <v>0</v>
      </c>
      <c r="M114" s="137">
        <f>IFERROR(VLOOKUP($B114,'RoC5'!$A$1:$B$161,2,0),0)</f>
        <v>0</v>
      </c>
      <c r="N114" s="97">
        <f>IFERROR(VLOOKUP(M114,'RoC5'!$B$1:$C$161,2,0),0)</f>
        <v>0</v>
      </c>
      <c r="O114" s="137">
        <f>IFERROR(VLOOKUP($B114,'RoC6'!$A$1:$B$161,2,0),0)</f>
        <v>0</v>
      </c>
      <c r="P114" s="97">
        <f>IFERROR(VLOOKUP(O114,'RoC6'!$B$1:$C$161,2,0),0)</f>
        <v>0</v>
      </c>
      <c r="Q114" s="137">
        <f>IFERROR(VLOOKUP($B114,'RoC7'!$A$1:$B$161,2,0),0)</f>
        <v>0</v>
      </c>
      <c r="R114" s="97">
        <f>IFERROR(VLOOKUP(Q114,'RoC7'!$B$1:$C$161,2,0),0)</f>
        <v>0</v>
      </c>
      <c r="S114" s="137">
        <f>IFERROR(VLOOKUP($B114,'RoC8'!$A$1:$B$161,2,0),0)</f>
        <v>0</v>
      </c>
      <c r="T114" s="97">
        <f>IFERROR(VLOOKUP(S114,'RoC8'!$B$1:$C$161,2,0),0)</f>
        <v>0</v>
      </c>
      <c r="U114" s="137">
        <f>IFERROR(VLOOKUP($B114,'RoC9'!$A$1:$B$161,2,0),0)</f>
        <v>43</v>
      </c>
      <c r="V114" s="97">
        <f>IFERROR(VLOOKUP(U114,'RoC9'!$B$1:$C$161,2,0),0)</f>
        <v>23.6000433</v>
      </c>
      <c r="W114" s="137">
        <f>IFERROR(VLOOKUP($B114,'RoC10'!$A$1:$B$161,2,0),0)</f>
        <v>0</v>
      </c>
      <c r="X114" s="97">
        <f>IFERROR(VLOOKUP(W114,'RoC10'!$B$1:$C$161,2,0),0)</f>
        <v>0</v>
      </c>
      <c r="Y114" s="137">
        <f>IFERROR(VLOOKUP($B114,'RoC11'!$A$1:$B$161,2,0),0)</f>
        <v>0</v>
      </c>
      <c r="Z114" s="97">
        <f>IFERROR(VLOOKUP(Y114,'RoC11'!$B$1:$C$161,2,0),0)</f>
        <v>0</v>
      </c>
      <c r="AA114" s="97">
        <f>IFERROR(VLOOKUP(E114,'RoC1'!$B$1:$C$160,2,0),0)</f>
        <v>0</v>
      </c>
      <c r="AB114" s="97">
        <f>IFERROR(VLOOKUP(G114,'RoC2'!$B$1:$C$160,2,0),0)</f>
        <v>0</v>
      </c>
      <c r="AC114" s="97">
        <f>IFERROR(VLOOKUP(I114,'RoC3'!$B$1:$C$160,2,0),0)</f>
        <v>0</v>
      </c>
      <c r="AD114" s="97">
        <f>IFERROR(VLOOKUP(K114,'RoC4'!$B$1:$C$160,2,0),0)</f>
        <v>0</v>
      </c>
      <c r="AE114" s="97">
        <f>IFERROR(VLOOKUP(M114,'RoC5'!$B$1:$C$160,2,0),0)</f>
        <v>0</v>
      </c>
      <c r="AF114" s="97">
        <f>IFERROR(VLOOKUP(O114,'RoC6'!$B$1:$C$160,2,0),0)</f>
        <v>0</v>
      </c>
      <c r="AG114" s="97">
        <f>IFERROR(VLOOKUP(Q114,'RoC7'!$B$1:$C$160,2,0),0)</f>
        <v>0</v>
      </c>
      <c r="AH114" s="97">
        <f>IFERROR(VLOOKUP(S114,'RoC8'!$B$1:$C$160,2,0),0)</f>
        <v>0</v>
      </c>
      <c r="AI114" s="97">
        <f>IFERROR(VLOOKUP(U114,'RoC9'!$B$1:$C$160,2,0),0)</f>
        <v>23.6000433</v>
      </c>
      <c r="AJ114" s="97">
        <f>IFERROR(VLOOKUP(W114,'RoC10'!$B$1:$C$160,2,0),0)</f>
        <v>0</v>
      </c>
      <c r="AK114" s="97">
        <f>IFERROR(VLOOKUP(Y114,'RoC11'!$B$1:$C$160,2,0),0)</f>
        <v>0</v>
      </c>
    </row>
    <row r="115" ht="15.75" customHeight="1">
      <c r="A115" s="135">
        <v>114.0</v>
      </c>
      <c r="B115" s="6" t="s">
        <v>105</v>
      </c>
      <c r="C115" s="93">
        <f t="shared" si="3"/>
        <v>0</v>
      </c>
      <c r="D115" s="93"/>
      <c r="E115" s="94" t="str">
        <f>IFERROR(VLOOKUP($B115,'RoC1'!$A$1:$B$160,2,0),"0")</f>
        <v>0</v>
      </c>
      <c r="F115" s="95">
        <f>IFERROR(VLOOKUP(E115,'RoC1'!$B$1:$C$160,2,0),0)</f>
        <v>0</v>
      </c>
      <c r="G115" s="94" t="str">
        <f>IFERROR(VLOOKUP($B115,'RoC2'!$A$1:$B$161,2,0),"0")</f>
        <v>0</v>
      </c>
      <c r="H115" s="95">
        <f>IFERROR(VLOOKUP(G115,'RoC2'!$B$1:$C$161,2,0),0)</f>
        <v>0</v>
      </c>
      <c r="I115" s="94">
        <f>IFERROR(VLOOKUP($B115,'RoC3'!$A$1:$B$161,2,0),0)</f>
        <v>0</v>
      </c>
      <c r="J115" s="95">
        <f>IFERROR(VLOOKUP(I115,'RoC3'!$B$1:$C$161,2,0),0)</f>
        <v>0</v>
      </c>
      <c r="K115" s="94">
        <f>IFERROR(VLOOKUP($B115,'RoC4'!$A$1:$B$161,2,0),0)</f>
        <v>0</v>
      </c>
      <c r="L115" s="95">
        <f>IFERROR(VLOOKUP(K115,'RoC4'!$B$1:$C$161,2,0),0)</f>
        <v>0</v>
      </c>
      <c r="M115" s="94">
        <f>IFERROR(VLOOKUP($B115,'RoC5'!$A$1:$B$161,2,0),0)</f>
        <v>0</v>
      </c>
      <c r="N115" s="95">
        <f>IFERROR(VLOOKUP(M115,'RoC5'!$B$1:$C$161,2,0),0)</f>
        <v>0</v>
      </c>
      <c r="O115" s="94">
        <f>IFERROR(VLOOKUP($B115,'RoC6'!$A$1:$B$161,2,0),0)</f>
        <v>0</v>
      </c>
      <c r="P115" s="95">
        <f>IFERROR(VLOOKUP(O115,'RoC6'!$B$1:$C$161,2,0),0)</f>
        <v>0</v>
      </c>
      <c r="Q115" s="94">
        <f>IFERROR(VLOOKUP($B115,'RoC7'!$A$1:$B$161,2,0),0)</f>
        <v>0</v>
      </c>
      <c r="R115" s="95">
        <f>IFERROR(VLOOKUP(Q115,'RoC7'!$B$1:$C$161,2,0),0)</f>
        <v>0</v>
      </c>
      <c r="S115" s="94">
        <f>IFERROR(VLOOKUP($B115,'RoC8'!$A$1:$B$161,2,0),0)</f>
        <v>0</v>
      </c>
      <c r="T115" s="95">
        <f>IFERROR(VLOOKUP(S115,'RoC8'!$B$1:$C$161,2,0),0)</f>
        <v>0</v>
      </c>
      <c r="U115" s="94">
        <f>IFERROR(VLOOKUP($B115,'RoC9'!$A$1:$B$161,2,0),0)</f>
        <v>0</v>
      </c>
      <c r="V115" s="95">
        <f>IFERROR(VLOOKUP(U115,'RoC9'!$B$1:$C$161,2,0),0)</f>
        <v>0</v>
      </c>
      <c r="W115" s="94">
        <f>IFERROR(VLOOKUP($B115,'RoC10'!$A$1:$B$161,2,0),0)</f>
        <v>0</v>
      </c>
      <c r="X115" s="95">
        <f>IFERROR(VLOOKUP(W115,'RoC10'!$B$1:$C$161,2,0),0)</f>
        <v>0</v>
      </c>
      <c r="Y115" s="94">
        <f>IFERROR(VLOOKUP($B115,'RoC11'!$A$1:$B$161,2,0),0)</f>
        <v>0</v>
      </c>
      <c r="Z115" s="95">
        <f>IFERROR(VLOOKUP(Y115,'RoC11'!$B$1:$C$161,2,0),0)</f>
        <v>0</v>
      </c>
      <c r="AA115" s="95">
        <f>IFERROR(VLOOKUP(E115,'RoC1'!$B$1:$C$160,2,0),0)</f>
        <v>0</v>
      </c>
      <c r="AB115" s="95">
        <f>IFERROR(VLOOKUP(G115,'RoC2'!$B$1:$C$160,2,0),0)</f>
        <v>0</v>
      </c>
      <c r="AC115" s="95">
        <f>IFERROR(VLOOKUP(I115,'RoC3'!$B$1:$C$160,2,0),0)</f>
        <v>0</v>
      </c>
      <c r="AD115" s="95">
        <f>IFERROR(VLOOKUP(K115,'RoC4'!$B$1:$C$160,2,0),0)</f>
        <v>0</v>
      </c>
      <c r="AE115" s="95">
        <f>IFERROR(VLOOKUP(M115,'RoC5'!$B$1:$C$160,2,0),0)</f>
        <v>0</v>
      </c>
      <c r="AF115" s="95">
        <f>IFERROR(VLOOKUP(O115,'RoC6'!$B$1:$C$160,2,0),0)</f>
        <v>0</v>
      </c>
      <c r="AG115" s="95">
        <f>IFERROR(VLOOKUP(Q115,'RoC7'!$B$1:$C$160,2,0),0)</f>
        <v>0</v>
      </c>
      <c r="AH115" s="95">
        <f>IFERROR(VLOOKUP(S115,'RoC8'!$B$1:$C$160,2,0),0)</f>
        <v>0</v>
      </c>
      <c r="AI115" s="95">
        <f>IFERROR(VLOOKUP(U115,'RoC9'!$B$1:$C$160,2,0),0)</f>
        <v>0</v>
      </c>
      <c r="AJ115" s="95">
        <f>IFERROR(VLOOKUP(W115,'RoC10'!$B$1:$C$160,2,0),0)</f>
        <v>0</v>
      </c>
      <c r="AK115" s="95">
        <f>IFERROR(VLOOKUP(Y115,'RoC11'!$B$1:$C$160,2,0),0)</f>
        <v>0</v>
      </c>
    </row>
    <row r="116" ht="15.75" customHeight="1">
      <c r="A116" s="135">
        <v>115.0</v>
      </c>
      <c r="B116" s="6" t="s">
        <v>218</v>
      </c>
      <c r="C116" s="93">
        <f t="shared" si="3"/>
        <v>0</v>
      </c>
      <c r="D116" s="136"/>
      <c r="E116" s="137" t="str">
        <f>IFERROR(VLOOKUP($B116,'RoC1'!$A$1:$B$160,2,0),"0")</f>
        <v>0</v>
      </c>
      <c r="F116" s="97">
        <f>IFERROR(VLOOKUP(E116,'RoC1'!$B$1:$C$160,2,0),0)</f>
        <v>0</v>
      </c>
      <c r="G116" s="137" t="str">
        <f>IFERROR(VLOOKUP($B116,'RoC2'!$A$1:$B$161,2,0),"0")</f>
        <v>0</v>
      </c>
      <c r="H116" s="97">
        <f>IFERROR(VLOOKUP(G116,'RoC2'!$B$1:$C$161,2,0),0)</f>
        <v>0</v>
      </c>
      <c r="I116" s="137">
        <f>IFERROR(VLOOKUP($B116,'RoC3'!$A$1:$B$161,2,0),0)</f>
        <v>0</v>
      </c>
      <c r="J116" s="97">
        <f>IFERROR(VLOOKUP(I116,'RoC3'!$B$1:$C$161,2,0),0)</f>
        <v>0</v>
      </c>
      <c r="K116" s="137">
        <f>IFERROR(VLOOKUP($B116,'RoC4'!$A$1:$B$161,2,0),0)</f>
        <v>0</v>
      </c>
      <c r="L116" s="97">
        <f>IFERROR(VLOOKUP(K116,'RoC4'!$B$1:$C$161,2,0),0)</f>
        <v>0</v>
      </c>
      <c r="M116" s="137">
        <f>IFERROR(VLOOKUP($B116,'RoC5'!$A$1:$B$161,2,0),0)</f>
        <v>0</v>
      </c>
      <c r="N116" s="97">
        <f>IFERROR(VLOOKUP(M116,'RoC5'!$B$1:$C$161,2,0),0)</f>
        <v>0</v>
      </c>
      <c r="O116" s="137">
        <f>IFERROR(VLOOKUP($B116,'RoC6'!$A$1:$B$161,2,0),0)</f>
        <v>0</v>
      </c>
      <c r="P116" s="97">
        <f>IFERROR(VLOOKUP(O116,'RoC6'!$B$1:$C$161,2,0),0)</f>
        <v>0</v>
      </c>
      <c r="Q116" s="137">
        <f>IFERROR(VLOOKUP($B116,'RoC7'!$A$1:$B$161,2,0),0)</f>
        <v>0</v>
      </c>
      <c r="R116" s="97">
        <f>IFERROR(VLOOKUP(Q116,'RoC7'!$B$1:$C$161,2,0),0)</f>
        <v>0</v>
      </c>
      <c r="S116" s="137">
        <f>IFERROR(VLOOKUP($B116,'RoC8'!$A$1:$B$161,2,0),0)</f>
        <v>0</v>
      </c>
      <c r="T116" s="97">
        <f>IFERROR(VLOOKUP(S116,'RoC8'!$B$1:$C$161,2,0),0)</f>
        <v>0</v>
      </c>
      <c r="U116" s="137">
        <f>IFERROR(VLOOKUP($B116,'RoC9'!$A$1:$B$161,2,0),0)</f>
        <v>0</v>
      </c>
      <c r="V116" s="97">
        <f>IFERROR(VLOOKUP(U116,'RoC9'!$B$1:$C$161,2,0),0)</f>
        <v>0</v>
      </c>
      <c r="W116" s="137">
        <f>IFERROR(VLOOKUP($B116,'RoC10'!$A$1:$B$161,2,0),0)</f>
        <v>0</v>
      </c>
      <c r="X116" s="97">
        <f>IFERROR(VLOOKUP(W116,'RoC10'!$B$1:$C$161,2,0),0)</f>
        <v>0</v>
      </c>
      <c r="Y116" s="137">
        <f>IFERROR(VLOOKUP($B116,'RoC11'!$A$1:$B$161,2,0),0)</f>
        <v>0</v>
      </c>
      <c r="Z116" s="97">
        <f>IFERROR(VLOOKUP(Y116,'RoC11'!$B$1:$C$161,2,0),0)</f>
        <v>0</v>
      </c>
      <c r="AA116" s="97">
        <f>IFERROR(VLOOKUP(E116,'RoC1'!$B$1:$C$160,2,0),0)</f>
        <v>0</v>
      </c>
      <c r="AB116" s="97">
        <f>IFERROR(VLOOKUP(G116,'RoC2'!$B$1:$C$160,2,0),0)</f>
        <v>0</v>
      </c>
      <c r="AC116" s="97">
        <f>IFERROR(VLOOKUP(I116,'RoC3'!$B$1:$C$160,2,0),0)</f>
        <v>0</v>
      </c>
      <c r="AD116" s="97">
        <f>IFERROR(VLOOKUP(K116,'RoC4'!$B$1:$C$160,2,0),0)</f>
        <v>0</v>
      </c>
      <c r="AE116" s="97">
        <f>IFERROR(VLOOKUP(M116,'RoC5'!$B$1:$C$160,2,0),0)</f>
        <v>0</v>
      </c>
      <c r="AF116" s="97">
        <f>IFERROR(VLOOKUP(O116,'RoC6'!$B$1:$C$160,2,0),0)</f>
        <v>0</v>
      </c>
      <c r="AG116" s="97">
        <f>IFERROR(VLOOKUP(Q116,'RoC7'!$B$1:$C$160,2,0),0)</f>
        <v>0</v>
      </c>
      <c r="AH116" s="97">
        <f>IFERROR(VLOOKUP(S116,'RoC8'!$B$1:$C$160,2,0),0)</f>
        <v>0</v>
      </c>
      <c r="AI116" s="97">
        <f>IFERROR(VLOOKUP(U116,'RoC9'!$B$1:$C$160,2,0),0)</f>
        <v>0</v>
      </c>
      <c r="AJ116" s="97">
        <f>IFERROR(VLOOKUP(W116,'RoC10'!$B$1:$C$160,2,0),0)</f>
        <v>0</v>
      </c>
      <c r="AK116" s="97">
        <f>IFERROR(VLOOKUP(Y116,'RoC11'!$B$1:$C$160,2,0),0)</f>
        <v>0</v>
      </c>
    </row>
    <row r="117" ht="15.75" customHeight="1">
      <c r="A117" s="135">
        <v>116.0</v>
      </c>
      <c r="B117" s="6" t="s">
        <v>106</v>
      </c>
      <c r="C117" s="93">
        <f t="shared" si="3"/>
        <v>0</v>
      </c>
      <c r="D117" s="93"/>
      <c r="E117" s="94" t="str">
        <f>IFERROR(VLOOKUP($B117,'RoC1'!$A$1:$B$160,2,0),"0")</f>
        <v>0</v>
      </c>
      <c r="F117" s="95">
        <f>IFERROR(VLOOKUP(E117,'RoC1'!$B$1:$C$160,2,0),0)</f>
        <v>0</v>
      </c>
      <c r="G117" s="94" t="str">
        <f>IFERROR(VLOOKUP($B117,'RoC2'!$A$1:$B$161,2,0),"0")</f>
        <v>0</v>
      </c>
      <c r="H117" s="95">
        <f>IFERROR(VLOOKUP(G117,'RoC2'!$B$1:$C$161,2,0),0)</f>
        <v>0</v>
      </c>
      <c r="I117" s="94">
        <f>IFERROR(VLOOKUP($B117,'RoC3'!$A$1:$B$161,2,0),0)</f>
        <v>0</v>
      </c>
      <c r="J117" s="95">
        <f>IFERROR(VLOOKUP(I117,'RoC3'!$B$1:$C$161,2,0),0)</f>
        <v>0</v>
      </c>
      <c r="K117" s="94">
        <f>IFERROR(VLOOKUP($B117,'RoC4'!$A$1:$B$161,2,0),0)</f>
        <v>0</v>
      </c>
      <c r="L117" s="95">
        <f>IFERROR(VLOOKUP(K117,'RoC4'!$B$1:$C$161,2,0),0)</f>
        <v>0</v>
      </c>
      <c r="M117" s="94">
        <f>IFERROR(VLOOKUP($B117,'RoC5'!$A$1:$B$161,2,0),0)</f>
        <v>0</v>
      </c>
      <c r="N117" s="95">
        <f>IFERROR(VLOOKUP(M117,'RoC5'!$B$1:$C$161,2,0),0)</f>
        <v>0</v>
      </c>
      <c r="O117" s="94">
        <f>IFERROR(VLOOKUP($B117,'RoC6'!$A$1:$B$161,2,0),0)</f>
        <v>0</v>
      </c>
      <c r="P117" s="95">
        <f>IFERROR(VLOOKUP(O117,'RoC6'!$B$1:$C$161,2,0),0)</f>
        <v>0</v>
      </c>
      <c r="Q117" s="94">
        <f>IFERROR(VLOOKUP($B117,'RoC7'!$A$1:$B$161,2,0),0)</f>
        <v>0</v>
      </c>
      <c r="R117" s="95">
        <f>IFERROR(VLOOKUP(Q117,'RoC7'!$B$1:$C$161,2,0),0)</f>
        <v>0</v>
      </c>
      <c r="S117" s="94">
        <f>IFERROR(VLOOKUP($B117,'RoC8'!$A$1:$B$161,2,0),0)</f>
        <v>0</v>
      </c>
      <c r="T117" s="95">
        <f>IFERROR(VLOOKUP(S117,'RoC8'!$B$1:$C$161,2,0),0)</f>
        <v>0</v>
      </c>
      <c r="U117" s="94">
        <f>IFERROR(VLOOKUP($B117,'RoC9'!$A$1:$B$161,2,0),0)</f>
        <v>0</v>
      </c>
      <c r="V117" s="95">
        <f>IFERROR(VLOOKUP(U117,'RoC9'!$B$1:$C$161,2,0),0)</f>
        <v>0</v>
      </c>
      <c r="W117" s="94">
        <f>IFERROR(VLOOKUP($B117,'RoC10'!$A$1:$B$161,2,0),0)</f>
        <v>0</v>
      </c>
      <c r="X117" s="95">
        <f>IFERROR(VLOOKUP(W117,'RoC10'!$B$1:$C$161,2,0),0)</f>
        <v>0</v>
      </c>
      <c r="Y117" s="94">
        <f>IFERROR(VLOOKUP($B117,'RoC11'!$A$1:$B$161,2,0),0)</f>
        <v>0</v>
      </c>
      <c r="Z117" s="95">
        <f>IFERROR(VLOOKUP(Y117,'RoC11'!$B$1:$C$161,2,0),0)</f>
        <v>0</v>
      </c>
      <c r="AA117" s="95">
        <f>IFERROR(VLOOKUP(E117,'RoC1'!$B$1:$C$160,2,0),0)</f>
        <v>0</v>
      </c>
      <c r="AB117" s="95">
        <f>IFERROR(VLOOKUP(G117,'RoC2'!$B$1:$C$160,2,0),0)</f>
        <v>0</v>
      </c>
      <c r="AC117" s="95">
        <f>IFERROR(VLOOKUP(I117,'RoC3'!$B$1:$C$160,2,0),0)</f>
        <v>0</v>
      </c>
      <c r="AD117" s="95">
        <f>IFERROR(VLOOKUP(K117,'RoC4'!$B$1:$C$160,2,0),0)</f>
        <v>0</v>
      </c>
      <c r="AE117" s="95">
        <f>IFERROR(VLOOKUP(M117,'RoC5'!$B$1:$C$160,2,0),0)</f>
        <v>0</v>
      </c>
      <c r="AF117" s="95">
        <f>IFERROR(VLOOKUP(O117,'RoC6'!$B$1:$C$160,2,0),0)</f>
        <v>0</v>
      </c>
      <c r="AG117" s="95">
        <f>IFERROR(VLOOKUP(Q117,'RoC7'!$B$1:$C$160,2,0),0)</f>
        <v>0</v>
      </c>
      <c r="AH117" s="95">
        <f>IFERROR(VLOOKUP(S117,'RoC8'!$B$1:$C$160,2,0),0)</f>
        <v>0</v>
      </c>
      <c r="AI117" s="95">
        <f>IFERROR(VLOOKUP(U117,'RoC9'!$B$1:$C$160,2,0),0)</f>
        <v>0</v>
      </c>
      <c r="AJ117" s="95">
        <f>IFERROR(VLOOKUP(W117,'RoC10'!$B$1:$C$160,2,0),0)</f>
        <v>0</v>
      </c>
      <c r="AK117" s="95">
        <f>IFERROR(VLOOKUP(Y117,'RoC11'!$B$1:$C$160,2,0),0)</f>
        <v>0</v>
      </c>
    </row>
    <row r="118" ht="15.75" customHeight="1">
      <c r="A118" s="135">
        <v>117.0</v>
      </c>
      <c r="B118" s="6" t="s">
        <v>121</v>
      </c>
      <c r="C118" s="93">
        <f t="shared" si="3"/>
        <v>0</v>
      </c>
      <c r="D118" s="93"/>
      <c r="E118" s="94" t="str">
        <f>IFERROR(VLOOKUP($B118,'RoC1'!$A$1:$B$160,2,0),"0")</f>
        <v>0</v>
      </c>
      <c r="F118" s="95">
        <f>IFERROR(VLOOKUP(E118,'RoC1'!$B$1:$C$160,2,0),0)</f>
        <v>0</v>
      </c>
      <c r="G118" s="94" t="str">
        <f>IFERROR(VLOOKUP($B118,'RoC2'!$A$1:$B$161,2,0),"0")</f>
        <v>0</v>
      </c>
      <c r="H118" s="95">
        <f>IFERROR(VLOOKUP(G118,'RoC2'!$B$1:$C$161,2,0),0)</f>
        <v>0</v>
      </c>
      <c r="I118" s="94">
        <f>IFERROR(VLOOKUP($B118,'RoC3'!$A$1:$B$161,2,0),0)</f>
        <v>0</v>
      </c>
      <c r="J118" s="95">
        <f>IFERROR(VLOOKUP(I118,'RoC3'!$B$1:$C$161,2,0),0)</f>
        <v>0</v>
      </c>
      <c r="K118" s="94">
        <f>IFERROR(VLOOKUP($B118,'RoC4'!$A$1:$B$161,2,0),0)</f>
        <v>0</v>
      </c>
      <c r="L118" s="95">
        <f>IFERROR(VLOOKUP(K118,'RoC4'!$B$1:$C$161,2,0),0)</f>
        <v>0</v>
      </c>
      <c r="M118" s="94">
        <f>IFERROR(VLOOKUP($B118,'RoC5'!$A$1:$B$161,2,0),0)</f>
        <v>0</v>
      </c>
      <c r="N118" s="95">
        <f>IFERROR(VLOOKUP(M118,'RoC5'!$B$1:$C$161,2,0),0)</f>
        <v>0</v>
      </c>
      <c r="O118" s="94">
        <f>IFERROR(VLOOKUP($B118,'RoC6'!$A$1:$B$161,2,0),0)</f>
        <v>0</v>
      </c>
      <c r="P118" s="95">
        <f>IFERROR(VLOOKUP(O118,'RoC6'!$B$1:$C$161,2,0),0)</f>
        <v>0</v>
      </c>
      <c r="Q118" s="94">
        <f>IFERROR(VLOOKUP($B118,'RoC7'!$A$1:$B$161,2,0),0)</f>
        <v>0</v>
      </c>
      <c r="R118" s="95">
        <f>IFERROR(VLOOKUP(Q118,'RoC7'!$B$1:$C$161,2,0),0)</f>
        <v>0</v>
      </c>
      <c r="S118" s="94">
        <f>IFERROR(VLOOKUP($B118,'RoC8'!$A$1:$B$161,2,0),0)</f>
        <v>0</v>
      </c>
      <c r="T118" s="95">
        <f>IFERROR(VLOOKUP(S118,'RoC8'!$B$1:$C$161,2,0),0)</f>
        <v>0</v>
      </c>
      <c r="U118" s="94">
        <f>IFERROR(VLOOKUP($B118,'RoC9'!$A$1:$B$161,2,0),0)</f>
        <v>0</v>
      </c>
      <c r="V118" s="95">
        <f>IFERROR(VLOOKUP(U118,'RoC9'!$B$1:$C$161,2,0),0)</f>
        <v>0</v>
      </c>
      <c r="W118" s="94">
        <f>IFERROR(VLOOKUP($B118,'RoC10'!$A$1:$B$161,2,0),0)</f>
        <v>0</v>
      </c>
      <c r="X118" s="95">
        <f>IFERROR(VLOOKUP(W118,'RoC10'!$B$1:$C$161,2,0),0)</f>
        <v>0</v>
      </c>
      <c r="Y118" s="94">
        <f>IFERROR(VLOOKUP($B118,'RoC11'!$A$1:$B$161,2,0),0)</f>
        <v>0</v>
      </c>
      <c r="Z118" s="95">
        <f>IFERROR(VLOOKUP(Y118,'RoC11'!$B$1:$C$161,2,0),0)</f>
        <v>0</v>
      </c>
      <c r="AA118" s="95">
        <f>IFERROR(VLOOKUP(E118,'RoC1'!$B$1:$C$160,2,0),0)</f>
        <v>0</v>
      </c>
      <c r="AB118" s="95">
        <f>IFERROR(VLOOKUP(G118,'RoC2'!$B$1:$C$160,2,0),0)</f>
        <v>0</v>
      </c>
      <c r="AC118" s="95">
        <f>IFERROR(VLOOKUP(I118,'RoC3'!$B$1:$C$160,2,0),0)</f>
        <v>0</v>
      </c>
      <c r="AD118" s="95">
        <f>IFERROR(VLOOKUP(K118,'RoC4'!$B$1:$C$160,2,0),0)</f>
        <v>0</v>
      </c>
      <c r="AE118" s="95">
        <f>IFERROR(VLOOKUP(M118,'RoC5'!$B$1:$C$160,2,0),0)</f>
        <v>0</v>
      </c>
      <c r="AF118" s="95">
        <f>IFERROR(VLOOKUP(O118,'RoC6'!$B$1:$C$160,2,0),0)</f>
        <v>0</v>
      </c>
      <c r="AG118" s="95">
        <f>IFERROR(VLOOKUP(Q118,'RoC7'!$B$1:$C$160,2,0),0)</f>
        <v>0</v>
      </c>
      <c r="AH118" s="95">
        <f>IFERROR(VLOOKUP(S118,'RoC8'!$B$1:$C$160,2,0),0)</f>
        <v>0</v>
      </c>
      <c r="AI118" s="95">
        <f>IFERROR(VLOOKUP(U118,'RoC9'!$B$1:$C$160,2,0),0)</f>
        <v>0</v>
      </c>
      <c r="AJ118" s="95">
        <f>IFERROR(VLOOKUP(W118,'RoC10'!$B$1:$C$160,2,0),0)</f>
        <v>0</v>
      </c>
      <c r="AK118" s="95">
        <f>IFERROR(VLOOKUP(Y118,'RoC11'!$B$1:$C$160,2,0),0)</f>
        <v>0</v>
      </c>
    </row>
    <row r="119" ht="15.75" customHeight="1">
      <c r="A119" s="135">
        <v>118.0</v>
      </c>
      <c r="B119" s="106"/>
      <c r="C119" s="93">
        <f t="shared" ref="C119:C250" si="4">F119+H119+J119+L119+N119+P119+R119+T119+V119+X119+Z119-small((AA119:AK119),1)</f>
        <v>0</v>
      </c>
      <c r="D119" s="136"/>
      <c r="E119" s="137" t="str">
        <f>IFERROR(VLOOKUP($B119,'RoC1'!$A$1:$B$160,2,0),"0")</f>
        <v>0</v>
      </c>
      <c r="F119" s="97">
        <f>IFERROR(VLOOKUP(E119,'RoC1'!$B$1:$C$160,2,0),0)</f>
        <v>0</v>
      </c>
      <c r="G119" s="137" t="str">
        <f>IFERROR(VLOOKUP($B119,'RoC2'!$A$1:$B$161,2,0),"0")</f>
        <v>0</v>
      </c>
      <c r="H119" s="97">
        <f>IFERROR(VLOOKUP(G119,'RoC2'!$B$1:$C$161,2,0),0)</f>
        <v>0</v>
      </c>
      <c r="I119" s="137">
        <f>IFERROR(VLOOKUP($B119,'RoC3'!$A$1:$B$161,2,0),0)</f>
        <v>0</v>
      </c>
      <c r="J119" s="97">
        <f>IFERROR(VLOOKUP(I119,'RoC3'!$B$1:$C$161,2,0),0)</f>
        <v>0</v>
      </c>
      <c r="K119" s="137">
        <f>IFERROR(VLOOKUP($B119,'RoC4'!$A$1:$B$161,2,0),0)</f>
        <v>0</v>
      </c>
      <c r="L119" s="97">
        <f>IFERROR(VLOOKUP(K119,'RoC4'!$B$1:$C$161,2,0),0)</f>
        <v>0</v>
      </c>
      <c r="M119" s="137">
        <f>IFERROR(VLOOKUP($B119,'RoC5'!$A$1:$B$161,2,0),0)</f>
        <v>0</v>
      </c>
      <c r="N119" s="97">
        <f>IFERROR(VLOOKUP(M119,'RoC5'!$B$1:$C$161,2,0),0)</f>
        <v>0</v>
      </c>
      <c r="O119" s="137">
        <f>IFERROR(VLOOKUP($B119,'RoC6'!$A$1:$B$161,2,0),0)</f>
        <v>0</v>
      </c>
      <c r="P119" s="97">
        <f>IFERROR(VLOOKUP(O119,'RoC6'!$B$1:$C$161,2,0),0)</f>
        <v>0</v>
      </c>
      <c r="Q119" s="137">
        <f>IFERROR(VLOOKUP($B119,'RoC7'!$A$1:$B$161,2,0),0)</f>
        <v>0</v>
      </c>
      <c r="R119" s="97">
        <f>IFERROR(VLOOKUP(Q119,'RoC7'!$B$1:$C$161,2,0),0)</f>
        <v>0</v>
      </c>
      <c r="S119" s="137">
        <f>IFERROR(VLOOKUP($B119,'RoC8'!$A$1:$B$161,2,0),0)</f>
        <v>0</v>
      </c>
      <c r="T119" s="97">
        <f>IFERROR(VLOOKUP(S119,'RoC8'!$B$1:$C$161,2,0),0)</f>
        <v>0</v>
      </c>
      <c r="U119" s="137">
        <f>IFERROR(VLOOKUP($B119,'RoC9'!$A$1:$B$161,2,0),0)</f>
        <v>0</v>
      </c>
      <c r="V119" s="97">
        <f>IFERROR(VLOOKUP(U119,'RoC9'!$B$1:$C$161,2,0),0)</f>
        <v>0</v>
      </c>
      <c r="W119" s="137">
        <f>IFERROR(VLOOKUP($B119,'RoC10'!$A$1:$B$161,2,0),0)</f>
        <v>0</v>
      </c>
      <c r="X119" s="97">
        <f>IFERROR(VLOOKUP(W119,'RoC10'!$B$1:$C$161,2,0),0)</f>
        <v>0</v>
      </c>
      <c r="Y119" s="137">
        <f>IFERROR(VLOOKUP($B119,'RoC11'!$A$1:$B$161,2,0),0)</f>
        <v>0</v>
      </c>
      <c r="Z119" s="97">
        <f>IFERROR(VLOOKUP(Y119,'RoC11'!$B$1:$C$161,2,0),0)</f>
        <v>0</v>
      </c>
      <c r="AA119" s="97">
        <f>IFERROR(VLOOKUP(E119,'RoC1'!$B$1:$C$160,2,0),0)</f>
        <v>0</v>
      </c>
      <c r="AB119" s="97">
        <f>IFERROR(VLOOKUP(G119,'RoC2'!$B$1:$C$160,2,0),0)</f>
        <v>0</v>
      </c>
      <c r="AC119" s="97">
        <f>IFERROR(VLOOKUP(I119,'RoC3'!$B$1:$C$160,2,0),0)</f>
        <v>0</v>
      </c>
      <c r="AD119" s="97">
        <f>IFERROR(VLOOKUP(K119,'RoC4'!$B$1:$C$160,2,0),0)</f>
        <v>0</v>
      </c>
      <c r="AE119" s="97">
        <f>IFERROR(VLOOKUP(M119,'RoC5'!$B$1:$C$160,2,0),0)</f>
        <v>0</v>
      </c>
      <c r="AF119" s="97">
        <f>IFERROR(VLOOKUP(O119,'RoC6'!$B$1:$C$160,2,0),0)</f>
        <v>0</v>
      </c>
      <c r="AG119" s="97">
        <f>IFERROR(VLOOKUP(Q119,'RoC7'!$B$1:$C$160,2,0),0)</f>
        <v>0</v>
      </c>
      <c r="AH119" s="97">
        <f>IFERROR(VLOOKUP(S119,'RoC8'!$B$1:$C$160,2,0),0)</f>
        <v>0</v>
      </c>
      <c r="AI119" s="97">
        <f>IFERROR(VLOOKUP(U119,'RoC9'!$B$1:$C$160,2,0),0)</f>
        <v>0</v>
      </c>
      <c r="AJ119" s="97">
        <f>IFERROR(VLOOKUP(W119,'RoC10'!$B$1:$C$160,2,0),0)</f>
        <v>0</v>
      </c>
      <c r="AK119" s="97">
        <f>IFERROR(VLOOKUP(Y119,'RoC11'!$B$1:$C$160,2,0),0)</f>
        <v>0</v>
      </c>
    </row>
    <row r="120" ht="15.75" customHeight="1">
      <c r="A120" s="135">
        <v>119.0</v>
      </c>
      <c r="B120" s="106"/>
      <c r="C120" s="93">
        <f t="shared" si="4"/>
        <v>0</v>
      </c>
      <c r="D120" s="136"/>
      <c r="E120" s="137" t="str">
        <f>IFERROR(VLOOKUP($B120,'RoC1'!$A$1:$B$160,2,0),"0")</f>
        <v>0</v>
      </c>
      <c r="F120" s="97">
        <f>IFERROR(VLOOKUP(E120,'RoC1'!$B$1:$C$160,2,0),0)</f>
        <v>0</v>
      </c>
      <c r="G120" s="137" t="str">
        <f>IFERROR(VLOOKUP($B120,'RoC2'!$A$1:$B$161,2,0),"0")</f>
        <v>0</v>
      </c>
      <c r="H120" s="97">
        <f>IFERROR(VLOOKUP(G120,'RoC2'!$B$1:$C$161,2,0),0)</f>
        <v>0</v>
      </c>
      <c r="I120" s="137">
        <f>IFERROR(VLOOKUP($B120,'RoC3'!$A$1:$B$161,2,0),0)</f>
        <v>0</v>
      </c>
      <c r="J120" s="97">
        <f>IFERROR(VLOOKUP(I120,'RoC3'!$B$1:$C$161,2,0),0)</f>
        <v>0</v>
      </c>
      <c r="K120" s="137">
        <f>IFERROR(VLOOKUP($B120,'RoC4'!$A$1:$B$161,2,0),0)</f>
        <v>0</v>
      </c>
      <c r="L120" s="97">
        <f>IFERROR(VLOOKUP(K120,'RoC4'!$B$1:$C$161,2,0),0)</f>
        <v>0</v>
      </c>
      <c r="M120" s="137">
        <f>IFERROR(VLOOKUP($B120,'RoC5'!$A$1:$B$161,2,0),0)</f>
        <v>0</v>
      </c>
      <c r="N120" s="97">
        <f>IFERROR(VLOOKUP(M120,'RoC5'!$B$1:$C$161,2,0),0)</f>
        <v>0</v>
      </c>
      <c r="O120" s="137">
        <f>IFERROR(VLOOKUP($B120,'RoC6'!$A$1:$B$161,2,0),0)</f>
        <v>0</v>
      </c>
      <c r="P120" s="97">
        <f>IFERROR(VLOOKUP(O120,'RoC6'!$B$1:$C$161,2,0),0)</f>
        <v>0</v>
      </c>
      <c r="Q120" s="137">
        <f>IFERROR(VLOOKUP($B120,'RoC7'!$A$1:$B$161,2,0),0)</f>
        <v>0</v>
      </c>
      <c r="R120" s="97">
        <f>IFERROR(VLOOKUP(Q120,'RoC7'!$B$1:$C$161,2,0),0)</f>
        <v>0</v>
      </c>
      <c r="S120" s="137">
        <f>IFERROR(VLOOKUP($B120,'RoC8'!$A$1:$B$161,2,0),0)</f>
        <v>0</v>
      </c>
      <c r="T120" s="97">
        <f>IFERROR(VLOOKUP(S120,'RoC8'!$B$1:$C$161,2,0),0)</f>
        <v>0</v>
      </c>
      <c r="U120" s="137">
        <f>IFERROR(VLOOKUP($B120,'RoC9'!$A$1:$B$161,2,0),0)</f>
        <v>0</v>
      </c>
      <c r="V120" s="97">
        <f>IFERROR(VLOOKUP(U120,'RoC9'!$B$1:$C$161,2,0),0)</f>
        <v>0</v>
      </c>
      <c r="W120" s="137">
        <f>IFERROR(VLOOKUP($B120,'RoC10'!$A$1:$B$161,2,0),0)</f>
        <v>0</v>
      </c>
      <c r="X120" s="97">
        <f>IFERROR(VLOOKUP(W120,'RoC10'!$B$1:$C$161,2,0),0)</f>
        <v>0</v>
      </c>
      <c r="Y120" s="137">
        <f>IFERROR(VLOOKUP($B120,'RoC11'!$A$1:$B$161,2,0),0)</f>
        <v>0</v>
      </c>
      <c r="Z120" s="97">
        <f>IFERROR(VLOOKUP(Y120,'RoC11'!$B$1:$C$161,2,0),0)</f>
        <v>0</v>
      </c>
      <c r="AA120" s="97">
        <f>IFERROR(VLOOKUP(E120,'RoC1'!$B$1:$C$160,2,0),0)</f>
        <v>0</v>
      </c>
      <c r="AB120" s="97">
        <f>IFERROR(VLOOKUP(G120,'RoC2'!$B$1:$C$160,2,0),0)</f>
        <v>0</v>
      </c>
      <c r="AC120" s="97">
        <f>IFERROR(VLOOKUP(I120,'RoC3'!$B$1:$C$160,2,0),0)</f>
        <v>0</v>
      </c>
      <c r="AD120" s="97">
        <f>IFERROR(VLOOKUP(K120,'RoC4'!$B$1:$C$160,2,0),0)</f>
        <v>0</v>
      </c>
      <c r="AE120" s="97">
        <f>IFERROR(VLOOKUP(M120,'RoC5'!$B$1:$C$160,2,0),0)</f>
        <v>0</v>
      </c>
      <c r="AF120" s="97">
        <f>IFERROR(VLOOKUP(O120,'RoC6'!$B$1:$C$160,2,0),0)</f>
        <v>0</v>
      </c>
      <c r="AG120" s="97">
        <f>IFERROR(VLOOKUP(Q120,'RoC7'!$B$1:$C$160,2,0),0)</f>
        <v>0</v>
      </c>
      <c r="AH120" s="97">
        <f>IFERROR(VLOOKUP(S120,'RoC8'!$B$1:$C$160,2,0),0)</f>
        <v>0</v>
      </c>
      <c r="AI120" s="97">
        <f>IFERROR(VLOOKUP(U120,'RoC9'!$B$1:$C$160,2,0),0)</f>
        <v>0</v>
      </c>
      <c r="AJ120" s="97">
        <f>IFERROR(VLOOKUP(W120,'RoC10'!$B$1:$C$160,2,0),0)</f>
        <v>0</v>
      </c>
      <c r="AK120" s="97">
        <f>IFERROR(VLOOKUP(Y120,'RoC11'!$B$1:$C$160,2,0),0)</f>
        <v>0</v>
      </c>
    </row>
    <row r="121" ht="15.75" customHeight="1">
      <c r="A121" s="135">
        <v>120.0</v>
      </c>
      <c r="B121" s="106"/>
      <c r="C121" s="93">
        <f t="shared" si="4"/>
        <v>0</v>
      </c>
      <c r="D121" s="136"/>
      <c r="E121" s="137" t="str">
        <f>IFERROR(VLOOKUP($B121,'RoC1'!$A$1:$B$160,2,0),"0")</f>
        <v>0</v>
      </c>
      <c r="F121" s="97">
        <f>IFERROR(VLOOKUP(E121,'RoC1'!$B$1:$C$160,2,0),0)</f>
        <v>0</v>
      </c>
      <c r="G121" s="137" t="str">
        <f>IFERROR(VLOOKUP($B121,'RoC2'!$A$1:$B$161,2,0),"0")</f>
        <v>0</v>
      </c>
      <c r="H121" s="97">
        <f>IFERROR(VLOOKUP(G121,'RoC2'!$B$1:$C$161,2,0),0)</f>
        <v>0</v>
      </c>
      <c r="I121" s="137">
        <f>IFERROR(VLOOKUP($B121,'RoC3'!$A$1:$B$161,2,0),0)</f>
        <v>0</v>
      </c>
      <c r="J121" s="97">
        <f>IFERROR(VLOOKUP(I121,'RoC3'!$B$1:$C$161,2,0),0)</f>
        <v>0</v>
      </c>
      <c r="K121" s="137">
        <f>IFERROR(VLOOKUP($B121,'RoC4'!$A$1:$B$161,2,0),0)</f>
        <v>0</v>
      </c>
      <c r="L121" s="97">
        <f>IFERROR(VLOOKUP(K121,'RoC4'!$B$1:$C$161,2,0),0)</f>
        <v>0</v>
      </c>
      <c r="M121" s="137">
        <f>IFERROR(VLOOKUP($B121,'RoC5'!$A$1:$B$161,2,0),0)</f>
        <v>0</v>
      </c>
      <c r="N121" s="97">
        <f>IFERROR(VLOOKUP(M121,'RoC5'!$B$1:$C$161,2,0),0)</f>
        <v>0</v>
      </c>
      <c r="O121" s="137">
        <f>IFERROR(VLOOKUP($B121,'RoC6'!$A$1:$B$161,2,0),0)</f>
        <v>0</v>
      </c>
      <c r="P121" s="97">
        <f>IFERROR(VLOOKUP(O121,'RoC6'!$B$1:$C$161,2,0),0)</f>
        <v>0</v>
      </c>
      <c r="Q121" s="137">
        <f>IFERROR(VLOOKUP($B121,'RoC7'!$A$1:$B$161,2,0),0)</f>
        <v>0</v>
      </c>
      <c r="R121" s="97">
        <f>IFERROR(VLOOKUP(Q121,'RoC7'!$B$1:$C$161,2,0),0)</f>
        <v>0</v>
      </c>
      <c r="S121" s="137">
        <f>IFERROR(VLOOKUP($B121,'RoC8'!$A$1:$B$161,2,0),0)</f>
        <v>0</v>
      </c>
      <c r="T121" s="97">
        <f>IFERROR(VLOOKUP(S121,'RoC8'!$B$1:$C$161,2,0),0)</f>
        <v>0</v>
      </c>
      <c r="U121" s="137">
        <f>IFERROR(VLOOKUP($B121,'RoC9'!$A$1:$B$161,2,0),0)</f>
        <v>0</v>
      </c>
      <c r="V121" s="97">
        <f>IFERROR(VLOOKUP(U121,'RoC9'!$B$1:$C$161,2,0),0)</f>
        <v>0</v>
      </c>
      <c r="W121" s="137">
        <f>IFERROR(VLOOKUP($B121,'RoC10'!$A$1:$B$161,2,0),0)</f>
        <v>0</v>
      </c>
      <c r="X121" s="97">
        <f>IFERROR(VLOOKUP(W121,'RoC10'!$B$1:$C$161,2,0),0)</f>
        <v>0</v>
      </c>
      <c r="Y121" s="137">
        <f>IFERROR(VLOOKUP($B121,'RoC11'!$A$1:$B$161,2,0),0)</f>
        <v>0</v>
      </c>
      <c r="Z121" s="97">
        <f>IFERROR(VLOOKUP(Y121,'RoC11'!$B$1:$C$161,2,0),0)</f>
        <v>0</v>
      </c>
      <c r="AA121" s="97">
        <f>IFERROR(VLOOKUP(E121,'RoC1'!$B$1:$C$160,2,0),0)</f>
        <v>0</v>
      </c>
      <c r="AB121" s="97">
        <f>IFERROR(VLOOKUP(G121,'RoC2'!$B$1:$C$160,2,0),0)</f>
        <v>0</v>
      </c>
      <c r="AC121" s="97">
        <f>IFERROR(VLOOKUP(I121,'RoC3'!$B$1:$C$160,2,0),0)</f>
        <v>0</v>
      </c>
      <c r="AD121" s="97">
        <f>IFERROR(VLOOKUP(K121,'RoC4'!$B$1:$C$160,2,0),0)</f>
        <v>0</v>
      </c>
      <c r="AE121" s="97">
        <f>IFERROR(VLOOKUP(M121,'RoC5'!$B$1:$C$160,2,0),0)</f>
        <v>0</v>
      </c>
      <c r="AF121" s="97">
        <f>IFERROR(VLOOKUP(O121,'RoC6'!$B$1:$C$160,2,0),0)</f>
        <v>0</v>
      </c>
      <c r="AG121" s="97">
        <f>IFERROR(VLOOKUP(Q121,'RoC7'!$B$1:$C$160,2,0),0)</f>
        <v>0</v>
      </c>
      <c r="AH121" s="97">
        <f>IFERROR(VLOOKUP(S121,'RoC8'!$B$1:$C$160,2,0),0)</f>
        <v>0</v>
      </c>
      <c r="AI121" s="97">
        <f>IFERROR(VLOOKUP(U121,'RoC9'!$B$1:$C$160,2,0),0)</f>
        <v>0</v>
      </c>
      <c r="AJ121" s="97">
        <f>IFERROR(VLOOKUP(W121,'RoC10'!$B$1:$C$160,2,0),0)</f>
        <v>0</v>
      </c>
      <c r="AK121" s="97">
        <f>IFERROR(VLOOKUP(Y121,'RoC11'!$B$1:$C$160,2,0),0)</f>
        <v>0</v>
      </c>
    </row>
    <row r="122" ht="15.75" customHeight="1">
      <c r="A122" s="135">
        <v>121.0</v>
      </c>
      <c r="B122" s="106"/>
      <c r="C122" s="93">
        <f t="shared" si="4"/>
        <v>0</v>
      </c>
      <c r="D122" s="136"/>
      <c r="E122" s="137" t="str">
        <f>IFERROR(VLOOKUP($B122,'RoC1'!$A$1:$B$160,2,0),"0")</f>
        <v>0</v>
      </c>
      <c r="F122" s="97">
        <f>IFERROR(VLOOKUP(E122,'RoC1'!$B$1:$C$160,2,0),0)</f>
        <v>0</v>
      </c>
      <c r="G122" s="137" t="str">
        <f>IFERROR(VLOOKUP($B122,'RoC2'!$A$1:$B$161,2,0),"0")</f>
        <v>0</v>
      </c>
      <c r="H122" s="97">
        <f>IFERROR(VLOOKUP(G122,'RoC2'!$B$1:$C$161,2,0),0)</f>
        <v>0</v>
      </c>
      <c r="I122" s="137">
        <f>IFERROR(VLOOKUP($B122,'RoC3'!$A$1:$B$161,2,0),0)</f>
        <v>0</v>
      </c>
      <c r="J122" s="97">
        <f>IFERROR(VLOOKUP(I122,'RoC3'!$B$1:$C$161,2,0),0)</f>
        <v>0</v>
      </c>
      <c r="K122" s="137">
        <f>IFERROR(VLOOKUP($B122,'RoC4'!$A$1:$B$161,2,0),0)</f>
        <v>0</v>
      </c>
      <c r="L122" s="97">
        <f>IFERROR(VLOOKUP(K122,'RoC4'!$B$1:$C$161,2,0),0)</f>
        <v>0</v>
      </c>
      <c r="M122" s="137">
        <f>IFERROR(VLOOKUP($B122,'RoC5'!$A$1:$B$161,2,0),0)</f>
        <v>0</v>
      </c>
      <c r="N122" s="97">
        <f>IFERROR(VLOOKUP(M122,'RoC5'!$B$1:$C$161,2,0),0)</f>
        <v>0</v>
      </c>
      <c r="O122" s="137">
        <f>IFERROR(VLOOKUP($B122,'RoC6'!$A$1:$B$161,2,0),0)</f>
        <v>0</v>
      </c>
      <c r="P122" s="97">
        <f>IFERROR(VLOOKUP(O122,'RoC6'!$B$1:$C$161,2,0),0)</f>
        <v>0</v>
      </c>
      <c r="Q122" s="137">
        <f>IFERROR(VLOOKUP($B122,'RoC7'!$A$1:$B$161,2,0),0)</f>
        <v>0</v>
      </c>
      <c r="R122" s="97">
        <f>IFERROR(VLOOKUP(Q122,'RoC7'!$B$1:$C$161,2,0),0)</f>
        <v>0</v>
      </c>
      <c r="S122" s="137">
        <f>IFERROR(VLOOKUP($B122,'RoC8'!$A$1:$B$161,2,0),0)</f>
        <v>0</v>
      </c>
      <c r="T122" s="97">
        <f>IFERROR(VLOOKUP(S122,'RoC8'!$B$1:$C$161,2,0),0)</f>
        <v>0</v>
      </c>
      <c r="U122" s="137">
        <f>IFERROR(VLOOKUP($B122,'RoC9'!$A$1:$B$161,2,0),0)</f>
        <v>0</v>
      </c>
      <c r="V122" s="97">
        <f>IFERROR(VLOOKUP(U122,'RoC9'!$B$1:$C$161,2,0),0)</f>
        <v>0</v>
      </c>
      <c r="W122" s="137">
        <f>IFERROR(VLOOKUP($B122,'RoC10'!$A$1:$B$161,2,0),0)</f>
        <v>0</v>
      </c>
      <c r="X122" s="97">
        <f>IFERROR(VLOOKUP(W122,'RoC10'!$B$1:$C$161,2,0),0)</f>
        <v>0</v>
      </c>
      <c r="Y122" s="137">
        <f>IFERROR(VLOOKUP($B122,'RoC11'!$A$1:$B$161,2,0),0)</f>
        <v>0</v>
      </c>
      <c r="Z122" s="97">
        <f>IFERROR(VLOOKUP(Y122,'RoC11'!$B$1:$C$161,2,0),0)</f>
        <v>0</v>
      </c>
      <c r="AA122" s="97">
        <f>IFERROR(VLOOKUP(E122,'RoC1'!$B$1:$C$160,2,0),0)</f>
        <v>0</v>
      </c>
      <c r="AB122" s="97">
        <f>IFERROR(VLOOKUP(G122,'RoC2'!$B$1:$C$160,2,0),0)</f>
        <v>0</v>
      </c>
      <c r="AC122" s="97">
        <f>IFERROR(VLOOKUP(I122,'RoC3'!$B$1:$C$160,2,0),0)</f>
        <v>0</v>
      </c>
      <c r="AD122" s="97">
        <f>IFERROR(VLOOKUP(K122,'RoC4'!$B$1:$C$160,2,0),0)</f>
        <v>0</v>
      </c>
      <c r="AE122" s="97">
        <f>IFERROR(VLOOKUP(M122,'RoC5'!$B$1:$C$160,2,0),0)</f>
        <v>0</v>
      </c>
      <c r="AF122" s="97">
        <f>IFERROR(VLOOKUP(O122,'RoC6'!$B$1:$C$160,2,0),0)</f>
        <v>0</v>
      </c>
      <c r="AG122" s="97">
        <f>IFERROR(VLOOKUP(Q122,'RoC7'!$B$1:$C$160,2,0),0)</f>
        <v>0</v>
      </c>
      <c r="AH122" s="97">
        <f>IFERROR(VLOOKUP(S122,'RoC8'!$B$1:$C$160,2,0),0)</f>
        <v>0</v>
      </c>
      <c r="AI122" s="97">
        <f>IFERROR(VLOOKUP(U122,'RoC9'!$B$1:$C$160,2,0),0)</f>
        <v>0</v>
      </c>
      <c r="AJ122" s="97">
        <f>IFERROR(VLOOKUP(W122,'RoC10'!$B$1:$C$160,2,0),0)</f>
        <v>0</v>
      </c>
      <c r="AK122" s="97">
        <f>IFERROR(VLOOKUP(Y122,'RoC11'!$B$1:$C$160,2,0),0)</f>
        <v>0</v>
      </c>
    </row>
    <row r="123" ht="15.75" customHeight="1">
      <c r="A123" s="135">
        <v>122.0</v>
      </c>
      <c r="B123" s="106"/>
      <c r="C123" s="93">
        <f t="shared" si="4"/>
        <v>0</v>
      </c>
      <c r="D123" s="136"/>
      <c r="E123" s="137" t="str">
        <f>IFERROR(VLOOKUP($B123,'RoC1'!$A$1:$B$160,2,0),"0")</f>
        <v>0</v>
      </c>
      <c r="F123" s="97">
        <f>IFERROR(VLOOKUP(E123,'RoC1'!$B$1:$C$160,2,0),0)</f>
        <v>0</v>
      </c>
      <c r="G123" s="137" t="str">
        <f>IFERROR(VLOOKUP($B123,'RoC2'!$A$1:$B$161,2,0),"0")</f>
        <v>0</v>
      </c>
      <c r="H123" s="97">
        <f>IFERROR(VLOOKUP(G123,'RoC2'!$B$1:$C$161,2,0),0)</f>
        <v>0</v>
      </c>
      <c r="I123" s="137">
        <f>IFERROR(VLOOKUP($B123,'RoC3'!$A$1:$B$161,2,0),0)</f>
        <v>0</v>
      </c>
      <c r="J123" s="97">
        <f>IFERROR(VLOOKUP(I123,'RoC3'!$B$1:$C$161,2,0),0)</f>
        <v>0</v>
      </c>
      <c r="K123" s="137">
        <f>IFERROR(VLOOKUP($B123,'RoC4'!$A$1:$B$161,2,0),0)</f>
        <v>0</v>
      </c>
      <c r="L123" s="97">
        <f>IFERROR(VLOOKUP(K123,'RoC4'!$B$1:$C$161,2,0),0)</f>
        <v>0</v>
      </c>
      <c r="M123" s="137">
        <f>IFERROR(VLOOKUP($B123,'RoC5'!$A$1:$B$161,2,0),0)</f>
        <v>0</v>
      </c>
      <c r="N123" s="97">
        <f>IFERROR(VLOOKUP(M123,'RoC5'!$B$1:$C$161,2,0),0)</f>
        <v>0</v>
      </c>
      <c r="O123" s="137">
        <f>IFERROR(VLOOKUP($B123,'RoC6'!$A$1:$B$161,2,0),0)</f>
        <v>0</v>
      </c>
      <c r="P123" s="97">
        <f>IFERROR(VLOOKUP(O123,'RoC6'!$B$1:$C$161,2,0),0)</f>
        <v>0</v>
      </c>
      <c r="Q123" s="137">
        <f>IFERROR(VLOOKUP($B123,'RoC7'!$A$1:$B$161,2,0),0)</f>
        <v>0</v>
      </c>
      <c r="R123" s="97">
        <f>IFERROR(VLOOKUP(Q123,'RoC7'!$B$1:$C$161,2,0),0)</f>
        <v>0</v>
      </c>
      <c r="S123" s="137">
        <f>IFERROR(VLOOKUP($B123,'RoC8'!$A$1:$B$161,2,0),0)</f>
        <v>0</v>
      </c>
      <c r="T123" s="97">
        <f>IFERROR(VLOOKUP(S123,'RoC8'!$B$1:$C$161,2,0),0)</f>
        <v>0</v>
      </c>
      <c r="U123" s="137">
        <f>IFERROR(VLOOKUP($B123,'RoC9'!$A$1:$B$161,2,0),0)</f>
        <v>0</v>
      </c>
      <c r="V123" s="97">
        <f>IFERROR(VLOOKUP(U123,'RoC9'!$B$1:$C$161,2,0),0)</f>
        <v>0</v>
      </c>
      <c r="W123" s="137">
        <f>IFERROR(VLOOKUP($B123,'RoC10'!$A$1:$B$161,2,0),0)</f>
        <v>0</v>
      </c>
      <c r="X123" s="97">
        <f>IFERROR(VLOOKUP(W123,'RoC10'!$B$1:$C$161,2,0),0)</f>
        <v>0</v>
      </c>
      <c r="Y123" s="137">
        <f>IFERROR(VLOOKUP($B123,'RoC11'!$A$1:$B$161,2,0),0)</f>
        <v>0</v>
      </c>
      <c r="Z123" s="97">
        <f>IFERROR(VLOOKUP(Y123,'RoC11'!$B$1:$C$161,2,0),0)</f>
        <v>0</v>
      </c>
      <c r="AA123" s="97">
        <f>IFERROR(VLOOKUP(E123,'RoC1'!$B$1:$C$160,2,0),0)</f>
        <v>0</v>
      </c>
      <c r="AB123" s="97">
        <f>IFERROR(VLOOKUP(G123,'RoC2'!$B$1:$C$160,2,0),0)</f>
        <v>0</v>
      </c>
      <c r="AC123" s="97">
        <f>IFERROR(VLOOKUP(I123,'RoC3'!$B$1:$C$160,2,0),0)</f>
        <v>0</v>
      </c>
      <c r="AD123" s="97">
        <f>IFERROR(VLOOKUP(K123,'RoC4'!$B$1:$C$160,2,0),0)</f>
        <v>0</v>
      </c>
      <c r="AE123" s="97">
        <f>IFERROR(VLOOKUP(M123,'RoC5'!$B$1:$C$160,2,0),0)</f>
        <v>0</v>
      </c>
      <c r="AF123" s="97">
        <f>IFERROR(VLOOKUP(O123,'RoC6'!$B$1:$C$160,2,0),0)</f>
        <v>0</v>
      </c>
      <c r="AG123" s="97">
        <f>IFERROR(VLOOKUP(Q123,'RoC7'!$B$1:$C$160,2,0),0)</f>
        <v>0</v>
      </c>
      <c r="AH123" s="97">
        <f>IFERROR(VLOOKUP(S123,'RoC8'!$B$1:$C$160,2,0),0)</f>
        <v>0</v>
      </c>
      <c r="AI123" s="97">
        <f>IFERROR(VLOOKUP(U123,'RoC9'!$B$1:$C$160,2,0),0)</f>
        <v>0</v>
      </c>
      <c r="AJ123" s="97">
        <f>IFERROR(VLOOKUP(W123,'RoC10'!$B$1:$C$160,2,0),0)</f>
        <v>0</v>
      </c>
      <c r="AK123" s="97">
        <f>IFERROR(VLOOKUP(Y123,'RoC11'!$B$1:$C$160,2,0),0)</f>
        <v>0</v>
      </c>
    </row>
    <row r="124" ht="15.75" customHeight="1">
      <c r="A124" s="135">
        <v>123.0</v>
      </c>
      <c r="B124" s="106"/>
      <c r="C124" s="93">
        <f t="shared" si="4"/>
        <v>0</v>
      </c>
      <c r="D124" s="136"/>
      <c r="E124" s="137" t="str">
        <f>IFERROR(VLOOKUP($B124,'RoC1'!$A$1:$B$160,2,0),"0")</f>
        <v>0</v>
      </c>
      <c r="F124" s="97">
        <f>IFERROR(VLOOKUP(E124,'RoC1'!$B$1:$C$160,2,0),0)</f>
        <v>0</v>
      </c>
      <c r="G124" s="137" t="str">
        <f>IFERROR(VLOOKUP($B124,'RoC2'!$A$1:$B$161,2,0),"0")</f>
        <v>0</v>
      </c>
      <c r="H124" s="97">
        <f>IFERROR(VLOOKUP(G124,'RoC2'!$B$1:$C$161,2,0),0)</f>
        <v>0</v>
      </c>
      <c r="I124" s="137">
        <f>IFERROR(VLOOKUP($B124,'RoC3'!$A$1:$B$161,2,0),0)</f>
        <v>0</v>
      </c>
      <c r="J124" s="97">
        <f>IFERROR(VLOOKUP(I124,'RoC3'!$B$1:$C$161,2,0),0)</f>
        <v>0</v>
      </c>
      <c r="K124" s="137">
        <f>IFERROR(VLOOKUP($B124,'RoC4'!$A$1:$B$161,2,0),0)</f>
        <v>0</v>
      </c>
      <c r="L124" s="97">
        <f>IFERROR(VLOOKUP(K124,'RoC4'!$B$1:$C$161,2,0),0)</f>
        <v>0</v>
      </c>
      <c r="M124" s="137">
        <f>IFERROR(VLOOKUP($B124,'RoC5'!$A$1:$B$161,2,0),0)</f>
        <v>0</v>
      </c>
      <c r="N124" s="97">
        <f>IFERROR(VLOOKUP(M124,'RoC5'!$B$1:$C$161,2,0),0)</f>
        <v>0</v>
      </c>
      <c r="O124" s="137">
        <f>IFERROR(VLOOKUP($B124,'RoC6'!$A$1:$B$161,2,0),0)</f>
        <v>0</v>
      </c>
      <c r="P124" s="97">
        <f>IFERROR(VLOOKUP(O124,'RoC6'!$B$1:$C$161,2,0),0)</f>
        <v>0</v>
      </c>
      <c r="Q124" s="137">
        <f>IFERROR(VLOOKUP($B124,'RoC7'!$A$1:$B$161,2,0),0)</f>
        <v>0</v>
      </c>
      <c r="R124" s="97">
        <f>IFERROR(VLOOKUP(Q124,'RoC7'!$B$1:$C$161,2,0),0)</f>
        <v>0</v>
      </c>
      <c r="S124" s="137">
        <f>IFERROR(VLOOKUP($B124,'RoC8'!$A$1:$B$161,2,0),0)</f>
        <v>0</v>
      </c>
      <c r="T124" s="97">
        <f>IFERROR(VLOOKUP(S124,'RoC8'!$B$1:$C$161,2,0),0)</f>
        <v>0</v>
      </c>
      <c r="U124" s="137">
        <f>IFERROR(VLOOKUP($B124,'RoC9'!$A$1:$B$161,2,0),0)</f>
        <v>0</v>
      </c>
      <c r="V124" s="97">
        <f>IFERROR(VLOOKUP(U124,'RoC9'!$B$1:$C$161,2,0),0)</f>
        <v>0</v>
      </c>
      <c r="W124" s="137">
        <f>IFERROR(VLOOKUP($B124,'RoC10'!$A$1:$B$161,2,0),0)</f>
        <v>0</v>
      </c>
      <c r="X124" s="97">
        <f>IFERROR(VLOOKUP(W124,'RoC10'!$B$1:$C$161,2,0),0)</f>
        <v>0</v>
      </c>
      <c r="Y124" s="137">
        <f>IFERROR(VLOOKUP($B124,'RoC11'!$A$1:$B$161,2,0),0)</f>
        <v>0</v>
      </c>
      <c r="Z124" s="97">
        <f>IFERROR(VLOOKUP(Y124,'RoC11'!$B$1:$C$161,2,0),0)</f>
        <v>0</v>
      </c>
      <c r="AA124" s="97">
        <f>IFERROR(VLOOKUP(E124,'RoC1'!$B$1:$C$160,2,0),0)</f>
        <v>0</v>
      </c>
      <c r="AB124" s="97">
        <f>IFERROR(VLOOKUP(G124,'RoC2'!$B$1:$C$160,2,0),0)</f>
        <v>0</v>
      </c>
      <c r="AC124" s="97">
        <f>IFERROR(VLOOKUP(I124,'RoC3'!$B$1:$C$160,2,0),0)</f>
        <v>0</v>
      </c>
      <c r="AD124" s="97">
        <f>IFERROR(VLOOKUP(K124,'RoC4'!$B$1:$C$160,2,0),0)</f>
        <v>0</v>
      </c>
      <c r="AE124" s="97">
        <f>IFERROR(VLOOKUP(M124,'RoC5'!$B$1:$C$160,2,0),0)</f>
        <v>0</v>
      </c>
      <c r="AF124" s="97">
        <f>IFERROR(VLOOKUP(O124,'RoC6'!$B$1:$C$160,2,0),0)</f>
        <v>0</v>
      </c>
      <c r="AG124" s="97">
        <f>IFERROR(VLOOKUP(Q124,'RoC7'!$B$1:$C$160,2,0),0)</f>
        <v>0</v>
      </c>
      <c r="AH124" s="97">
        <f>IFERROR(VLOOKUP(S124,'RoC8'!$B$1:$C$160,2,0),0)</f>
        <v>0</v>
      </c>
      <c r="AI124" s="97">
        <f>IFERROR(VLOOKUP(U124,'RoC9'!$B$1:$C$160,2,0),0)</f>
        <v>0</v>
      </c>
      <c r="AJ124" s="97">
        <f>IFERROR(VLOOKUP(W124,'RoC10'!$B$1:$C$160,2,0),0)</f>
        <v>0</v>
      </c>
      <c r="AK124" s="97">
        <f>IFERROR(VLOOKUP(Y124,'RoC11'!$B$1:$C$160,2,0),0)</f>
        <v>0</v>
      </c>
    </row>
    <row r="125" ht="15.75" customHeight="1">
      <c r="A125" s="135">
        <v>124.0</v>
      </c>
      <c r="B125" s="106"/>
      <c r="C125" s="93">
        <f t="shared" si="4"/>
        <v>0</v>
      </c>
      <c r="D125" s="136"/>
      <c r="E125" s="137" t="str">
        <f>IFERROR(VLOOKUP($B125,'RoC1'!$A$1:$B$160,2,0),"0")</f>
        <v>0</v>
      </c>
      <c r="F125" s="97">
        <f>IFERROR(VLOOKUP(E125,'RoC1'!$B$1:$C$160,2,0),0)</f>
        <v>0</v>
      </c>
      <c r="G125" s="137" t="str">
        <f>IFERROR(VLOOKUP($B125,'RoC2'!$A$1:$B$161,2,0),"0")</f>
        <v>0</v>
      </c>
      <c r="H125" s="97">
        <f>IFERROR(VLOOKUP(G125,'RoC2'!$B$1:$C$161,2,0),0)</f>
        <v>0</v>
      </c>
      <c r="I125" s="137">
        <f>IFERROR(VLOOKUP($B125,'RoC3'!$A$1:$B$161,2,0),0)</f>
        <v>0</v>
      </c>
      <c r="J125" s="97">
        <f>IFERROR(VLOOKUP(I125,'RoC3'!$B$1:$C$161,2,0),0)</f>
        <v>0</v>
      </c>
      <c r="K125" s="137">
        <f>IFERROR(VLOOKUP($B125,'RoC4'!$A$1:$B$161,2,0),0)</f>
        <v>0</v>
      </c>
      <c r="L125" s="97">
        <f>IFERROR(VLOOKUP(K125,'RoC4'!$B$1:$C$161,2,0),0)</f>
        <v>0</v>
      </c>
      <c r="M125" s="137">
        <f>IFERROR(VLOOKUP($B125,'RoC5'!$A$1:$B$161,2,0),0)</f>
        <v>0</v>
      </c>
      <c r="N125" s="97">
        <f>IFERROR(VLOOKUP(M125,'RoC5'!$B$1:$C$161,2,0),0)</f>
        <v>0</v>
      </c>
      <c r="O125" s="137">
        <f>IFERROR(VLOOKUP($B125,'RoC6'!$A$1:$B$161,2,0),0)</f>
        <v>0</v>
      </c>
      <c r="P125" s="97">
        <f>IFERROR(VLOOKUP(O125,'RoC6'!$B$1:$C$161,2,0),0)</f>
        <v>0</v>
      </c>
      <c r="Q125" s="137">
        <f>IFERROR(VLOOKUP($B125,'RoC7'!$A$1:$B$161,2,0),0)</f>
        <v>0</v>
      </c>
      <c r="R125" s="97">
        <f>IFERROR(VLOOKUP(Q125,'RoC7'!$B$1:$C$161,2,0),0)</f>
        <v>0</v>
      </c>
      <c r="S125" s="137">
        <f>IFERROR(VLOOKUP($B125,'RoC8'!$A$1:$B$161,2,0),0)</f>
        <v>0</v>
      </c>
      <c r="T125" s="97">
        <f>IFERROR(VLOOKUP(S125,'RoC8'!$B$1:$C$161,2,0),0)</f>
        <v>0</v>
      </c>
      <c r="U125" s="137">
        <f>IFERROR(VLOOKUP($B125,'RoC9'!$A$1:$B$161,2,0),0)</f>
        <v>0</v>
      </c>
      <c r="V125" s="97">
        <f>IFERROR(VLOOKUP(U125,'RoC9'!$B$1:$C$161,2,0),0)</f>
        <v>0</v>
      </c>
      <c r="W125" s="137">
        <f>IFERROR(VLOOKUP($B125,'RoC10'!$A$1:$B$161,2,0),0)</f>
        <v>0</v>
      </c>
      <c r="X125" s="97">
        <f>IFERROR(VLOOKUP(W125,'RoC10'!$B$1:$C$161,2,0),0)</f>
        <v>0</v>
      </c>
      <c r="Y125" s="137">
        <f>IFERROR(VLOOKUP($B125,'RoC11'!$A$1:$B$161,2,0),0)</f>
        <v>0</v>
      </c>
      <c r="Z125" s="97">
        <f>IFERROR(VLOOKUP(Y125,'RoC11'!$B$1:$C$161,2,0),0)</f>
        <v>0</v>
      </c>
      <c r="AA125" s="97">
        <f>IFERROR(VLOOKUP(E125,'RoC1'!$B$1:$C$160,2,0),0)</f>
        <v>0</v>
      </c>
      <c r="AB125" s="97">
        <f>IFERROR(VLOOKUP(G125,'RoC2'!$B$1:$C$160,2,0),0)</f>
        <v>0</v>
      </c>
      <c r="AC125" s="97">
        <f>IFERROR(VLOOKUP(I125,'RoC3'!$B$1:$C$160,2,0),0)</f>
        <v>0</v>
      </c>
      <c r="AD125" s="97">
        <f>IFERROR(VLOOKUP(K125,'RoC4'!$B$1:$C$160,2,0),0)</f>
        <v>0</v>
      </c>
      <c r="AE125" s="97">
        <f>IFERROR(VLOOKUP(M125,'RoC5'!$B$1:$C$160,2,0),0)</f>
        <v>0</v>
      </c>
      <c r="AF125" s="97">
        <f>IFERROR(VLOOKUP(O125,'RoC6'!$B$1:$C$160,2,0),0)</f>
        <v>0</v>
      </c>
      <c r="AG125" s="97">
        <f>IFERROR(VLOOKUP(Q125,'RoC7'!$B$1:$C$160,2,0),0)</f>
        <v>0</v>
      </c>
      <c r="AH125" s="97">
        <f>IFERROR(VLOOKUP(S125,'RoC8'!$B$1:$C$160,2,0),0)</f>
        <v>0</v>
      </c>
      <c r="AI125" s="97">
        <f>IFERROR(VLOOKUP(U125,'RoC9'!$B$1:$C$160,2,0),0)</f>
        <v>0</v>
      </c>
      <c r="AJ125" s="97">
        <f>IFERROR(VLOOKUP(W125,'RoC10'!$B$1:$C$160,2,0),0)</f>
        <v>0</v>
      </c>
      <c r="AK125" s="97">
        <f>IFERROR(VLOOKUP(Y125,'RoC11'!$B$1:$C$160,2,0),0)</f>
        <v>0</v>
      </c>
    </row>
    <row r="126" ht="15.75" customHeight="1">
      <c r="A126" s="135">
        <v>125.0</v>
      </c>
      <c r="B126" s="106"/>
      <c r="C126" s="93">
        <f t="shared" si="4"/>
        <v>0</v>
      </c>
      <c r="D126" s="136"/>
      <c r="E126" s="137" t="str">
        <f>IFERROR(VLOOKUP($B126,'RoC1'!$A$1:$B$160,2,0),"0")</f>
        <v>0</v>
      </c>
      <c r="F126" s="97">
        <f>IFERROR(VLOOKUP(E126,'RoC1'!$B$1:$C$160,2,0),0)</f>
        <v>0</v>
      </c>
      <c r="G126" s="137" t="str">
        <f>IFERROR(VLOOKUP($B126,'RoC2'!$A$1:$B$161,2,0),"0")</f>
        <v>0</v>
      </c>
      <c r="H126" s="97">
        <f>IFERROR(VLOOKUP(G126,'RoC2'!$B$1:$C$161,2,0),0)</f>
        <v>0</v>
      </c>
      <c r="I126" s="137">
        <f>IFERROR(VLOOKUP($B126,'RoC3'!$A$1:$B$161,2,0),0)</f>
        <v>0</v>
      </c>
      <c r="J126" s="97">
        <f>IFERROR(VLOOKUP(I126,'RoC3'!$B$1:$C$161,2,0),0)</f>
        <v>0</v>
      </c>
      <c r="K126" s="137">
        <f>IFERROR(VLOOKUP($B126,'RoC4'!$A$1:$B$161,2,0),0)</f>
        <v>0</v>
      </c>
      <c r="L126" s="97">
        <f>IFERROR(VLOOKUP(K126,'RoC4'!$B$1:$C$161,2,0),0)</f>
        <v>0</v>
      </c>
      <c r="M126" s="137">
        <f>IFERROR(VLOOKUP($B126,'RoC5'!$A$1:$B$161,2,0),0)</f>
        <v>0</v>
      </c>
      <c r="N126" s="97">
        <f>IFERROR(VLOOKUP(M126,'RoC5'!$B$1:$C$161,2,0),0)</f>
        <v>0</v>
      </c>
      <c r="O126" s="137">
        <f>IFERROR(VLOOKUP($B126,'RoC6'!$A$1:$B$161,2,0),0)</f>
        <v>0</v>
      </c>
      <c r="P126" s="97">
        <f>IFERROR(VLOOKUP(O126,'RoC6'!$B$1:$C$161,2,0),0)</f>
        <v>0</v>
      </c>
      <c r="Q126" s="137">
        <f>IFERROR(VLOOKUP($B126,'RoC7'!$A$1:$B$161,2,0),0)</f>
        <v>0</v>
      </c>
      <c r="R126" s="97">
        <f>IFERROR(VLOOKUP(Q126,'RoC7'!$B$1:$C$161,2,0),0)</f>
        <v>0</v>
      </c>
      <c r="S126" s="137">
        <f>IFERROR(VLOOKUP($B126,'RoC8'!$A$1:$B$161,2,0),0)</f>
        <v>0</v>
      </c>
      <c r="T126" s="97">
        <f>IFERROR(VLOOKUP(S126,'RoC8'!$B$1:$C$161,2,0),0)</f>
        <v>0</v>
      </c>
      <c r="U126" s="137">
        <f>IFERROR(VLOOKUP($B126,'RoC9'!$A$1:$B$161,2,0),0)</f>
        <v>0</v>
      </c>
      <c r="V126" s="97">
        <f>IFERROR(VLOOKUP(U126,'RoC9'!$B$1:$C$161,2,0),0)</f>
        <v>0</v>
      </c>
      <c r="W126" s="137">
        <f>IFERROR(VLOOKUP($B126,'RoC10'!$A$1:$B$161,2,0),0)</f>
        <v>0</v>
      </c>
      <c r="X126" s="97">
        <f>IFERROR(VLOOKUP(W126,'RoC10'!$B$1:$C$161,2,0),0)</f>
        <v>0</v>
      </c>
      <c r="Y126" s="137">
        <f>IFERROR(VLOOKUP($B126,'RoC11'!$A$1:$B$161,2,0),0)</f>
        <v>0</v>
      </c>
      <c r="Z126" s="97">
        <f>IFERROR(VLOOKUP(Y126,'RoC11'!$B$1:$C$161,2,0),0)</f>
        <v>0</v>
      </c>
      <c r="AA126" s="97">
        <f>IFERROR(VLOOKUP(E126,'RoC1'!$B$1:$C$160,2,0),0)</f>
        <v>0</v>
      </c>
      <c r="AB126" s="97">
        <f>IFERROR(VLOOKUP(G126,'RoC2'!$B$1:$C$160,2,0),0)</f>
        <v>0</v>
      </c>
      <c r="AC126" s="97">
        <f>IFERROR(VLOOKUP(I126,'RoC3'!$B$1:$C$160,2,0),0)</f>
        <v>0</v>
      </c>
      <c r="AD126" s="97">
        <f>IFERROR(VLOOKUP(K126,'RoC4'!$B$1:$C$160,2,0),0)</f>
        <v>0</v>
      </c>
      <c r="AE126" s="97">
        <f>IFERROR(VLOOKUP(M126,'RoC5'!$B$1:$C$160,2,0),0)</f>
        <v>0</v>
      </c>
      <c r="AF126" s="97">
        <f>IFERROR(VLOOKUP(O126,'RoC6'!$B$1:$C$160,2,0),0)</f>
        <v>0</v>
      </c>
      <c r="AG126" s="97">
        <f>IFERROR(VLOOKUP(Q126,'RoC7'!$B$1:$C$160,2,0),0)</f>
        <v>0</v>
      </c>
      <c r="AH126" s="97">
        <f>IFERROR(VLOOKUP(S126,'RoC8'!$B$1:$C$160,2,0),0)</f>
        <v>0</v>
      </c>
      <c r="AI126" s="97">
        <f>IFERROR(VLOOKUP(U126,'RoC9'!$B$1:$C$160,2,0),0)</f>
        <v>0</v>
      </c>
      <c r="AJ126" s="97">
        <f>IFERROR(VLOOKUP(W126,'RoC10'!$B$1:$C$160,2,0),0)</f>
        <v>0</v>
      </c>
      <c r="AK126" s="97">
        <f>IFERROR(VLOOKUP(Y126,'RoC11'!$B$1:$C$160,2,0),0)</f>
        <v>0</v>
      </c>
    </row>
    <row r="127" ht="15.75" customHeight="1">
      <c r="A127" s="135">
        <v>126.0</v>
      </c>
      <c r="B127" s="107"/>
      <c r="C127" s="93">
        <f t="shared" si="4"/>
        <v>0</v>
      </c>
      <c r="D127" s="136"/>
      <c r="E127" s="137" t="str">
        <f>IFERROR(VLOOKUP($B127,'RoC1'!$A$1:$B$160,2,0),"0")</f>
        <v>0</v>
      </c>
      <c r="F127" s="97">
        <f>IFERROR(VLOOKUP(E127,'RoC1'!$B$1:$C$160,2,0),0)</f>
        <v>0</v>
      </c>
      <c r="G127" s="137" t="str">
        <f>IFERROR(VLOOKUP($B127,'RoC2'!$A$1:$B$161,2,0),"0")</f>
        <v>0</v>
      </c>
      <c r="H127" s="97">
        <f>IFERROR(VLOOKUP(G127,'RoC2'!$B$1:$C$161,2,0),0)</f>
        <v>0</v>
      </c>
      <c r="I127" s="137">
        <f>IFERROR(VLOOKUP($B127,'RoC3'!$A$1:$B$161,2,0),0)</f>
        <v>0</v>
      </c>
      <c r="J127" s="97">
        <f>IFERROR(VLOOKUP(I127,'RoC3'!$B$1:$C$161,2,0),0)</f>
        <v>0</v>
      </c>
      <c r="K127" s="137">
        <f>IFERROR(VLOOKUP($B127,'RoC4'!$A$1:$B$161,2,0),0)</f>
        <v>0</v>
      </c>
      <c r="L127" s="97">
        <f>IFERROR(VLOOKUP(K127,'RoC4'!$B$1:$C$161,2,0),0)</f>
        <v>0</v>
      </c>
      <c r="M127" s="137">
        <f>IFERROR(VLOOKUP($B127,'RoC5'!$A$1:$B$161,2,0),0)</f>
        <v>0</v>
      </c>
      <c r="N127" s="97">
        <f>IFERROR(VLOOKUP(M127,'RoC5'!$B$1:$C$161,2,0),0)</f>
        <v>0</v>
      </c>
      <c r="O127" s="137">
        <f>IFERROR(VLOOKUP($B127,'RoC6'!$A$1:$B$161,2,0),0)</f>
        <v>0</v>
      </c>
      <c r="P127" s="97">
        <f>IFERROR(VLOOKUP(O127,'RoC6'!$B$1:$C$161,2,0),0)</f>
        <v>0</v>
      </c>
      <c r="Q127" s="137">
        <f>IFERROR(VLOOKUP($B127,'RoC7'!$A$1:$B$161,2,0),0)</f>
        <v>0</v>
      </c>
      <c r="R127" s="97">
        <f>IFERROR(VLOOKUP(Q127,'RoC7'!$B$1:$C$161,2,0),0)</f>
        <v>0</v>
      </c>
      <c r="S127" s="137">
        <f>IFERROR(VLOOKUP($B127,'RoC8'!$A$1:$B$161,2,0),0)</f>
        <v>0</v>
      </c>
      <c r="T127" s="97">
        <f>IFERROR(VLOOKUP(S127,'RoC8'!$B$1:$C$161,2,0),0)</f>
        <v>0</v>
      </c>
      <c r="U127" s="137">
        <f>IFERROR(VLOOKUP($B127,'RoC9'!$A$1:$B$161,2,0),0)</f>
        <v>0</v>
      </c>
      <c r="V127" s="97">
        <f>IFERROR(VLOOKUP(U127,'RoC9'!$B$1:$C$161,2,0),0)</f>
        <v>0</v>
      </c>
      <c r="W127" s="137">
        <f>IFERROR(VLOOKUP($B127,'RoC10'!$A$1:$B$161,2,0),0)</f>
        <v>0</v>
      </c>
      <c r="X127" s="97">
        <f>IFERROR(VLOOKUP(W127,'RoC10'!$B$1:$C$161,2,0),0)</f>
        <v>0</v>
      </c>
      <c r="Y127" s="137">
        <f>IFERROR(VLOOKUP($B127,'RoC11'!$A$1:$B$161,2,0),0)</f>
        <v>0</v>
      </c>
      <c r="Z127" s="97">
        <f>IFERROR(VLOOKUP(Y127,'RoC11'!$B$1:$C$161,2,0),0)</f>
        <v>0</v>
      </c>
      <c r="AA127" s="97">
        <f>IFERROR(VLOOKUP(E127,'RoC1'!$B$1:$C$160,2,0),0)</f>
        <v>0</v>
      </c>
      <c r="AB127" s="97">
        <f>IFERROR(VLOOKUP(G127,'RoC2'!$B$1:$C$160,2,0),0)</f>
        <v>0</v>
      </c>
      <c r="AC127" s="97">
        <f>IFERROR(VLOOKUP(I127,'RoC3'!$B$1:$C$160,2,0),0)</f>
        <v>0</v>
      </c>
      <c r="AD127" s="97">
        <f>IFERROR(VLOOKUP(K127,'RoC4'!$B$1:$C$160,2,0),0)</f>
        <v>0</v>
      </c>
      <c r="AE127" s="97">
        <f>IFERROR(VLOOKUP(M127,'RoC5'!$B$1:$C$160,2,0),0)</f>
        <v>0</v>
      </c>
      <c r="AF127" s="97">
        <f>IFERROR(VLOOKUP(O127,'RoC6'!$B$1:$C$160,2,0),0)</f>
        <v>0</v>
      </c>
      <c r="AG127" s="97">
        <f>IFERROR(VLOOKUP(Q127,'RoC7'!$B$1:$C$160,2,0),0)</f>
        <v>0</v>
      </c>
      <c r="AH127" s="97">
        <f>IFERROR(VLOOKUP(S127,'RoC8'!$B$1:$C$160,2,0),0)</f>
        <v>0</v>
      </c>
      <c r="AI127" s="97">
        <f>IFERROR(VLOOKUP(U127,'RoC9'!$B$1:$C$160,2,0),0)</f>
        <v>0</v>
      </c>
      <c r="AJ127" s="97">
        <f>IFERROR(VLOOKUP(W127,'RoC10'!$B$1:$C$160,2,0),0)</f>
        <v>0</v>
      </c>
      <c r="AK127" s="97">
        <f>IFERROR(VLOOKUP(Y127,'RoC11'!$B$1:$C$160,2,0),0)</f>
        <v>0</v>
      </c>
    </row>
    <row r="128" ht="15.75" customHeight="1">
      <c r="A128" s="135">
        <v>127.0</v>
      </c>
      <c r="B128" s="103"/>
      <c r="C128" s="93">
        <f t="shared" si="4"/>
        <v>0</v>
      </c>
      <c r="D128" s="136"/>
      <c r="E128" s="137" t="str">
        <f>IFERROR(VLOOKUP($B128,'RoC1'!$A$1:$B$160,2,0),"0")</f>
        <v>0</v>
      </c>
      <c r="F128" s="97">
        <f>IFERROR(VLOOKUP(E128,'RoC1'!$B$1:$C$160,2,0),0)</f>
        <v>0</v>
      </c>
      <c r="G128" s="137" t="str">
        <f>IFERROR(VLOOKUP($B128,'RoC2'!$A$1:$B$161,2,0),"0")</f>
        <v>0</v>
      </c>
      <c r="H128" s="97">
        <f>IFERROR(VLOOKUP(G128,'RoC2'!$B$1:$C$161,2,0),0)</f>
        <v>0</v>
      </c>
      <c r="I128" s="137">
        <f>IFERROR(VLOOKUP($B128,'RoC3'!$A$1:$B$161,2,0),0)</f>
        <v>0</v>
      </c>
      <c r="J128" s="97">
        <f>IFERROR(VLOOKUP(I128,'RoC3'!$B$1:$C$161,2,0),0)</f>
        <v>0</v>
      </c>
      <c r="K128" s="137">
        <f>IFERROR(VLOOKUP($B128,'RoC4'!$A$1:$B$161,2,0),0)</f>
        <v>0</v>
      </c>
      <c r="L128" s="97">
        <f>IFERROR(VLOOKUP(K128,'RoC4'!$B$1:$C$161,2,0),0)</f>
        <v>0</v>
      </c>
      <c r="M128" s="137">
        <f>IFERROR(VLOOKUP($B128,'RoC5'!$A$1:$B$161,2,0),0)</f>
        <v>0</v>
      </c>
      <c r="N128" s="97">
        <f>IFERROR(VLOOKUP(M128,'RoC5'!$B$1:$C$161,2,0),0)</f>
        <v>0</v>
      </c>
      <c r="O128" s="137">
        <f>IFERROR(VLOOKUP($B128,'RoC6'!$A$1:$B$161,2,0),0)</f>
        <v>0</v>
      </c>
      <c r="P128" s="97">
        <f>IFERROR(VLOOKUP(O128,'RoC6'!$B$1:$C$161,2,0),0)</f>
        <v>0</v>
      </c>
      <c r="Q128" s="137">
        <f>IFERROR(VLOOKUP($B128,'RoC7'!$A$1:$B$161,2,0),0)</f>
        <v>0</v>
      </c>
      <c r="R128" s="97">
        <f>IFERROR(VLOOKUP(Q128,'RoC7'!$B$1:$C$161,2,0),0)</f>
        <v>0</v>
      </c>
      <c r="S128" s="137">
        <f>IFERROR(VLOOKUP($B128,'RoC8'!$A$1:$B$161,2,0),0)</f>
        <v>0</v>
      </c>
      <c r="T128" s="97">
        <f>IFERROR(VLOOKUP(S128,'RoC8'!$B$1:$C$161,2,0),0)</f>
        <v>0</v>
      </c>
      <c r="U128" s="137">
        <f>IFERROR(VLOOKUP($B128,'RoC9'!$A$1:$B$161,2,0),0)</f>
        <v>0</v>
      </c>
      <c r="V128" s="97">
        <f>IFERROR(VLOOKUP(U128,'RoC9'!$B$1:$C$161,2,0),0)</f>
        <v>0</v>
      </c>
      <c r="W128" s="137">
        <f>IFERROR(VLOOKUP($B128,'RoC10'!$A$1:$B$161,2,0),0)</f>
        <v>0</v>
      </c>
      <c r="X128" s="97">
        <f>IFERROR(VLOOKUP(W128,'RoC10'!$B$1:$C$161,2,0),0)</f>
        <v>0</v>
      </c>
      <c r="Y128" s="137">
        <f>IFERROR(VLOOKUP($B128,'RoC11'!$A$1:$B$161,2,0),0)</f>
        <v>0</v>
      </c>
      <c r="Z128" s="97">
        <f>IFERROR(VLOOKUP(Y128,'RoC11'!$B$1:$C$161,2,0),0)</f>
        <v>0</v>
      </c>
      <c r="AA128" s="97">
        <f>IFERROR(VLOOKUP(E128,'RoC1'!$B$1:$C$160,2,0),0)</f>
        <v>0</v>
      </c>
      <c r="AB128" s="97">
        <f>IFERROR(VLOOKUP(G128,'RoC2'!$B$1:$C$160,2,0),0)</f>
        <v>0</v>
      </c>
      <c r="AC128" s="97">
        <f>IFERROR(VLOOKUP(I128,'RoC3'!$B$1:$C$160,2,0),0)</f>
        <v>0</v>
      </c>
      <c r="AD128" s="97">
        <f>IFERROR(VLOOKUP(K128,'RoC4'!$B$1:$C$160,2,0),0)</f>
        <v>0</v>
      </c>
      <c r="AE128" s="97">
        <f>IFERROR(VLOOKUP(M128,'RoC5'!$B$1:$C$160,2,0),0)</f>
        <v>0</v>
      </c>
      <c r="AF128" s="97">
        <f>IFERROR(VLOOKUP(O128,'RoC6'!$B$1:$C$160,2,0),0)</f>
        <v>0</v>
      </c>
      <c r="AG128" s="97">
        <f>IFERROR(VLOOKUP(Q128,'RoC7'!$B$1:$C$160,2,0),0)</f>
        <v>0</v>
      </c>
      <c r="AH128" s="97">
        <f>IFERROR(VLOOKUP(S128,'RoC8'!$B$1:$C$160,2,0),0)</f>
        <v>0</v>
      </c>
      <c r="AI128" s="97">
        <f>IFERROR(VLOOKUP(U128,'RoC9'!$B$1:$C$160,2,0),0)</f>
        <v>0</v>
      </c>
      <c r="AJ128" s="97">
        <f>IFERROR(VLOOKUP(W128,'RoC10'!$B$1:$C$160,2,0),0)</f>
        <v>0</v>
      </c>
      <c r="AK128" s="97">
        <f>IFERROR(VLOOKUP(Y128,'RoC11'!$B$1:$C$160,2,0),0)</f>
        <v>0</v>
      </c>
    </row>
    <row r="129" ht="15.75" customHeight="1">
      <c r="A129" s="135">
        <v>128.0</v>
      </c>
      <c r="B129" s="103"/>
      <c r="C129" s="93">
        <f t="shared" si="4"/>
        <v>0</v>
      </c>
      <c r="D129" s="136"/>
      <c r="E129" s="137" t="str">
        <f>IFERROR(VLOOKUP($B129,'RoC1'!$A$1:$B$160,2,0),"0")</f>
        <v>0</v>
      </c>
      <c r="F129" s="97">
        <f>IFERROR(VLOOKUP(E129,'RoC1'!$B$1:$C$160,2,0),0)</f>
        <v>0</v>
      </c>
      <c r="G129" s="137" t="str">
        <f>IFERROR(VLOOKUP($B129,'RoC2'!$A$1:$B$161,2,0),"0")</f>
        <v>0</v>
      </c>
      <c r="H129" s="97">
        <f>IFERROR(VLOOKUP(G129,'RoC2'!$B$1:$C$161,2,0),0)</f>
        <v>0</v>
      </c>
      <c r="I129" s="137">
        <f>IFERROR(VLOOKUP($B129,'RoC3'!$A$1:$B$161,2,0),0)</f>
        <v>0</v>
      </c>
      <c r="J129" s="97">
        <f>IFERROR(VLOOKUP(I129,'RoC3'!$B$1:$C$161,2,0),0)</f>
        <v>0</v>
      </c>
      <c r="K129" s="137">
        <f>IFERROR(VLOOKUP($B129,'RoC4'!$A$1:$B$161,2,0),0)</f>
        <v>0</v>
      </c>
      <c r="L129" s="97">
        <f>IFERROR(VLOOKUP(K129,'RoC4'!$B$1:$C$161,2,0),0)</f>
        <v>0</v>
      </c>
      <c r="M129" s="137">
        <f>IFERROR(VLOOKUP($B129,'RoC5'!$A$1:$B$161,2,0),0)</f>
        <v>0</v>
      </c>
      <c r="N129" s="97">
        <f>IFERROR(VLOOKUP(M129,'RoC5'!$B$1:$C$161,2,0),0)</f>
        <v>0</v>
      </c>
      <c r="O129" s="137">
        <f>IFERROR(VLOOKUP($B129,'RoC6'!$A$1:$B$161,2,0),0)</f>
        <v>0</v>
      </c>
      <c r="P129" s="97">
        <f>IFERROR(VLOOKUP(O129,'RoC6'!$B$1:$C$161,2,0),0)</f>
        <v>0</v>
      </c>
      <c r="Q129" s="137">
        <f>IFERROR(VLOOKUP($B129,'RoC7'!$A$1:$B$161,2,0),0)</f>
        <v>0</v>
      </c>
      <c r="R129" s="97">
        <f>IFERROR(VLOOKUP(Q129,'RoC7'!$B$1:$C$161,2,0),0)</f>
        <v>0</v>
      </c>
      <c r="S129" s="137">
        <f>IFERROR(VLOOKUP($B129,'RoC8'!$A$1:$B$161,2,0),0)</f>
        <v>0</v>
      </c>
      <c r="T129" s="97">
        <f>IFERROR(VLOOKUP(S129,'RoC8'!$B$1:$C$161,2,0),0)</f>
        <v>0</v>
      </c>
      <c r="U129" s="137">
        <f>IFERROR(VLOOKUP($B129,'RoC9'!$A$1:$B$161,2,0),0)</f>
        <v>0</v>
      </c>
      <c r="V129" s="97">
        <f>IFERROR(VLOOKUP(U129,'RoC9'!$B$1:$C$161,2,0),0)</f>
        <v>0</v>
      </c>
      <c r="W129" s="137">
        <f>IFERROR(VLOOKUP($B129,'RoC10'!$A$1:$B$161,2,0),0)</f>
        <v>0</v>
      </c>
      <c r="X129" s="97">
        <f>IFERROR(VLOOKUP(W129,'RoC10'!$B$1:$C$161,2,0),0)</f>
        <v>0</v>
      </c>
      <c r="Y129" s="137">
        <f>IFERROR(VLOOKUP($B129,'RoC11'!$A$1:$B$161,2,0),0)</f>
        <v>0</v>
      </c>
      <c r="Z129" s="97">
        <f>IFERROR(VLOOKUP(Y129,'RoC11'!$B$1:$C$161,2,0),0)</f>
        <v>0</v>
      </c>
      <c r="AA129" s="97">
        <f>IFERROR(VLOOKUP(E129,'RoC1'!$B$1:$C$160,2,0),0)</f>
        <v>0</v>
      </c>
      <c r="AB129" s="97">
        <f>IFERROR(VLOOKUP(G129,'RoC2'!$B$1:$C$160,2,0),0)</f>
        <v>0</v>
      </c>
      <c r="AC129" s="97">
        <f>IFERROR(VLOOKUP(I129,'RoC3'!$B$1:$C$160,2,0),0)</f>
        <v>0</v>
      </c>
      <c r="AD129" s="97">
        <f>IFERROR(VLOOKUP(K129,'RoC4'!$B$1:$C$160,2,0),0)</f>
        <v>0</v>
      </c>
      <c r="AE129" s="97">
        <f>IFERROR(VLOOKUP(M129,'RoC5'!$B$1:$C$160,2,0),0)</f>
        <v>0</v>
      </c>
      <c r="AF129" s="97">
        <f>IFERROR(VLOOKUP(O129,'RoC6'!$B$1:$C$160,2,0),0)</f>
        <v>0</v>
      </c>
      <c r="AG129" s="97">
        <f>IFERROR(VLOOKUP(Q129,'RoC7'!$B$1:$C$160,2,0),0)</f>
        <v>0</v>
      </c>
      <c r="AH129" s="97">
        <f>IFERROR(VLOOKUP(S129,'RoC8'!$B$1:$C$160,2,0),0)</f>
        <v>0</v>
      </c>
      <c r="AI129" s="97">
        <f>IFERROR(VLOOKUP(U129,'RoC9'!$B$1:$C$160,2,0),0)</f>
        <v>0</v>
      </c>
      <c r="AJ129" s="97">
        <f>IFERROR(VLOOKUP(W129,'RoC10'!$B$1:$C$160,2,0),0)</f>
        <v>0</v>
      </c>
      <c r="AK129" s="97">
        <f>IFERROR(VLOOKUP(Y129,'RoC11'!$B$1:$C$160,2,0),0)</f>
        <v>0</v>
      </c>
    </row>
    <row r="130" ht="15.75" customHeight="1">
      <c r="A130" s="135">
        <v>129.0</v>
      </c>
      <c r="B130" s="103"/>
      <c r="C130" s="93">
        <f t="shared" si="4"/>
        <v>0</v>
      </c>
      <c r="D130" s="136"/>
      <c r="E130" s="137" t="str">
        <f>IFERROR(VLOOKUP($B130,'RoC1'!$A$1:$B$160,2,0),"0")</f>
        <v>0</v>
      </c>
      <c r="F130" s="97">
        <f>IFERROR(VLOOKUP(E130,'RoC1'!$B$1:$C$160,2,0),0)</f>
        <v>0</v>
      </c>
      <c r="G130" s="137" t="str">
        <f>IFERROR(VLOOKUP($B130,'RoC2'!$A$1:$B$161,2,0),"0")</f>
        <v>0</v>
      </c>
      <c r="H130" s="97">
        <f>IFERROR(VLOOKUP(G130,'RoC2'!$B$1:$C$161,2,0),0)</f>
        <v>0</v>
      </c>
      <c r="I130" s="137">
        <f>IFERROR(VLOOKUP($B130,'RoC3'!$A$1:$B$161,2,0),0)</f>
        <v>0</v>
      </c>
      <c r="J130" s="97">
        <f>IFERROR(VLOOKUP(I130,'RoC3'!$B$1:$C$161,2,0),0)</f>
        <v>0</v>
      </c>
      <c r="K130" s="137">
        <f>IFERROR(VLOOKUP($B130,'RoC4'!$A$1:$B$161,2,0),0)</f>
        <v>0</v>
      </c>
      <c r="L130" s="97">
        <f>IFERROR(VLOOKUP(K130,'RoC4'!$B$1:$C$161,2,0),0)</f>
        <v>0</v>
      </c>
      <c r="M130" s="137">
        <f>IFERROR(VLOOKUP($B130,'RoC5'!$A$1:$B$161,2,0),0)</f>
        <v>0</v>
      </c>
      <c r="N130" s="97">
        <f>IFERROR(VLOOKUP(M130,'RoC5'!$B$1:$C$161,2,0),0)</f>
        <v>0</v>
      </c>
      <c r="O130" s="137">
        <f>IFERROR(VLOOKUP($B130,'RoC6'!$A$1:$B$161,2,0),0)</f>
        <v>0</v>
      </c>
      <c r="P130" s="97">
        <f>IFERROR(VLOOKUP(O130,'RoC6'!$B$1:$C$161,2,0),0)</f>
        <v>0</v>
      </c>
      <c r="Q130" s="137">
        <f>IFERROR(VLOOKUP($B130,'RoC7'!$A$1:$B$161,2,0),0)</f>
        <v>0</v>
      </c>
      <c r="R130" s="97">
        <f>IFERROR(VLOOKUP(Q130,'RoC7'!$B$1:$C$161,2,0),0)</f>
        <v>0</v>
      </c>
      <c r="S130" s="137">
        <f>IFERROR(VLOOKUP($B130,'RoC8'!$A$1:$B$161,2,0),0)</f>
        <v>0</v>
      </c>
      <c r="T130" s="97">
        <f>IFERROR(VLOOKUP(S130,'RoC8'!$B$1:$C$161,2,0),0)</f>
        <v>0</v>
      </c>
      <c r="U130" s="137">
        <f>IFERROR(VLOOKUP($B130,'RoC9'!$A$1:$B$161,2,0),0)</f>
        <v>0</v>
      </c>
      <c r="V130" s="97">
        <f>IFERROR(VLOOKUP(U130,'RoC9'!$B$1:$C$161,2,0),0)</f>
        <v>0</v>
      </c>
      <c r="W130" s="137">
        <f>IFERROR(VLOOKUP($B130,'RoC10'!$A$1:$B$161,2,0),0)</f>
        <v>0</v>
      </c>
      <c r="X130" s="97">
        <f>IFERROR(VLOOKUP(W130,'RoC10'!$B$1:$C$161,2,0),0)</f>
        <v>0</v>
      </c>
      <c r="Y130" s="137">
        <f>IFERROR(VLOOKUP($B130,'RoC11'!$A$1:$B$161,2,0),0)</f>
        <v>0</v>
      </c>
      <c r="Z130" s="97">
        <f>IFERROR(VLOOKUP(Y130,'RoC11'!$B$1:$C$161,2,0),0)</f>
        <v>0</v>
      </c>
      <c r="AA130" s="97">
        <f>IFERROR(VLOOKUP(E130,'RoC1'!$B$1:$C$160,2,0),0)</f>
        <v>0</v>
      </c>
      <c r="AB130" s="97">
        <f>IFERROR(VLOOKUP(G130,'RoC2'!$B$1:$C$160,2,0),0)</f>
        <v>0</v>
      </c>
      <c r="AC130" s="97">
        <f>IFERROR(VLOOKUP(I130,'RoC3'!$B$1:$C$160,2,0),0)</f>
        <v>0</v>
      </c>
      <c r="AD130" s="97">
        <f>IFERROR(VLOOKUP(K130,'RoC4'!$B$1:$C$160,2,0),0)</f>
        <v>0</v>
      </c>
      <c r="AE130" s="97">
        <f>IFERROR(VLOOKUP(M130,'RoC5'!$B$1:$C$160,2,0),0)</f>
        <v>0</v>
      </c>
      <c r="AF130" s="97">
        <f>IFERROR(VLOOKUP(O130,'RoC6'!$B$1:$C$160,2,0),0)</f>
        <v>0</v>
      </c>
      <c r="AG130" s="97">
        <f>IFERROR(VLOOKUP(Q130,'RoC7'!$B$1:$C$160,2,0),0)</f>
        <v>0</v>
      </c>
      <c r="AH130" s="97">
        <f>IFERROR(VLOOKUP(S130,'RoC8'!$B$1:$C$160,2,0),0)</f>
        <v>0</v>
      </c>
      <c r="AI130" s="97">
        <f>IFERROR(VLOOKUP(U130,'RoC9'!$B$1:$C$160,2,0),0)</f>
        <v>0</v>
      </c>
      <c r="AJ130" s="97">
        <f>IFERROR(VLOOKUP(W130,'RoC10'!$B$1:$C$160,2,0),0)</f>
        <v>0</v>
      </c>
      <c r="AK130" s="97">
        <f>IFERROR(VLOOKUP(Y130,'RoC11'!$B$1:$C$160,2,0),0)</f>
        <v>0</v>
      </c>
    </row>
    <row r="131" ht="15.75" customHeight="1">
      <c r="A131" s="135">
        <v>130.0</v>
      </c>
      <c r="B131" s="103"/>
      <c r="C131" s="93">
        <f t="shared" si="4"/>
        <v>0</v>
      </c>
      <c r="D131" s="136"/>
      <c r="E131" s="137" t="str">
        <f>IFERROR(VLOOKUP($B131,'RoC1'!$A$1:$B$160,2,0),"0")</f>
        <v>0</v>
      </c>
      <c r="F131" s="97">
        <f>IFERROR(VLOOKUP(E131,'RoC1'!$B$1:$C$160,2,0),0)</f>
        <v>0</v>
      </c>
      <c r="G131" s="137" t="str">
        <f>IFERROR(VLOOKUP($B131,'RoC2'!$A$1:$B$161,2,0),"0")</f>
        <v>0</v>
      </c>
      <c r="H131" s="97">
        <f>IFERROR(VLOOKUP(G131,'RoC2'!$B$1:$C$161,2,0),0)</f>
        <v>0</v>
      </c>
      <c r="I131" s="137">
        <f>IFERROR(VLOOKUP($B131,'RoC3'!$A$1:$B$161,2,0),0)</f>
        <v>0</v>
      </c>
      <c r="J131" s="97">
        <f>IFERROR(VLOOKUP(I131,'RoC3'!$B$1:$C$161,2,0),0)</f>
        <v>0</v>
      </c>
      <c r="K131" s="137">
        <f>IFERROR(VLOOKUP($B131,'RoC4'!$A$1:$B$161,2,0),0)</f>
        <v>0</v>
      </c>
      <c r="L131" s="97">
        <f>IFERROR(VLOOKUP(K131,'RoC4'!$B$1:$C$161,2,0),0)</f>
        <v>0</v>
      </c>
      <c r="M131" s="137">
        <f>IFERROR(VLOOKUP($B131,'RoC5'!$A$1:$B$161,2,0),0)</f>
        <v>0</v>
      </c>
      <c r="N131" s="97">
        <f>IFERROR(VLOOKUP(M131,'RoC5'!$B$1:$C$161,2,0),0)</f>
        <v>0</v>
      </c>
      <c r="O131" s="137">
        <f>IFERROR(VLOOKUP($B131,'RoC6'!$A$1:$B$161,2,0),0)</f>
        <v>0</v>
      </c>
      <c r="P131" s="97">
        <f>IFERROR(VLOOKUP(O131,'RoC6'!$B$1:$C$161,2,0),0)</f>
        <v>0</v>
      </c>
      <c r="Q131" s="137">
        <f>IFERROR(VLOOKUP($B131,'RoC7'!$A$1:$B$161,2,0),0)</f>
        <v>0</v>
      </c>
      <c r="R131" s="97">
        <f>IFERROR(VLOOKUP(Q131,'RoC7'!$B$1:$C$161,2,0),0)</f>
        <v>0</v>
      </c>
      <c r="S131" s="137">
        <f>IFERROR(VLOOKUP($B131,'RoC8'!$A$1:$B$161,2,0),0)</f>
        <v>0</v>
      </c>
      <c r="T131" s="97">
        <f>IFERROR(VLOOKUP(S131,'RoC8'!$B$1:$C$161,2,0),0)</f>
        <v>0</v>
      </c>
      <c r="U131" s="137">
        <f>IFERROR(VLOOKUP($B131,'RoC9'!$A$1:$B$161,2,0),0)</f>
        <v>0</v>
      </c>
      <c r="V131" s="97">
        <f>IFERROR(VLOOKUP(U131,'RoC9'!$B$1:$C$161,2,0),0)</f>
        <v>0</v>
      </c>
      <c r="W131" s="137">
        <f>IFERROR(VLOOKUP($B131,'RoC10'!$A$1:$B$161,2,0),0)</f>
        <v>0</v>
      </c>
      <c r="X131" s="97">
        <f>IFERROR(VLOOKUP(W131,'RoC10'!$B$1:$C$161,2,0),0)</f>
        <v>0</v>
      </c>
      <c r="Y131" s="137">
        <f>IFERROR(VLOOKUP($B131,'RoC11'!$A$1:$B$161,2,0),0)</f>
        <v>0</v>
      </c>
      <c r="Z131" s="97">
        <f>IFERROR(VLOOKUP(Y131,'RoC11'!$B$1:$C$161,2,0),0)</f>
        <v>0</v>
      </c>
      <c r="AA131" s="97">
        <f>IFERROR(VLOOKUP(E131,'RoC1'!$B$1:$C$160,2,0),0)</f>
        <v>0</v>
      </c>
      <c r="AB131" s="97">
        <f>IFERROR(VLOOKUP(G131,'RoC2'!$B$1:$C$160,2,0),0)</f>
        <v>0</v>
      </c>
      <c r="AC131" s="97">
        <f>IFERROR(VLOOKUP(I131,'RoC3'!$B$1:$C$160,2,0),0)</f>
        <v>0</v>
      </c>
      <c r="AD131" s="97">
        <f>IFERROR(VLOOKUP(K131,'RoC4'!$B$1:$C$160,2,0),0)</f>
        <v>0</v>
      </c>
      <c r="AE131" s="97">
        <f>IFERROR(VLOOKUP(M131,'RoC5'!$B$1:$C$160,2,0),0)</f>
        <v>0</v>
      </c>
      <c r="AF131" s="97">
        <f>IFERROR(VLOOKUP(O131,'RoC6'!$B$1:$C$160,2,0),0)</f>
        <v>0</v>
      </c>
      <c r="AG131" s="97">
        <f>IFERROR(VLOOKUP(Q131,'RoC7'!$B$1:$C$160,2,0),0)</f>
        <v>0</v>
      </c>
      <c r="AH131" s="97">
        <f>IFERROR(VLOOKUP(S131,'RoC8'!$B$1:$C$160,2,0),0)</f>
        <v>0</v>
      </c>
      <c r="AI131" s="97">
        <f>IFERROR(VLOOKUP(U131,'RoC9'!$B$1:$C$160,2,0),0)</f>
        <v>0</v>
      </c>
      <c r="AJ131" s="97">
        <f>IFERROR(VLOOKUP(W131,'RoC10'!$B$1:$C$160,2,0),0)</f>
        <v>0</v>
      </c>
      <c r="AK131" s="97">
        <f>IFERROR(VLOOKUP(Y131,'RoC11'!$B$1:$C$160,2,0),0)</f>
        <v>0</v>
      </c>
    </row>
    <row r="132" ht="15.75" customHeight="1">
      <c r="A132" s="135">
        <v>131.0</v>
      </c>
      <c r="B132" s="103"/>
      <c r="C132" s="93">
        <f t="shared" si="4"/>
        <v>0</v>
      </c>
      <c r="D132" s="136"/>
      <c r="E132" s="137" t="str">
        <f>IFERROR(VLOOKUP($B132,'RoC1'!$A$1:$B$160,2,0),"0")</f>
        <v>0</v>
      </c>
      <c r="F132" s="97">
        <f>IFERROR(VLOOKUP(E132,'RoC1'!$B$1:$C$160,2,0),0)</f>
        <v>0</v>
      </c>
      <c r="G132" s="137" t="str">
        <f>IFERROR(VLOOKUP($B132,'RoC2'!$A$1:$B$161,2,0),"0")</f>
        <v>0</v>
      </c>
      <c r="H132" s="97">
        <f>IFERROR(VLOOKUP(G132,'RoC2'!$B$1:$C$161,2,0),0)</f>
        <v>0</v>
      </c>
      <c r="I132" s="137">
        <f>IFERROR(VLOOKUP($B132,'RoC3'!$A$1:$B$161,2,0),0)</f>
        <v>0</v>
      </c>
      <c r="J132" s="97">
        <f>IFERROR(VLOOKUP(I132,'RoC3'!$B$1:$C$161,2,0),0)</f>
        <v>0</v>
      </c>
      <c r="K132" s="137">
        <f>IFERROR(VLOOKUP($B132,'RoC4'!$A$1:$B$161,2,0),0)</f>
        <v>0</v>
      </c>
      <c r="L132" s="97">
        <f>IFERROR(VLOOKUP(K132,'RoC4'!$B$1:$C$161,2,0),0)</f>
        <v>0</v>
      </c>
      <c r="M132" s="137">
        <f>IFERROR(VLOOKUP($B132,'RoC5'!$A$1:$B$161,2,0),0)</f>
        <v>0</v>
      </c>
      <c r="N132" s="97">
        <f>IFERROR(VLOOKUP(M132,'RoC5'!$B$1:$C$161,2,0),0)</f>
        <v>0</v>
      </c>
      <c r="O132" s="137">
        <f>IFERROR(VLOOKUP($B132,'RoC6'!$A$1:$B$161,2,0),0)</f>
        <v>0</v>
      </c>
      <c r="P132" s="97">
        <f>IFERROR(VLOOKUP(O132,'RoC6'!$B$1:$C$161,2,0),0)</f>
        <v>0</v>
      </c>
      <c r="Q132" s="137">
        <f>IFERROR(VLOOKUP($B132,'RoC7'!$A$1:$B$161,2,0),0)</f>
        <v>0</v>
      </c>
      <c r="R132" s="97">
        <f>IFERROR(VLOOKUP(Q132,'RoC7'!$B$1:$C$161,2,0),0)</f>
        <v>0</v>
      </c>
      <c r="S132" s="137">
        <f>IFERROR(VLOOKUP($B132,'RoC8'!$A$1:$B$161,2,0),0)</f>
        <v>0</v>
      </c>
      <c r="T132" s="97">
        <f>IFERROR(VLOOKUP(S132,'RoC8'!$B$1:$C$161,2,0),0)</f>
        <v>0</v>
      </c>
      <c r="U132" s="137">
        <f>IFERROR(VLOOKUP($B132,'RoC9'!$A$1:$B$161,2,0),0)</f>
        <v>0</v>
      </c>
      <c r="V132" s="97">
        <f>IFERROR(VLOOKUP(U132,'RoC9'!$B$1:$C$161,2,0),0)</f>
        <v>0</v>
      </c>
      <c r="W132" s="137">
        <f>IFERROR(VLOOKUP($B132,'RoC10'!$A$1:$B$161,2,0),0)</f>
        <v>0</v>
      </c>
      <c r="X132" s="97">
        <f>IFERROR(VLOOKUP(W132,'RoC10'!$B$1:$C$161,2,0),0)</f>
        <v>0</v>
      </c>
      <c r="Y132" s="137">
        <f>IFERROR(VLOOKUP($B132,'RoC11'!$A$1:$B$161,2,0),0)</f>
        <v>0</v>
      </c>
      <c r="Z132" s="97">
        <f>IFERROR(VLOOKUP(Y132,'RoC11'!$B$1:$C$161,2,0),0)</f>
        <v>0</v>
      </c>
      <c r="AA132" s="97">
        <f>IFERROR(VLOOKUP(E132,'RoC1'!$B$1:$C$160,2,0),0)</f>
        <v>0</v>
      </c>
      <c r="AB132" s="97">
        <f>IFERROR(VLOOKUP(G132,'RoC2'!$B$1:$C$160,2,0),0)</f>
        <v>0</v>
      </c>
      <c r="AC132" s="97">
        <f>IFERROR(VLOOKUP(I132,'RoC3'!$B$1:$C$160,2,0),0)</f>
        <v>0</v>
      </c>
      <c r="AD132" s="97">
        <f>IFERROR(VLOOKUP(K132,'RoC4'!$B$1:$C$160,2,0),0)</f>
        <v>0</v>
      </c>
      <c r="AE132" s="97">
        <f>IFERROR(VLOOKUP(M132,'RoC5'!$B$1:$C$160,2,0),0)</f>
        <v>0</v>
      </c>
      <c r="AF132" s="97">
        <f>IFERROR(VLOOKUP(O132,'RoC6'!$B$1:$C$160,2,0),0)</f>
        <v>0</v>
      </c>
      <c r="AG132" s="97">
        <f>IFERROR(VLOOKUP(Q132,'RoC7'!$B$1:$C$160,2,0),0)</f>
        <v>0</v>
      </c>
      <c r="AH132" s="97">
        <f>IFERROR(VLOOKUP(S132,'RoC8'!$B$1:$C$160,2,0),0)</f>
        <v>0</v>
      </c>
      <c r="AI132" s="97">
        <f>IFERROR(VLOOKUP(U132,'RoC9'!$B$1:$C$160,2,0),0)</f>
        <v>0</v>
      </c>
      <c r="AJ132" s="97">
        <f>IFERROR(VLOOKUP(W132,'RoC10'!$B$1:$C$160,2,0),0)</f>
        <v>0</v>
      </c>
      <c r="AK132" s="97">
        <f>IFERROR(VLOOKUP(Y132,'RoC11'!$B$1:$C$160,2,0),0)</f>
        <v>0</v>
      </c>
    </row>
    <row r="133" ht="15.75" customHeight="1">
      <c r="A133" s="135">
        <v>132.0</v>
      </c>
      <c r="B133" s="103"/>
      <c r="C133" s="93">
        <f t="shared" si="4"/>
        <v>0</v>
      </c>
      <c r="D133" s="136"/>
      <c r="E133" s="137" t="str">
        <f>IFERROR(VLOOKUP($B133,'RoC1'!$A$1:$B$160,2,0),"0")</f>
        <v>0</v>
      </c>
      <c r="F133" s="97">
        <f>IFERROR(VLOOKUP(E133,'RoC1'!$B$1:$C$160,2,0),0)</f>
        <v>0</v>
      </c>
      <c r="G133" s="137" t="str">
        <f>IFERROR(VLOOKUP($B133,'RoC2'!$A$1:$B$161,2,0),"0")</f>
        <v>0</v>
      </c>
      <c r="H133" s="97">
        <f>IFERROR(VLOOKUP(G133,'RoC2'!$B$1:$C$161,2,0),0)</f>
        <v>0</v>
      </c>
      <c r="I133" s="137">
        <f>IFERROR(VLOOKUP($B133,'RoC3'!$A$1:$B$161,2,0),0)</f>
        <v>0</v>
      </c>
      <c r="J133" s="97">
        <f>IFERROR(VLOOKUP(I133,'RoC3'!$B$1:$C$161,2,0),0)</f>
        <v>0</v>
      </c>
      <c r="K133" s="137">
        <f>IFERROR(VLOOKUP($B133,'RoC4'!$A$1:$B$161,2,0),0)</f>
        <v>0</v>
      </c>
      <c r="L133" s="97">
        <f>IFERROR(VLOOKUP(K133,'RoC4'!$B$1:$C$161,2,0),0)</f>
        <v>0</v>
      </c>
      <c r="M133" s="137">
        <f>IFERROR(VLOOKUP($B133,'RoC5'!$A$1:$B$161,2,0),0)</f>
        <v>0</v>
      </c>
      <c r="N133" s="97">
        <f>IFERROR(VLOOKUP(M133,'RoC5'!$B$1:$C$161,2,0),0)</f>
        <v>0</v>
      </c>
      <c r="O133" s="137">
        <f>IFERROR(VLOOKUP($B133,'RoC6'!$A$1:$B$161,2,0),0)</f>
        <v>0</v>
      </c>
      <c r="P133" s="97">
        <f>IFERROR(VLOOKUP(O133,'RoC6'!$B$1:$C$161,2,0),0)</f>
        <v>0</v>
      </c>
      <c r="Q133" s="137">
        <f>IFERROR(VLOOKUP($B133,'RoC7'!$A$1:$B$161,2,0),0)</f>
        <v>0</v>
      </c>
      <c r="R133" s="97">
        <f>IFERROR(VLOOKUP(Q133,'RoC7'!$B$1:$C$161,2,0),0)</f>
        <v>0</v>
      </c>
      <c r="S133" s="137">
        <f>IFERROR(VLOOKUP($B133,'RoC8'!$A$1:$B$161,2,0),0)</f>
        <v>0</v>
      </c>
      <c r="T133" s="97">
        <f>IFERROR(VLOOKUP(S133,'RoC8'!$B$1:$C$161,2,0),0)</f>
        <v>0</v>
      </c>
      <c r="U133" s="137">
        <f>IFERROR(VLOOKUP($B133,'RoC9'!$A$1:$B$161,2,0),0)</f>
        <v>0</v>
      </c>
      <c r="V133" s="97">
        <f>IFERROR(VLOOKUP(U133,'RoC9'!$B$1:$C$161,2,0),0)</f>
        <v>0</v>
      </c>
      <c r="W133" s="137">
        <f>IFERROR(VLOOKUP($B133,'RoC10'!$A$1:$B$161,2,0),0)</f>
        <v>0</v>
      </c>
      <c r="X133" s="97">
        <f>IFERROR(VLOOKUP(W133,'RoC10'!$B$1:$C$161,2,0),0)</f>
        <v>0</v>
      </c>
      <c r="Y133" s="137">
        <f>IFERROR(VLOOKUP($B133,'RoC11'!$A$1:$B$161,2,0),0)</f>
        <v>0</v>
      </c>
      <c r="Z133" s="97">
        <f>IFERROR(VLOOKUP(Y133,'RoC11'!$B$1:$C$161,2,0),0)</f>
        <v>0</v>
      </c>
      <c r="AA133" s="97">
        <f>IFERROR(VLOOKUP(E133,'RoC1'!$B$1:$C$160,2,0),0)</f>
        <v>0</v>
      </c>
      <c r="AB133" s="97">
        <f>IFERROR(VLOOKUP(G133,'RoC2'!$B$1:$C$160,2,0),0)</f>
        <v>0</v>
      </c>
      <c r="AC133" s="97">
        <f>IFERROR(VLOOKUP(I133,'RoC3'!$B$1:$C$160,2,0),0)</f>
        <v>0</v>
      </c>
      <c r="AD133" s="97">
        <f>IFERROR(VLOOKUP(K133,'RoC4'!$B$1:$C$160,2,0),0)</f>
        <v>0</v>
      </c>
      <c r="AE133" s="97">
        <f>IFERROR(VLOOKUP(M133,'RoC5'!$B$1:$C$160,2,0),0)</f>
        <v>0</v>
      </c>
      <c r="AF133" s="97">
        <f>IFERROR(VLOOKUP(O133,'RoC6'!$B$1:$C$160,2,0),0)</f>
        <v>0</v>
      </c>
      <c r="AG133" s="97">
        <f>IFERROR(VLOOKUP(Q133,'RoC7'!$B$1:$C$160,2,0),0)</f>
        <v>0</v>
      </c>
      <c r="AH133" s="97">
        <f>IFERROR(VLOOKUP(S133,'RoC8'!$B$1:$C$160,2,0),0)</f>
        <v>0</v>
      </c>
      <c r="AI133" s="97">
        <f>IFERROR(VLOOKUP(U133,'RoC9'!$B$1:$C$160,2,0),0)</f>
        <v>0</v>
      </c>
      <c r="AJ133" s="97">
        <f>IFERROR(VLOOKUP(W133,'RoC10'!$B$1:$C$160,2,0),0)</f>
        <v>0</v>
      </c>
      <c r="AK133" s="97">
        <f>IFERROR(VLOOKUP(Y133,'RoC11'!$B$1:$C$160,2,0),0)</f>
        <v>0</v>
      </c>
    </row>
    <row r="134" ht="15.75" customHeight="1">
      <c r="A134" s="135">
        <v>133.0</v>
      </c>
      <c r="B134" s="103"/>
      <c r="C134" s="93">
        <f t="shared" si="4"/>
        <v>0</v>
      </c>
      <c r="D134" s="136"/>
      <c r="E134" s="137" t="str">
        <f>IFERROR(VLOOKUP($B134,'RoC1'!$A$1:$B$160,2,0),"0")</f>
        <v>0</v>
      </c>
      <c r="F134" s="97">
        <f>IFERROR(VLOOKUP(E134,'RoC1'!$B$1:$C$160,2,0),0)</f>
        <v>0</v>
      </c>
      <c r="G134" s="137" t="str">
        <f>IFERROR(VLOOKUP($B134,'RoC2'!$A$1:$B$161,2,0),"0")</f>
        <v>0</v>
      </c>
      <c r="H134" s="97">
        <f>IFERROR(VLOOKUP(G134,'RoC2'!$B$1:$C$161,2,0),0)</f>
        <v>0</v>
      </c>
      <c r="I134" s="137">
        <f>IFERROR(VLOOKUP($B134,'RoC3'!$A$1:$B$161,2,0),0)</f>
        <v>0</v>
      </c>
      <c r="J134" s="97">
        <f>IFERROR(VLOOKUP(I134,'RoC3'!$B$1:$C$161,2,0),0)</f>
        <v>0</v>
      </c>
      <c r="K134" s="137">
        <f>IFERROR(VLOOKUP($B134,'RoC4'!$A$1:$B$161,2,0),0)</f>
        <v>0</v>
      </c>
      <c r="L134" s="97">
        <f>IFERROR(VLOOKUP(K134,'RoC4'!$B$1:$C$161,2,0),0)</f>
        <v>0</v>
      </c>
      <c r="M134" s="137">
        <f>IFERROR(VLOOKUP($B134,'RoC5'!$A$1:$B$161,2,0),0)</f>
        <v>0</v>
      </c>
      <c r="N134" s="97">
        <f>IFERROR(VLOOKUP(M134,'RoC5'!$B$1:$C$161,2,0),0)</f>
        <v>0</v>
      </c>
      <c r="O134" s="137">
        <f>IFERROR(VLOOKUP($B134,'RoC6'!$A$1:$B$161,2,0),0)</f>
        <v>0</v>
      </c>
      <c r="P134" s="97">
        <f>IFERROR(VLOOKUP(O134,'RoC6'!$B$1:$C$161,2,0),0)</f>
        <v>0</v>
      </c>
      <c r="Q134" s="137">
        <f>IFERROR(VLOOKUP($B134,'RoC7'!$A$1:$B$161,2,0),0)</f>
        <v>0</v>
      </c>
      <c r="R134" s="97">
        <f>IFERROR(VLOOKUP(Q134,'RoC7'!$B$1:$C$161,2,0),0)</f>
        <v>0</v>
      </c>
      <c r="S134" s="137">
        <f>IFERROR(VLOOKUP($B134,'RoC8'!$A$1:$B$161,2,0),0)</f>
        <v>0</v>
      </c>
      <c r="T134" s="97">
        <f>IFERROR(VLOOKUP(S134,'RoC8'!$B$1:$C$161,2,0),0)</f>
        <v>0</v>
      </c>
      <c r="U134" s="137">
        <f>IFERROR(VLOOKUP($B134,'RoC9'!$A$1:$B$161,2,0),0)</f>
        <v>0</v>
      </c>
      <c r="V134" s="97">
        <f>IFERROR(VLOOKUP(U134,'RoC9'!$B$1:$C$161,2,0),0)</f>
        <v>0</v>
      </c>
      <c r="W134" s="137">
        <f>IFERROR(VLOOKUP($B134,'RoC10'!$A$1:$B$161,2,0),0)</f>
        <v>0</v>
      </c>
      <c r="X134" s="97">
        <f>IFERROR(VLOOKUP(W134,'RoC10'!$B$1:$C$161,2,0),0)</f>
        <v>0</v>
      </c>
      <c r="Y134" s="137">
        <f>IFERROR(VLOOKUP($B134,'RoC11'!$A$1:$B$161,2,0),0)</f>
        <v>0</v>
      </c>
      <c r="Z134" s="97">
        <f>IFERROR(VLOOKUP(Y134,'RoC11'!$B$1:$C$161,2,0),0)</f>
        <v>0</v>
      </c>
      <c r="AA134" s="97">
        <f>IFERROR(VLOOKUP(E134,'RoC1'!$B$1:$C$160,2,0),0)</f>
        <v>0</v>
      </c>
      <c r="AB134" s="97">
        <f>IFERROR(VLOOKUP(G134,'RoC2'!$B$1:$C$160,2,0),0)</f>
        <v>0</v>
      </c>
      <c r="AC134" s="97">
        <f>IFERROR(VLOOKUP(I134,'RoC3'!$B$1:$C$160,2,0),0)</f>
        <v>0</v>
      </c>
      <c r="AD134" s="97">
        <f>IFERROR(VLOOKUP(K134,'RoC4'!$B$1:$C$160,2,0),0)</f>
        <v>0</v>
      </c>
      <c r="AE134" s="97">
        <f>IFERROR(VLOOKUP(M134,'RoC5'!$B$1:$C$160,2,0),0)</f>
        <v>0</v>
      </c>
      <c r="AF134" s="97">
        <f>IFERROR(VLOOKUP(O134,'RoC6'!$B$1:$C$160,2,0),0)</f>
        <v>0</v>
      </c>
      <c r="AG134" s="97">
        <f>IFERROR(VLOOKUP(Q134,'RoC7'!$B$1:$C$160,2,0),0)</f>
        <v>0</v>
      </c>
      <c r="AH134" s="97">
        <f>IFERROR(VLOOKUP(S134,'RoC8'!$B$1:$C$160,2,0),0)</f>
        <v>0</v>
      </c>
      <c r="AI134" s="97">
        <f>IFERROR(VLOOKUP(U134,'RoC9'!$B$1:$C$160,2,0),0)</f>
        <v>0</v>
      </c>
      <c r="AJ134" s="97">
        <f>IFERROR(VLOOKUP(W134,'RoC10'!$B$1:$C$160,2,0),0)</f>
        <v>0</v>
      </c>
      <c r="AK134" s="97">
        <f>IFERROR(VLOOKUP(Y134,'RoC11'!$B$1:$C$160,2,0),0)</f>
        <v>0</v>
      </c>
    </row>
    <row r="135" ht="15.75" customHeight="1">
      <c r="A135" s="135">
        <v>134.0</v>
      </c>
      <c r="B135" s="103"/>
      <c r="C135" s="93">
        <f t="shared" si="4"/>
        <v>0</v>
      </c>
      <c r="D135" s="136"/>
      <c r="E135" s="137" t="str">
        <f>IFERROR(VLOOKUP($B135,'RoC1'!$A$1:$B$160,2,0),"0")</f>
        <v>0</v>
      </c>
      <c r="F135" s="97">
        <f>IFERROR(VLOOKUP(E135,'RoC1'!$B$1:$C$160,2,0),0)</f>
        <v>0</v>
      </c>
      <c r="G135" s="137" t="str">
        <f>IFERROR(VLOOKUP($B135,'RoC2'!$A$1:$B$161,2,0),"0")</f>
        <v>0</v>
      </c>
      <c r="H135" s="97">
        <f>IFERROR(VLOOKUP(G135,'RoC2'!$B$1:$C$161,2,0),0)</f>
        <v>0</v>
      </c>
      <c r="I135" s="137">
        <f>IFERROR(VLOOKUP($B135,'RoC3'!$A$1:$B$161,2,0),0)</f>
        <v>0</v>
      </c>
      <c r="J135" s="97">
        <f>IFERROR(VLOOKUP(I135,'RoC3'!$B$1:$C$161,2,0),0)</f>
        <v>0</v>
      </c>
      <c r="K135" s="137">
        <f>IFERROR(VLOOKUP($B135,'RoC4'!$A$1:$B$161,2,0),0)</f>
        <v>0</v>
      </c>
      <c r="L135" s="97">
        <f>IFERROR(VLOOKUP(K135,'RoC4'!$B$1:$C$161,2,0),0)</f>
        <v>0</v>
      </c>
      <c r="M135" s="137">
        <f>IFERROR(VLOOKUP($B135,'RoC5'!$A$1:$B$161,2,0),0)</f>
        <v>0</v>
      </c>
      <c r="N135" s="97">
        <f>IFERROR(VLOOKUP(M135,'RoC5'!$B$1:$C$161,2,0),0)</f>
        <v>0</v>
      </c>
      <c r="O135" s="137">
        <f>IFERROR(VLOOKUP($B135,'RoC6'!$A$1:$B$161,2,0),0)</f>
        <v>0</v>
      </c>
      <c r="P135" s="97">
        <f>IFERROR(VLOOKUP(O135,'RoC6'!$B$1:$C$161,2,0),0)</f>
        <v>0</v>
      </c>
      <c r="Q135" s="137">
        <f>IFERROR(VLOOKUP($B135,'RoC7'!$A$1:$B$161,2,0),0)</f>
        <v>0</v>
      </c>
      <c r="R135" s="97">
        <f>IFERROR(VLOOKUP(Q135,'RoC7'!$B$1:$C$161,2,0),0)</f>
        <v>0</v>
      </c>
      <c r="S135" s="137">
        <f>IFERROR(VLOOKUP($B135,'RoC8'!$A$1:$B$161,2,0),0)</f>
        <v>0</v>
      </c>
      <c r="T135" s="97">
        <f>IFERROR(VLOOKUP(S135,'RoC8'!$B$1:$C$161,2,0),0)</f>
        <v>0</v>
      </c>
      <c r="U135" s="137">
        <f>IFERROR(VLOOKUP($B135,'RoC9'!$A$1:$B$161,2,0),0)</f>
        <v>0</v>
      </c>
      <c r="V135" s="97">
        <f>IFERROR(VLOOKUP(U135,'RoC9'!$B$1:$C$161,2,0),0)</f>
        <v>0</v>
      </c>
      <c r="W135" s="137">
        <f>IFERROR(VLOOKUP($B135,'RoC10'!$A$1:$B$161,2,0),0)</f>
        <v>0</v>
      </c>
      <c r="X135" s="97">
        <f>IFERROR(VLOOKUP(W135,'RoC10'!$B$1:$C$161,2,0),0)</f>
        <v>0</v>
      </c>
      <c r="Y135" s="137">
        <f>IFERROR(VLOOKUP($B135,'RoC11'!$A$1:$B$161,2,0),0)</f>
        <v>0</v>
      </c>
      <c r="Z135" s="97">
        <f>IFERROR(VLOOKUP(Y135,'RoC11'!$B$1:$C$161,2,0),0)</f>
        <v>0</v>
      </c>
      <c r="AA135" s="97">
        <f>IFERROR(VLOOKUP(E135,'RoC1'!$B$1:$C$160,2,0),0)</f>
        <v>0</v>
      </c>
      <c r="AB135" s="97">
        <f>IFERROR(VLOOKUP(G135,'RoC2'!$B$1:$C$160,2,0),0)</f>
        <v>0</v>
      </c>
      <c r="AC135" s="97">
        <f>IFERROR(VLOOKUP(I135,'RoC3'!$B$1:$C$160,2,0),0)</f>
        <v>0</v>
      </c>
      <c r="AD135" s="97">
        <f>IFERROR(VLOOKUP(K135,'RoC4'!$B$1:$C$160,2,0),0)</f>
        <v>0</v>
      </c>
      <c r="AE135" s="97">
        <f>IFERROR(VLOOKUP(M135,'RoC5'!$B$1:$C$160,2,0),0)</f>
        <v>0</v>
      </c>
      <c r="AF135" s="97">
        <f>IFERROR(VLOOKUP(O135,'RoC6'!$B$1:$C$160,2,0),0)</f>
        <v>0</v>
      </c>
      <c r="AG135" s="97">
        <f>IFERROR(VLOOKUP(Q135,'RoC7'!$B$1:$C$160,2,0),0)</f>
        <v>0</v>
      </c>
      <c r="AH135" s="97">
        <f>IFERROR(VLOOKUP(S135,'RoC8'!$B$1:$C$160,2,0),0)</f>
        <v>0</v>
      </c>
      <c r="AI135" s="97">
        <f>IFERROR(VLOOKUP(U135,'RoC9'!$B$1:$C$160,2,0),0)</f>
        <v>0</v>
      </c>
      <c r="AJ135" s="97">
        <f>IFERROR(VLOOKUP(W135,'RoC10'!$B$1:$C$160,2,0),0)</f>
        <v>0</v>
      </c>
      <c r="AK135" s="97">
        <f>IFERROR(VLOOKUP(Y135,'RoC11'!$B$1:$C$160,2,0),0)</f>
        <v>0</v>
      </c>
    </row>
    <row r="136" ht="15.75" customHeight="1">
      <c r="A136" s="135">
        <v>135.0</v>
      </c>
      <c r="B136" s="124"/>
      <c r="C136" s="93">
        <f t="shared" si="4"/>
        <v>0</v>
      </c>
      <c r="D136" s="136"/>
      <c r="E136" s="137" t="str">
        <f>IFERROR(VLOOKUP($B136,'RoC1'!$A$1:$B$160,2,0),"0")</f>
        <v>0</v>
      </c>
      <c r="F136" s="97">
        <f>IFERROR(VLOOKUP(E136,'RoC1'!$B$1:$C$160,2,0),0)</f>
        <v>0</v>
      </c>
      <c r="G136" s="137" t="str">
        <f>IFERROR(VLOOKUP($B136,'RoC2'!$A$1:$B$161,2,0),"0")</f>
        <v>0</v>
      </c>
      <c r="H136" s="97">
        <f>IFERROR(VLOOKUP(G136,'RoC2'!$B$1:$C$161,2,0),0)</f>
        <v>0</v>
      </c>
      <c r="I136" s="137">
        <f>IFERROR(VLOOKUP($B136,'RoC3'!$A$1:$B$161,2,0),0)</f>
        <v>0</v>
      </c>
      <c r="J136" s="97">
        <f>IFERROR(VLOOKUP(I136,'RoC3'!$B$1:$C$161,2,0),0)</f>
        <v>0</v>
      </c>
      <c r="K136" s="137">
        <f>IFERROR(VLOOKUP($B136,'RoC4'!$A$1:$B$161,2,0),0)</f>
        <v>0</v>
      </c>
      <c r="L136" s="97">
        <f>IFERROR(VLOOKUP(K136,'RoC4'!$B$1:$C$161,2,0),0)</f>
        <v>0</v>
      </c>
      <c r="M136" s="137">
        <f>IFERROR(VLOOKUP($B136,'RoC5'!$A$1:$B$161,2,0),0)</f>
        <v>0</v>
      </c>
      <c r="N136" s="97">
        <f>IFERROR(VLOOKUP(M136,'RoC5'!$B$1:$C$161,2,0),0)</f>
        <v>0</v>
      </c>
      <c r="O136" s="137">
        <f>IFERROR(VLOOKUP($B136,'RoC6'!$A$1:$B$161,2,0),0)</f>
        <v>0</v>
      </c>
      <c r="P136" s="97">
        <f>IFERROR(VLOOKUP(O136,'RoC6'!$B$1:$C$161,2,0),0)</f>
        <v>0</v>
      </c>
      <c r="Q136" s="137">
        <f>IFERROR(VLOOKUP($B136,'RoC7'!$A$1:$B$161,2,0),0)</f>
        <v>0</v>
      </c>
      <c r="R136" s="97">
        <f>IFERROR(VLOOKUP(Q136,'RoC7'!$B$1:$C$161,2,0),0)</f>
        <v>0</v>
      </c>
      <c r="S136" s="137">
        <f>IFERROR(VLOOKUP($B136,'RoC8'!$A$1:$B$161,2,0),0)</f>
        <v>0</v>
      </c>
      <c r="T136" s="97">
        <f>IFERROR(VLOOKUP(S136,'RoC8'!$B$1:$C$161,2,0),0)</f>
        <v>0</v>
      </c>
      <c r="U136" s="137">
        <f>IFERROR(VLOOKUP($B136,'RoC9'!$A$1:$B$161,2,0),0)</f>
        <v>0</v>
      </c>
      <c r="V136" s="97">
        <f>IFERROR(VLOOKUP(U136,'RoC9'!$B$1:$C$161,2,0),0)</f>
        <v>0</v>
      </c>
      <c r="W136" s="137">
        <f>IFERROR(VLOOKUP($B136,'RoC10'!$A$1:$B$161,2,0),0)</f>
        <v>0</v>
      </c>
      <c r="X136" s="97">
        <f>IFERROR(VLOOKUP(W136,'RoC10'!$B$1:$C$161,2,0),0)</f>
        <v>0</v>
      </c>
      <c r="Y136" s="137">
        <f>IFERROR(VLOOKUP($B136,'RoC11'!$A$1:$B$161,2,0),0)</f>
        <v>0</v>
      </c>
      <c r="Z136" s="97">
        <f>IFERROR(VLOOKUP(Y136,'RoC11'!$B$1:$C$161,2,0),0)</f>
        <v>0</v>
      </c>
      <c r="AA136" s="97">
        <f>IFERROR(VLOOKUP(E136,'RoC1'!$B$1:$C$160,2,0),0)</f>
        <v>0</v>
      </c>
      <c r="AB136" s="97">
        <f>IFERROR(VLOOKUP(G136,'RoC2'!$B$1:$C$160,2,0),0)</f>
        <v>0</v>
      </c>
      <c r="AC136" s="97">
        <f>IFERROR(VLOOKUP(I136,'RoC3'!$B$1:$C$160,2,0),0)</f>
        <v>0</v>
      </c>
      <c r="AD136" s="97">
        <f>IFERROR(VLOOKUP(K136,'RoC4'!$B$1:$C$160,2,0),0)</f>
        <v>0</v>
      </c>
      <c r="AE136" s="97">
        <f>IFERROR(VLOOKUP(M136,'RoC5'!$B$1:$C$160,2,0),0)</f>
        <v>0</v>
      </c>
      <c r="AF136" s="97">
        <f>IFERROR(VLOOKUP(O136,'RoC6'!$B$1:$C$160,2,0),0)</f>
        <v>0</v>
      </c>
      <c r="AG136" s="97">
        <f>IFERROR(VLOOKUP(Q136,'RoC7'!$B$1:$C$160,2,0),0)</f>
        <v>0</v>
      </c>
      <c r="AH136" s="97">
        <f>IFERROR(VLOOKUP(S136,'RoC8'!$B$1:$C$160,2,0),0)</f>
        <v>0</v>
      </c>
      <c r="AI136" s="97">
        <f>IFERROR(VLOOKUP(U136,'RoC9'!$B$1:$C$160,2,0),0)</f>
        <v>0</v>
      </c>
      <c r="AJ136" s="97">
        <f>IFERROR(VLOOKUP(W136,'RoC10'!$B$1:$C$160,2,0),0)</f>
        <v>0</v>
      </c>
      <c r="AK136" s="97">
        <f>IFERROR(VLOOKUP(Y136,'RoC11'!$B$1:$C$160,2,0),0)</f>
        <v>0</v>
      </c>
    </row>
    <row r="137" ht="15.75" customHeight="1">
      <c r="A137" s="135">
        <v>136.0</v>
      </c>
      <c r="B137" s="124"/>
      <c r="C137" s="93">
        <f t="shared" si="4"/>
        <v>0</v>
      </c>
      <c r="D137" s="136"/>
      <c r="E137" s="137" t="str">
        <f>IFERROR(VLOOKUP($B137,'RoC1'!$A$1:$B$160,2,0),"0")</f>
        <v>0</v>
      </c>
      <c r="F137" s="97">
        <f>IFERROR(VLOOKUP(E137,'RoC1'!$B$1:$C$160,2,0),0)</f>
        <v>0</v>
      </c>
      <c r="G137" s="137" t="str">
        <f>IFERROR(VLOOKUP($B137,'RoC2'!$A$1:$B$161,2,0),"0")</f>
        <v>0</v>
      </c>
      <c r="H137" s="97">
        <f>IFERROR(VLOOKUP(G137,'RoC2'!$B$1:$C$161,2,0),0)</f>
        <v>0</v>
      </c>
      <c r="I137" s="137">
        <f>IFERROR(VLOOKUP($B137,'RoC3'!$A$1:$B$161,2,0),0)</f>
        <v>0</v>
      </c>
      <c r="J137" s="97">
        <f>IFERROR(VLOOKUP(I137,'RoC3'!$B$1:$C$161,2,0),0)</f>
        <v>0</v>
      </c>
      <c r="K137" s="137">
        <f>IFERROR(VLOOKUP($B137,'RoC4'!$A$1:$B$161,2,0),0)</f>
        <v>0</v>
      </c>
      <c r="L137" s="97">
        <f>IFERROR(VLOOKUP(K137,'RoC4'!$B$1:$C$161,2,0),0)</f>
        <v>0</v>
      </c>
      <c r="M137" s="137">
        <f>IFERROR(VLOOKUP($B137,'RoC5'!$A$1:$B$161,2,0),0)</f>
        <v>0</v>
      </c>
      <c r="N137" s="97">
        <f>IFERROR(VLOOKUP(M137,'RoC5'!$B$1:$C$161,2,0),0)</f>
        <v>0</v>
      </c>
      <c r="O137" s="137">
        <f>IFERROR(VLOOKUP($B137,'RoC6'!$A$1:$B$161,2,0),0)</f>
        <v>0</v>
      </c>
      <c r="P137" s="97">
        <f>IFERROR(VLOOKUP(O137,'RoC6'!$B$1:$C$161,2,0),0)</f>
        <v>0</v>
      </c>
      <c r="Q137" s="137">
        <f>IFERROR(VLOOKUP($B137,'RoC7'!$A$1:$B$161,2,0),0)</f>
        <v>0</v>
      </c>
      <c r="R137" s="97">
        <f>IFERROR(VLOOKUP(Q137,'RoC7'!$B$1:$C$161,2,0),0)</f>
        <v>0</v>
      </c>
      <c r="S137" s="137">
        <f>IFERROR(VLOOKUP($B137,'RoC8'!$A$1:$B$161,2,0),0)</f>
        <v>0</v>
      </c>
      <c r="T137" s="97">
        <f>IFERROR(VLOOKUP(S137,'RoC8'!$B$1:$C$161,2,0),0)</f>
        <v>0</v>
      </c>
      <c r="U137" s="137">
        <f>IFERROR(VLOOKUP($B137,'RoC9'!$A$1:$B$161,2,0),0)</f>
        <v>0</v>
      </c>
      <c r="V137" s="97">
        <f>IFERROR(VLOOKUP(U137,'RoC9'!$B$1:$C$161,2,0),0)</f>
        <v>0</v>
      </c>
      <c r="W137" s="137">
        <f>IFERROR(VLOOKUP($B137,'RoC10'!$A$1:$B$161,2,0),0)</f>
        <v>0</v>
      </c>
      <c r="X137" s="97">
        <f>IFERROR(VLOOKUP(W137,'RoC10'!$B$1:$C$161,2,0),0)</f>
        <v>0</v>
      </c>
      <c r="Y137" s="137">
        <f>IFERROR(VLOOKUP($B137,'RoC11'!$A$1:$B$161,2,0),0)</f>
        <v>0</v>
      </c>
      <c r="Z137" s="97">
        <f>IFERROR(VLOOKUP(Y137,'RoC11'!$B$1:$C$161,2,0),0)</f>
        <v>0</v>
      </c>
      <c r="AA137" s="97">
        <f>IFERROR(VLOOKUP(E137,'RoC1'!$B$1:$C$160,2,0),0)</f>
        <v>0</v>
      </c>
      <c r="AB137" s="97">
        <f>IFERROR(VLOOKUP(G137,'RoC2'!$B$1:$C$160,2,0),0)</f>
        <v>0</v>
      </c>
      <c r="AC137" s="97">
        <f>IFERROR(VLOOKUP(I137,'RoC3'!$B$1:$C$160,2,0),0)</f>
        <v>0</v>
      </c>
      <c r="AD137" s="97">
        <f>IFERROR(VLOOKUP(K137,'RoC4'!$B$1:$C$160,2,0),0)</f>
        <v>0</v>
      </c>
      <c r="AE137" s="97">
        <f>IFERROR(VLOOKUP(M137,'RoC5'!$B$1:$C$160,2,0),0)</f>
        <v>0</v>
      </c>
      <c r="AF137" s="97">
        <f>IFERROR(VLOOKUP(O137,'RoC6'!$B$1:$C$160,2,0),0)</f>
        <v>0</v>
      </c>
      <c r="AG137" s="97">
        <f>IFERROR(VLOOKUP(Q137,'RoC7'!$B$1:$C$160,2,0),0)</f>
        <v>0</v>
      </c>
      <c r="AH137" s="97">
        <f>IFERROR(VLOOKUP(S137,'RoC8'!$B$1:$C$160,2,0),0)</f>
        <v>0</v>
      </c>
      <c r="AI137" s="97">
        <f>IFERROR(VLOOKUP(U137,'RoC9'!$B$1:$C$160,2,0),0)</f>
        <v>0</v>
      </c>
      <c r="AJ137" s="97">
        <f>IFERROR(VLOOKUP(W137,'RoC10'!$B$1:$C$160,2,0),0)</f>
        <v>0</v>
      </c>
      <c r="AK137" s="97">
        <f>IFERROR(VLOOKUP(Y137,'RoC11'!$B$1:$C$160,2,0),0)</f>
        <v>0</v>
      </c>
    </row>
    <row r="138" ht="15.75" customHeight="1">
      <c r="A138" s="135">
        <v>137.0</v>
      </c>
      <c r="B138" s="124"/>
      <c r="C138" s="93">
        <f t="shared" si="4"/>
        <v>0</v>
      </c>
      <c r="D138" s="136"/>
      <c r="E138" s="137" t="str">
        <f>IFERROR(VLOOKUP($B138,'RoC1'!$A$1:$B$160,2,0),"0")</f>
        <v>0</v>
      </c>
      <c r="F138" s="97">
        <f>IFERROR(VLOOKUP(E138,'RoC1'!$B$1:$C$160,2,0),0)</f>
        <v>0</v>
      </c>
      <c r="G138" s="137" t="str">
        <f>IFERROR(VLOOKUP($B138,'RoC2'!$A$1:$B$161,2,0),"0")</f>
        <v>0</v>
      </c>
      <c r="H138" s="97">
        <f>IFERROR(VLOOKUP(G138,'RoC2'!$B$1:$C$161,2,0),0)</f>
        <v>0</v>
      </c>
      <c r="I138" s="137">
        <f>IFERROR(VLOOKUP($B138,'RoC3'!$A$1:$B$161,2,0),0)</f>
        <v>0</v>
      </c>
      <c r="J138" s="97">
        <f>IFERROR(VLOOKUP(I138,'RoC3'!$B$1:$C$161,2,0),0)</f>
        <v>0</v>
      </c>
      <c r="K138" s="137">
        <f>IFERROR(VLOOKUP($B138,'RoC4'!$A$1:$B$161,2,0),0)</f>
        <v>0</v>
      </c>
      <c r="L138" s="97">
        <f>IFERROR(VLOOKUP(K138,'RoC4'!$B$1:$C$161,2,0),0)</f>
        <v>0</v>
      </c>
      <c r="M138" s="137">
        <f>IFERROR(VLOOKUP($B138,'RoC5'!$A$1:$B$161,2,0),0)</f>
        <v>0</v>
      </c>
      <c r="N138" s="97">
        <f>IFERROR(VLOOKUP(M138,'RoC5'!$B$1:$C$161,2,0),0)</f>
        <v>0</v>
      </c>
      <c r="O138" s="137">
        <f>IFERROR(VLOOKUP($B138,'RoC6'!$A$1:$B$161,2,0),0)</f>
        <v>0</v>
      </c>
      <c r="P138" s="97">
        <f>IFERROR(VLOOKUP(O138,'RoC6'!$B$1:$C$161,2,0),0)</f>
        <v>0</v>
      </c>
      <c r="Q138" s="137">
        <f>IFERROR(VLOOKUP($B138,'RoC7'!$A$1:$B$161,2,0),0)</f>
        <v>0</v>
      </c>
      <c r="R138" s="97">
        <f>IFERROR(VLOOKUP(Q138,'RoC7'!$B$1:$C$161,2,0),0)</f>
        <v>0</v>
      </c>
      <c r="S138" s="137">
        <f>IFERROR(VLOOKUP($B138,'RoC8'!$A$1:$B$161,2,0),0)</f>
        <v>0</v>
      </c>
      <c r="T138" s="97">
        <f>IFERROR(VLOOKUP(S138,'RoC8'!$B$1:$C$161,2,0),0)</f>
        <v>0</v>
      </c>
      <c r="U138" s="137">
        <f>IFERROR(VLOOKUP($B138,'RoC9'!$A$1:$B$161,2,0),0)</f>
        <v>0</v>
      </c>
      <c r="V138" s="97">
        <f>IFERROR(VLOOKUP(U138,'RoC9'!$B$1:$C$161,2,0),0)</f>
        <v>0</v>
      </c>
      <c r="W138" s="137">
        <f>IFERROR(VLOOKUP($B138,'RoC10'!$A$1:$B$161,2,0),0)</f>
        <v>0</v>
      </c>
      <c r="X138" s="97">
        <f>IFERROR(VLOOKUP(W138,'RoC10'!$B$1:$C$161,2,0),0)</f>
        <v>0</v>
      </c>
      <c r="Y138" s="137">
        <f>IFERROR(VLOOKUP($B138,'RoC11'!$A$1:$B$161,2,0),0)</f>
        <v>0</v>
      </c>
      <c r="Z138" s="97">
        <f>IFERROR(VLOOKUP(Y138,'RoC11'!$B$1:$C$161,2,0),0)</f>
        <v>0</v>
      </c>
      <c r="AA138" s="97">
        <f>IFERROR(VLOOKUP(E138,'RoC1'!$B$1:$C$160,2,0),0)</f>
        <v>0</v>
      </c>
      <c r="AB138" s="97">
        <f>IFERROR(VLOOKUP(G138,'RoC2'!$B$1:$C$160,2,0),0)</f>
        <v>0</v>
      </c>
      <c r="AC138" s="97">
        <f>IFERROR(VLOOKUP(I138,'RoC3'!$B$1:$C$160,2,0),0)</f>
        <v>0</v>
      </c>
      <c r="AD138" s="97">
        <f>IFERROR(VLOOKUP(K138,'RoC4'!$B$1:$C$160,2,0),0)</f>
        <v>0</v>
      </c>
      <c r="AE138" s="97">
        <f>IFERROR(VLOOKUP(M138,'RoC5'!$B$1:$C$160,2,0),0)</f>
        <v>0</v>
      </c>
      <c r="AF138" s="97">
        <f>IFERROR(VLOOKUP(O138,'RoC6'!$B$1:$C$160,2,0),0)</f>
        <v>0</v>
      </c>
      <c r="AG138" s="97">
        <f>IFERROR(VLOOKUP(Q138,'RoC7'!$B$1:$C$160,2,0),0)</f>
        <v>0</v>
      </c>
      <c r="AH138" s="97">
        <f>IFERROR(VLOOKUP(S138,'RoC8'!$B$1:$C$160,2,0),0)</f>
        <v>0</v>
      </c>
      <c r="AI138" s="97">
        <f>IFERROR(VLOOKUP(U138,'RoC9'!$B$1:$C$160,2,0),0)</f>
        <v>0</v>
      </c>
      <c r="AJ138" s="97">
        <f>IFERROR(VLOOKUP(W138,'RoC10'!$B$1:$C$160,2,0),0)</f>
        <v>0</v>
      </c>
      <c r="AK138" s="97">
        <f>IFERROR(VLOOKUP(Y138,'RoC11'!$B$1:$C$160,2,0),0)</f>
        <v>0</v>
      </c>
    </row>
    <row r="139" ht="15.75" customHeight="1">
      <c r="A139" s="135">
        <v>138.0</v>
      </c>
      <c r="B139" s="124"/>
      <c r="C139" s="93">
        <f t="shared" si="4"/>
        <v>0</v>
      </c>
      <c r="D139" s="136"/>
      <c r="E139" s="137" t="str">
        <f>IFERROR(VLOOKUP($B139,'RoC1'!$A$1:$B$160,2,0),"0")</f>
        <v>0</v>
      </c>
      <c r="F139" s="97">
        <f>IFERROR(VLOOKUP(E139,'RoC1'!$B$1:$C$160,2,0),0)</f>
        <v>0</v>
      </c>
      <c r="G139" s="137" t="str">
        <f>IFERROR(VLOOKUP($B139,'RoC2'!$A$1:$B$161,2,0),"0")</f>
        <v>0</v>
      </c>
      <c r="H139" s="97">
        <f>IFERROR(VLOOKUP(G139,'RoC2'!$B$1:$C$161,2,0),0)</f>
        <v>0</v>
      </c>
      <c r="I139" s="137">
        <f>IFERROR(VLOOKUP($B139,'RoC3'!$A$1:$B$161,2,0),0)</f>
        <v>0</v>
      </c>
      <c r="J139" s="97">
        <f>IFERROR(VLOOKUP(I139,'RoC3'!$B$1:$C$161,2,0),0)</f>
        <v>0</v>
      </c>
      <c r="K139" s="137">
        <f>IFERROR(VLOOKUP($B139,'RoC4'!$A$1:$B$161,2,0),0)</f>
        <v>0</v>
      </c>
      <c r="L139" s="97">
        <f>IFERROR(VLOOKUP(K139,'RoC4'!$B$1:$C$161,2,0),0)</f>
        <v>0</v>
      </c>
      <c r="M139" s="137">
        <f>IFERROR(VLOOKUP($B139,'RoC5'!$A$1:$B$161,2,0),0)</f>
        <v>0</v>
      </c>
      <c r="N139" s="97">
        <f>IFERROR(VLOOKUP(M139,'RoC5'!$B$1:$C$161,2,0),0)</f>
        <v>0</v>
      </c>
      <c r="O139" s="137">
        <f>IFERROR(VLOOKUP($B139,'RoC6'!$A$1:$B$161,2,0),0)</f>
        <v>0</v>
      </c>
      <c r="P139" s="97">
        <f>IFERROR(VLOOKUP(O139,'RoC6'!$B$1:$C$161,2,0),0)</f>
        <v>0</v>
      </c>
      <c r="Q139" s="137">
        <f>IFERROR(VLOOKUP($B139,'RoC7'!$A$1:$B$161,2,0),0)</f>
        <v>0</v>
      </c>
      <c r="R139" s="97">
        <f>IFERROR(VLOOKUP(Q139,'RoC7'!$B$1:$C$161,2,0),0)</f>
        <v>0</v>
      </c>
      <c r="S139" s="137">
        <f>IFERROR(VLOOKUP($B139,'RoC8'!$A$1:$B$161,2,0),0)</f>
        <v>0</v>
      </c>
      <c r="T139" s="97">
        <f>IFERROR(VLOOKUP(S139,'RoC8'!$B$1:$C$161,2,0),0)</f>
        <v>0</v>
      </c>
      <c r="U139" s="137">
        <f>IFERROR(VLOOKUP($B139,'RoC9'!$A$1:$B$161,2,0),0)</f>
        <v>0</v>
      </c>
      <c r="V139" s="97">
        <f>IFERROR(VLOOKUP(U139,'RoC9'!$B$1:$C$161,2,0),0)</f>
        <v>0</v>
      </c>
      <c r="W139" s="137">
        <f>IFERROR(VLOOKUP($B139,'RoC10'!$A$1:$B$161,2,0),0)</f>
        <v>0</v>
      </c>
      <c r="X139" s="97">
        <f>IFERROR(VLOOKUP(W139,'RoC10'!$B$1:$C$161,2,0),0)</f>
        <v>0</v>
      </c>
      <c r="Y139" s="137">
        <f>IFERROR(VLOOKUP($B139,'RoC11'!$A$1:$B$161,2,0),0)</f>
        <v>0</v>
      </c>
      <c r="Z139" s="97">
        <f>IFERROR(VLOOKUP(Y139,'RoC11'!$B$1:$C$161,2,0),0)</f>
        <v>0</v>
      </c>
      <c r="AA139" s="97">
        <f>IFERROR(VLOOKUP(E139,'RoC1'!$B$1:$C$160,2,0),0)</f>
        <v>0</v>
      </c>
      <c r="AB139" s="97">
        <f>IFERROR(VLOOKUP(G139,'RoC2'!$B$1:$C$160,2,0),0)</f>
        <v>0</v>
      </c>
      <c r="AC139" s="97">
        <f>IFERROR(VLOOKUP(I139,'RoC3'!$B$1:$C$160,2,0),0)</f>
        <v>0</v>
      </c>
      <c r="AD139" s="97">
        <f>IFERROR(VLOOKUP(K139,'RoC4'!$B$1:$C$160,2,0),0)</f>
        <v>0</v>
      </c>
      <c r="AE139" s="97">
        <f>IFERROR(VLOOKUP(M139,'RoC5'!$B$1:$C$160,2,0),0)</f>
        <v>0</v>
      </c>
      <c r="AF139" s="97">
        <f>IFERROR(VLOOKUP(O139,'RoC6'!$B$1:$C$160,2,0),0)</f>
        <v>0</v>
      </c>
      <c r="AG139" s="97">
        <f>IFERROR(VLOOKUP(Q139,'RoC7'!$B$1:$C$160,2,0),0)</f>
        <v>0</v>
      </c>
      <c r="AH139" s="97">
        <f>IFERROR(VLOOKUP(S139,'RoC8'!$B$1:$C$160,2,0),0)</f>
        <v>0</v>
      </c>
      <c r="AI139" s="97">
        <f>IFERROR(VLOOKUP(U139,'RoC9'!$B$1:$C$160,2,0),0)</f>
        <v>0</v>
      </c>
      <c r="AJ139" s="97">
        <f>IFERROR(VLOOKUP(W139,'RoC10'!$B$1:$C$160,2,0),0)</f>
        <v>0</v>
      </c>
      <c r="AK139" s="97">
        <f>IFERROR(VLOOKUP(Y139,'RoC11'!$B$1:$C$160,2,0),0)</f>
        <v>0</v>
      </c>
    </row>
    <row r="140" ht="15.75" customHeight="1">
      <c r="A140" s="135">
        <v>139.0</v>
      </c>
      <c r="B140" s="124"/>
      <c r="C140" s="93">
        <f t="shared" si="4"/>
        <v>0</v>
      </c>
      <c r="D140" s="136"/>
      <c r="E140" s="137" t="str">
        <f>IFERROR(VLOOKUP($B140,'RoC1'!$A$1:$B$160,2,0),"0")</f>
        <v>0</v>
      </c>
      <c r="F140" s="97">
        <f>IFERROR(VLOOKUP(E140,'RoC1'!$B$1:$C$160,2,0),0)</f>
        <v>0</v>
      </c>
      <c r="G140" s="137" t="str">
        <f>IFERROR(VLOOKUP($B140,'RoC2'!$A$1:$B$161,2,0),"0")</f>
        <v>0</v>
      </c>
      <c r="H140" s="97">
        <f>IFERROR(VLOOKUP(G140,'RoC2'!$B$1:$C$161,2,0),0)</f>
        <v>0</v>
      </c>
      <c r="I140" s="137">
        <f>IFERROR(VLOOKUP($B140,'RoC3'!$A$1:$B$161,2,0),0)</f>
        <v>0</v>
      </c>
      <c r="J140" s="97">
        <f>IFERROR(VLOOKUP(I140,'RoC3'!$B$1:$C$161,2,0),0)</f>
        <v>0</v>
      </c>
      <c r="K140" s="137">
        <f>IFERROR(VLOOKUP($B140,'RoC4'!$A$1:$B$161,2,0),0)</f>
        <v>0</v>
      </c>
      <c r="L140" s="97">
        <f>IFERROR(VLOOKUP(K140,'RoC4'!$B$1:$C$161,2,0),0)</f>
        <v>0</v>
      </c>
      <c r="M140" s="137">
        <f>IFERROR(VLOOKUP($B140,'RoC5'!$A$1:$B$161,2,0),0)</f>
        <v>0</v>
      </c>
      <c r="N140" s="97">
        <f>IFERROR(VLOOKUP(M140,'RoC5'!$B$1:$C$161,2,0),0)</f>
        <v>0</v>
      </c>
      <c r="O140" s="137">
        <f>IFERROR(VLOOKUP($B140,'RoC6'!$A$1:$B$161,2,0),0)</f>
        <v>0</v>
      </c>
      <c r="P140" s="97">
        <f>IFERROR(VLOOKUP(O140,'RoC6'!$B$1:$C$161,2,0),0)</f>
        <v>0</v>
      </c>
      <c r="Q140" s="137">
        <f>IFERROR(VLOOKUP($B140,'RoC7'!$A$1:$B$161,2,0),0)</f>
        <v>0</v>
      </c>
      <c r="R140" s="97">
        <f>IFERROR(VLOOKUP(Q140,'RoC7'!$B$1:$C$161,2,0),0)</f>
        <v>0</v>
      </c>
      <c r="S140" s="137">
        <f>IFERROR(VLOOKUP($B140,'RoC8'!$A$1:$B$161,2,0),0)</f>
        <v>0</v>
      </c>
      <c r="T140" s="97">
        <f>IFERROR(VLOOKUP(S140,'RoC8'!$B$1:$C$161,2,0),0)</f>
        <v>0</v>
      </c>
      <c r="U140" s="137">
        <f>IFERROR(VLOOKUP($B140,'RoC9'!$A$1:$B$161,2,0),0)</f>
        <v>0</v>
      </c>
      <c r="V140" s="97">
        <f>IFERROR(VLOOKUP(U140,'RoC9'!$B$1:$C$161,2,0),0)</f>
        <v>0</v>
      </c>
      <c r="W140" s="137">
        <f>IFERROR(VLOOKUP($B140,'RoC10'!$A$1:$B$161,2,0),0)</f>
        <v>0</v>
      </c>
      <c r="X140" s="97">
        <f>IFERROR(VLOOKUP(W140,'RoC10'!$B$1:$C$161,2,0),0)</f>
        <v>0</v>
      </c>
      <c r="Y140" s="137">
        <f>IFERROR(VLOOKUP($B140,'RoC11'!$A$1:$B$161,2,0),0)</f>
        <v>0</v>
      </c>
      <c r="Z140" s="97">
        <f>IFERROR(VLOOKUP(Y140,'RoC11'!$B$1:$C$161,2,0),0)</f>
        <v>0</v>
      </c>
      <c r="AA140" s="97">
        <f>IFERROR(VLOOKUP(E140,'RoC1'!$B$1:$C$160,2,0),0)</f>
        <v>0</v>
      </c>
      <c r="AB140" s="97">
        <f>IFERROR(VLOOKUP(G140,'RoC2'!$B$1:$C$160,2,0),0)</f>
        <v>0</v>
      </c>
      <c r="AC140" s="97">
        <f>IFERROR(VLOOKUP(I140,'RoC3'!$B$1:$C$160,2,0),0)</f>
        <v>0</v>
      </c>
      <c r="AD140" s="97">
        <f>IFERROR(VLOOKUP(K140,'RoC4'!$B$1:$C$160,2,0),0)</f>
        <v>0</v>
      </c>
      <c r="AE140" s="97">
        <f>IFERROR(VLOOKUP(M140,'RoC5'!$B$1:$C$160,2,0),0)</f>
        <v>0</v>
      </c>
      <c r="AF140" s="97">
        <f>IFERROR(VLOOKUP(O140,'RoC6'!$B$1:$C$160,2,0),0)</f>
        <v>0</v>
      </c>
      <c r="AG140" s="97">
        <f>IFERROR(VLOOKUP(Q140,'RoC7'!$B$1:$C$160,2,0),0)</f>
        <v>0</v>
      </c>
      <c r="AH140" s="97">
        <f>IFERROR(VLOOKUP(S140,'RoC8'!$B$1:$C$160,2,0),0)</f>
        <v>0</v>
      </c>
      <c r="AI140" s="97">
        <f>IFERROR(VLOOKUP(U140,'RoC9'!$B$1:$C$160,2,0),0)</f>
        <v>0</v>
      </c>
      <c r="AJ140" s="97">
        <f>IFERROR(VLOOKUP(W140,'RoC10'!$B$1:$C$160,2,0),0)</f>
        <v>0</v>
      </c>
      <c r="AK140" s="97">
        <f>IFERROR(VLOOKUP(Y140,'RoC11'!$B$1:$C$160,2,0),0)</f>
        <v>0</v>
      </c>
    </row>
    <row r="141" ht="15.75" customHeight="1">
      <c r="A141" s="135">
        <v>140.0</v>
      </c>
      <c r="B141" s="124"/>
      <c r="C141" s="93">
        <f t="shared" si="4"/>
        <v>0</v>
      </c>
      <c r="D141" s="136"/>
      <c r="E141" s="137" t="str">
        <f>IFERROR(VLOOKUP($B141,'RoC1'!$A$1:$B$160,2,0),"0")</f>
        <v>0</v>
      </c>
      <c r="F141" s="97">
        <f>IFERROR(VLOOKUP(E141,'RoC1'!$B$1:$C$160,2,0),0)</f>
        <v>0</v>
      </c>
      <c r="G141" s="137" t="str">
        <f>IFERROR(VLOOKUP($B141,'RoC2'!$A$1:$B$161,2,0),"0")</f>
        <v>0</v>
      </c>
      <c r="H141" s="97">
        <f>IFERROR(VLOOKUP(G141,'RoC2'!$B$1:$C$161,2,0),0)</f>
        <v>0</v>
      </c>
      <c r="I141" s="137">
        <f>IFERROR(VLOOKUP($B141,'RoC3'!$A$1:$B$161,2,0),0)</f>
        <v>0</v>
      </c>
      <c r="J141" s="97">
        <f>IFERROR(VLOOKUP(I141,'RoC3'!$B$1:$C$161,2,0),0)</f>
        <v>0</v>
      </c>
      <c r="K141" s="137">
        <f>IFERROR(VLOOKUP($B141,'RoC4'!$A$1:$B$161,2,0),0)</f>
        <v>0</v>
      </c>
      <c r="L141" s="97">
        <f>IFERROR(VLOOKUP(K141,'RoC4'!$B$1:$C$161,2,0),0)</f>
        <v>0</v>
      </c>
      <c r="M141" s="137">
        <f>IFERROR(VLOOKUP($B141,'RoC5'!$A$1:$B$161,2,0),0)</f>
        <v>0</v>
      </c>
      <c r="N141" s="97">
        <f>IFERROR(VLOOKUP(M141,'RoC5'!$B$1:$C$161,2,0),0)</f>
        <v>0</v>
      </c>
      <c r="O141" s="137">
        <f>IFERROR(VLOOKUP($B141,'RoC6'!$A$1:$B$161,2,0),0)</f>
        <v>0</v>
      </c>
      <c r="P141" s="97">
        <f>IFERROR(VLOOKUP(O141,'RoC6'!$B$1:$C$161,2,0),0)</f>
        <v>0</v>
      </c>
      <c r="Q141" s="137">
        <f>IFERROR(VLOOKUP($B141,'RoC7'!$A$1:$B$161,2,0),0)</f>
        <v>0</v>
      </c>
      <c r="R141" s="97">
        <f>IFERROR(VLOOKUP(Q141,'RoC7'!$B$1:$C$161,2,0),0)</f>
        <v>0</v>
      </c>
      <c r="S141" s="137">
        <f>IFERROR(VLOOKUP($B141,'RoC8'!$A$1:$B$161,2,0),0)</f>
        <v>0</v>
      </c>
      <c r="T141" s="97">
        <f>IFERROR(VLOOKUP(S141,'RoC8'!$B$1:$C$161,2,0),0)</f>
        <v>0</v>
      </c>
      <c r="U141" s="137">
        <f>IFERROR(VLOOKUP($B141,'RoC9'!$A$1:$B$161,2,0),0)</f>
        <v>0</v>
      </c>
      <c r="V141" s="97">
        <f>IFERROR(VLOOKUP(U141,'RoC9'!$B$1:$C$161,2,0),0)</f>
        <v>0</v>
      </c>
      <c r="W141" s="137">
        <f>IFERROR(VLOOKUP($B141,'RoC10'!$A$1:$B$161,2,0),0)</f>
        <v>0</v>
      </c>
      <c r="X141" s="97">
        <f>IFERROR(VLOOKUP(W141,'RoC10'!$B$1:$C$161,2,0),0)</f>
        <v>0</v>
      </c>
      <c r="Y141" s="137">
        <f>IFERROR(VLOOKUP($B141,'RoC11'!$A$1:$B$161,2,0),0)</f>
        <v>0</v>
      </c>
      <c r="Z141" s="97">
        <f>IFERROR(VLOOKUP(Y141,'RoC11'!$B$1:$C$161,2,0),0)</f>
        <v>0</v>
      </c>
      <c r="AA141" s="97">
        <f>IFERROR(VLOOKUP(E141,'RoC1'!$B$1:$C$160,2,0),0)</f>
        <v>0</v>
      </c>
      <c r="AB141" s="97">
        <f>IFERROR(VLOOKUP(G141,'RoC2'!$B$1:$C$160,2,0),0)</f>
        <v>0</v>
      </c>
      <c r="AC141" s="97">
        <f>IFERROR(VLOOKUP(I141,'RoC3'!$B$1:$C$160,2,0),0)</f>
        <v>0</v>
      </c>
      <c r="AD141" s="97">
        <f>IFERROR(VLOOKUP(K141,'RoC4'!$B$1:$C$160,2,0),0)</f>
        <v>0</v>
      </c>
      <c r="AE141" s="97">
        <f>IFERROR(VLOOKUP(M141,'RoC5'!$B$1:$C$160,2,0),0)</f>
        <v>0</v>
      </c>
      <c r="AF141" s="97">
        <f>IFERROR(VLOOKUP(O141,'RoC6'!$B$1:$C$160,2,0),0)</f>
        <v>0</v>
      </c>
      <c r="AG141" s="97">
        <f>IFERROR(VLOOKUP(Q141,'RoC7'!$B$1:$C$160,2,0),0)</f>
        <v>0</v>
      </c>
      <c r="AH141" s="97">
        <f>IFERROR(VLOOKUP(S141,'RoC8'!$B$1:$C$160,2,0),0)</f>
        <v>0</v>
      </c>
      <c r="AI141" s="97">
        <f>IFERROR(VLOOKUP(U141,'RoC9'!$B$1:$C$160,2,0),0)</f>
        <v>0</v>
      </c>
      <c r="AJ141" s="97">
        <f>IFERROR(VLOOKUP(W141,'RoC10'!$B$1:$C$160,2,0),0)</f>
        <v>0</v>
      </c>
      <c r="AK141" s="97">
        <f>IFERROR(VLOOKUP(Y141,'RoC11'!$B$1:$C$160,2,0),0)</f>
        <v>0</v>
      </c>
    </row>
    <row r="142" ht="15.75" customHeight="1">
      <c r="A142" s="135">
        <v>141.0</v>
      </c>
      <c r="B142" s="124"/>
      <c r="C142" s="93">
        <f t="shared" si="4"/>
        <v>0</v>
      </c>
      <c r="D142" s="136"/>
      <c r="E142" s="137" t="str">
        <f>IFERROR(VLOOKUP($B142,'RoC1'!$A$1:$B$160,2,0),"0")</f>
        <v>0</v>
      </c>
      <c r="F142" s="97">
        <f>IFERROR(VLOOKUP(E142,'RoC1'!$B$1:$C$160,2,0),0)</f>
        <v>0</v>
      </c>
      <c r="G142" s="137" t="str">
        <f>IFERROR(VLOOKUP($B142,'RoC2'!$A$1:$B$161,2,0),"0")</f>
        <v>0</v>
      </c>
      <c r="H142" s="97">
        <f>IFERROR(VLOOKUP(G142,'RoC2'!$B$1:$C$161,2,0),0)</f>
        <v>0</v>
      </c>
      <c r="I142" s="137">
        <f>IFERROR(VLOOKUP($B142,'RoC3'!$A$1:$B$161,2,0),0)</f>
        <v>0</v>
      </c>
      <c r="J142" s="97">
        <f>IFERROR(VLOOKUP(I142,'RoC3'!$B$1:$C$161,2,0),0)</f>
        <v>0</v>
      </c>
      <c r="K142" s="137">
        <f>IFERROR(VLOOKUP($B142,'RoC4'!$A$1:$B$161,2,0),0)</f>
        <v>0</v>
      </c>
      <c r="L142" s="97">
        <f>IFERROR(VLOOKUP(K142,'RoC4'!$B$1:$C$161,2,0),0)</f>
        <v>0</v>
      </c>
      <c r="M142" s="137">
        <f>IFERROR(VLOOKUP($B142,'RoC5'!$A$1:$B$161,2,0),0)</f>
        <v>0</v>
      </c>
      <c r="N142" s="97">
        <f>IFERROR(VLOOKUP(M142,'RoC5'!$B$1:$C$161,2,0),0)</f>
        <v>0</v>
      </c>
      <c r="O142" s="137">
        <f>IFERROR(VLOOKUP($B142,'RoC6'!$A$1:$B$161,2,0),0)</f>
        <v>0</v>
      </c>
      <c r="P142" s="97">
        <f>IFERROR(VLOOKUP(O142,'RoC6'!$B$1:$C$161,2,0),0)</f>
        <v>0</v>
      </c>
      <c r="Q142" s="137">
        <f>IFERROR(VLOOKUP($B142,'RoC7'!$A$1:$B$161,2,0),0)</f>
        <v>0</v>
      </c>
      <c r="R142" s="97">
        <f>IFERROR(VLOOKUP(Q142,'RoC7'!$B$1:$C$161,2,0),0)</f>
        <v>0</v>
      </c>
      <c r="S142" s="137">
        <f>IFERROR(VLOOKUP($B142,'RoC8'!$A$1:$B$161,2,0),0)</f>
        <v>0</v>
      </c>
      <c r="T142" s="97">
        <f>IFERROR(VLOOKUP(S142,'RoC8'!$B$1:$C$161,2,0),0)</f>
        <v>0</v>
      </c>
      <c r="U142" s="137">
        <f>IFERROR(VLOOKUP($B142,'RoC9'!$A$1:$B$161,2,0),0)</f>
        <v>0</v>
      </c>
      <c r="V142" s="97">
        <f>IFERROR(VLOOKUP(U142,'RoC9'!$B$1:$C$161,2,0),0)</f>
        <v>0</v>
      </c>
      <c r="W142" s="137">
        <f>IFERROR(VLOOKUP($B142,'RoC10'!$A$1:$B$161,2,0),0)</f>
        <v>0</v>
      </c>
      <c r="X142" s="97">
        <f>IFERROR(VLOOKUP(W142,'RoC10'!$B$1:$C$161,2,0),0)</f>
        <v>0</v>
      </c>
      <c r="Y142" s="137">
        <f>IFERROR(VLOOKUP($B142,'RoC11'!$A$1:$B$161,2,0),0)</f>
        <v>0</v>
      </c>
      <c r="Z142" s="97">
        <f>IFERROR(VLOOKUP(Y142,'RoC11'!$B$1:$C$161,2,0),0)</f>
        <v>0</v>
      </c>
      <c r="AA142" s="97">
        <f>IFERROR(VLOOKUP(E142,'RoC1'!$B$1:$C$160,2,0),0)</f>
        <v>0</v>
      </c>
      <c r="AB142" s="97">
        <f>IFERROR(VLOOKUP(G142,'RoC2'!$B$1:$C$160,2,0),0)</f>
        <v>0</v>
      </c>
      <c r="AC142" s="97">
        <f>IFERROR(VLOOKUP(I142,'RoC3'!$B$1:$C$160,2,0),0)</f>
        <v>0</v>
      </c>
      <c r="AD142" s="97">
        <f>IFERROR(VLOOKUP(K142,'RoC4'!$B$1:$C$160,2,0),0)</f>
        <v>0</v>
      </c>
      <c r="AE142" s="97">
        <f>IFERROR(VLOOKUP(M142,'RoC5'!$B$1:$C$160,2,0),0)</f>
        <v>0</v>
      </c>
      <c r="AF142" s="97">
        <f>IFERROR(VLOOKUP(O142,'RoC6'!$B$1:$C$160,2,0),0)</f>
        <v>0</v>
      </c>
      <c r="AG142" s="97">
        <f>IFERROR(VLOOKUP(Q142,'RoC7'!$B$1:$C$160,2,0),0)</f>
        <v>0</v>
      </c>
      <c r="AH142" s="97">
        <f>IFERROR(VLOOKUP(S142,'RoC8'!$B$1:$C$160,2,0),0)</f>
        <v>0</v>
      </c>
      <c r="AI142" s="97">
        <f>IFERROR(VLOOKUP(U142,'RoC9'!$B$1:$C$160,2,0),0)</f>
        <v>0</v>
      </c>
      <c r="AJ142" s="97">
        <f>IFERROR(VLOOKUP(W142,'RoC10'!$B$1:$C$160,2,0),0)</f>
        <v>0</v>
      </c>
      <c r="AK142" s="97">
        <f>IFERROR(VLOOKUP(Y142,'RoC11'!$B$1:$C$160,2,0),0)</f>
        <v>0</v>
      </c>
    </row>
    <row r="143" ht="15.75" customHeight="1">
      <c r="A143" s="135">
        <v>142.0</v>
      </c>
      <c r="B143" s="124"/>
      <c r="C143" s="93">
        <f t="shared" si="4"/>
        <v>0</v>
      </c>
      <c r="D143" s="136"/>
      <c r="E143" s="137" t="str">
        <f>IFERROR(VLOOKUP($B143,'RoC1'!$A$1:$B$160,2,0),"0")</f>
        <v>0</v>
      </c>
      <c r="F143" s="97">
        <f>IFERROR(VLOOKUP(E143,'RoC1'!$B$1:$C$160,2,0),0)</f>
        <v>0</v>
      </c>
      <c r="G143" s="137" t="str">
        <f>IFERROR(VLOOKUP($B143,'RoC2'!$A$1:$B$161,2,0),"0")</f>
        <v>0</v>
      </c>
      <c r="H143" s="97">
        <f>IFERROR(VLOOKUP(G143,'RoC2'!$B$1:$C$161,2,0),0)</f>
        <v>0</v>
      </c>
      <c r="I143" s="137">
        <f>IFERROR(VLOOKUP($B143,'RoC3'!$A$1:$B$161,2,0),0)</f>
        <v>0</v>
      </c>
      <c r="J143" s="97">
        <f>IFERROR(VLOOKUP(I143,'RoC3'!$B$1:$C$161,2,0),0)</f>
        <v>0</v>
      </c>
      <c r="K143" s="137">
        <f>IFERROR(VLOOKUP($B143,'RoC4'!$A$1:$B$161,2,0),0)</f>
        <v>0</v>
      </c>
      <c r="L143" s="97">
        <f>IFERROR(VLOOKUP(K143,'RoC4'!$B$1:$C$161,2,0),0)</f>
        <v>0</v>
      </c>
      <c r="M143" s="137">
        <f>IFERROR(VLOOKUP($B143,'RoC5'!$A$1:$B$161,2,0),0)</f>
        <v>0</v>
      </c>
      <c r="N143" s="97">
        <f>IFERROR(VLOOKUP(M143,'RoC5'!$B$1:$C$161,2,0),0)</f>
        <v>0</v>
      </c>
      <c r="O143" s="137">
        <f>IFERROR(VLOOKUP($B143,'RoC6'!$A$1:$B$161,2,0),0)</f>
        <v>0</v>
      </c>
      <c r="P143" s="97">
        <f>IFERROR(VLOOKUP(O143,'RoC6'!$B$1:$C$161,2,0),0)</f>
        <v>0</v>
      </c>
      <c r="Q143" s="137">
        <f>IFERROR(VLOOKUP($B143,'RoC7'!$A$1:$B$161,2,0),0)</f>
        <v>0</v>
      </c>
      <c r="R143" s="97">
        <f>IFERROR(VLOOKUP(Q143,'RoC7'!$B$1:$C$161,2,0),0)</f>
        <v>0</v>
      </c>
      <c r="S143" s="137">
        <f>IFERROR(VLOOKUP($B143,'RoC8'!$A$1:$B$161,2,0),0)</f>
        <v>0</v>
      </c>
      <c r="T143" s="97">
        <f>IFERROR(VLOOKUP(S143,'RoC8'!$B$1:$C$161,2,0),0)</f>
        <v>0</v>
      </c>
      <c r="U143" s="137">
        <f>IFERROR(VLOOKUP($B143,'RoC9'!$A$1:$B$161,2,0),0)</f>
        <v>0</v>
      </c>
      <c r="V143" s="97">
        <f>IFERROR(VLOOKUP(U143,'RoC9'!$B$1:$C$161,2,0),0)</f>
        <v>0</v>
      </c>
      <c r="W143" s="137">
        <f>IFERROR(VLOOKUP($B143,'RoC10'!$A$1:$B$161,2,0),0)</f>
        <v>0</v>
      </c>
      <c r="X143" s="97">
        <f>IFERROR(VLOOKUP(W143,'RoC10'!$B$1:$C$161,2,0),0)</f>
        <v>0</v>
      </c>
      <c r="Y143" s="137">
        <f>IFERROR(VLOOKUP($B143,'RoC11'!$A$1:$B$161,2,0),0)</f>
        <v>0</v>
      </c>
      <c r="Z143" s="97">
        <f>IFERROR(VLOOKUP(Y143,'RoC11'!$B$1:$C$161,2,0),0)</f>
        <v>0</v>
      </c>
      <c r="AA143" s="97">
        <f>IFERROR(VLOOKUP(E143,'RoC1'!$B$1:$C$160,2,0),0)</f>
        <v>0</v>
      </c>
      <c r="AB143" s="97">
        <f>IFERROR(VLOOKUP(G143,'RoC2'!$B$1:$C$160,2,0),0)</f>
        <v>0</v>
      </c>
      <c r="AC143" s="97">
        <f>IFERROR(VLOOKUP(I143,'RoC3'!$B$1:$C$160,2,0),0)</f>
        <v>0</v>
      </c>
      <c r="AD143" s="97">
        <f>IFERROR(VLOOKUP(K143,'RoC4'!$B$1:$C$160,2,0),0)</f>
        <v>0</v>
      </c>
      <c r="AE143" s="97">
        <f>IFERROR(VLOOKUP(M143,'RoC5'!$B$1:$C$160,2,0),0)</f>
        <v>0</v>
      </c>
      <c r="AF143" s="97">
        <f>IFERROR(VLOOKUP(O143,'RoC6'!$B$1:$C$160,2,0),0)</f>
        <v>0</v>
      </c>
      <c r="AG143" s="97">
        <f>IFERROR(VLOOKUP(Q143,'RoC7'!$B$1:$C$160,2,0),0)</f>
        <v>0</v>
      </c>
      <c r="AH143" s="97">
        <f>IFERROR(VLOOKUP(S143,'RoC8'!$B$1:$C$160,2,0),0)</f>
        <v>0</v>
      </c>
      <c r="AI143" s="97">
        <f>IFERROR(VLOOKUP(U143,'RoC9'!$B$1:$C$160,2,0),0)</f>
        <v>0</v>
      </c>
      <c r="AJ143" s="97">
        <f>IFERROR(VLOOKUP(W143,'RoC10'!$B$1:$C$160,2,0),0)</f>
        <v>0</v>
      </c>
      <c r="AK143" s="97">
        <f>IFERROR(VLOOKUP(Y143,'RoC11'!$B$1:$C$160,2,0),0)</f>
        <v>0</v>
      </c>
    </row>
    <row r="144" ht="15.75" customHeight="1">
      <c r="A144" s="135">
        <v>143.0</v>
      </c>
      <c r="B144" s="124"/>
      <c r="C144" s="93">
        <f t="shared" si="4"/>
        <v>0</v>
      </c>
      <c r="D144" s="136"/>
      <c r="E144" s="137" t="str">
        <f>IFERROR(VLOOKUP($B144,'RoC1'!$A$1:$B$160,2,0),"0")</f>
        <v>0</v>
      </c>
      <c r="F144" s="97">
        <f>IFERROR(VLOOKUP(E144,'RoC1'!$B$1:$C$160,2,0),0)</f>
        <v>0</v>
      </c>
      <c r="G144" s="137" t="str">
        <f>IFERROR(VLOOKUP($B144,'RoC2'!$A$1:$B$161,2,0),"0")</f>
        <v>0</v>
      </c>
      <c r="H144" s="97">
        <f>IFERROR(VLOOKUP(G144,'RoC2'!$B$1:$C$161,2,0),0)</f>
        <v>0</v>
      </c>
      <c r="I144" s="137">
        <f>IFERROR(VLOOKUP($B144,'RoC3'!$A$1:$B$161,2,0),0)</f>
        <v>0</v>
      </c>
      <c r="J144" s="97">
        <f>IFERROR(VLOOKUP(I144,'RoC3'!$B$1:$C$161,2,0),0)</f>
        <v>0</v>
      </c>
      <c r="K144" s="137">
        <f>IFERROR(VLOOKUP($B144,'RoC4'!$A$1:$B$161,2,0),0)</f>
        <v>0</v>
      </c>
      <c r="L144" s="97">
        <f>IFERROR(VLOOKUP(K144,'RoC4'!$B$1:$C$161,2,0),0)</f>
        <v>0</v>
      </c>
      <c r="M144" s="137">
        <f>IFERROR(VLOOKUP($B144,'RoC5'!$A$1:$B$161,2,0),0)</f>
        <v>0</v>
      </c>
      <c r="N144" s="97">
        <f>IFERROR(VLOOKUP(M144,'RoC5'!$B$1:$C$161,2,0),0)</f>
        <v>0</v>
      </c>
      <c r="O144" s="137">
        <f>IFERROR(VLOOKUP($B144,'RoC6'!$A$1:$B$161,2,0),0)</f>
        <v>0</v>
      </c>
      <c r="P144" s="97">
        <f>IFERROR(VLOOKUP(O144,'RoC6'!$B$1:$C$161,2,0),0)</f>
        <v>0</v>
      </c>
      <c r="Q144" s="137">
        <f>IFERROR(VLOOKUP($B144,'RoC7'!$A$1:$B$161,2,0),0)</f>
        <v>0</v>
      </c>
      <c r="R144" s="97">
        <f>IFERROR(VLOOKUP(Q144,'RoC7'!$B$1:$C$161,2,0),0)</f>
        <v>0</v>
      </c>
      <c r="S144" s="137">
        <f>IFERROR(VLOOKUP($B144,'RoC8'!$A$1:$B$161,2,0),0)</f>
        <v>0</v>
      </c>
      <c r="T144" s="97">
        <f>IFERROR(VLOOKUP(S144,'RoC8'!$B$1:$C$161,2,0),0)</f>
        <v>0</v>
      </c>
      <c r="U144" s="137">
        <f>IFERROR(VLOOKUP($B144,'RoC9'!$A$1:$B$161,2,0),0)</f>
        <v>0</v>
      </c>
      <c r="V144" s="97">
        <f>IFERROR(VLOOKUP(U144,'RoC9'!$B$1:$C$161,2,0),0)</f>
        <v>0</v>
      </c>
      <c r="W144" s="137">
        <f>IFERROR(VLOOKUP($B144,'RoC10'!$A$1:$B$161,2,0),0)</f>
        <v>0</v>
      </c>
      <c r="X144" s="97">
        <f>IFERROR(VLOOKUP(W144,'RoC10'!$B$1:$C$161,2,0),0)</f>
        <v>0</v>
      </c>
      <c r="Y144" s="137">
        <f>IFERROR(VLOOKUP($B144,'RoC11'!$A$1:$B$161,2,0),0)</f>
        <v>0</v>
      </c>
      <c r="Z144" s="97">
        <f>IFERROR(VLOOKUP(Y144,'RoC11'!$B$1:$C$161,2,0),0)</f>
        <v>0</v>
      </c>
      <c r="AA144" s="97">
        <f>IFERROR(VLOOKUP(E144,'RoC1'!$B$1:$C$160,2,0),0)</f>
        <v>0</v>
      </c>
      <c r="AB144" s="97">
        <f>IFERROR(VLOOKUP(G144,'RoC2'!$B$1:$C$160,2,0),0)</f>
        <v>0</v>
      </c>
      <c r="AC144" s="97">
        <f>IFERROR(VLOOKUP(I144,'RoC3'!$B$1:$C$160,2,0),0)</f>
        <v>0</v>
      </c>
      <c r="AD144" s="97">
        <f>IFERROR(VLOOKUP(K144,'RoC4'!$B$1:$C$160,2,0),0)</f>
        <v>0</v>
      </c>
      <c r="AE144" s="97">
        <f>IFERROR(VLOOKUP(M144,'RoC5'!$B$1:$C$160,2,0),0)</f>
        <v>0</v>
      </c>
      <c r="AF144" s="97">
        <f>IFERROR(VLOOKUP(O144,'RoC6'!$B$1:$C$160,2,0),0)</f>
        <v>0</v>
      </c>
      <c r="AG144" s="97">
        <f>IFERROR(VLOOKUP(Q144,'RoC7'!$B$1:$C$160,2,0),0)</f>
        <v>0</v>
      </c>
      <c r="AH144" s="97">
        <f>IFERROR(VLOOKUP(S144,'RoC8'!$B$1:$C$160,2,0),0)</f>
        <v>0</v>
      </c>
      <c r="AI144" s="97">
        <f>IFERROR(VLOOKUP(U144,'RoC9'!$B$1:$C$160,2,0),0)</f>
        <v>0</v>
      </c>
      <c r="AJ144" s="97">
        <f>IFERROR(VLOOKUP(W144,'RoC10'!$B$1:$C$160,2,0),0)</f>
        <v>0</v>
      </c>
      <c r="AK144" s="97">
        <f>IFERROR(VLOOKUP(Y144,'RoC11'!$B$1:$C$160,2,0),0)</f>
        <v>0</v>
      </c>
    </row>
    <row r="145" ht="15.75" customHeight="1">
      <c r="A145" s="135">
        <v>144.0</v>
      </c>
      <c r="B145" s="124"/>
      <c r="C145" s="93">
        <f t="shared" si="4"/>
        <v>0</v>
      </c>
      <c r="D145" s="136"/>
      <c r="E145" s="137" t="str">
        <f>IFERROR(VLOOKUP($B145,'RoC1'!$A$1:$B$160,2,0),"0")</f>
        <v>0</v>
      </c>
      <c r="F145" s="97">
        <f>IFERROR(VLOOKUP(E145,'RoC1'!$B$1:$C$160,2,0),0)</f>
        <v>0</v>
      </c>
      <c r="G145" s="137" t="str">
        <f>IFERROR(VLOOKUP($B145,'RoC2'!$A$1:$B$161,2,0),"0")</f>
        <v>0</v>
      </c>
      <c r="H145" s="97">
        <f>IFERROR(VLOOKUP(G145,'RoC2'!$B$1:$C$161,2,0),0)</f>
        <v>0</v>
      </c>
      <c r="I145" s="137">
        <f>IFERROR(VLOOKUP($B145,'RoC3'!$A$1:$B$161,2,0),0)</f>
        <v>0</v>
      </c>
      <c r="J145" s="97">
        <f>IFERROR(VLOOKUP(I145,'RoC3'!$B$1:$C$161,2,0),0)</f>
        <v>0</v>
      </c>
      <c r="K145" s="137">
        <f>IFERROR(VLOOKUP($B145,'RoC4'!$A$1:$B$161,2,0),0)</f>
        <v>0</v>
      </c>
      <c r="L145" s="97">
        <f>IFERROR(VLOOKUP(K145,'RoC4'!$B$1:$C$161,2,0),0)</f>
        <v>0</v>
      </c>
      <c r="M145" s="137">
        <f>IFERROR(VLOOKUP($B145,'RoC5'!$A$1:$B$161,2,0),0)</f>
        <v>0</v>
      </c>
      <c r="N145" s="97">
        <f>IFERROR(VLOOKUP(M145,'RoC5'!$B$1:$C$161,2,0),0)</f>
        <v>0</v>
      </c>
      <c r="O145" s="137">
        <f>IFERROR(VLOOKUP($B145,'RoC6'!$A$1:$B$161,2,0),0)</f>
        <v>0</v>
      </c>
      <c r="P145" s="97">
        <f>IFERROR(VLOOKUP(O145,'RoC6'!$B$1:$C$161,2,0),0)</f>
        <v>0</v>
      </c>
      <c r="Q145" s="137">
        <f>IFERROR(VLOOKUP($B145,'RoC7'!$A$1:$B$161,2,0),0)</f>
        <v>0</v>
      </c>
      <c r="R145" s="97">
        <f>IFERROR(VLOOKUP(Q145,'RoC7'!$B$1:$C$161,2,0),0)</f>
        <v>0</v>
      </c>
      <c r="S145" s="137">
        <f>IFERROR(VLOOKUP($B145,'RoC8'!$A$1:$B$161,2,0),0)</f>
        <v>0</v>
      </c>
      <c r="T145" s="97">
        <f>IFERROR(VLOOKUP(S145,'RoC8'!$B$1:$C$161,2,0),0)</f>
        <v>0</v>
      </c>
      <c r="U145" s="137">
        <f>IFERROR(VLOOKUP($B145,'RoC9'!$A$1:$B$161,2,0),0)</f>
        <v>0</v>
      </c>
      <c r="V145" s="97">
        <f>IFERROR(VLOOKUP(U145,'RoC9'!$B$1:$C$161,2,0),0)</f>
        <v>0</v>
      </c>
      <c r="W145" s="137">
        <f>IFERROR(VLOOKUP($B145,'RoC10'!$A$1:$B$161,2,0),0)</f>
        <v>0</v>
      </c>
      <c r="X145" s="97">
        <f>IFERROR(VLOOKUP(W145,'RoC10'!$B$1:$C$161,2,0),0)</f>
        <v>0</v>
      </c>
      <c r="Y145" s="137">
        <f>IFERROR(VLOOKUP($B145,'RoC11'!$A$1:$B$161,2,0),0)</f>
        <v>0</v>
      </c>
      <c r="Z145" s="97">
        <f>IFERROR(VLOOKUP(Y145,'RoC11'!$B$1:$C$161,2,0),0)</f>
        <v>0</v>
      </c>
      <c r="AA145" s="97">
        <f>IFERROR(VLOOKUP(E145,'RoC1'!$B$1:$C$160,2,0),0)</f>
        <v>0</v>
      </c>
      <c r="AB145" s="97">
        <f>IFERROR(VLOOKUP(G145,'RoC2'!$B$1:$C$160,2,0),0)</f>
        <v>0</v>
      </c>
      <c r="AC145" s="97">
        <f>IFERROR(VLOOKUP(I145,'RoC3'!$B$1:$C$160,2,0),0)</f>
        <v>0</v>
      </c>
      <c r="AD145" s="97">
        <f>IFERROR(VLOOKUP(K145,'RoC4'!$B$1:$C$160,2,0),0)</f>
        <v>0</v>
      </c>
      <c r="AE145" s="97">
        <f>IFERROR(VLOOKUP(M145,'RoC5'!$B$1:$C$160,2,0),0)</f>
        <v>0</v>
      </c>
      <c r="AF145" s="97">
        <f>IFERROR(VLOOKUP(O145,'RoC6'!$B$1:$C$160,2,0),0)</f>
        <v>0</v>
      </c>
      <c r="AG145" s="97">
        <f>IFERROR(VLOOKUP(Q145,'RoC7'!$B$1:$C$160,2,0),0)</f>
        <v>0</v>
      </c>
      <c r="AH145" s="97">
        <f>IFERROR(VLOOKUP(S145,'RoC8'!$B$1:$C$160,2,0),0)</f>
        <v>0</v>
      </c>
      <c r="AI145" s="97">
        <f>IFERROR(VLOOKUP(U145,'RoC9'!$B$1:$C$160,2,0),0)</f>
        <v>0</v>
      </c>
      <c r="AJ145" s="97">
        <f>IFERROR(VLOOKUP(W145,'RoC10'!$B$1:$C$160,2,0),0)</f>
        <v>0</v>
      </c>
      <c r="AK145" s="97">
        <f>IFERROR(VLOOKUP(Y145,'RoC11'!$B$1:$C$160,2,0),0)</f>
        <v>0</v>
      </c>
    </row>
    <row r="146" ht="15.75" customHeight="1">
      <c r="A146" s="92">
        <v>145.0</v>
      </c>
      <c r="B146" s="124"/>
      <c r="C146" s="93">
        <f t="shared" si="4"/>
        <v>0</v>
      </c>
      <c r="D146" s="136"/>
      <c r="E146" s="137" t="str">
        <f>IFERROR(VLOOKUP($B146,'RoC1'!$A$1:$B$160,2,0),"0")</f>
        <v>0</v>
      </c>
      <c r="F146" s="97">
        <f>IFERROR(VLOOKUP(E146,'RoC1'!$B$1:$C$160,2,0),0)</f>
        <v>0</v>
      </c>
      <c r="G146" s="137" t="str">
        <f>IFERROR(VLOOKUP($B146,'RoC2'!$A$1:$B$161,2,0),"0")</f>
        <v>0</v>
      </c>
      <c r="H146" s="97">
        <f>IFERROR(VLOOKUP(G146,'RoC2'!$B$1:$C$161,2,0),0)</f>
        <v>0</v>
      </c>
      <c r="I146" s="137">
        <f>IFERROR(VLOOKUP($B146,'RoC3'!$A$1:$B$161,2,0),0)</f>
        <v>0</v>
      </c>
      <c r="J146" s="97">
        <f>IFERROR(VLOOKUP(I146,'RoC3'!$B$1:$C$161,2,0),0)</f>
        <v>0</v>
      </c>
      <c r="K146" s="137">
        <f>IFERROR(VLOOKUP($B146,'RoC4'!$A$1:$B$161,2,0),0)</f>
        <v>0</v>
      </c>
      <c r="L146" s="97">
        <f>IFERROR(VLOOKUP(K146,'RoC4'!$B$1:$C$161,2,0),0)</f>
        <v>0</v>
      </c>
      <c r="M146" s="137">
        <f>IFERROR(VLOOKUP($B146,'RoC5'!$A$1:$B$161,2,0),0)</f>
        <v>0</v>
      </c>
      <c r="N146" s="97">
        <f>IFERROR(VLOOKUP(M146,'RoC5'!$B$1:$C$161,2,0),0)</f>
        <v>0</v>
      </c>
      <c r="O146" s="137">
        <f>IFERROR(VLOOKUP($B146,'RoC6'!$A$1:$B$161,2,0),0)</f>
        <v>0</v>
      </c>
      <c r="P146" s="97">
        <f>IFERROR(VLOOKUP(O146,'RoC6'!$B$1:$C$161,2,0),0)</f>
        <v>0</v>
      </c>
      <c r="Q146" s="137">
        <f>IFERROR(VLOOKUP($B146,'RoC7'!$A$1:$B$161,2,0),0)</f>
        <v>0</v>
      </c>
      <c r="R146" s="97">
        <f>IFERROR(VLOOKUP(Q146,'RoC7'!$B$1:$C$161,2,0),0)</f>
        <v>0</v>
      </c>
      <c r="S146" s="137">
        <f>IFERROR(VLOOKUP($B146,'RoC8'!$A$1:$B$161,2,0),0)</f>
        <v>0</v>
      </c>
      <c r="T146" s="97">
        <f>IFERROR(VLOOKUP(S146,'RoC8'!$B$1:$C$161,2,0),0)</f>
        <v>0</v>
      </c>
      <c r="U146" s="137">
        <f>IFERROR(VLOOKUP($B146,'RoC9'!$A$1:$B$161,2,0),0)</f>
        <v>0</v>
      </c>
      <c r="V146" s="97">
        <f>IFERROR(VLOOKUP(U146,'RoC9'!$B$1:$C$161,2,0),0)</f>
        <v>0</v>
      </c>
      <c r="W146" s="137">
        <f>IFERROR(VLOOKUP($B146,'RoC10'!$A$1:$B$161,2,0),0)</f>
        <v>0</v>
      </c>
      <c r="X146" s="97">
        <f>IFERROR(VLOOKUP(W146,'RoC10'!$B$1:$C$161,2,0),0)</f>
        <v>0</v>
      </c>
      <c r="Y146" s="137">
        <f>IFERROR(VLOOKUP($B146,'RoC11'!$A$1:$B$161,2,0),0)</f>
        <v>0</v>
      </c>
      <c r="Z146" s="97">
        <f>IFERROR(VLOOKUP(Y146,'RoC11'!$B$1:$C$161,2,0),0)</f>
        <v>0</v>
      </c>
      <c r="AA146" s="97">
        <f>IFERROR(VLOOKUP(E146,'RoC1'!$B$1:$C$160,2,0),0)</f>
        <v>0</v>
      </c>
      <c r="AB146" s="97">
        <f>IFERROR(VLOOKUP(G146,'RoC2'!$B$1:$C$160,2,0),0)</f>
        <v>0</v>
      </c>
      <c r="AC146" s="97">
        <f>IFERROR(VLOOKUP(I146,'RoC3'!$B$1:$C$160,2,0),0)</f>
        <v>0</v>
      </c>
      <c r="AD146" s="97">
        <f>IFERROR(VLOOKUP(K146,'RoC4'!$B$1:$C$160,2,0),0)</f>
        <v>0</v>
      </c>
      <c r="AE146" s="97">
        <f>IFERROR(VLOOKUP(M146,'RoC5'!$B$1:$C$160,2,0),0)</f>
        <v>0</v>
      </c>
      <c r="AF146" s="97">
        <f>IFERROR(VLOOKUP(O146,'RoC6'!$B$1:$C$160,2,0),0)</f>
        <v>0</v>
      </c>
      <c r="AG146" s="97">
        <f>IFERROR(VLOOKUP(Q146,'RoC7'!$B$1:$C$160,2,0),0)</f>
        <v>0</v>
      </c>
      <c r="AH146" s="97">
        <f>IFERROR(VLOOKUP(S146,'RoC8'!$B$1:$C$160,2,0),0)</f>
        <v>0</v>
      </c>
      <c r="AI146" s="97">
        <f>IFERROR(VLOOKUP(U146,'RoC9'!$B$1:$C$160,2,0),0)</f>
        <v>0</v>
      </c>
      <c r="AJ146" s="97">
        <f>IFERROR(VLOOKUP(W146,'RoC10'!$B$1:$C$160,2,0),0)</f>
        <v>0</v>
      </c>
      <c r="AK146" s="97">
        <f>IFERROR(VLOOKUP(Y146,'RoC11'!$B$1:$C$160,2,0),0)</f>
        <v>0</v>
      </c>
    </row>
    <row r="147" ht="15.75" customHeight="1">
      <c r="A147" s="135">
        <v>146.0</v>
      </c>
      <c r="B147" s="124"/>
      <c r="C147" s="93">
        <f t="shared" si="4"/>
        <v>0</v>
      </c>
      <c r="D147" s="136"/>
      <c r="E147" s="137" t="str">
        <f>IFERROR(VLOOKUP($B147,'RoC1'!$A$1:$B$160,2,0),"0")</f>
        <v>0</v>
      </c>
      <c r="F147" s="97">
        <f>IFERROR(VLOOKUP(E147,'RoC1'!$B$1:$C$160,2,0),0)</f>
        <v>0</v>
      </c>
      <c r="G147" s="137" t="str">
        <f>IFERROR(VLOOKUP($B147,'RoC2'!$A$1:$B$161,2,0),"0")</f>
        <v>0</v>
      </c>
      <c r="H147" s="97">
        <f>IFERROR(VLOOKUP(G147,'RoC2'!$B$1:$C$161,2,0),0)</f>
        <v>0</v>
      </c>
      <c r="I147" s="137">
        <f>IFERROR(VLOOKUP($B147,'RoC3'!$A$1:$B$161,2,0),0)</f>
        <v>0</v>
      </c>
      <c r="J147" s="97">
        <f>IFERROR(VLOOKUP(I147,'RoC3'!$B$1:$C$161,2,0),0)</f>
        <v>0</v>
      </c>
      <c r="K147" s="137">
        <f>IFERROR(VLOOKUP($B147,'RoC4'!$A$1:$B$161,2,0),0)</f>
        <v>0</v>
      </c>
      <c r="L147" s="97">
        <f>IFERROR(VLOOKUP(K147,'RoC4'!$B$1:$C$161,2,0),0)</f>
        <v>0</v>
      </c>
      <c r="M147" s="137">
        <f>IFERROR(VLOOKUP($B147,'RoC5'!$A$1:$B$161,2,0),0)</f>
        <v>0</v>
      </c>
      <c r="N147" s="97">
        <f>IFERROR(VLOOKUP(M147,'RoC5'!$B$1:$C$161,2,0),0)</f>
        <v>0</v>
      </c>
      <c r="O147" s="137">
        <f>IFERROR(VLOOKUP($B147,'RoC6'!$A$1:$B$161,2,0),0)</f>
        <v>0</v>
      </c>
      <c r="P147" s="97">
        <f>IFERROR(VLOOKUP(O147,'RoC6'!$B$1:$C$161,2,0),0)</f>
        <v>0</v>
      </c>
      <c r="Q147" s="137">
        <f>IFERROR(VLOOKUP($B147,'RoC7'!$A$1:$B$161,2,0),0)</f>
        <v>0</v>
      </c>
      <c r="R147" s="97">
        <f>IFERROR(VLOOKUP(Q147,'RoC7'!$B$1:$C$161,2,0),0)</f>
        <v>0</v>
      </c>
      <c r="S147" s="137">
        <f>IFERROR(VLOOKUP($B147,'RoC8'!$A$1:$B$161,2,0),0)</f>
        <v>0</v>
      </c>
      <c r="T147" s="97">
        <f>IFERROR(VLOOKUP(S147,'RoC8'!$B$1:$C$161,2,0),0)</f>
        <v>0</v>
      </c>
      <c r="U147" s="137">
        <f>IFERROR(VLOOKUP($B147,'RoC9'!$A$1:$B$161,2,0),0)</f>
        <v>0</v>
      </c>
      <c r="V147" s="97">
        <f>IFERROR(VLOOKUP(U147,'RoC9'!$B$1:$C$161,2,0),0)</f>
        <v>0</v>
      </c>
      <c r="W147" s="137">
        <f>IFERROR(VLOOKUP($B147,'RoC10'!$A$1:$B$161,2,0),0)</f>
        <v>0</v>
      </c>
      <c r="X147" s="97">
        <f>IFERROR(VLOOKUP(W147,'RoC10'!$B$1:$C$161,2,0),0)</f>
        <v>0</v>
      </c>
      <c r="Y147" s="137">
        <f>IFERROR(VLOOKUP($B147,'RoC11'!$A$1:$B$161,2,0),0)</f>
        <v>0</v>
      </c>
      <c r="Z147" s="97">
        <f>IFERROR(VLOOKUP(Y147,'RoC11'!$B$1:$C$161,2,0),0)</f>
        <v>0</v>
      </c>
      <c r="AA147" s="97">
        <f>IFERROR(VLOOKUP(E147,'RoC1'!$B$1:$C$160,2,0),0)</f>
        <v>0</v>
      </c>
      <c r="AB147" s="97">
        <f>IFERROR(VLOOKUP(G147,'RoC2'!$B$1:$C$160,2,0),0)</f>
        <v>0</v>
      </c>
      <c r="AC147" s="97">
        <f>IFERROR(VLOOKUP(I147,'RoC3'!$B$1:$C$160,2,0),0)</f>
        <v>0</v>
      </c>
      <c r="AD147" s="97">
        <f>IFERROR(VLOOKUP(K147,'RoC4'!$B$1:$C$160,2,0),0)</f>
        <v>0</v>
      </c>
      <c r="AE147" s="97">
        <f>IFERROR(VLOOKUP(M147,'RoC5'!$B$1:$C$160,2,0),0)</f>
        <v>0</v>
      </c>
      <c r="AF147" s="97">
        <f>IFERROR(VLOOKUP(O147,'RoC6'!$B$1:$C$160,2,0),0)</f>
        <v>0</v>
      </c>
      <c r="AG147" s="97">
        <f>IFERROR(VLOOKUP(Q147,'RoC7'!$B$1:$C$160,2,0),0)</f>
        <v>0</v>
      </c>
      <c r="AH147" s="97">
        <f>IFERROR(VLOOKUP(S147,'RoC8'!$B$1:$C$160,2,0),0)</f>
        <v>0</v>
      </c>
      <c r="AI147" s="97">
        <f>IFERROR(VLOOKUP(U147,'RoC9'!$B$1:$C$160,2,0),0)</f>
        <v>0</v>
      </c>
      <c r="AJ147" s="97">
        <f>IFERROR(VLOOKUP(W147,'RoC10'!$B$1:$C$160,2,0),0)</f>
        <v>0</v>
      </c>
      <c r="AK147" s="97">
        <f>IFERROR(VLOOKUP(Y147,'RoC11'!$B$1:$C$160,2,0),0)</f>
        <v>0</v>
      </c>
    </row>
    <row r="148" ht="15.75" customHeight="1">
      <c r="A148" s="92">
        <v>147.0</v>
      </c>
      <c r="B148" s="124"/>
      <c r="C148" s="93">
        <f t="shared" si="4"/>
        <v>0</v>
      </c>
      <c r="D148" s="136"/>
      <c r="E148" s="137" t="str">
        <f>IFERROR(VLOOKUP($B148,'RoC1'!$A$1:$B$160,2,0),"0")</f>
        <v>0</v>
      </c>
      <c r="F148" s="97">
        <f>IFERROR(VLOOKUP(E148,'RoC1'!$B$1:$C$160,2,0),0)</f>
        <v>0</v>
      </c>
      <c r="G148" s="137" t="str">
        <f>IFERROR(VLOOKUP($B148,'RoC2'!$A$1:$B$161,2,0),"0")</f>
        <v>0</v>
      </c>
      <c r="H148" s="97">
        <f>IFERROR(VLOOKUP(G148,'RoC2'!$B$1:$C$161,2,0),0)</f>
        <v>0</v>
      </c>
      <c r="I148" s="137">
        <f>IFERROR(VLOOKUP($B148,'RoC3'!$A$1:$B$161,2,0),0)</f>
        <v>0</v>
      </c>
      <c r="J148" s="97">
        <f>IFERROR(VLOOKUP(I148,'RoC3'!$B$1:$C$161,2,0),0)</f>
        <v>0</v>
      </c>
      <c r="K148" s="137">
        <f>IFERROR(VLOOKUP($B148,'RoC4'!$A$1:$B$161,2,0),0)</f>
        <v>0</v>
      </c>
      <c r="L148" s="97">
        <f>IFERROR(VLOOKUP(K148,'RoC4'!$B$1:$C$161,2,0),0)</f>
        <v>0</v>
      </c>
      <c r="M148" s="137">
        <f>IFERROR(VLOOKUP($B148,'RoC5'!$A$1:$B$161,2,0),0)</f>
        <v>0</v>
      </c>
      <c r="N148" s="97">
        <f>IFERROR(VLOOKUP(M148,'RoC5'!$B$1:$C$161,2,0),0)</f>
        <v>0</v>
      </c>
      <c r="O148" s="137">
        <f>IFERROR(VLOOKUP($B148,'RoC6'!$A$1:$B$161,2,0),0)</f>
        <v>0</v>
      </c>
      <c r="P148" s="97">
        <f>IFERROR(VLOOKUP(O148,'RoC6'!$B$1:$C$161,2,0),0)</f>
        <v>0</v>
      </c>
      <c r="Q148" s="137">
        <f>IFERROR(VLOOKUP($B148,'RoC7'!$A$1:$B$161,2,0),0)</f>
        <v>0</v>
      </c>
      <c r="R148" s="97">
        <f>IFERROR(VLOOKUP(Q148,'RoC7'!$B$1:$C$161,2,0),0)</f>
        <v>0</v>
      </c>
      <c r="S148" s="137">
        <f>IFERROR(VLOOKUP($B148,'RoC8'!$A$1:$B$161,2,0),0)</f>
        <v>0</v>
      </c>
      <c r="T148" s="97">
        <f>IFERROR(VLOOKUP(S148,'RoC8'!$B$1:$C$161,2,0),0)</f>
        <v>0</v>
      </c>
      <c r="U148" s="137">
        <f>IFERROR(VLOOKUP($B148,'RoC9'!$A$1:$B$161,2,0),0)</f>
        <v>0</v>
      </c>
      <c r="V148" s="97">
        <f>IFERROR(VLOOKUP(U148,'RoC9'!$B$1:$C$161,2,0),0)</f>
        <v>0</v>
      </c>
      <c r="W148" s="137">
        <f>IFERROR(VLOOKUP($B148,'RoC10'!$A$1:$B$161,2,0),0)</f>
        <v>0</v>
      </c>
      <c r="X148" s="97">
        <f>IFERROR(VLOOKUP(W148,'RoC10'!$B$1:$C$161,2,0),0)</f>
        <v>0</v>
      </c>
      <c r="Y148" s="137">
        <f>IFERROR(VLOOKUP($B148,'RoC11'!$A$1:$B$161,2,0),0)</f>
        <v>0</v>
      </c>
      <c r="Z148" s="97">
        <f>IFERROR(VLOOKUP(Y148,'RoC11'!$B$1:$C$161,2,0),0)</f>
        <v>0</v>
      </c>
      <c r="AA148" s="97">
        <f>IFERROR(VLOOKUP(E148,'RoC1'!$B$1:$C$160,2,0),0)</f>
        <v>0</v>
      </c>
      <c r="AB148" s="97">
        <f>IFERROR(VLOOKUP(G148,'RoC2'!$B$1:$C$160,2,0),0)</f>
        <v>0</v>
      </c>
      <c r="AC148" s="97">
        <f>IFERROR(VLOOKUP(I148,'RoC3'!$B$1:$C$160,2,0),0)</f>
        <v>0</v>
      </c>
      <c r="AD148" s="97">
        <f>IFERROR(VLOOKUP(K148,'RoC4'!$B$1:$C$160,2,0),0)</f>
        <v>0</v>
      </c>
      <c r="AE148" s="97">
        <f>IFERROR(VLOOKUP(M148,'RoC5'!$B$1:$C$160,2,0),0)</f>
        <v>0</v>
      </c>
      <c r="AF148" s="97">
        <f>IFERROR(VLOOKUP(O148,'RoC6'!$B$1:$C$160,2,0),0)</f>
        <v>0</v>
      </c>
      <c r="AG148" s="97">
        <f>IFERROR(VLOOKUP(Q148,'RoC7'!$B$1:$C$160,2,0),0)</f>
        <v>0</v>
      </c>
      <c r="AH148" s="97">
        <f>IFERROR(VLOOKUP(S148,'RoC8'!$B$1:$C$160,2,0),0)</f>
        <v>0</v>
      </c>
      <c r="AI148" s="97">
        <f>IFERROR(VLOOKUP(U148,'RoC9'!$B$1:$C$160,2,0),0)</f>
        <v>0</v>
      </c>
      <c r="AJ148" s="97">
        <f>IFERROR(VLOOKUP(W148,'RoC10'!$B$1:$C$160,2,0),0)</f>
        <v>0</v>
      </c>
      <c r="AK148" s="97">
        <f>IFERROR(VLOOKUP(Y148,'RoC11'!$B$1:$C$160,2,0),0)</f>
        <v>0</v>
      </c>
    </row>
    <row r="149" ht="15.75" customHeight="1">
      <c r="A149" s="135">
        <v>148.0</v>
      </c>
      <c r="B149" s="124"/>
      <c r="C149" s="93">
        <f t="shared" si="4"/>
        <v>0</v>
      </c>
      <c r="D149" s="136"/>
      <c r="E149" s="137" t="str">
        <f>IFERROR(VLOOKUP($B149,'RoC1'!$A$1:$B$160,2,0),"0")</f>
        <v>0</v>
      </c>
      <c r="F149" s="97">
        <f>IFERROR(VLOOKUP(E149,'RoC1'!$B$1:$C$160,2,0),0)</f>
        <v>0</v>
      </c>
      <c r="G149" s="137" t="str">
        <f>IFERROR(VLOOKUP($B149,'RoC2'!$A$1:$B$161,2,0),"0")</f>
        <v>0</v>
      </c>
      <c r="H149" s="97">
        <f>IFERROR(VLOOKUP(G149,'RoC2'!$B$1:$C$161,2,0),0)</f>
        <v>0</v>
      </c>
      <c r="I149" s="137">
        <f>IFERROR(VLOOKUP($B149,'RoC3'!$A$1:$B$161,2,0),0)</f>
        <v>0</v>
      </c>
      <c r="J149" s="97">
        <f>IFERROR(VLOOKUP(I149,'RoC3'!$B$1:$C$161,2,0),0)</f>
        <v>0</v>
      </c>
      <c r="K149" s="137">
        <f>IFERROR(VLOOKUP($B149,'RoC4'!$A$1:$B$161,2,0),0)</f>
        <v>0</v>
      </c>
      <c r="L149" s="97">
        <f>IFERROR(VLOOKUP(K149,'RoC4'!$B$1:$C$161,2,0),0)</f>
        <v>0</v>
      </c>
      <c r="M149" s="137">
        <f>IFERROR(VLOOKUP($B149,'RoC5'!$A$1:$B$161,2,0),0)</f>
        <v>0</v>
      </c>
      <c r="N149" s="97">
        <f>IFERROR(VLOOKUP(M149,'RoC5'!$B$1:$C$161,2,0),0)</f>
        <v>0</v>
      </c>
      <c r="O149" s="137">
        <f>IFERROR(VLOOKUP($B149,'RoC6'!$A$1:$B$161,2,0),0)</f>
        <v>0</v>
      </c>
      <c r="P149" s="97">
        <f>IFERROR(VLOOKUP(O149,'RoC6'!$B$1:$C$161,2,0),0)</f>
        <v>0</v>
      </c>
      <c r="Q149" s="137">
        <f>IFERROR(VLOOKUP($B149,'RoC7'!$A$1:$B$161,2,0),0)</f>
        <v>0</v>
      </c>
      <c r="R149" s="97">
        <f>IFERROR(VLOOKUP(Q149,'RoC7'!$B$1:$C$161,2,0),0)</f>
        <v>0</v>
      </c>
      <c r="S149" s="137">
        <f>IFERROR(VLOOKUP($B149,'RoC8'!$A$1:$B$161,2,0),0)</f>
        <v>0</v>
      </c>
      <c r="T149" s="97">
        <f>IFERROR(VLOOKUP(S149,'RoC8'!$B$1:$C$161,2,0),0)</f>
        <v>0</v>
      </c>
      <c r="U149" s="137">
        <f>IFERROR(VLOOKUP($B149,'RoC9'!$A$1:$B$161,2,0),0)</f>
        <v>0</v>
      </c>
      <c r="V149" s="97">
        <f>IFERROR(VLOOKUP(U149,'RoC9'!$B$1:$C$161,2,0),0)</f>
        <v>0</v>
      </c>
      <c r="W149" s="137">
        <f>IFERROR(VLOOKUP($B149,'RoC10'!$A$1:$B$161,2,0),0)</f>
        <v>0</v>
      </c>
      <c r="X149" s="97">
        <f>IFERROR(VLOOKUP(W149,'RoC10'!$B$1:$C$161,2,0),0)</f>
        <v>0</v>
      </c>
      <c r="Y149" s="137">
        <f>IFERROR(VLOOKUP($B149,'RoC11'!$A$1:$B$161,2,0),0)</f>
        <v>0</v>
      </c>
      <c r="Z149" s="97">
        <f>IFERROR(VLOOKUP(Y149,'RoC11'!$B$1:$C$161,2,0),0)</f>
        <v>0</v>
      </c>
      <c r="AA149" s="97">
        <f>IFERROR(VLOOKUP(E149,'RoC1'!$B$1:$C$160,2,0),0)</f>
        <v>0</v>
      </c>
      <c r="AB149" s="97">
        <f>IFERROR(VLOOKUP(G149,'RoC2'!$B$1:$C$160,2,0),0)</f>
        <v>0</v>
      </c>
      <c r="AC149" s="97">
        <f>IFERROR(VLOOKUP(I149,'RoC3'!$B$1:$C$160,2,0),0)</f>
        <v>0</v>
      </c>
      <c r="AD149" s="97">
        <f>IFERROR(VLOOKUP(K149,'RoC4'!$B$1:$C$160,2,0),0)</f>
        <v>0</v>
      </c>
      <c r="AE149" s="97">
        <f>IFERROR(VLOOKUP(M149,'RoC5'!$B$1:$C$160,2,0),0)</f>
        <v>0</v>
      </c>
      <c r="AF149" s="97">
        <f>IFERROR(VLOOKUP(O149,'RoC6'!$B$1:$C$160,2,0),0)</f>
        <v>0</v>
      </c>
      <c r="AG149" s="97">
        <f>IFERROR(VLOOKUP(Q149,'RoC7'!$B$1:$C$160,2,0),0)</f>
        <v>0</v>
      </c>
      <c r="AH149" s="97">
        <f>IFERROR(VLOOKUP(S149,'RoC8'!$B$1:$C$160,2,0),0)</f>
        <v>0</v>
      </c>
      <c r="AI149" s="97">
        <f>IFERROR(VLOOKUP(U149,'RoC9'!$B$1:$C$160,2,0),0)</f>
        <v>0</v>
      </c>
      <c r="AJ149" s="97">
        <f>IFERROR(VLOOKUP(W149,'RoC10'!$B$1:$C$160,2,0),0)</f>
        <v>0</v>
      </c>
      <c r="AK149" s="97">
        <f>IFERROR(VLOOKUP(Y149,'RoC11'!$B$1:$C$160,2,0),0)</f>
        <v>0</v>
      </c>
    </row>
    <row r="150" ht="15.75" customHeight="1">
      <c r="A150" s="92">
        <v>149.0</v>
      </c>
      <c r="B150" s="124"/>
      <c r="C150" s="93">
        <f t="shared" si="4"/>
        <v>0</v>
      </c>
      <c r="D150" s="136"/>
      <c r="E150" s="137" t="str">
        <f>IFERROR(VLOOKUP($B150,'RoC1'!$A$1:$B$160,2,0),"0")</f>
        <v>0</v>
      </c>
      <c r="F150" s="97">
        <f>IFERROR(VLOOKUP(E150,'RoC1'!$B$1:$C$160,2,0),0)</f>
        <v>0</v>
      </c>
      <c r="G150" s="137" t="str">
        <f>IFERROR(VLOOKUP($B150,'RoC2'!$A$1:$B$161,2,0),"0")</f>
        <v>0</v>
      </c>
      <c r="H150" s="97">
        <f>IFERROR(VLOOKUP(G150,'RoC2'!$B$1:$C$161,2,0),0)</f>
        <v>0</v>
      </c>
      <c r="I150" s="137">
        <f>IFERROR(VLOOKUP($B150,'RoC3'!$A$1:$B$161,2,0),0)</f>
        <v>0</v>
      </c>
      <c r="J150" s="97">
        <f>IFERROR(VLOOKUP(I150,'RoC3'!$B$1:$C$161,2,0),0)</f>
        <v>0</v>
      </c>
      <c r="K150" s="137">
        <f>IFERROR(VLOOKUP($B150,'RoC4'!$A$1:$B$161,2,0),0)</f>
        <v>0</v>
      </c>
      <c r="L150" s="97">
        <f>IFERROR(VLOOKUP(K150,'RoC4'!$B$1:$C$161,2,0),0)</f>
        <v>0</v>
      </c>
      <c r="M150" s="137">
        <f>IFERROR(VLOOKUP($B150,'RoC5'!$A$1:$B$161,2,0),0)</f>
        <v>0</v>
      </c>
      <c r="N150" s="97">
        <f>IFERROR(VLOOKUP(M150,'RoC5'!$B$1:$C$161,2,0),0)</f>
        <v>0</v>
      </c>
      <c r="O150" s="137">
        <f>IFERROR(VLOOKUP($B150,'RoC6'!$A$1:$B$161,2,0),0)</f>
        <v>0</v>
      </c>
      <c r="P150" s="97">
        <f>IFERROR(VLOOKUP(O150,'RoC6'!$B$1:$C$161,2,0),0)</f>
        <v>0</v>
      </c>
      <c r="Q150" s="137">
        <f>IFERROR(VLOOKUP($B150,'RoC7'!$A$1:$B$161,2,0),0)</f>
        <v>0</v>
      </c>
      <c r="R150" s="97">
        <f>IFERROR(VLOOKUP(Q150,'RoC7'!$B$1:$C$161,2,0),0)</f>
        <v>0</v>
      </c>
      <c r="S150" s="137">
        <f>IFERROR(VLOOKUP($B150,'RoC8'!$A$1:$B$161,2,0),0)</f>
        <v>0</v>
      </c>
      <c r="T150" s="97">
        <f>IFERROR(VLOOKUP(S150,'RoC8'!$B$1:$C$161,2,0),0)</f>
        <v>0</v>
      </c>
      <c r="U150" s="137">
        <f>IFERROR(VLOOKUP($B150,'RoC9'!$A$1:$B$161,2,0),0)</f>
        <v>0</v>
      </c>
      <c r="V150" s="97">
        <f>IFERROR(VLOOKUP(U150,'RoC9'!$B$1:$C$161,2,0),0)</f>
        <v>0</v>
      </c>
      <c r="W150" s="137">
        <f>IFERROR(VLOOKUP($B150,'RoC10'!$A$1:$B$161,2,0),0)</f>
        <v>0</v>
      </c>
      <c r="X150" s="97">
        <f>IFERROR(VLOOKUP(W150,'RoC10'!$B$1:$C$161,2,0),0)</f>
        <v>0</v>
      </c>
      <c r="Y150" s="137">
        <f>IFERROR(VLOOKUP($B150,'RoC11'!$A$1:$B$161,2,0),0)</f>
        <v>0</v>
      </c>
      <c r="Z150" s="97">
        <f>IFERROR(VLOOKUP(Y150,'RoC11'!$B$1:$C$161,2,0),0)</f>
        <v>0</v>
      </c>
      <c r="AA150" s="97">
        <f>IFERROR(VLOOKUP(E150,'RoC1'!$B$1:$C$160,2,0),0)</f>
        <v>0</v>
      </c>
      <c r="AB150" s="97">
        <f>IFERROR(VLOOKUP(G150,'RoC2'!$B$1:$C$160,2,0),0)</f>
        <v>0</v>
      </c>
      <c r="AC150" s="97">
        <f>IFERROR(VLOOKUP(I150,'RoC3'!$B$1:$C$160,2,0),0)</f>
        <v>0</v>
      </c>
      <c r="AD150" s="97">
        <f>IFERROR(VLOOKUP(K150,'RoC4'!$B$1:$C$160,2,0),0)</f>
        <v>0</v>
      </c>
      <c r="AE150" s="97">
        <f>IFERROR(VLOOKUP(M150,'RoC5'!$B$1:$C$160,2,0),0)</f>
        <v>0</v>
      </c>
      <c r="AF150" s="97">
        <f>IFERROR(VLOOKUP(O150,'RoC6'!$B$1:$C$160,2,0),0)</f>
        <v>0</v>
      </c>
      <c r="AG150" s="97">
        <f>IFERROR(VLOOKUP(Q150,'RoC7'!$B$1:$C$160,2,0),0)</f>
        <v>0</v>
      </c>
      <c r="AH150" s="97">
        <f>IFERROR(VLOOKUP(S150,'RoC8'!$B$1:$C$160,2,0),0)</f>
        <v>0</v>
      </c>
      <c r="AI150" s="97">
        <f>IFERROR(VLOOKUP(U150,'RoC9'!$B$1:$C$160,2,0),0)</f>
        <v>0</v>
      </c>
      <c r="AJ150" s="97">
        <f>IFERROR(VLOOKUP(W150,'RoC10'!$B$1:$C$160,2,0),0)</f>
        <v>0</v>
      </c>
      <c r="AK150" s="97">
        <f>IFERROR(VLOOKUP(Y150,'RoC11'!$B$1:$C$160,2,0),0)</f>
        <v>0</v>
      </c>
    </row>
    <row r="151" ht="15.75" customHeight="1">
      <c r="A151" s="135">
        <v>150.0</v>
      </c>
      <c r="B151" s="124"/>
      <c r="C151" s="93">
        <f t="shared" si="4"/>
        <v>0</v>
      </c>
      <c r="D151" s="136"/>
      <c r="E151" s="137" t="str">
        <f>IFERROR(VLOOKUP($B151,'RoC1'!$A$1:$B$160,2,0),"0")</f>
        <v>0</v>
      </c>
      <c r="F151" s="97">
        <f>IFERROR(VLOOKUP(E151,'RoC1'!$B$1:$C$160,2,0),0)</f>
        <v>0</v>
      </c>
      <c r="G151" s="137" t="str">
        <f>IFERROR(VLOOKUP($B151,'RoC2'!$A$1:$B$161,2,0),"0")</f>
        <v>0</v>
      </c>
      <c r="H151" s="97">
        <f>IFERROR(VLOOKUP(G151,'RoC2'!$B$1:$C$161,2,0),0)</f>
        <v>0</v>
      </c>
      <c r="I151" s="137">
        <f>IFERROR(VLOOKUP($B151,'RoC3'!$A$1:$B$161,2,0),0)</f>
        <v>0</v>
      </c>
      <c r="J151" s="97">
        <f>IFERROR(VLOOKUP(I151,'RoC3'!$B$1:$C$161,2,0),0)</f>
        <v>0</v>
      </c>
      <c r="K151" s="137">
        <f>IFERROR(VLOOKUP($B151,'RoC4'!$A$1:$B$161,2,0),0)</f>
        <v>0</v>
      </c>
      <c r="L151" s="97">
        <f>IFERROR(VLOOKUP(K151,'RoC4'!$B$1:$C$161,2,0),0)</f>
        <v>0</v>
      </c>
      <c r="M151" s="137">
        <f>IFERROR(VLOOKUP($B151,'RoC5'!$A$1:$B$161,2,0),0)</f>
        <v>0</v>
      </c>
      <c r="N151" s="97">
        <f>IFERROR(VLOOKUP(M151,'RoC5'!$B$1:$C$161,2,0),0)</f>
        <v>0</v>
      </c>
      <c r="O151" s="137">
        <f>IFERROR(VLOOKUP($B151,'RoC6'!$A$1:$B$161,2,0),0)</f>
        <v>0</v>
      </c>
      <c r="P151" s="97">
        <f>IFERROR(VLOOKUP(O151,'RoC6'!$B$1:$C$161,2,0),0)</f>
        <v>0</v>
      </c>
      <c r="Q151" s="137">
        <f>IFERROR(VLOOKUP($B151,'RoC7'!$A$1:$B$161,2,0),0)</f>
        <v>0</v>
      </c>
      <c r="R151" s="97">
        <f>IFERROR(VLOOKUP(Q151,'RoC7'!$B$1:$C$161,2,0),0)</f>
        <v>0</v>
      </c>
      <c r="S151" s="137">
        <f>IFERROR(VLOOKUP($B151,'RoC8'!$A$1:$B$161,2,0),0)</f>
        <v>0</v>
      </c>
      <c r="T151" s="97">
        <f>IFERROR(VLOOKUP(S151,'RoC8'!$B$1:$C$161,2,0),0)</f>
        <v>0</v>
      </c>
      <c r="U151" s="137">
        <f>IFERROR(VLOOKUP($B151,'RoC9'!$A$1:$B$161,2,0),0)</f>
        <v>0</v>
      </c>
      <c r="V151" s="97">
        <f>IFERROR(VLOOKUP(U151,'RoC9'!$B$1:$C$161,2,0),0)</f>
        <v>0</v>
      </c>
      <c r="W151" s="137">
        <f>IFERROR(VLOOKUP($B151,'RoC10'!$A$1:$B$161,2,0),0)</f>
        <v>0</v>
      </c>
      <c r="X151" s="97">
        <f>IFERROR(VLOOKUP(W151,'RoC10'!$B$1:$C$161,2,0),0)</f>
        <v>0</v>
      </c>
      <c r="Y151" s="137">
        <f>IFERROR(VLOOKUP($B151,'RoC11'!$A$1:$B$161,2,0),0)</f>
        <v>0</v>
      </c>
      <c r="Z151" s="97">
        <f>IFERROR(VLOOKUP(Y151,'RoC11'!$B$1:$C$161,2,0),0)</f>
        <v>0</v>
      </c>
      <c r="AA151" s="97">
        <f>IFERROR(VLOOKUP(E151,'RoC1'!$B$1:$C$160,2,0),0)</f>
        <v>0</v>
      </c>
      <c r="AB151" s="97">
        <f>IFERROR(VLOOKUP(G151,'RoC2'!$B$1:$C$160,2,0),0)</f>
        <v>0</v>
      </c>
      <c r="AC151" s="97">
        <f>IFERROR(VLOOKUP(I151,'RoC3'!$B$1:$C$160,2,0),0)</f>
        <v>0</v>
      </c>
      <c r="AD151" s="97">
        <f>IFERROR(VLOOKUP(K151,'RoC4'!$B$1:$C$160,2,0),0)</f>
        <v>0</v>
      </c>
      <c r="AE151" s="97">
        <f>IFERROR(VLOOKUP(M151,'RoC5'!$B$1:$C$160,2,0),0)</f>
        <v>0</v>
      </c>
      <c r="AF151" s="97">
        <f>IFERROR(VLOOKUP(O151,'RoC6'!$B$1:$C$160,2,0),0)</f>
        <v>0</v>
      </c>
      <c r="AG151" s="97">
        <f>IFERROR(VLOOKUP(Q151,'RoC7'!$B$1:$C$160,2,0),0)</f>
        <v>0</v>
      </c>
      <c r="AH151" s="97">
        <f>IFERROR(VLOOKUP(S151,'RoC8'!$B$1:$C$160,2,0),0)</f>
        <v>0</v>
      </c>
      <c r="AI151" s="97">
        <f>IFERROR(VLOOKUP(U151,'RoC9'!$B$1:$C$160,2,0),0)</f>
        <v>0</v>
      </c>
      <c r="AJ151" s="97">
        <f>IFERROR(VLOOKUP(W151,'RoC10'!$B$1:$C$160,2,0),0)</f>
        <v>0</v>
      </c>
      <c r="AK151" s="97">
        <f>IFERROR(VLOOKUP(Y151,'RoC11'!$B$1:$C$160,2,0),0)</f>
        <v>0</v>
      </c>
    </row>
    <row r="152" ht="15.75" customHeight="1">
      <c r="A152" s="92">
        <v>151.0</v>
      </c>
      <c r="B152" s="124"/>
      <c r="C152" s="93">
        <f t="shared" si="4"/>
        <v>0</v>
      </c>
      <c r="D152" s="136"/>
      <c r="E152" s="137" t="str">
        <f>IFERROR(VLOOKUP($B152,'RoC1'!$A$1:$B$160,2,0),"0")</f>
        <v>0</v>
      </c>
      <c r="F152" s="97">
        <f>IFERROR(VLOOKUP(E152,'RoC1'!$B$1:$C$160,2,0),0)</f>
        <v>0</v>
      </c>
      <c r="G152" s="137" t="str">
        <f>IFERROR(VLOOKUP($B152,'RoC2'!$A$1:$B$161,2,0),"0")</f>
        <v>0</v>
      </c>
      <c r="H152" s="97">
        <f>IFERROR(VLOOKUP(G152,'RoC2'!$B$1:$C$161,2,0),0)</f>
        <v>0</v>
      </c>
      <c r="I152" s="137">
        <f>IFERROR(VLOOKUP($B152,'RoC3'!$A$1:$B$161,2,0),0)</f>
        <v>0</v>
      </c>
      <c r="J152" s="97">
        <f>IFERROR(VLOOKUP(I152,'RoC3'!$B$1:$C$161,2,0),0)</f>
        <v>0</v>
      </c>
      <c r="K152" s="137">
        <f>IFERROR(VLOOKUP($B152,'RoC4'!$A$1:$B$161,2,0),0)</f>
        <v>0</v>
      </c>
      <c r="L152" s="97">
        <f>IFERROR(VLOOKUP(K152,'RoC4'!$B$1:$C$161,2,0),0)</f>
        <v>0</v>
      </c>
      <c r="M152" s="137">
        <f>IFERROR(VLOOKUP($B152,'RoC5'!$A$1:$B$161,2,0),0)</f>
        <v>0</v>
      </c>
      <c r="N152" s="97">
        <f>IFERROR(VLOOKUP(M152,'RoC5'!$B$1:$C$161,2,0),0)</f>
        <v>0</v>
      </c>
      <c r="O152" s="137">
        <f>IFERROR(VLOOKUP($B152,'RoC6'!$A$1:$B$161,2,0),0)</f>
        <v>0</v>
      </c>
      <c r="P152" s="97">
        <f>IFERROR(VLOOKUP(O152,'RoC6'!$B$1:$C$161,2,0),0)</f>
        <v>0</v>
      </c>
      <c r="Q152" s="137">
        <f>IFERROR(VLOOKUP($B152,'RoC7'!$A$1:$B$161,2,0),0)</f>
        <v>0</v>
      </c>
      <c r="R152" s="97">
        <f>IFERROR(VLOOKUP(Q152,'RoC7'!$B$1:$C$161,2,0),0)</f>
        <v>0</v>
      </c>
      <c r="S152" s="137">
        <f>IFERROR(VLOOKUP($B152,'RoC8'!$A$1:$B$161,2,0),0)</f>
        <v>0</v>
      </c>
      <c r="T152" s="97">
        <f>IFERROR(VLOOKUP(S152,'RoC8'!$B$1:$C$161,2,0),0)</f>
        <v>0</v>
      </c>
      <c r="U152" s="137">
        <f>IFERROR(VLOOKUP($B152,'RoC9'!$A$1:$B$161,2,0),0)</f>
        <v>0</v>
      </c>
      <c r="V152" s="97">
        <f>IFERROR(VLOOKUP(U152,'RoC9'!$B$1:$C$161,2,0),0)</f>
        <v>0</v>
      </c>
      <c r="W152" s="137">
        <f>IFERROR(VLOOKUP($B152,'RoC10'!$A$1:$B$161,2,0),0)</f>
        <v>0</v>
      </c>
      <c r="X152" s="97">
        <f>IFERROR(VLOOKUP(W152,'RoC10'!$B$1:$C$161,2,0),0)</f>
        <v>0</v>
      </c>
      <c r="Y152" s="137">
        <f>IFERROR(VLOOKUP($B152,'RoC11'!$A$1:$B$161,2,0),0)</f>
        <v>0</v>
      </c>
      <c r="Z152" s="97">
        <f>IFERROR(VLOOKUP(Y152,'RoC11'!$B$1:$C$161,2,0),0)</f>
        <v>0</v>
      </c>
      <c r="AA152" s="97">
        <f>IFERROR(VLOOKUP(E152,'RoC1'!$B$1:$C$160,2,0),0)</f>
        <v>0</v>
      </c>
      <c r="AB152" s="97">
        <f>IFERROR(VLOOKUP(G152,'RoC2'!$B$1:$C$160,2,0),0)</f>
        <v>0</v>
      </c>
      <c r="AC152" s="97">
        <f>IFERROR(VLOOKUP(I152,'RoC3'!$B$1:$C$160,2,0),0)</f>
        <v>0</v>
      </c>
      <c r="AD152" s="97">
        <f>IFERROR(VLOOKUP(K152,'RoC4'!$B$1:$C$160,2,0),0)</f>
        <v>0</v>
      </c>
      <c r="AE152" s="97">
        <f>IFERROR(VLOOKUP(M152,'RoC5'!$B$1:$C$160,2,0),0)</f>
        <v>0</v>
      </c>
      <c r="AF152" s="97">
        <f>IFERROR(VLOOKUP(O152,'RoC6'!$B$1:$C$160,2,0),0)</f>
        <v>0</v>
      </c>
      <c r="AG152" s="97">
        <f>IFERROR(VLOOKUP(Q152,'RoC7'!$B$1:$C$160,2,0),0)</f>
        <v>0</v>
      </c>
      <c r="AH152" s="97">
        <f>IFERROR(VLOOKUP(S152,'RoC8'!$B$1:$C$160,2,0),0)</f>
        <v>0</v>
      </c>
      <c r="AI152" s="97">
        <f>IFERROR(VLOOKUP(U152,'RoC9'!$B$1:$C$160,2,0),0)</f>
        <v>0</v>
      </c>
      <c r="AJ152" s="97">
        <f>IFERROR(VLOOKUP(W152,'RoC10'!$B$1:$C$160,2,0),0)</f>
        <v>0</v>
      </c>
      <c r="AK152" s="97">
        <f>IFERROR(VLOOKUP(Y152,'RoC11'!$B$1:$C$160,2,0),0)</f>
        <v>0</v>
      </c>
    </row>
    <row r="153" ht="15.75" customHeight="1">
      <c r="A153" s="135">
        <v>152.0</v>
      </c>
      <c r="B153" s="124"/>
      <c r="C153" s="93">
        <f t="shared" si="4"/>
        <v>0</v>
      </c>
      <c r="D153" s="136"/>
      <c r="E153" s="137" t="str">
        <f>IFERROR(VLOOKUP($B153,'RoC1'!$A$1:$B$160,2,0),"0")</f>
        <v>0</v>
      </c>
      <c r="F153" s="97">
        <f>IFERROR(VLOOKUP(E153,'RoC1'!$B$1:$C$160,2,0),0)</f>
        <v>0</v>
      </c>
      <c r="G153" s="137" t="str">
        <f>IFERROR(VLOOKUP($B153,'RoC2'!$A$1:$B$161,2,0),"0")</f>
        <v>0</v>
      </c>
      <c r="H153" s="97">
        <f>IFERROR(VLOOKUP(G153,'RoC2'!$B$1:$C$161,2,0),0)</f>
        <v>0</v>
      </c>
      <c r="I153" s="137">
        <f>IFERROR(VLOOKUP($B153,'RoC3'!$A$1:$B$161,2,0),0)</f>
        <v>0</v>
      </c>
      <c r="J153" s="97">
        <f>IFERROR(VLOOKUP(I153,'RoC3'!$B$1:$C$161,2,0),0)</f>
        <v>0</v>
      </c>
      <c r="K153" s="137">
        <f>IFERROR(VLOOKUP($B153,'RoC4'!$A$1:$B$161,2,0),0)</f>
        <v>0</v>
      </c>
      <c r="L153" s="97">
        <f>IFERROR(VLOOKUP(K153,'RoC4'!$B$1:$C$161,2,0),0)</f>
        <v>0</v>
      </c>
      <c r="M153" s="137">
        <f>IFERROR(VLOOKUP($B153,'RoC5'!$A$1:$B$161,2,0),0)</f>
        <v>0</v>
      </c>
      <c r="N153" s="97">
        <f>IFERROR(VLOOKUP(M153,'RoC5'!$B$1:$C$161,2,0),0)</f>
        <v>0</v>
      </c>
      <c r="O153" s="137">
        <f>IFERROR(VLOOKUP($B153,'RoC6'!$A$1:$B$161,2,0),0)</f>
        <v>0</v>
      </c>
      <c r="P153" s="97">
        <f>IFERROR(VLOOKUP(O153,'RoC6'!$B$1:$C$161,2,0),0)</f>
        <v>0</v>
      </c>
      <c r="Q153" s="137">
        <f>IFERROR(VLOOKUP($B153,'RoC7'!$A$1:$B$161,2,0),0)</f>
        <v>0</v>
      </c>
      <c r="R153" s="97">
        <f>IFERROR(VLOOKUP(Q153,'RoC7'!$B$1:$C$161,2,0),0)</f>
        <v>0</v>
      </c>
      <c r="S153" s="137">
        <f>IFERROR(VLOOKUP($B153,'RoC8'!$A$1:$B$161,2,0),0)</f>
        <v>0</v>
      </c>
      <c r="T153" s="97">
        <f>IFERROR(VLOOKUP(S153,'RoC8'!$B$1:$C$161,2,0),0)</f>
        <v>0</v>
      </c>
      <c r="U153" s="137">
        <f>IFERROR(VLOOKUP($B153,'RoC9'!$A$1:$B$161,2,0),0)</f>
        <v>0</v>
      </c>
      <c r="V153" s="97">
        <f>IFERROR(VLOOKUP(U153,'RoC9'!$B$1:$C$161,2,0),0)</f>
        <v>0</v>
      </c>
      <c r="W153" s="137">
        <f>IFERROR(VLOOKUP($B153,'RoC10'!$A$1:$B$161,2,0),0)</f>
        <v>0</v>
      </c>
      <c r="X153" s="97">
        <f>IFERROR(VLOOKUP(W153,'RoC10'!$B$1:$C$161,2,0),0)</f>
        <v>0</v>
      </c>
      <c r="Y153" s="137">
        <f>IFERROR(VLOOKUP($B153,'RoC11'!$A$1:$B$161,2,0),0)</f>
        <v>0</v>
      </c>
      <c r="Z153" s="97">
        <f>IFERROR(VLOOKUP(Y153,'RoC11'!$B$1:$C$161,2,0),0)</f>
        <v>0</v>
      </c>
      <c r="AA153" s="97">
        <f>IFERROR(VLOOKUP(E153,'RoC1'!$B$1:$C$160,2,0),0)</f>
        <v>0</v>
      </c>
      <c r="AB153" s="97">
        <f>IFERROR(VLOOKUP(G153,'RoC2'!$B$1:$C$160,2,0),0)</f>
        <v>0</v>
      </c>
      <c r="AC153" s="97">
        <f>IFERROR(VLOOKUP(I153,'RoC3'!$B$1:$C$160,2,0),0)</f>
        <v>0</v>
      </c>
      <c r="AD153" s="97">
        <f>IFERROR(VLOOKUP(K153,'RoC4'!$B$1:$C$160,2,0),0)</f>
        <v>0</v>
      </c>
      <c r="AE153" s="97">
        <f>IFERROR(VLOOKUP(M153,'RoC5'!$B$1:$C$160,2,0),0)</f>
        <v>0</v>
      </c>
      <c r="AF153" s="97">
        <f>IFERROR(VLOOKUP(O153,'RoC6'!$B$1:$C$160,2,0),0)</f>
        <v>0</v>
      </c>
      <c r="AG153" s="97">
        <f>IFERROR(VLOOKUP(Q153,'RoC7'!$B$1:$C$160,2,0),0)</f>
        <v>0</v>
      </c>
      <c r="AH153" s="97">
        <f>IFERROR(VLOOKUP(S153,'RoC8'!$B$1:$C$160,2,0),0)</f>
        <v>0</v>
      </c>
      <c r="AI153" s="97">
        <f>IFERROR(VLOOKUP(U153,'RoC9'!$B$1:$C$160,2,0),0)</f>
        <v>0</v>
      </c>
      <c r="AJ153" s="97">
        <f>IFERROR(VLOOKUP(W153,'RoC10'!$B$1:$C$160,2,0),0)</f>
        <v>0</v>
      </c>
      <c r="AK153" s="97">
        <f>IFERROR(VLOOKUP(Y153,'RoC11'!$B$1:$C$160,2,0),0)</f>
        <v>0</v>
      </c>
    </row>
    <row r="154" ht="15.75" customHeight="1">
      <c r="A154" s="92">
        <v>153.0</v>
      </c>
      <c r="B154" s="124"/>
      <c r="C154" s="93">
        <f t="shared" si="4"/>
        <v>0</v>
      </c>
      <c r="D154" s="136"/>
      <c r="E154" s="137" t="str">
        <f>IFERROR(VLOOKUP($B154,'RoC1'!$A$1:$B$160,2,0),"0")</f>
        <v>0</v>
      </c>
      <c r="F154" s="97">
        <f>IFERROR(VLOOKUP(E154,'RoC1'!$B$1:$C$160,2,0),0)</f>
        <v>0</v>
      </c>
      <c r="G154" s="137" t="str">
        <f>IFERROR(VLOOKUP($B154,'RoC2'!$A$1:$B$161,2,0),"0")</f>
        <v>0</v>
      </c>
      <c r="H154" s="97">
        <f>IFERROR(VLOOKUP(G154,'RoC2'!$B$1:$C$161,2,0),0)</f>
        <v>0</v>
      </c>
      <c r="I154" s="137">
        <f>IFERROR(VLOOKUP($B154,'RoC3'!$A$1:$B$161,2,0),0)</f>
        <v>0</v>
      </c>
      <c r="J154" s="97">
        <f>IFERROR(VLOOKUP(I154,'RoC3'!$B$1:$C$161,2,0),0)</f>
        <v>0</v>
      </c>
      <c r="K154" s="137">
        <f>IFERROR(VLOOKUP($B154,'RoC4'!$A$1:$B$161,2,0),0)</f>
        <v>0</v>
      </c>
      <c r="L154" s="97">
        <f>IFERROR(VLOOKUP(K154,'RoC4'!$B$1:$C$161,2,0),0)</f>
        <v>0</v>
      </c>
      <c r="M154" s="137">
        <f>IFERROR(VLOOKUP($B154,'RoC5'!$A$1:$B$161,2,0),0)</f>
        <v>0</v>
      </c>
      <c r="N154" s="97">
        <f>IFERROR(VLOOKUP(M154,'RoC5'!$B$1:$C$161,2,0),0)</f>
        <v>0</v>
      </c>
      <c r="O154" s="137">
        <f>IFERROR(VLOOKUP($B154,'RoC6'!$A$1:$B$161,2,0),0)</f>
        <v>0</v>
      </c>
      <c r="P154" s="97">
        <f>IFERROR(VLOOKUP(O154,'RoC6'!$B$1:$C$161,2,0),0)</f>
        <v>0</v>
      </c>
      <c r="Q154" s="137">
        <f>IFERROR(VLOOKUP($B154,'RoC7'!$A$1:$B$161,2,0),0)</f>
        <v>0</v>
      </c>
      <c r="R154" s="97">
        <f>IFERROR(VLOOKUP(Q154,'RoC7'!$B$1:$C$161,2,0),0)</f>
        <v>0</v>
      </c>
      <c r="S154" s="137">
        <f>IFERROR(VLOOKUP($B154,'RoC8'!$A$1:$B$161,2,0),0)</f>
        <v>0</v>
      </c>
      <c r="T154" s="97">
        <f>IFERROR(VLOOKUP(S154,'RoC8'!$B$1:$C$161,2,0),0)</f>
        <v>0</v>
      </c>
      <c r="U154" s="137">
        <f>IFERROR(VLOOKUP($B154,'RoC9'!$A$1:$B$161,2,0),0)</f>
        <v>0</v>
      </c>
      <c r="V154" s="97">
        <f>IFERROR(VLOOKUP(U154,'RoC9'!$B$1:$C$161,2,0),0)</f>
        <v>0</v>
      </c>
      <c r="W154" s="137">
        <f>IFERROR(VLOOKUP($B154,'RoC10'!$A$1:$B$161,2,0),0)</f>
        <v>0</v>
      </c>
      <c r="X154" s="97">
        <f>IFERROR(VLOOKUP(W154,'RoC10'!$B$1:$C$161,2,0),0)</f>
        <v>0</v>
      </c>
      <c r="Y154" s="137">
        <f>IFERROR(VLOOKUP($B154,'RoC11'!$A$1:$B$161,2,0),0)</f>
        <v>0</v>
      </c>
      <c r="Z154" s="97">
        <f>IFERROR(VLOOKUP(Y154,'RoC11'!$B$1:$C$161,2,0),0)</f>
        <v>0</v>
      </c>
      <c r="AA154" s="97">
        <f>IFERROR(VLOOKUP(E154,'RoC1'!$B$1:$C$160,2,0),0)</f>
        <v>0</v>
      </c>
      <c r="AB154" s="97">
        <f>IFERROR(VLOOKUP(G154,'RoC2'!$B$1:$C$160,2,0),0)</f>
        <v>0</v>
      </c>
      <c r="AC154" s="97">
        <f>IFERROR(VLOOKUP(I154,'RoC3'!$B$1:$C$160,2,0),0)</f>
        <v>0</v>
      </c>
      <c r="AD154" s="97">
        <f>IFERROR(VLOOKUP(K154,'RoC4'!$B$1:$C$160,2,0),0)</f>
        <v>0</v>
      </c>
      <c r="AE154" s="97">
        <f>IFERROR(VLOOKUP(M154,'RoC5'!$B$1:$C$160,2,0),0)</f>
        <v>0</v>
      </c>
      <c r="AF154" s="97">
        <f>IFERROR(VLOOKUP(O154,'RoC6'!$B$1:$C$160,2,0),0)</f>
        <v>0</v>
      </c>
      <c r="AG154" s="97">
        <f>IFERROR(VLOOKUP(Q154,'RoC7'!$B$1:$C$160,2,0),0)</f>
        <v>0</v>
      </c>
      <c r="AH154" s="97">
        <f>IFERROR(VLOOKUP(S154,'RoC8'!$B$1:$C$160,2,0),0)</f>
        <v>0</v>
      </c>
      <c r="AI154" s="97">
        <f>IFERROR(VLOOKUP(U154,'RoC9'!$B$1:$C$160,2,0),0)</f>
        <v>0</v>
      </c>
      <c r="AJ154" s="97">
        <f>IFERROR(VLOOKUP(W154,'RoC10'!$B$1:$C$160,2,0),0)</f>
        <v>0</v>
      </c>
      <c r="AK154" s="97">
        <f>IFERROR(VLOOKUP(Y154,'RoC11'!$B$1:$C$160,2,0),0)</f>
        <v>0</v>
      </c>
    </row>
    <row r="155" ht="15.75" customHeight="1">
      <c r="A155" s="135">
        <v>154.0</v>
      </c>
      <c r="B155" s="124"/>
      <c r="C155" s="93">
        <f t="shared" si="4"/>
        <v>0</v>
      </c>
      <c r="D155" s="136"/>
      <c r="E155" s="137" t="str">
        <f>IFERROR(VLOOKUP($B155,'RoC1'!$A$1:$B$160,2,0),"0")</f>
        <v>0</v>
      </c>
      <c r="F155" s="97">
        <f>IFERROR(VLOOKUP(E155,'RoC1'!$B$1:$C$160,2,0),0)</f>
        <v>0</v>
      </c>
      <c r="G155" s="137" t="str">
        <f>IFERROR(VLOOKUP($B155,'RoC2'!$A$1:$B$161,2,0),"0")</f>
        <v>0</v>
      </c>
      <c r="H155" s="97">
        <f>IFERROR(VLOOKUP(G155,'RoC2'!$B$1:$C$161,2,0),0)</f>
        <v>0</v>
      </c>
      <c r="I155" s="137">
        <f>IFERROR(VLOOKUP($B155,'RoC3'!$A$1:$B$161,2,0),0)</f>
        <v>0</v>
      </c>
      <c r="J155" s="97">
        <f>IFERROR(VLOOKUP(I155,'RoC3'!$B$1:$C$161,2,0),0)</f>
        <v>0</v>
      </c>
      <c r="K155" s="137">
        <f>IFERROR(VLOOKUP($B155,'RoC4'!$A$1:$B$161,2,0),0)</f>
        <v>0</v>
      </c>
      <c r="L155" s="97">
        <f>IFERROR(VLOOKUP(K155,'RoC4'!$B$1:$C$161,2,0),0)</f>
        <v>0</v>
      </c>
      <c r="M155" s="137">
        <f>IFERROR(VLOOKUP($B155,'RoC5'!$A$1:$B$161,2,0),0)</f>
        <v>0</v>
      </c>
      <c r="N155" s="97">
        <f>IFERROR(VLOOKUP(M155,'RoC5'!$B$1:$C$161,2,0),0)</f>
        <v>0</v>
      </c>
      <c r="O155" s="137">
        <f>IFERROR(VLOOKUP($B155,'RoC6'!$A$1:$B$161,2,0),0)</f>
        <v>0</v>
      </c>
      <c r="P155" s="97">
        <f>IFERROR(VLOOKUP(O155,'RoC6'!$B$1:$C$161,2,0),0)</f>
        <v>0</v>
      </c>
      <c r="Q155" s="137">
        <f>IFERROR(VLOOKUP($B155,'RoC7'!$A$1:$B$161,2,0),0)</f>
        <v>0</v>
      </c>
      <c r="R155" s="97">
        <f>IFERROR(VLOOKUP(Q155,'RoC7'!$B$1:$C$161,2,0),0)</f>
        <v>0</v>
      </c>
      <c r="S155" s="137">
        <f>IFERROR(VLOOKUP($B155,'RoC8'!$A$1:$B$161,2,0),0)</f>
        <v>0</v>
      </c>
      <c r="T155" s="97">
        <f>IFERROR(VLOOKUP(S155,'RoC8'!$B$1:$C$161,2,0),0)</f>
        <v>0</v>
      </c>
      <c r="U155" s="137">
        <f>IFERROR(VLOOKUP($B155,'RoC9'!$A$1:$B$161,2,0),0)</f>
        <v>0</v>
      </c>
      <c r="V155" s="97">
        <f>IFERROR(VLOOKUP(U155,'RoC9'!$B$1:$C$161,2,0),0)</f>
        <v>0</v>
      </c>
      <c r="W155" s="137">
        <f>IFERROR(VLOOKUP($B155,'RoC10'!$A$1:$B$161,2,0),0)</f>
        <v>0</v>
      </c>
      <c r="X155" s="97">
        <f>IFERROR(VLOOKUP(W155,'RoC10'!$B$1:$C$161,2,0),0)</f>
        <v>0</v>
      </c>
      <c r="Y155" s="137">
        <f>IFERROR(VLOOKUP($B155,'RoC11'!$A$1:$B$161,2,0),0)</f>
        <v>0</v>
      </c>
      <c r="Z155" s="97">
        <f>IFERROR(VLOOKUP(Y155,'RoC11'!$B$1:$C$161,2,0),0)</f>
        <v>0</v>
      </c>
      <c r="AA155" s="97">
        <f>IFERROR(VLOOKUP(E155,'RoC1'!$B$1:$C$160,2,0),0)</f>
        <v>0</v>
      </c>
      <c r="AB155" s="97">
        <f>IFERROR(VLOOKUP(G155,'RoC2'!$B$1:$C$160,2,0),0)</f>
        <v>0</v>
      </c>
      <c r="AC155" s="97">
        <f>IFERROR(VLOOKUP(I155,'RoC3'!$B$1:$C$160,2,0),0)</f>
        <v>0</v>
      </c>
      <c r="AD155" s="97">
        <f>IFERROR(VLOOKUP(K155,'RoC4'!$B$1:$C$160,2,0),0)</f>
        <v>0</v>
      </c>
      <c r="AE155" s="97">
        <f>IFERROR(VLOOKUP(M155,'RoC5'!$B$1:$C$160,2,0),0)</f>
        <v>0</v>
      </c>
      <c r="AF155" s="97">
        <f>IFERROR(VLOOKUP(O155,'RoC6'!$B$1:$C$160,2,0),0)</f>
        <v>0</v>
      </c>
      <c r="AG155" s="97">
        <f>IFERROR(VLOOKUP(Q155,'RoC7'!$B$1:$C$160,2,0),0)</f>
        <v>0</v>
      </c>
      <c r="AH155" s="97">
        <f>IFERROR(VLOOKUP(S155,'RoC8'!$B$1:$C$160,2,0),0)</f>
        <v>0</v>
      </c>
      <c r="AI155" s="97">
        <f>IFERROR(VLOOKUP(U155,'RoC9'!$B$1:$C$160,2,0),0)</f>
        <v>0</v>
      </c>
      <c r="AJ155" s="97">
        <f>IFERROR(VLOOKUP(W155,'RoC10'!$B$1:$C$160,2,0),0)</f>
        <v>0</v>
      </c>
      <c r="AK155" s="97">
        <f>IFERROR(VLOOKUP(Y155,'RoC11'!$B$1:$C$160,2,0),0)</f>
        <v>0</v>
      </c>
    </row>
    <row r="156" ht="15.75" customHeight="1">
      <c r="A156" s="92">
        <v>155.0</v>
      </c>
      <c r="B156" s="124"/>
      <c r="C156" s="93">
        <f t="shared" si="4"/>
        <v>0</v>
      </c>
      <c r="D156" s="136"/>
      <c r="E156" s="137" t="str">
        <f>IFERROR(VLOOKUP($B156,'RoC1'!$A$1:$B$160,2,0),"0")</f>
        <v>0</v>
      </c>
      <c r="F156" s="97">
        <f>IFERROR(VLOOKUP(E156,'RoC1'!$B$1:$C$160,2,0),0)</f>
        <v>0</v>
      </c>
      <c r="G156" s="137" t="str">
        <f>IFERROR(VLOOKUP($B156,'RoC2'!$A$1:$B$161,2,0),"0")</f>
        <v>0</v>
      </c>
      <c r="H156" s="97">
        <f>IFERROR(VLOOKUP(G156,'RoC2'!$B$1:$C$161,2,0),0)</f>
        <v>0</v>
      </c>
      <c r="I156" s="137">
        <f>IFERROR(VLOOKUP($B156,'RoC3'!$A$1:$B$161,2,0),0)</f>
        <v>0</v>
      </c>
      <c r="J156" s="97">
        <f>IFERROR(VLOOKUP(I156,'RoC3'!$B$1:$C$161,2,0),0)</f>
        <v>0</v>
      </c>
      <c r="K156" s="137">
        <f>IFERROR(VLOOKUP($B156,'RoC4'!$A$1:$B$161,2,0),0)</f>
        <v>0</v>
      </c>
      <c r="L156" s="97">
        <f>IFERROR(VLOOKUP(K156,'RoC4'!$B$1:$C$161,2,0),0)</f>
        <v>0</v>
      </c>
      <c r="M156" s="137">
        <f>IFERROR(VLOOKUP($B156,'RoC5'!$A$1:$B$161,2,0),0)</f>
        <v>0</v>
      </c>
      <c r="N156" s="97">
        <f>IFERROR(VLOOKUP(M156,'RoC5'!$B$1:$C$161,2,0),0)</f>
        <v>0</v>
      </c>
      <c r="O156" s="137">
        <f>IFERROR(VLOOKUP($B156,'RoC6'!$A$1:$B$161,2,0),0)</f>
        <v>0</v>
      </c>
      <c r="P156" s="97">
        <f>IFERROR(VLOOKUP(O156,'RoC6'!$B$1:$C$161,2,0),0)</f>
        <v>0</v>
      </c>
      <c r="Q156" s="137">
        <f>IFERROR(VLOOKUP($B156,'RoC7'!$A$1:$B$161,2,0),0)</f>
        <v>0</v>
      </c>
      <c r="R156" s="97">
        <f>IFERROR(VLOOKUP(Q156,'RoC7'!$B$1:$C$161,2,0),0)</f>
        <v>0</v>
      </c>
      <c r="S156" s="137">
        <f>IFERROR(VLOOKUP($B156,'RoC8'!$A$1:$B$161,2,0),0)</f>
        <v>0</v>
      </c>
      <c r="T156" s="97">
        <f>IFERROR(VLOOKUP(S156,'RoC8'!$B$1:$C$161,2,0),0)</f>
        <v>0</v>
      </c>
      <c r="U156" s="137">
        <f>IFERROR(VLOOKUP($B156,'RoC9'!$A$1:$B$161,2,0),0)</f>
        <v>0</v>
      </c>
      <c r="V156" s="97">
        <f>IFERROR(VLOOKUP(U156,'RoC9'!$B$1:$C$161,2,0),0)</f>
        <v>0</v>
      </c>
      <c r="W156" s="137">
        <f>IFERROR(VLOOKUP($B156,'RoC10'!$A$1:$B$161,2,0),0)</f>
        <v>0</v>
      </c>
      <c r="X156" s="97">
        <f>IFERROR(VLOOKUP(W156,'RoC10'!$B$1:$C$161,2,0),0)</f>
        <v>0</v>
      </c>
      <c r="Y156" s="137">
        <f>IFERROR(VLOOKUP($B156,'RoC11'!$A$1:$B$161,2,0),0)</f>
        <v>0</v>
      </c>
      <c r="Z156" s="97">
        <f>IFERROR(VLOOKUP(Y156,'RoC11'!$B$1:$C$161,2,0),0)</f>
        <v>0</v>
      </c>
      <c r="AA156" s="97">
        <f>IFERROR(VLOOKUP(E156,'RoC1'!$B$1:$C$160,2,0),0)</f>
        <v>0</v>
      </c>
      <c r="AB156" s="97">
        <f>IFERROR(VLOOKUP(G156,'RoC2'!$B$1:$C$160,2,0),0)</f>
        <v>0</v>
      </c>
      <c r="AC156" s="97">
        <f>IFERROR(VLOOKUP(I156,'RoC3'!$B$1:$C$160,2,0),0)</f>
        <v>0</v>
      </c>
      <c r="AD156" s="97">
        <f>IFERROR(VLOOKUP(K156,'RoC4'!$B$1:$C$160,2,0),0)</f>
        <v>0</v>
      </c>
      <c r="AE156" s="97">
        <f>IFERROR(VLOOKUP(M156,'RoC5'!$B$1:$C$160,2,0),0)</f>
        <v>0</v>
      </c>
      <c r="AF156" s="97">
        <f>IFERROR(VLOOKUP(O156,'RoC6'!$B$1:$C$160,2,0),0)</f>
        <v>0</v>
      </c>
      <c r="AG156" s="97">
        <f>IFERROR(VLOOKUP(Q156,'RoC7'!$B$1:$C$160,2,0),0)</f>
        <v>0</v>
      </c>
      <c r="AH156" s="97">
        <f>IFERROR(VLOOKUP(S156,'RoC8'!$B$1:$C$160,2,0),0)</f>
        <v>0</v>
      </c>
      <c r="AI156" s="97">
        <f>IFERROR(VLOOKUP(U156,'RoC9'!$B$1:$C$160,2,0),0)</f>
        <v>0</v>
      </c>
      <c r="AJ156" s="97">
        <f>IFERROR(VLOOKUP(W156,'RoC10'!$B$1:$C$160,2,0),0)</f>
        <v>0</v>
      </c>
      <c r="AK156" s="97">
        <f>IFERROR(VLOOKUP(Y156,'RoC11'!$B$1:$C$160,2,0),0)</f>
        <v>0</v>
      </c>
    </row>
    <row r="157" ht="15.75" customHeight="1">
      <c r="A157" s="135">
        <v>156.0</v>
      </c>
      <c r="B157" s="124"/>
      <c r="C157" s="93">
        <f t="shared" si="4"/>
        <v>0</v>
      </c>
      <c r="D157" s="136"/>
      <c r="E157" s="137" t="str">
        <f>IFERROR(VLOOKUP($B157,'RoC1'!$A$1:$B$160,2,0),"0")</f>
        <v>0</v>
      </c>
      <c r="F157" s="97">
        <f>IFERROR(VLOOKUP(E157,'RoC1'!$B$1:$C$160,2,0),0)</f>
        <v>0</v>
      </c>
      <c r="G157" s="137" t="str">
        <f>IFERROR(VLOOKUP($B157,'RoC2'!$A$1:$B$161,2,0),"0")</f>
        <v>0</v>
      </c>
      <c r="H157" s="97">
        <f>IFERROR(VLOOKUP(G157,'RoC2'!$B$1:$C$161,2,0),0)</f>
        <v>0</v>
      </c>
      <c r="I157" s="137">
        <f>IFERROR(VLOOKUP($B157,'RoC3'!$A$1:$B$161,2,0),0)</f>
        <v>0</v>
      </c>
      <c r="J157" s="97">
        <f>IFERROR(VLOOKUP(I157,'RoC3'!$B$1:$C$161,2,0),0)</f>
        <v>0</v>
      </c>
      <c r="K157" s="137">
        <f>IFERROR(VLOOKUP($B157,'RoC4'!$A$1:$B$161,2,0),0)</f>
        <v>0</v>
      </c>
      <c r="L157" s="97">
        <f>IFERROR(VLOOKUP(K157,'RoC4'!$B$1:$C$161,2,0),0)</f>
        <v>0</v>
      </c>
      <c r="M157" s="137">
        <f>IFERROR(VLOOKUP($B157,'RoC5'!$A$1:$B$161,2,0),0)</f>
        <v>0</v>
      </c>
      <c r="N157" s="97">
        <f>IFERROR(VLOOKUP(M157,'RoC5'!$B$1:$C$161,2,0),0)</f>
        <v>0</v>
      </c>
      <c r="O157" s="137">
        <f>IFERROR(VLOOKUP($B157,'RoC6'!$A$1:$B$161,2,0),0)</f>
        <v>0</v>
      </c>
      <c r="P157" s="97">
        <f>IFERROR(VLOOKUP(O157,'RoC6'!$B$1:$C$161,2,0),0)</f>
        <v>0</v>
      </c>
      <c r="Q157" s="137">
        <f>IFERROR(VLOOKUP($B157,'RoC7'!$A$1:$B$161,2,0),0)</f>
        <v>0</v>
      </c>
      <c r="R157" s="97">
        <f>IFERROR(VLOOKUP(Q157,'RoC7'!$B$1:$C$161,2,0),0)</f>
        <v>0</v>
      </c>
      <c r="S157" s="137">
        <f>IFERROR(VLOOKUP($B157,'RoC8'!$A$1:$B$161,2,0),0)</f>
        <v>0</v>
      </c>
      <c r="T157" s="97">
        <f>IFERROR(VLOOKUP(S157,'RoC8'!$B$1:$C$161,2,0),0)</f>
        <v>0</v>
      </c>
      <c r="U157" s="137">
        <f>IFERROR(VLOOKUP($B157,'RoC9'!$A$1:$B$161,2,0),0)</f>
        <v>0</v>
      </c>
      <c r="V157" s="97">
        <f>IFERROR(VLOOKUP(U157,'RoC9'!$B$1:$C$161,2,0),0)</f>
        <v>0</v>
      </c>
      <c r="W157" s="137">
        <f>IFERROR(VLOOKUP($B157,'RoC10'!$A$1:$B$161,2,0),0)</f>
        <v>0</v>
      </c>
      <c r="X157" s="97">
        <f>IFERROR(VLOOKUP(W157,'RoC10'!$B$1:$C$161,2,0),0)</f>
        <v>0</v>
      </c>
      <c r="Y157" s="137">
        <f>IFERROR(VLOOKUP($B157,'RoC11'!$A$1:$B$161,2,0),0)</f>
        <v>0</v>
      </c>
      <c r="Z157" s="97">
        <f>IFERROR(VLOOKUP(Y157,'RoC11'!$B$1:$C$161,2,0),0)</f>
        <v>0</v>
      </c>
      <c r="AA157" s="97">
        <f>IFERROR(VLOOKUP(E157,'RoC1'!$B$1:$C$160,2,0),0)</f>
        <v>0</v>
      </c>
      <c r="AB157" s="97">
        <f>IFERROR(VLOOKUP(G157,'RoC2'!$B$1:$C$160,2,0),0)</f>
        <v>0</v>
      </c>
      <c r="AC157" s="97">
        <f>IFERROR(VLOOKUP(I157,'RoC3'!$B$1:$C$160,2,0),0)</f>
        <v>0</v>
      </c>
      <c r="AD157" s="97">
        <f>IFERROR(VLOOKUP(K157,'RoC4'!$B$1:$C$160,2,0),0)</f>
        <v>0</v>
      </c>
      <c r="AE157" s="97">
        <f>IFERROR(VLOOKUP(M157,'RoC5'!$B$1:$C$160,2,0),0)</f>
        <v>0</v>
      </c>
      <c r="AF157" s="97">
        <f>IFERROR(VLOOKUP(O157,'RoC6'!$B$1:$C$160,2,0),0)</f>
        <v>0</v>
      </c>
      <c r="AG157" s="97">
        <f>IFERROR(VLOOKUP(Q157,'RoC7'!$B$1:$C$160,2,0),0)</f>
        <v>0</v>
      </c>
      <c r="AH157" s="97">
        <f>IFERROR(VLOOKUP(S157,'RoC8'!$B$1:$C$160,2,0),0)</f>
        <v>0</v>
      </c>
      <c r="AI157" s="97">
        <f>IFERROR(VLOOKUP(U157,'RoC9'!$B$1:$C$160,2,0),0)</f>
        <v>0</v>
      </c>
      <c r="AJ157" s="97">
        <f>IFERROR(VLOOKUP(W157,'RoC10'!$B$1:$C$160,2,0),0)</f>
        <v>0</v>
      </c>
      <c r="AK157" s="97">
        <f>IFERROR(VLOOKUP(Y157,'RoC11'!$B$1:$C$160,2,0),0)</f>
        <v>0</v>
      </c>
    </row>
    <row r="158" ht="15.75" customHeight="1">
      <c r="A158" s="92">
        <v>157.0</v>
      </c>
      <c r="B158" s="124"/>
      <c r="C158" s="93">
        <f t="shared" si="4"/>
        <v>0</v>
      </c>
      <c r="D158" s="136"/>
      <c r="E158" s="137" t="str">
        <f>IFERROR(VLOOKUP($B158,'RoC1'!$A$1:$B$160,2,0),"0")</f>
        <v>0</v>
      </c>
      <c r="F158" s="97">
        <f>IFERROR(VLOOKUP(E158,'RoC1'!$B$1:$C$160,2,0),0)</f>
        <v>0</v>
      </c>
      <c r="G158" s="137" t="str">
        <f>IFERROR(VLOOKUP($B158,'RoC2'!$A$1:$B$161,2,0),"0")</f>
        <v>0</v>
      </c>
      <c r="H158" s="97">
        <f>IFERROR(VLOOKUP(G158,'RoC2'!$B$1:$C$161,2,0),0)</f>
        <v>0</v>
      </c>
      <c r="I158" s="137">
        <f>IFERROR(VLOOKUP($B158,'RoC3'!$A$1:$B$161,2,0),0)</f>
        <v>0</v>
      </c>
      <c r="J158" s="97">
        <f>IFERROR(VLOOKUP(I158,'RoC3'!$B$1:$C$161,2,0),0)</f>
        <v>0</v>
      </c>
      <c r="K158" s="137">
        <f>IFERROR(VLOOKUP($B158,'RoC4'!$A$1:$B$161,2,0),0)</f>
        <v>0</v>
      </c>
      <c r="L158" s="97">
        <f>IFERROR(VLOOKUP(K158,'RoC4'!$B$1:$C$161,2,0),0)</f>
        <v>0</v>
      </c>
      <c r="M158" s="137">
        <f>IFERROR(VLOOKUP($B158,'RoC5'!$A$1:$B$161,2,0),0)</f>
        <v>0</v>
      </c>
      <c r="N158" s="97">
        <f>IFERROR(VLOOKUP(M158,'RoC5'!$B$1:$C$161,2,0),0)</f>
        <v>0</v>
      </c>
      <c r="O158" s="137">
        <f>IFERROR(VLOOKUP($B158,'RoC6'!$A$1:$B$161,2,0),0)</f>
        <v>0</v>
      </c>
      <c r="P158" s="97">
        <f>IFERROR(VLOOKUP(O158,'RoC6'!$B$1:$C$161,2,0),0)</f>
        <v>0</v>
      </c>
      <c r="Q158" s="137">
        <f>IFERROR(VLOOKUP($B158,'RoC7'!$A$1:$B$161,2,0),0)</f>
        <v>0</v>
      </c>
      <c r="R158" s="97">
        <f>IFERROR(VLOOKUP(Q158,'RoC7'!$B$1:$C$161,2,0),0)</f>
        <v>0</v>
      </c>
      <c r="S158" s="137">
        <f>IFERROR(VLOOKUP($B158,'RoC8'!$A$1:$B$161,2,0),0)</f>
        <v>0</v>
      </c>
      <c r="T158" s="97">
        <f>IFERROR(VLOOKUP(S158,'RoC8'!$B$1:$C$161,2,0),0)</f>
        <v>0</v>
      </c>
      <c r="U158" s="137">
        <f>IFERROR(VLOOKUP($B158,'RoC9'!$A$1:$B$161,2,0),0)</f>
        <v>0</v>
      </c>
      <c r="V158" s="97">
        <f>IFERROR(VLOOKUP(U158,'RoC9'!$B$1:$C$161,2,0),0)</f>
        <v>0</v>
      </c>
      <c r="W158" s="137">
        <f>IFERROR(VLOOKUP($B158,'RoC10'!$A$1:$B$161,2,0),0)</f>
        <v>0</v>
      </c>
      <c r="X158" s="97">
        <f>IFERROR(VLOOKUP(W158,'RoC10'!$B$1:$C$161,2,0),0)</f>
        <v>0</v>
      </c>
      <c r="Y158" s="137">
        <f>IFERROR(VLOOKUP($B158,'RoC11'!$A$1:$B$161,2,0),0)</f>
        <v>0</v>
      </c>
      <c r="Z158" s="97">
        <f>IFERROR(VLOOKUP(Y158,'RoC11'!$B$1:$C$161,2,0),0)</f>
        <v>0</v>
      </c>
      <c r="AA158" s="97">
        <f>IFERROR(VLOOKUP(E158,'RoC1'!$B$1:$C$160,2,0),0)</f>
        <v>0</v>
      </c>
      <c r="AB158" s="97">
        <f>IFERROR(VLOOKUP(G158,'RoC2'!$B$1:$C$160,2,0),0)</f>
        <v>0</v>
      </c>
      <c r="AC158" s="97">
        <f>IFERROR(VLOOKUP(I158,'RoC3'!$B$1:$C$160,2,0),0)</f>
        <v>0</v>
      </c>
      <c r="AD158" s="97">
        <f>IFERROR(VLOOKUP(K158,'RoC4'!$B$1:$C$160,2,0),0)</f>
        <v>0</v>
      </c>
      <c r="AE158" s="97">
        <f>IFERROR(VLOOKUP(M158,'RoC5'!$B$1:$C$160,2,0),0)</f>
        <v>0</v>
      </c>
      <c r="AF158" s="97">
        <f>IFERROR(VLOOKUP(O158,'RoC6'!$B$1:$C$160,2,0),0)</f>
        <v>0</v>
      </c>
      <c r="AG158" s="97">
        <f>IFERROR(VLOOKUP(Q158,'RoC7'!$B$1:$C$160,2,0),0)</f>
        <v>0</v>
      </c>
      <c r="AH158" s="97">
        <f>IFERROR(VLOOKUP(S158,'RoC8'!$B$1:$C$160,2,0),0)</f>
        <v>0</v>
      </c>
      <c r="AI158" s="97">
        <f>IFERROR(VLOOKUP(U158,'RoC9'!$B$1:$C$160,2,0),0)</f>
        <v>0</v>
      </c>
      <c r="AJ158" s="97">
        <f>IFERROR(VLOOKUP(W158,'RoC10'!$B$1:$C$160,2,0),0)</f>
        <v>0</v>
      </c>
      <c r="AK158" s="97">
        <f>IFERROR(VLOOKUP(Y158,'RoC11'!$B$1:$C$160,2,0),0)</f>
        <v>0</v>
      </c>
    </row>
    <row r="159" ht="15.75" customHeight="1">
      <c r="A159" s="135">
        <v>158.0</v>
      </c>
      <c r="B159" s="124"/>
      <c r="C159" s="93">
        <f t="shared" si="4"/>
        <v>0</v>
      </c>
      <c r="D159" s="136"/>
      <c r="E159" s="137" t="str">
        <f>IFERROR(VLOOKUP($B159,'RoC1'!$A$1:$B$160,2,0),"0")</f>
        <v>0</v>
      </c>
      <c r="F159" s="97">
        <f>IFERROR(VLOOKUP(E159,'RoC1'!$B$1:$C$160,2,0),0)</f>
        <v>0</v>
      </c>
      <c r="G159" s="137" t="str">
        <f>IFERROR(VLOOKUP($B159,'RoC2'!$A$1:$B$161,2,0),"0")</f>
        <v>0</v>
      </c>
      <c r="H159" s="97">
        <f>IFERROR(VLOOKUP(G159,'RoC2'!$B$1:$C$161,2,0),0)</f>
        <v>0</v>
      </c>
      <c r="I159" s="137">
        <f>IFERROR(VLOOKUP($B159,'RoC3'!$A$1:$B$161,2,0),0)</f>
        <v>0</v>
      </c>
      <c r="J159" s="97">
        <f>IFERROR(VLOOKUP(I159,'RoC3'!$B$1:$C$161,2,0),0)</f>
        <v>0</v>
      </c>
      <c r="K159" s="137">
        <f>IFERROR(VLOOKUP($B159,'RoC4'!$A$1:$B$161,2,0),0)</f>
        <v>0</v>
      </c>
      <c r="L159" s="97">
        <f>IFERROR(VLOOKUP(K159,'RoC4'!$B$1:$C$161,2,0),0)</f>
        <v>0</v>
      </c>
      <c r="M159" s="137">
        <f>IFERROR(VLOOKUP($B159,'RoC5'!$A$1:$B$161,2,0),0)</f>
        <v>0</v>
      </c>
      <c r="N159" s="97">
        <f>IFERROR(VLOOKUP(M159,'RoC5'!$B$1:$C$161,2,0),0)</f>
        <v>0</v>
      </c>
      <c r="O159" s="137">
        <f>IFERROR(VLOOKUP($B159,'RoC6'!$A$1:$B$161,2,0),0)</f>
        <v>0</v>
      </c>
      <c r="P159" s="97">
        <f>IFERROR(VLOOKUP(O159,'RoC6'!$B$1:$C$161,2,0),0)</f>
        <v>0</v>
      </c>
      <c r="Q159" s="137">
        <f>IFERROR(VLOOKUP($B159,'RoC7'!$A$1:$B$161,2,0),0)</f>
        <v>0</v>
      </c>
      <c r="R159" s="97">
        <f>IFERROR(VLOOKUP(Q159,'RoC7'!$B$1:$C$161,2,0),0)</f>
        <v>0</v>
      </c>
      <c r="S159" s="137">
        <f>IFERROR(VLOOKUP($B159,'RoC8'!$A$1:$B$161,2,0),0)</f>
        <v>0</v>
      </c>
      <c r="T159" s="97">
        <f>IFERROR(VLOOKUP(S159,'RoC8'!$B$1:$C$161,2,0),0)</f>
        <v>0</v>
      </c>
      <c r="U159" s="137">
        <f>IFERROR(VLOOKUP($B159,'RoC9'!$A$1:$B$161,2,0),0)</f>
        <v>0</v>
      </c>
      <c r="V159" s="97">
        <f>IFERROR(VLOOKUP(U159,'RoC9'!$B$1:$C$161,2,0),0)</f>
        <v>0</v>
      </c>
      <c r="W159" s="137">
        <f>IFERROR(VLOOKUP($B159,'RoC10'!$A$1:$B$161,2,0),0)</f>
        <v>0</v>
      </c>
      <c r="X159" s="97">
        <f>IFERROR(VLOOKUP(W159,'RoC10'!$B$1:$C$161,2,0),0)</f>
        <v>0</v>
      </c>
      <c r="Y159" s="137">
        <f>IFERROR(VLOOKUP($B159,'RoC11'!$A$1:$B$161,2,0),0)</f>
        <v>0</v>
      </c>
      <c r="Z159" s="97">
        <f>IFERROR(VLOOKUP(Y159,'RoC11'!$B$1:$C$161,2,0),0)</f>
        <v>0</v>
      </c>
      <c r="AA159" s="97">
        <f>IFERROR(VLOOKUP(E159,'RoC1'!$B$1:$C$160,2,0),0)</f>
        <v>0</v>
      </c>
      <c r="AB159" s="97">
        <f>IFERROR(VLOOKUP(G159,'RoC2'!$B$1:$C$160,2,0),0)</f>
        <v>0</v>
      </c>
      <c r="AC159" s="97">
        <f>IFERROR(VLOOKUP(I159,'RoC3'!$B$1:$C$160,2,0),0)</f>
        <v>0</v>
      </c>
      <c r="AD159" s="97">
        <f>IFERROR(VLOOKUP(K159,'RoC4'!$B$1:$C$160,2,0),0)</f>
        <v>0</v>
      </c>
      <c r="AE159" s="97">
        <f>IFERROR(VLOOKUP(M159,'RoC5'!$B$1:$C$160,2,0),0)</f>
        <v>0</v>
      </c>
      <c r="AF159" s="97">
        <f>IFERROR(VLOOKUP(O159,'RoC6'!$B$1:$C$160,2,0),0)</f>
        <v>0</v>
      </c>
      <c r="AG159" s="97">
        <f>IFERROR(VLOOKUP(Q159,'RoC7'!$B$1:$C$160,2,0),0)</f>
        <v>0</v>
      </c>
      <c r="AH159" s="97">
        <f>IFERROR(VLOOKUP(S159,'RoC8'!$B$1:$C$160,2,0),0)</f>
        <v>0</v>
      </c>
      <c r="AI159" s="97">
        <f>IFERROR(VLOOKUP(U159,'RoC9'!$B$1:$C$160,2,0),0)</f>
        <v>0</v>
      </c>
      <c r="AJ159" s="97">
        <f>IFERROR(VLOOKUP(W159,'RoC10'!$B$1:$C$160,2,0),0)</f>
        <v>0</v>
      </c>
      <c r="AK159" s="97">
        <f>IFERROR(VLOOKUP(Y159,'RoC11'!$B$1:$C$160,2,0),0)</f>
        <v>0</v>
      </c>
    </row>
    <row r="160" ht="15.75" customHeight="1">
      <c r="A160" s="92">
        <v>159.0</v>
      </c>
      <c r="B160" s="124"/>
      <c r="C160" s="93">
        <f t="shared" si="4"/>
        <v>0</v>
      </c>
      <c r="D160" s="136"/>
      <c r="E160" s="137" t="str">
        <f>IFERROR(VLOOKUP($B160,'RoC1'!$A$1:$B$160,2,0),"0")</f>
        <v>0</v>
      </c>
      <c r="F160" s="97">
        <f>IFERROR(VLOOKUP(E160,'RoC1'!$B$1:$C$160,2,0),0)</f>
        <v>0</v>
      </c>
      <c r="G160" s="137" t="str">
        <f>IFERROR(VLOOKUP($B160,'RoC2'!$A$1:$B$161,2,0),"0")</f>
        <v>0</v>
      </c>
      <c r="H160" s="97">
        <f>IFERROR(VLOOKUP(G160,'RoC2'!$B$1:$C$161,2,0),0)</f>
        <v>0</v>
      </c>
      <c r="I160" s="137">
        <f>IFERROR(VLOOKUP($B160,'RoC3'!$A$1:$B$161,2,0),0)</f>
        <v>0</v>
      </c>
      <c r="J160" s="97">
        <f>IFERROR(VLOOKUP(I160,'RoC3'!$B$1:$C$161,2,0),0)</f>
        <v>0</v>
      </c>
      <c r="K160" s="137">
        <f>IFERROR(VLOOKUP($B160,'RoC4'!$A$1:$B$161,2,0),0)</f>
        <v>0</v>
      </c>
      <c r="L160" s="97">
        <f>IFERROR(VLOOKUP(K160,'RoC4'!$B$1:$C$161,2,0),0)</f>
        <v>0</v>
      </c>
      <c r="M160" s="137">
        <f>IFERROR(VLOOKUP($B160,'RoC5'!$A$1:$B$161,2,0),0)</f>
        <v>0</v>
      </c>
      <c r="N160" s="97">
        <f>IFERROR(VLOOKUP(M160,'RoC5'!$B$1:$C$161,2,0),0)</f>
        <v>0</v>
      </c>
      <c r="O160" s="137">
        <f>IFERROR(VLOOKUP($B160,'RoC6'!$A$1:$B$161,2,0),0)</f>
        <v>0</v>
      </c>
      <c r="P160" s="97">
        <f>IFERROR(VLOOKUP(O160,'RoC6'!$B$1:$C$161,2,0),0)</f>
        <v>0</v>
      </c>
      <c r="Q160" s="137">
        <f>IFERROR(VLOOKUP($B160,'RoC7'!$A$1:$B$161,2,0),0)</f>
        <v>0</v>
      </c>
      <c r="R160" s="97">
        <f>IFERROR(VLOOKUP(Q160,'RoC7'!$B$1:$C$161,2,0),0)</f>
        <v>0</v>
      </c>
      <c r="S160" s="137">
        <f>IFERROR(VLOOKUP($B160,'RoC8'!$A$1:$B$161,2,0),0)</f>
        <v>0</v>
      </c>
      <c r="T160" s="97">
        <f>IFERROR(VLOOKUP(S160,'RoC8'!$B$1:$C$161,2,0),0)</f>
        <v>0</v>
      </c>
      <c r="U160" s="137">
        <f>IFERROR(VLOOKUP($B160,'RoC9'!$A$1:$B$161,2,0),0)</f>
        <v>0</v>
      </c>
      <c r="V160" s="97">
        <f>IFERROR(VLOOKUP(U160,'RoC9'!$B$1:$C$161,2,0),0)</f>
        <v>0</v>
      </c>
      <c r="W160" s="137">
        <f>IFERROR(VLOOKUP($B160,'RoC10'!$A$1:$B$161,2,0),0)</f>
        <v>0</v>
      </c>
      <c r="X160" s="97">
        <f>IFERROR(VLOOKUP(W160,'RoC10'!$B$1:$C$161,2,0),0)</f>
        <v>0</v>
      </c>
      <c r="Y160" s="137">
        <f>IFERROR(VLOOKUP($B160,'RoC11'!$A$1:$B$161,2,0),0)</f>
        <v>0</v>
      </c>
      <c r="Z160" s="97">
        <f>IFERROR(VLOOKUP(Y160,'RoC11'!$B$1:$C$161,2,0),0)</f>
        <v>0</v>
      </c>
      <c r="AA160" s="97">
        <f>IFERROR(VLOOKUP(E160,'RoC1'!$B$1:$C$160,2,0),0)</f>
        <v>0</v>
      </c>
      <c r="AB160" s="97">
        <f>IFERROR(VLOOKUP(G160,'RoC2'!$B$1:$C$160,2,0),0)</f>
        <v>0</v>
      </c>
      <c r="AC160" s="97">
        <f>IFERROR(VLOOKUP(I160,'RoC3'!$B$1:$C$160,2,0),0)</f>
        <v>0</v>
      </c>
      <c r="AD160" s="97">
        <f>IFERROR(VLOOKUP(K160,'RoC4'!$B$1:$C$160,2,0),0)</f>
        <v>0</v>
      </c>
      <c r="AE160" s="97">
        <f>IFERROR(VLOOKUP(M160,'RoC5'!$B$1:$C$160,2,0),0)</f>
        <v>0</v>
      </c>
      <c r="AF160" s="97">
        <f>IFERROR(VLOOKUP(O160,'RoC6'!$B$1:$C$160,2,0),0)</f>
        <v>0</v>
      </c>
      <c r="AG160" s="97">
        <f>IFERROR(VLOOKUP(Q160,'RoC7'!$B$1:$C$160,2,0),0)</f>
        <v>0</v>
      </c>
      <c r="AH160" s="97">
        <f>IFERROR(VLOOKUP(S160,'RoC8'!$B$1:$C$160,2,0),0)</f>
        <v>0</v>
      </c>
      <c r="AI160" s="97">
        <f>IFERROR(VLOOKUP(U160,'RoC9'!$B$1:$C$160,2,0),0)</f>
        <v>0</v>
      </c>
      <c r="AJ160" s="97">
        <f>IFERROR(VLOOKUP(W160,'RoC10'!$B$1:$C$160,2,0),0)</f>
        <v>0</v>
      </c>
      <c r="AK160" s="97">
        <f>IFERROR(VLOOKUP(Y160,'RoC11'!$B$1:$C$160,2,0),0)</f>
        <v>0</v>
      </c>
    </row>
    <row r="161" ht="15.75" customHeight="1">
      <c r="A161" s="135">
        <v>160.0</v>
      </c>
      <c r="B161" s="124"/>
      <c r="C161" s="93">
        <f t="shared" si="4"/>
        <v>0</v>
      </c>
      <c r="D161" s="136"/>
      <c r="E161" s="137" t="str">
        <f>IFERROR(VLOOKUP($B161,'RoC1'!$A$1:$B$160,2,0),"0")</f>
        <v>0</v>
      </c>
      <c r="F161" s="97">
        <f>IFERROR(VLOOKUP(E161,'RoC1'!$B$1:$C$160,2,0),0)</f>
        <v>0</v>
      </c>
      <c r="G161" s="137" t="str">
        <f>IFERROR(VLOOKUP($B161,'RoC2'!$A$1:$B$161,2,0),"0")</f>
        <v>0</v>
      </c>
      <c r="H161" s="97">
        <f>IFERROR(VLOOKUP(G161,'RoC2'!$B$1:$C$161,2,0),0)</f>
        <v>0</v>
      </c>
      <c r="I161" s="137">
        <f>IFERROR(VLOOKUP($B161,'RoC3'!$A$1:$B$161,2,0),0)</f>
        <v>0</v>
      </c>
      <c r="J161" s="97">
        <f>IFERROR(VLOOKUP(I161,'RoC3'!$B$1:$C$161,2,0),0)</f>
        <v>0</v>
      </c>
      <c r="K161" s="137">
        <f>IFERROR(VLOOKUP($B161,'RoC4'!$A$1:$B$161,2,0),0)</f>
        <v>0</v>
      </c>
      <c r="L161" s="97">
        <f>IFERROR(VLOOKUP(K161,'RoC4'!$B$1:$C$161,2,0),0)</f>
        <v>0</v>
      </c>
      <c r="M161" s="137">
        <f>IFERROR(VLOOKUP($B161,'RoC5'!$A$1:$B$161,2,0),0)</f>
        <v>0</v>
      </c>
      <c r="N161" s="97">
        <f>IFERROR(VLOOKUP(M161,'RoC5'!$B$1:$C$161,2,0),0)</f>
        <v>0</v>
      </c>
      <c r="O161" s="137">
        <f>IFERROR(VLOOKUP($B161,'RoC6'!$A$1:$B$161,2,0),0)</f>
        <v>0</v>
      </c>
      <c r="P161" s="97">
        <f>IFERROR(VLOOKUP(O161,'RoC6'!$B$1:$C$161,2,0),0)</f>
        <v>0</v>
      </c>
      <c r="Q161" s="137">
        <f>IFERROR(VLOOKUP($B161,'RoC7'!$A$1:$B$161,2,0),0)</f>
        <v>0</v>
      </c>
      <c r="R161" s="97">
        <f>IFERROR(VLOOKUP(Q161,'RoC7'!$B$1:$C$161,2,0),0)</f>
        <v>0</v>
      </c>
      <c r="S161" s="137">
        <f>IFERROR(VLOOKUP($B161,'RoC8'!$A$1:$B$161,2,0),0)</f>
        <v>0</v>
      </c>
      <c r="T161" s="97">
        <f>IFERROR(VLOOKUP(S161,'RoC8'!$B$1:$C$161,2,0),0)</f>
        <v>0</v>
      </c>
      <c r="U161" s="137">
        <f>IFERROR(VLOOKUP($B161,'RoC9'!$A$1:$B$161,2,0),0)</f>
        <v>0</v>
      </c>
      <c r="V161" s="97">
        <f>IFERROR(VLOOKUP(U161,'RoC9'!$B$1:$C$161,2,0),0)</f>
        <v>0</v>
      </c>
      <c r="W161" s="137">
        <f>IFERROR(VLOOKUP($B161,'RoC10'!$A$1:$B$161,2,0),0)</f>
        <v>0</v>
      </c>
      <c r="X161" s="97">
        <f>IFERROR(VLOOKUP(W161,'RoC10'!$B$1:$C$161,2,0),0)</f>
        <v>0</v>
      </c>
      <c r="Y161" s="137">
        <f>IFERROR(VLOOKUP($B161,'RoC11'!$A$1:$B$161,2,0),0)</f>
        <v>0</v>
      </c>
      <c r="Z161" s="97">
        <f>IFERROR(VLOOKUP(Y161,'RoC11'!$B$1:$C$161,2,0),0)</f>
        <v>0</v>
      </c>
      <c r="AA161" s="97">
        <f>IFERROR(VLOOKUP(E161,'RoC1'!$B$1:$C$160,2,0),0)</f>
        <v>0</v>
      </c>
      <c r="AB161" s="97">
        <f>IFERROR(VLOOKUP(G161,'RoC2'!$B$1:$C$160,2,0),0)</f>
        <v>0</v>
      </c>
      <c r="AC161" s="97">
        <f>IFERROR(VLOOKUP(I161,'RoC3'!$B$1:$C$160,2,0),0)</f>
        <v>0</v>
      </c>
      <c r="AD161" s="97">
        <f>IFERROR(VLOOKUP(K161,'RoC4'!$B$1:$C$160,2,0),0)</f>
        <v>0</v>
      </c>
      <c r="AE161" s="97">
        <f>IFERROR(VLOOKUP(M161,'RoC5'!$B$1:$C$160,2,0),0)</f>
        <v>0</v>
      </c>
      <c r="AF161" s="97">
        <f>IFERROR(VLOOKUP(O161,'RoC6'!$B$1:$C$160,2,0),0)</f>
        <v>0</v>
      </c>
      <c r="AG161" s="97">
        <f>IFERROR(VLOOKUP(Q161,'RoC7'!$B$1:$C$160,2,0),0)</f>
        <v>0</v>
      </c>
      <c r="AH161" s="97">
        <f>IFERROR(VLOOKUP(S161,'RoC8'!$B$1:$C$160,2,0),0)</f>
        <v>0</v>
      </c>
      <c r="AI161" s="97">
        <f>IFERROR(VLOOKUP(U161,'RoC9'!$B$1:$C$160,2,0),0)</f>
        <v>0</v>
      </c>
      <c r="AJ161" s="97">
        <f>IFERROR(VLOOKUP(W161,'RoC10'!$B$1:$C$160,2,0),0)</f>
        <v>0</v>
      </c>
      <c r="AK161" s="97">
        <f>IFERROR(VLOOKUP(Y161,'RoC11'!$B$1:$C$160,2,0),0)</f>
        <v>0</v>
      </c>
    </row>
    <row r="162" ht="15.75" customHeight="1">
      <c r="A162" s="92">
        <v>161.0</v>
      </c>
      <c r="B162" s="124"/>
      <c r="C162" s="93">
        <f t="shared" si="4"/>
        <v>0</v>
      </c>
      <c r="D162" s="136"/>
      <c r="E162" s="137" t="str">
        <f>IFERROR(VLOOKUP($B162,'RoC1'!$A$1:$B$160,2,0),"0")</f>
        <v>0</v>
      </c>
      <c r="F162" s="97">
        <f>IFERROR(VLOOKUP(E162,'RoC1'!$B$1:$C$160,2,0),0)</f>
        <v>0</v>
      </c>
      <c r="G162" s="137" t="str">
        <f>IFERROR(VLOOKUP($B162,'RoC2'!$A$1:$B$161,2,0),"0")</f>
        <v>0</v>
      </c>
      <c r="H162" s="97">
        <f>IFERROR(VLOOKUP(G162,'RoC2'!$B$1:$C$161,2,0),0)</f>
        <v>0</v>
      </c>
      <c r="I162" s="137">
        <f>IFERROR(VLOOKUP($B162,'RoC3'!$A$1:$B$161,2,0),0)</f>
        <v>0</v>
      </c>
      <c r="J162" s="97">
        <f>IFERROR(VLOOKUP(I162,'RoC3'!$B$1:$C$161,2,0),0)</f>
        <v>0</v>
      </c>
      <c r="K162" s="137">
        <f>IFERROR(VLOOKUP($B162,'RoC4'!$A$1:$B$161,2,0),0)</f>
        <v>0</v>
      </c>
      <c r="L162" s="97">
        <f>IFERROR(VLOOKUP(K162,'RoC4'!$B$1:$C$161,2,0),0)</f>
        <v>0</v>
      </c>
      <c r="M162" s="137">
        <f>IFERROR(VLOOKUP($B162,'RoC5'!$A$1:$B$161,2,0),0)</f>
        <v>0</v>
      </c>
      <c r="N162" s="97">
        <f>IFERROR(VLOOKUP(M162,'RoC5'!$B$1:$C$161,2,0),0)</f>
        <v>0</v>
      </c>
      <c r="O162" s="137">
        <f>IFERROR(VLOOKUP($B162,'RoC6'!$A$1:$B$161,2,0),0)</f>
        <v>0</v>
      </c>
      <c r="P162" s="97">
        <f>IFERROR(VLOOKUP(O162,'RoC6'!$B$1:$C$161,2,0),0)</f>
        <v>0</v>
      </c>
      <c r="Q162" s="137">
        <f>IFERROR(VLOOKUP($B162,'RoC7'!$A$1:$B$161,2,0),0)</f>
        <v>0</v>
      </c>
      <c r="R162" s="97">
        <f>IFERROR(VLOOKUP(Q162,'RoC7'!$B$1:$C$161,2,0),0)</f>
        <v>0</v>
      </c>
      <c r="S162" s="137">
        <f>IFERROR(VLOOKUP($B162,'RoC8'!$A$1:$B$161,2,0),0)</f>
        <v>0</v>
      </c>
      <c r="T162" s="97">
        <f>IFERROR(VLOOKUP(S162,'RoC8'!$B$1:$C$161,2,0),0)</f>
        <v>0</v>
      </c>
      <c r="U162" s="137">
        <f>IFERROR(VLOOKUP($B162,'RoC9'!$A$1:$B$161,2,0),0)</f>
        <v>0</v>
      </c>
      <c r="V162" s="97">
        <f>IFERROR(VLOOKUP(U162,'RoC9'!$B$1:$C$161,2,0),0)</f>
        <v>0</v>
      </c>
      <c r="W162" s="137">
        <f>IFERROR(VLOOKUP($B162,'RoC10'!$A$1:$B$161,2,0),0)</f>
        <v>0</v>
      </c>
      <c r="X162" s="97">
        <f>IFERROR(VLOOKUP(W162,'RoC10'!$B$1:$C$161,2,0),0)</f>
        <v>0</v>
      </c>
      <c r="Y162" s="137">
        <f>IFERROR(VLOOKUP($B162,'RoC11'!$A$1:$B$161,2,0),0)</f>
        <v>0</v>
      </c>
      <c r="Z162" s="97">
        <f>IFERROR(VLOOKUP(Y162,'RoC11'!$B$1:$C$161,2,0),0)</f>
        <v>0</v>
      </c>
      <c r="AA162" s="97">
        <f>IFERROR(VLOOKUP(E162,'RoC1'!$B$1:$C$160,2,0),0)</f>
        <v>0</v>
      </c>
      <c r="AB162" s="97">
        <f>IFERROR(VLOOKUP(G162,'RoC2'!$B$1:$C$160,2,0),0)</f>
        <v>0</v>
      </c>
      <c r="AC162" s="97">
        <f>IFERROR(VLOOKUP(I162,'RoC3'!$B$1:$C$160,2,0),0)</f>
        <v>0</v>
      </c>
      <c r="AD162" s="97">
        <f>IFERROR(VLOOKUP(K162,'RoC4'!$B$1:$C$160,2,0),0)</f>
        <v>0</v>
      </c>
      <c r="AE162" s="97">
        <f>IFERROR(VLOOKUP(M162,'RoC5'!$B$1:$C$160,2,0),0)</f>
        <v>0</v>
      </c>
      <c r="AF162" s="97">
        <f>IFERROR(VLOOKUP(O162,'RoC6'!$B$1:$C$160,2,0),0)</f>
        <v>0</v>
      </c>
      <c r="AG162" s="97">
        <f>IFERROR(VLOOKUP(Q162,'RoC7'!$B$1:$C$160,2,0),0)</f>
        <v>0</v>
      </c>
      <c r="AH162" s="97">
        <f>IFERROR(VLOOKUP(S162,'RoC8'!$B$1:$C$160,2,0),0)</f>
        <v>0</v>
      </c>
      <c r="AI162" s="97">
        <f>IFERROR(VLOOKUP(U162,'RoC9'!$B$1:$C$160,2,0),0)</f>
        <v>0</v>
      </c>
      <c r="AJ162" s="97">
        <f>IFERROR(VLOOKUP(W162,'RoC10'!$B$1:$C$160,2,0),0)</f>
        <v>0</v>
      </c>
      <c r="AK162" s="97">
        <f>IFERROR(VLOOKUP(Y162,'RoC11'!$B$1:$C$160,2,0),0)</f>
        <v>0</v>
      </c>
    </row>
    <row r="163" ht="15.75" customHeight="1">
      <c r="A163" s="135">
        <v>162.0</v>
      </c>
      <c r="B163" s="124"/>
      <c r="C163" s="93">
        <f t="shared" si="4"/>
        <v>0</v>
      </c>
      <c r="D163" s="136"/>
      <c r="E163" s="137" t="str">
        <f>IFERROR(VLOOKUP($B163,'RoC1'!$A$1:$B$160,2,0),"0")</f>
        <v>0</v>
      </c>
      <c r="F163" s="97">
        <f>IFERROR(VLOOKUP(E163,'RoC1'!$B$1:$C$160,2,0),0)</f>
        <v>0</v>
      </c>
      <c r="G163" s="137" t="str">
        <f>IFERROR(VLOOKUP($B163,'RoC2'!$A$1:$B$161,2,0),"0")</f>
        <v>0</v>
      </c>
      <c r="H163" s="97">
        <f>IFERROR(VLOOKUP(G163,'RoC2'!$B$1:$C$161,2,0),0)</f>
        <v>0</v>
      </c>
      <c r="I163" s="137">
        <f>IFERROR(VLOOKUP($B163,'RoC3'!$A$1:$B$161,2,0),0)</f>
        <v>0</v>
      </c>
      <c r="J163" s="97">
        <f>IFERROR(VLOOKUP(I163,'RoC3'!$B$1:$C$161,2,0),0)</f>
        <v>0</v>
      </c>
      <c r="K163" s="137">
        <f>IFERROR(VLOOKUP($B163,'RoC4'!$A$1:$B$161,2,0),0)</f>
        <v>0</v>
      </c>
      <c r="L163" s="97">
        <f>IFERROR(VLOOKUP(K163,'RoC4'!$B$1:$C$161,2,0),0)</f>
        <v>0</v>
      </c>
      <c r="M163" s="137">
        <f>IFERROR(VLOOKUP($B163,'RoC5'!$A$1:$B$161,2,0),0)</f>
        <v>0</v>
      </c>
      <c r="N163" s="97">
        <f>IFERROR(VLOOKUP(M163,'RoC5'!$B$1:$C$161,2,0),0)</f>
        <v>0</v>
      </c>
      <c r="O163" s="137">
        <f>IFERROR(VLOOKUP($B163,'RoC6'!$A$1:$B$161,2,0),0)</f>
        <v>0</v>
      </c>
      <c r="P163" s="97">
        <f>IFERROR(VLOOKUP(O163,'RoC6'!$B$1:$C$161,2,0),0)</f>
        <v>0</v>
      </c>
      <c r="Q163" s="137">
        <f>IFERROR(VLOOKUP($B163,'RoC7'!$A$1:$B$161,2,0),0)</f>
        <v>0</v>
      </c>
      <c r="R163" s="97">
        <f>IFERROR(VLOOKUP(Q163,'RoC7'!$B$1:$C$161,2,0),0)</f>
        <v>0</v>
      </c>
      <c r="S163" s="137">
        <f>IFERROR(VLOOKUP($B163,'RoC8'!$A$1:$B$161,2,0),0)</f>
        <v>0</v>
      </c>
      <c r="T163" s="97">
        <f>IFERROR(VLOOKUP(S163,'RoC8'!$B$1:$C$161,2,0),0)</f>
        <v>0</v>
      </c>
      <c r="U163" s="137">
        <f>IFERROR(VLOOKUP($B163,'RoC9'!$A$1:$B$161,2,0),0)</f>
        <v>0</v>
      </c>
      <c r="V163" s="97">
        <f>IFERROR(VLOOKUP(U163,'RoC9'!$B$1:$C$161,2,0),0)</f>
        <v>0</v>
      </c>
      <c r="W163" s="137">
        <f>IFERROR(VLOOKUP($B163,'RoC10'!$A$1:$B$161,2,0),0)</f>
        <v>0</v>
      </c>
      <c r="X163" s="97">
        <f>IFERROR(VLOOKUP(W163,'RoC10'!$B$1:$C$161,2,0),0)</f>
        <v>0</v>
      </c>
      <c r="Y163" s="137">
        <f>IFERROR(VLOOKUP($B163,'RoC11'!$A$1:$B$161,2,0),0)</f>
        <v>0</v>
      </c>
      <c r="Z163" s="97">
        <f>IFERROR(VLOOKUP(Y163,'RoC11'!$B$1:$C$161,2,0),0)</f>
        <v>0</v>
      </c>
      <c r="AA163" s="97">
        <f>IFERROR(VLOOKUP(E163,'RoC1'!$B$1:$C$160,2,0),0)</f>
        <v>0</v>
      </c>
      <c r="AB163" s="97">
        <f>IFERROR(VLOOKUP(G163,'RoC2'!$B$1:$C$160,2,0),0)</f>
        <v>0</v>
      </c>
      <c r="AC163" s="97">
        <f>IFERROR(VLOOKUP(I163,'RoC3'!$B$1:$C$160,2,0),0)</f>
        <v>0</v>
      </c>
      <c r="AD163" s="97">
        <f>IFERROR(VLOOKUP(K163,'RoC4'!$B$1:$C$160,2,0),0)</f>
        <v>0</v>
      </c>
      <c r="AE163" s="97">
        <f>IFERROR(VLOOKUP(M163,'RoC5'!$B$1:$C$160,2,0),0)</f>
        <v>0</v>
      </c>
      <c r="AF163" s="97">
        <f>IFERROR(VLOOKUP(O163,'RoC6'!$B$1:$C$160,2,0),0)</f>
        <v>0</v>
      </c>
      <c r="AG163" s="97">
        <f>IFERROR(VLOOKUP(Q163,'RoC7'!$B$1:$C$160,2,0),0)</f>
        <v>0</v>
      </c>
      <c r="AH163" s="97">
        <f>IFERROR(VLOOKUP(S163,'RoC8'!$B$1:$C$160,2,0),0)</f>
        <v>0</v>
      </c>
      <c r="AI163" s="97">
        <f>IFERROR(VLOOKUP(U163,'RoC9'!$B$1:$C$160,2,0),0)</f>
        <v>0</v>
      </c>
      <c r="AJ163" s="97">
        <f>IFERROR(VLOOKUP(W163,'RoC10'!$B$1:$C$160,2,0),0)</f>
        <v>0</v>
      </c>
      <c r="AK163" s="97">
        <f>IFERROR(VLOOKUP(Y163,'RoC11'!$B$1:$C$160,2,0),0)</f>
        <v>0</v>
      </c>
    </row>
    <row r="164" ht="15.75" customHeight="1">
      <c r="A164" s="92">
        <v>163.0</v>
      </c>
      <c r="B164" s="124"/>
      <c r="C164" s="93">
        <f t="shared" si="4"/>
        <v>0</v>
      </c>
      <c r="D164" s="136"/>
      <c r="E164" s="137" t="str">
        <f>IFERROR(VLOOKUP($B164,'RoC1'!$A$1:$B$160,2,0),"0")</f>
        <v>0</v>
      </c>
      <c r="F164" s="97">
        <f>IFERROR(VLOOKUP(E164,'RoC1'!$B$1:$C$160,2,0),0)</f>
        <v>0</v>
      </c>
      <c r="G164" s="137" t="str">
        <f>IFERROR(VLOOKUP($B164,'RoC2'!$A$1:$B$161,2,0),"0")</f>
        <v>0</v>
      </c>
      <c r="H164" s="97">
        <f>IFERROR(VLOOKUP(G164,'RoC2'!$B$1:$C$161,2,0),0)</f>
        <v>0</v>
      </c>
      <c r="I164" s="137">
        <f>IFERROR(VLOOKUP($B164,'RoC3'!$A$1:$B$161,2,0),0)</f>
        <v>0</v>
      </c>
      <c r="J164" s="97">
        <f>IFERROR(VLOOKUP(I164,'RoC3'!$B$1:$C$161,2,0),0)</f>
        <v>0</v>
      </c>
      <c r="K164" s="137">
        <f>IFERROR(VLOOKUP($B164,'RoC4'!$A$1:$B$161,2,0),0)</f>
        <v>0</v>
      </c>
      <c r="L164" s="97">
        <f>IFERROR(VLOOKUP(K164,'RoC4'!$B$1:$C$161,2,0),0)</f>
        <v>0</v>
      </c>
      <c r="M164" s="137">
        <f>IFERROR(VLOOKUP($B164,'RoC5'!$A$1:$B$161,2,0),0)</f>
        <v>0</v>
      </c>
      <c r="N164" s="97">
        <f>IFERROR(VLOOKUP(M164,'RoC5'!$B$1:$C$161,2,0),0)</f>
        <v>0</v>
      </c>
      <c r="O164" s="137">
        <f>IFERROR(VLOOKUP($B164,'RoC6'!$A$1:$B$161,2,0),0)</f>
        <v>0</v>
      </c>
      <c r="P164" s="97">
        <f>IFERROR(VLOOKUP(O164,'RoC6'!$B$1:$C$161,2,0),0)</f>
        <v>0</v>
      </c>
      <c r="Q164" s="137">
        <f>IFERROR(VLOOKUP($B164,'RoC7'!$A$1:$B$161,2,0),0)</f>
        <v>0</v>
      </c>
      <c r="R164" s="97">
        <f>IFERROR(VLOOKUP(Q164,'RoC7'!$B$1:$C$161,2,0),0)</f>
        <v>0</v>
      </c>
      <c r="S164" s="137">
        <f>IFERROR(VLOOKUP($B164,'RoC8'!$A$1:$B$161,2,0),0)</f>
        <v>0</v>
      </c>
      <c r="T164" s="97">
        <f>IFERROR(VLOOKUP(S164,'RoC8'!$B$1:$C$161,2,0),0)</f>
        <v>0</v>
      </c>
      <c r="U164" s="137">
        <f>IFERROR(VLOOKUP($B164,'RoC9'!$A$1:$B$161,2,0),0)</f>
        <v>0</v>
      </c>
      <c r="V164" s="97">
        <f>IFERROR(VLOOKUP(U164,'RoC9'!$B$1:$C$161,2,0),0)</f>
        <v>0</v>
      </c>
      <c r="W164" s="137">
        <f>IFERROR(VLOOKUP($B164,'RoC10'!$A$1:$B$161,2,0),0)</f>
        <v>0</v>
      </c>
      <c r="X164" s="97">
        <f>IFERROR(VLOOKUP(W164,'RoC10'!$B$1:$C$161,2,0),0)</f>
        <v>0</v>
      </c>
      <c r="Y164" s="137">
        <f>IFERROR(VLOOKUP($B164,'RoC11'!$A$1:$B$161,2,0),0)</f>
        <v>0</v>
      </c>
      <c r="Z164" s="97">
        <f>IFERROR(VLOOKUP(Y164,'RoC11'!$B$1:$C$161,2,0),0)</f>
        <v>0</v>
      </c>
      <c r="AA164" s="97">
        <f>IFERROR(VLOOKUP(E164,'RoC1'!$B$1:$C$160,2,0),0)</f>
        <v>0</v>
      </c>
      <c r="AB164" s="97">
        <f>IFERROR(VLOOKUP(G164,'RoC2'!$B$1:$C$160,2,0),0)</f>
        <v>0</v>
      </c>
      <c r="AC164" s="97">
        <f>IFERROR(VLOOKUP(I164,'RoC3'!$B$1:$C$160,2,0),0)</f>
        <v>0</v>
      </c>
      <c r="AD164" s="97">
        <f>IFERROR(VLOOKUP(K164,'RoC4'!$B$1:$C$160,2,0),0)</f>
        <v>0</v>
      </c>
      <c r="AE164" s="97">
        <f>IFERROR(VLOOKUP(M164,'RoC5'!$B$1:$C$160,2,0),0)</f>
        <v>0</v>
      </c>
      <c r="AF164" s="97">
        <f>IFERROR(VLOOKUP(O164,'RoC6'!$B$1:$C$160,2,0),0)</f>
        <v>0</v>
      </c>
      <c r="AG164" s="97">
        <f>IFERROR(VLOOKUP(Q164,'RoC7'!$B$1:$C$160,2,0),0)</f>
        <v>0</v>
      </c>
      <c r="AH164" s="97">
        <f>IFERROR(VLOOKUP(S164,'RoC8'!$B$1:$C$160,2,0),0)</f>
        <v>0</v>
      </c>
      <c r="AI164" s="97">
        <f>IFERROR(VLOOKUP(U164,'RoC9'!$B$1:$C$160,2,0),0)</f>
        <v>0</v>
      </c>
      <c r="AJ164" s="97">
        <f>IFERROR(VLOOKUP(W164,'RoC10'!$B$1:$C$160,2,0),0)</f>
        <v>0</v>
      </c>
      <c r="AK164" s="97">
        <f>IFERROR(VLOOKUP(Y164,'RoC11'!$B$1:$C$160,2,0),0)</f>
        <v>0</v>
      </c>
    </row>
    <row r="165" ht="15.75" customHeight="1">
      <c r="A165" s="135">
        <v>164.0</v>
      </c>
      <c r="B165" s="124"/>
      <c r="C165" s="93">
        <f t="shared" si="4"/>
        <v>0</v>
      </c>
      <c r="D165" s="136"/>
      <c r="E165" s="137" t="str">
        <f>IFERROR(VLOOKUP($B165,'RoC1'!$A$1:$B$160,2,0),"0")</f>
        <v>0</v>
      </c>
      <c r="F165" s="97">
        <f>IFERROR(VLOOKUP(E165,'RoC1'!$B$1:$C$160,2,0),0)</f>
        <v>0</v>
      </c>
      <c r="G165" s="137" t="str">
        <f>IFERROR(VLOOKUP($B165,'RoC2'!$A$1:$B$161,2,0),"0")</f>
        <v>0</v>
      </c>
      <c r="H165" s="97">
        <f>IFERROR(VLOOKUP(G165,'RoC2'!$B$1:$C$161,2,0),0)</f>
        <v>0</v>
      </c>
      <c r="I165" s="137">
        <f>IFERROR(VLOOKUP($B165,'RoC3'!$A$1:$B$161,2,0),0)</f>
        <v>0</v>
      </c>
      <c r="J165" s="97">
        <f>IFERROR(VLOOKUP(I165,'RoC3'!$B$1:$C$161,2,0),0)</f>
        <v>0</v>
      </c>
      <c r="K165" s="137">
        <f>IFERROR(VLOOKUP($B165,'RoC4'!$A$1:$B$161,2,0),0)</f>
        <v>0</v>
      </c>
      <c r="L165" s="97">
        <f>IFERROR(VLOOKUP(K165,'RoC4'!$B$1:$C$161,2,0),0)</f>
        <v>0</v>
      </c>
      <c r="M165" s="137">
        <f>IFERROR(VLOOKUP($B165,'RoC5'!$A$1:$B$161,2,0),0)</f>
        <v>0</v>
      </c>
      <c r="N165" s="97">
        <f>IFERROR(VLOOKUP(M165,'RoC5'!$B$1:$C$161,2,0),0)</f>
        <v>0</v>
      </c>
      <c r="O165" s="137">
        <f>IFERROR(VLOOKUP($B165,'RoC6'!$A$1:$B$161,2,0),0)</f>
        <v>0</v>
      </c>
      <c r="P165" s="97">
        <f>IFERROR(VLOOKUP(O165,'RoC6'!$B$1:$C$161,2,0),0)</f>
        <v>0</v>
      </c>
      <c r="Q165" s="137">
        <f>IFERROR(VLOOKUP($B165,'RoC7'!$A$1:$B$161,2,0),0)</f>
        <v>0</v>
      </c>
      <c r="R165" s="97">
        <f>IFERROR(VLOOKUP(Q165,'RoC7'!$B$1:$C$161,2,0),0)</f>
        <v>0</v>
      </c>
      <c r="S165" s="137">
        <f>IFERROR(VLOOKUP($B165,'RoC8'!$A$1:$B$161,2,0),0)</f>
        <v>0</v>
      </c>
      <c r="T165" s="97">
        <f>IFERROR(VLOOKUP(S165,'RoC8'!$B$1:$C$161,2,0),0)</f>
        <v>0</v>
      </c>
      <c r="U165" s="137">
        <f>IFERROR(VLOOKUP($B165,'RoC9'!$A$1:$B$161,2,0),0)</f>
        <v>0</v>
      </c>
      <c r="V165" s="97">
        <f>IFERROR(VLOOKUP(U165,'RoC9'!$B$1:$C$161,2,0),0)</f>
        <v>0</v>
      </c>
      <c r="W165" s="137">
        <f>IFERROR(VLOOKUP($B165,'RoC10'!$A$1:$B$161,2,0),0)</f>
        <v>0</v>
      </c>
      <c r="X165" s="97">
        <f>IFERROR(VLOOKUP(W165,'RoC10'!$B$1:$C$161,2,0),0)</f>
        <v>0</v>
      </c>
      <c r="Y165" s="137">
        <f>IFERROR(VLOOKUP($B165,'RoC11'!$A$1:$B$161,2,0),0)</f>
        <v>0</v>
      </c>
      <c r="Z165" s="97">
        <f>IFERROR(VLOOKUP(Y165,'RoC11'!$B$1:$C$161,2,0),0)</f>
        <v>0</v>
      </c>
      <c r="AA165" s="97">
        <f>IFERROR(VLOOKUP(E165,'RoC1'!$B$1:$C$160,2,0),0)</f>
        <v>0</v>
      </c>
      <c r="AB165" s="97">
        <f>IFERROR(VLOOKUP(G165,'RoC2'!$B$1:$C$160,2,0),0)</f>
        <v>0</v>
      </c>
      <c r="AC165" s="97">
        <f>IFERROR(VLOOKUP(I165,'RoC3'!$B$1:$C$160,2,0),0)</f>
        <v>0</v>
      </c>
      <c r="AD165" s="97">
        <f>IFERROR(VLOOKUP(K165,'RoC4'!$B$1:$C$160,2,0),0)</f>
        <v>0</v>
      </c>
      <c r="AE165" s="97">
        <f>IFERROR(VLOOKUP(M165,'RoC5'!$B$1:$C$160,2,0),0)</f>
        <v>0</v>
      </c>
      <c r="AF165" s="97">
        <f>IFERROR(VLOOKUP(O165,'RoC6'!$B$1:$C$160,2,0),0)</f>
        <v>0</v>
      </c>
      <c r="AG165" s="97">
        <f>IFERROR(VLOOKUP(Q165,'RoC7'!$B$1:$C$160,2,0),0)</f>
        <v>0</v>
      </c>
      <c r="AH165" s="97">
        <f>IFERROR(VLOOKUP(S165,'RoC8'!$B$1:$C$160,2,0),0)</f>
        <v>0</v>
      </c>
      <c r="AI165" s="97">
        <f>IFERROR(VLOOKUP(U165,'RoC9'!$B$1:$C$160,2,0),0)</f>
        <v>0</v>
      </c>
      <c r="AJ165" s="97">
        <f>IFERROR(VLOOKUP(W165,'RoC10'!$B$1:$C$160,2,0),0)</f>
        <v>0</v>
      </c>
      <c r="AK165" s="97">
        <f>IFERROR(VLOOKUP(Y165,'RoC11'!$B$1:$C$160,2,0),0)</f>
        <v>0</v>
      </c>
    </row>
    <row r="166" ht="15.75" customHeight="1">
      <c r="A166" s="92">
        <v>165.0</v>
      </c>
      <c r="B166" s="124"/>
      <c r="C166" s="93">
        <f t="shared" si="4"/>
        <v>0</v>
      </c>
      <c r="D166" s="136"/>
      <c r="E166" s="137" t="str">
        <f>IFERROR(VLOOKUP($B166,'RoC1'!$A$1:$B$160,2,0),"0")</f>
        <v>0</v>
      </c>
      <c r="F166" s="97">
        <f>IFERROR(VLOOKUP(E166,'RoC1'!$B$1:$C$160,2,0),0)</f>
        <v>0</v>
      </c>
      <c r="G166" s="137" t="str">
        <f>IFERROR(VLOOKUP($B166,'RoC2'!$A$1:$B$161,2,0),"0")</f>
        <v>0</v>
      </c>
      <c r="H166" s="97">
        <f>IFERROR(VLOOKUP(G166,'RoC2'!$B$1:$C$161,2,0),0)</f>
        <v>0</v>
      </c>
      <c r="I166" s="137">
        <f>IFERROR(VLOOKUP($B166,'RoC3'!$A$1:$B$161,2,0),0)</f>
        <v>0</v>
      </c>
      <c r="J166" s="97">
        <f>IFERROR(VLOOKUP(I166,'RoC3'!$B$1:$C$161,2,0),0)</f>
        <v>0</v>
      </c>
      <c r="K166" s="137">
        <f>IFERROR(VLOOKUP($B166,'RoC4'!$A$1:$B$161,2,0),0)</f>
        <v>0</v>
      </c>
      <c r="L166" s="97">
        <f>IFERROR(VLOOKUP(K166,'RoC4'!$B$1:$C$161,2,0),0)</f>
        <v>0</v>
      </c>
      <c r="M166" s="137">
        <f>IFERROR(VLOOKUP($B166,'RoC5'!$A$1:$B$161,2,0),0)</f>
        <v>0</v>
      </c>
      <c r="N166" s="97">
        <f>IFERROR(VLOOKUP(M166,'RoC5'!$B$1:$C$161,2,0),0)</f>
        <v>0</v>
      </c>
      <c r="O166" s="137">
        <f>IFERROR(VLOOKUP($B166,'RoC6'!$A$1:$B$161,2,0),0)</f>
        <v>0</v>
      </c>
      <c r="P166" s="97">
        <f>IFERROR(VLOOKUP(O166,'RoC6'!$B$1:$C$161,2,0),0)</f>
        <v>0</v>
      </c>
      <c r="Q166" s="137">
        <f>IFERROR(VLOOKUP($B166,'RoC7'!$A$1:$B$161,2,0),0)</f>
        <v>0</v>
      </c>
      <c r="R166" s="97">
        <f>IFERROR(VLOOKUP(Q166,'RoC7'!$B$1:$C$161,2,0),0)</f>
        <v>0</v>
      </c>
      <c r="S166" s="137">
        <f>IFERROR(VLOOKUP($B166,'RoC8'!$A$1:$B$161,2,0),0)</f>
        <v>0</v>
      </c>
      <c r="T166" s="97">
        <f>IFERROR(VLOOKUP(S166,'RoC8'!$B$1:$C$161,2,0),0)</f>
        <v>0</v>
      </c>
      <c r="U166" s="137">
        <f>IFERROR(VLOOKUP($B166,'RoC9'!$A$1:$B$161,2,0),0)</f>
        <v>0</v>
      </c>
      <c r="V166" s="97">
        <f>IFERROR(VLOOKUP(U166,'RoC9'!$B$1:$C$161,2,0),0)</f>
        <v>0</v>
      </c>
      <c r="W166" s="137">
        <f>IFERROR(VLOOKUP($B166,'RoC10'!$A$1:$B$161,2,0),0)</f>
        <v>0</v>
      </c>
      <c r="X166" s="97">
        <f>IFERROR(VLOOKUP(W166,'RoC10'!$B$1:$C$161,2,0),0)</f>
        <v>0</v>
      </c>
      <c r="Y166" s="137">
        <f>IFERROR(VLOOKUP($B166,'RoC11'!$A$1:$B$161,2,0),0)</f>
        <v>0</v>
      </c>
      <c r="Z166" s="97">
        <f>IFERROR(VLOOKUP(Y166,'RoC11'!$B$1:$C$161,2,0),0)</f>
        <v>0</v>
      </c>
      <c r="AA166" s="97">
        <f>IFERROR(VLOOKUP(E166,'RoC1'!$B$1:$C$160,2,0),0)</f>
        <v>0</v>
      </c>
      <c r="AB166" s="97">
        <f>IFERROR(VLOOKUP(G166,'RoC2'!$B$1:$C$160,2,0),0)</f>
        <v>0</v>
      </c>
      <c r="AC166" s="97">
        <f>IFERROR(VLOOKUP(I166,'RoC3'!$B$1:$C$160,2,0),0)</f>
        <v>0</v>
      </c>
      <c r="AD166" s="97">
        <f>IFERROR(VLOOKUP(K166,'RoC4'!$B$1:$C$160,2,0),0)</f>
        <v>0</v>
      </c>
      <c r="AE166" s="97">
        <f>IFERROR(VLOOKUP(M166,'RoC5'!$B$1:$C$160,2,0),0)</f>
        <v>0</v>
      </c>
      <c r="AF166" s="97">
        <f>IFERROR(VLOOKUP(O166,'RoC6'!$B$1:$C$160,2,0),0)</f>
        <v>0</v>
      </c>
      <c r="AG166" s="97">
        <f>IFERROR(VLOOKUP(Q166,'RoC7'!$B$1:$C$160,2,0),0)</f>
        <v>0</v>
      </c>
      <c r="AH166" s="97">
        <f>IFERROR(VLOOKUP(S166,'RoC8'!$B$1:$C$160,2,0),0)</f>
        <v>0</v>
      </c>
      <c r="AI166" s="97">
        <f>IFERROR(VLOOKUP(U166,'RoC9'!$B$1:$C$160,2,0),0)</f>
        <v>0</v>
      </c>
      <c r="AJ166" s="97">
        <f>IFERROR(VLOOKUP(W166,'RoC10'!$B$1:$C$160,2,0),0)</f>
        <v>0</v>
      </c>
      <c r="AK166" s="97">
        <f>IFERROR(VLOOKUP(Y166,'RoC11'!$B$1:$C$160,2,0),0)</f>
        <v>0</v>
      </c>
    </row>
    <row r="167" ht="15.75" customHeight="1">
      <c r="A167" s="135">
        <v>166.0</v>
      </c>
      <c r="B167" s="124"/>
      <c r="C167" s="93">
        <f t="shared" si="4"/>
        <v>0</v>
      </c>
      <c r="D167" s="136"/>
      <c r="E167" s="137" t="str">
        <f>IFERROR(VLOOKUP($B167,'RoC1'!$A$1:$B$160,2,0),"0")</f>
        <v>0</v>
      </c>
      <c r="F167" s="97">
        <f>IFERROR(VLOOKUP(E167,'RoC1'!$B$1:$C$160,2,0),0)</f>
        <v>0</v>
      </c>
      <c r="G167" s="137" t="str">
        <f>IFERROR(VLOOKUP($B167,'RoC2'!$A$1:$B$161,2,0),"0")</f>
        <v>0</v>
      </c>
      <c r="H167" s="97">
        <f>IFERROR(VLOOKUP(G167,'RoC2'!$B$1:$C$161,2,0),0)</f>
        <v>0</v>
      </c>
      <c r="I167" s="137">
        <f>IFERROR(VLOOKUP($B167,'RoC3'!$A$1:$B$161,2,0),0)</f>
        <v>0</v>
      </c>
      <c r="J167" s="97">
        <f>IFERROR(VLOOKUP(I167,'RoC3'!$B$1:$C$161,2,0),0)</f>
        <v>0</v>
      </c>
      <c r="K167" s="137">
        <f>IFERROR(VLOOKUP($B167,'RoC4'!$A$1:$B$161,2,0),0)</f>
        <v>0</v>
      </c>
      <c r="L167" s="97">
        <f>IFERROR(VLOOKUP(K167,'RoC4'!$B$1:$C$161,2,0),0)</f>
        <v>0</v>
      </c>
      <c r="M167" s="137">
        <f>IFERROR(VLOOKUP($B167,'RoC5'!$A$1:$B$161,2,0),0)</f>
        <v>0</v>
      </c>
      <c r="N167" s="97">
        <f>IFERROR(VLOOKUP(M167,'RoC5'!$B$1:$C$161,2,0),0)</f>
        <v>0</v>
      </c>
      <c r="O167" s="137">
        <f>IFERROR(VLOOKUP($B167,'RoC6'!$A$1:$B$161,2,0),0)</f>
        <v>0</v>
      </c>
      <c r="P167" s="97">
        <f>IFERROR(VLOOKUP(O167,'RoC6'!$B$1:$C$161,2,0),0)</f>
        <v>0</v>
      </c>
      <c r="Q167" s="137">
        <f>IFERROR(VLOOKUP($B167,'RoC7'!$A$1:$B$161,2,0),0)</f>
        <v>0</v>
      </c>
      <c r="R167" s="97">
        <f>IFERROR(VLOOKUP(Q167,'RoC7'!$B$1:$C$161,2,0),0)</f>
        <v>0</v>
      </c>
      <c r="S167" s="137">
        <f>IFERROR(VLOOKUP($B167,'RoC8'!$A$1:$B$161,2,0),0)</f>
        <v>0</v>
      </c>
      <c r="T167" s="97">
        <f>IFERROR(VLOOKUP(S167,'RoC8'!$B$1:$C$161,2,0),0)</f>
        <v>0</v>
      </c>
      <c r="U167" s="137">
        <f>IFERROR(VLOOKUP($B167,'RoC9'!$A$1:$B$161,2,0),0)</f>
        <v>0</v>
      </c>
      <c r="V167" s="97">
        <f>IFERROR(VLOOKUP(U167,'RoC9'!$B$1:$C$161,2,0),0)</f>
        <v>0</v>
      </c>
      <c r="W167" s="137">
        <f>IFERROR(VLOOKUP($B167,'RoC10'!$A$1:$B$161,2,0),0)</f>
        <v>0</v>
      </c>
      <c r="X167" s="97">
        <f>IFERROR(VLOOKUP(W167,'RoC10'!$B$1:$C$161,2,0),0)</f>
        <v>0</v>
      </c>
      <c r="Y167" s="137">
        <f>IFERROR(VLOOKUP($B167,'RoC11'!$A$1:$B$161,2,0),0)</f>
        <v>0</v>
      </c>
      <c r="Z167" s="97">
        <f>IFERROR(VLOOKUP(Y167,'RoC11'!$B$1:$C$161,2,0),0)</f>
        <v>0</v>
      </c>
      <c r="AA167" s="97">
        <f>IFERROR(VLOOKUP(E167,'RoC1'!$B$1:$C$160,2,0),0)</f>
        <v>0</v>
      </c>
      <c r="AB167" s="97">
        <f>IFERROR(VLOOKUP(G167,'RoC2'!$B$1:$C$160,2,0),0)</f>
        <v>0</v>
      </c>
      <c r="AC167" s="97">
        <f>IFERROR(VLOOKUP(I167,'RoC3'!$B$1:$C$160,2,0),0)</f>
        <v>0</v>
      </c>
      <c r="AD167" s="97">
        <f>IFERROR(VLOOKUP(K167,'RoC4'!$B$1:$C$160,2,0),0)</f>
        <v>0</v>
      </c>
      <c r="AE167" s="97">
        <f>IFERROR(VLOOKUP(M167,'RoC5'!$B$1:$C$160,2,0),0)</f>
        <v>0</v>
      </c>
      <c r="AF167" s="97">
        <f>IFERROR(VLOOKUP(O167,'RoC6'!$B$1:$C$160,2,0),0)</f>
        <v>0</v>
      </c>
      <c r="AG167" s="97">
        <f>IFERROR(VLOOKUP(Q167,'RoC7'!$B$1:$C$160,2,0),0)</f>
        <v>0</v>
      </c>
      <c r="AH167" s="97">
        <f>IFERROR(VLOOKUP(S167,'RoC8'!$B$1:$C$160,2,0),0)</f>
        <v>0</v>
      </c>
      <c r="AI167" s="97">
        <f>IFERROR(VLOOKUP(U167,'RoC9'!$B$1:$C$160,2,0),0)</f>
        <v>0</v>
      </c>
      <c r="AJ167" s="97">
        <f>IFERROR(VLOOKUP(W167,'RoC10'!$B$1:$C$160,2,0),0)</f>
        <v>0</v>
      </c>
      <c r="AK167" s="97">
        <f>IFERROR(VLOOKUP(Y167,'RoC11'!$B$1:$C$160,2,0),0)</f>
        <v>0</v>
      </c>
    </row>
    <row r="168" ht="15.75" customHeight="1">
      <c r="A168" s="92">
        <v>167.0</v>
      </c>
      <c r="B168" s="124"/>
      <c r="C168" s="93">
        <f t="shared" si="4"/>
        <v>0</v>
      </c>
      <c r="D168" s="136"/>
      <c r="E168" s="137" t="str">
        <f>IFERROR(VLOOKUP($B168,'RoC1'!$A$1:$B$160,2,0),"0")</f>
        <v>0</v>
      </c>
      <c r="F168" s="97">
        <f>IFERROR(VLOOKUP(E168,'RoC1'!$B$1:$C$160,2,0),0)</f>
        <v>0</v>
      </c>
      <c r="G168" s="137" t="str">
        <f>IFERROR(VLOOKUP($B168,'RoC2'!$A$1:$B$161,2,0),"0")</f>
        <v>0</v>
      </c>
      <c r="H168" s="97">
        <f>IFERROR(VLOOKUP(G168,'RoC2'!$B$1:$C$161,2,0),0)</f>
        <v>0</v>
      </c>
      <c r="I168" s="137">
        <f>IFERROR(VLOOKUP($B168,'RoC3'!$A$1:$B$161,2,0),0)</f>
        <v>0</v>
      </c>
      <c r="J168" s="97">
        <f>IFERROR(VLOOKUP(I168,'RoC3'!$B$1:$C$161,2,0),0)</f>
        <v>0</v>
      </c>
      <c r="K168" s="137">
        <f>IFERROR(VLOOKUP($B168,'RoC4'!$A$1:$B$161,2,0),0)</f>
        <v>0</v>
      </c>
      <c r="L168" s="97">
        <f>IFERROR(VLOOKUP(K168,'RoC4'!$B$1:$C$161,2,0),0)</f>
        <v>0</v>
      </c>
      <c r="M168" s="137">
        <f>IFERROR(VLOOKUP($B168,'RoC5'!$A$1:$B$161,2,0),0)</f>
        <v>0</v>
      </c>
      <c r="N168" s="97">
        <f>IFERROR(VLOOKUP(M168,'RoC5'!$B$1:$C$161,2,0),0)</f>
        <v>0</v>
      </c>
      <c r="O168" s="137">
        <f>IFERROR(VLOOKUP($B168,'RoC6'!$A$1:$B$161,2,0),0)</f>
        <v>0</v>
      </c>
      <c r="P168" s="97">
        <f>IFERROR(VLOOKUP(O168,'RoC6'!$B$1:$C$161,2,0),0)</f>
        <v>0</v>
      </c>
      <c r="Q168" s="137">
        <f>IFERROR(VLOOKUP($B168,'RoC7'!$A$1:$B$161,2,0),0)</f>
        <v>0</v>
      </c>
      <c r="R168" s="97">
        <f>IFERROR(VLOOKUP(Q168,'RoC7'!$B$1:$C$161,2,0),0)</f>
        <v>0</v>
      </c>
      <c r="S168" s="137">
        <f>IFERROR(VLOOKUP($B168,'RoC8'!$A$1:$B$161,2,0),0)</f>
        <v>0</v>
      </c>
      <c r="T168" s="97">
        <f>IFERROR(VLOOKUP(S168,'RoC8'!$B$1:$C$161,2,0),0)</f>
        <v>0</v>
      </c>
      <c r="U168" s="137">
        <f>IFERROR(VLOOKUP($B168,'RoC9'!$A$1:$B$161,2,0),0)</f>
        <v>0</v>
      </c>
      <c r="V168" s="97">
        <f>IFERROR(VLOOKUP(U168,'RoC9'!$B$1:$C$161,2,0),0)</f>
        <v>0</v>
      </c>
      <c r="W168" s="137">
        <f>IFERROR(VLOOKUP($B168,'RoC10'!$A$1:$B$161,2,0),0)</f>
        <v>0</v>
      </c>
      <c r="X168" s="97">
        <f>IFERROR(VLOOKUP(W168,'RoC10'!$B$1:$C$161,2,0),0)</f>
        <v>0</v>
      </c>
      <c r="Y168" s="137">
        <f>IFERROR(VLOOKUP($B168,'RoC11'!$A$1:$B$161,2,0),0)</f>
        <v>0</v>
      </c>
      <c r="Z168" s="97">
        <f>IFERROR(VLOOKUP(Y168,'RoC11'!$B$1:$C$161,2,0),0)</f>
        <v>0</v>
      </c>
      <c r="AA168" s="97">
        <f>IFERROR(VLOOKUP(E168,'RoC1'!$B$1:$C$160,2,0),0)</f>
        <v>0</v>
      </c>
      <c r="AB168" s="97">
        <f>IFERROR(VLOOKUP(G168,'RoC2'!$B$1:$C$160,2,0),0)</f>
        <v>0</v>
      </c>
      <c r="AC168" s="97">
        <f>IFERROR(VLOOKUP(I168,'RoC3'!$B$1:$C$160,2,0),0)</f>
        <v>0</v>
      </c>
      <c r="AD168" s="97">
        <f>IFERROR(VLOOKUP(K168,'RoC4'!$B$1:$C$160,2,0),0)</f>
        <v>0</v>
      </c>
      <c r="AE168" s="97">
        <f>IFERROR(VLOOKUP(M168,'RoC5'!$B$1:$C$160,2,0),0)</f>
        <v>0</v>
      </c>
      <c r="AF168" s="97">
        <f>IFERROR(VLOOKUP(O168,'RoC6'!$B$1:$C$160,2,0),0)</f>
        <v>0</v>
      </c>
      <c r="AG168" s="97">
        <f>IFERROR(VLOOKUP(Q168,'RoC7'!$B$1:$C$160,2,0),0)</f>
        <v>0</v>
      </c>
      <c r="AH168" s="97">
        <f>IFERROR(VLOOKUP(S168,'RoC8'!$B$1:$C$160,2,0),0)</f>
        <v>0</v>
      </c>
      <c r="AI168" s="97">
        <f>IFERROR(VLOOKUP(U168,'RoC9'!$B$1:$C$160,2,0),0)</f>
        <v>0</v>
      </c>
      <c r="AJ168" s="97">
        <f>IFERROR(VLOOKUP(W168,'RoC10'!$B$1:$C$160,2,0),0)</f>
        <v>0</v>
      </c>
      <c r="AK168" s="97">
        <f>IFERROR(VLOOKUP(Y168,'RoC11'!$B$1:$C$160,2,0),0)</f>
        <v>0</v>
      </c>
    </row>
    <row r="169" ht="15.75" customHeight="1">
      <c r="A169" s="135">
        <v>168.0</v>
      </c>
      <c r="B169" s="124"/>
      <c r="C169" s="93">
        <f t="shared" si="4"/>
        <v>0</v>
      </c>
      <c r="D169" s="136"/>
      <c r="E169" s="137" t="str">
        <f>IFERROR(VLOOKUP($B169,'RoC1'!$A$1:$B$160,2,0),"0")</f>
        <v>0</v>
      </c>
      <c r="F169" s="97">
        <f>IFERROR(VLOOKUP(E169,'RoC1'!$B$1:$C$160,2,0),0)</f>
        <v>0</v>
      </c>
      <c r="G169" s="137" t="str">
        <f>IFERROR(VLOOKUP($B169,'RoC2'!$A$1:$B$161,2,0),"0")</f>
        <v>0</v>
      </c>
      <c r="H169" s="97">
        <f>IFERROR(VLOOKUP(G169,'RoC2'!$B$1:$C$161,2,0),0)</f>
        <v>0</v>
      </c>
      <c r="I169" s="137">
        <f>IFERROR(VLOOKUP($B169,'RoC3'!$A$1:$B$161,2,0),0)</f>
        <v>0</v>
      </c>
      <c r="J169" s="97">
        <f>IFERROR(VLOOKUP(I169,'RoC3'!$B$1:$C$161,2,0),0)</f>
        <v>0</v>
      </c>
      <c r="K169" s="137">
        <f>IFERROR(VLOOKUP($B169,'RoC4'!$A$1:$B$161,2,0),0)</f>
        <v>0</v>
      </c>
      <c r="L169" s="97">
        <f>IFERROR(VLOOKUP(K169,'RoC4'!$B$1:$C$161,2,0),0)</f>
        <v>0</v>
      </c>
      <c r="M169" s="137">
        <f>IFERROR(VLOOKUP($B169,'RoC5'!$A$1:$B$161,2,0),0)</f>
        <v>0</v>
      </c>
      <c r="N169" s="97">
        <f>IFERROR(VLOOKUP(M169,'RoC5'!$B$1:$C$161,2,0),0)</f>
        <v>0</v>
      </c>
      <c r="O169" s="137">
        <f>IFERROR(VLOOKUP($B169,'RoC6'!$A$1:$B$161,2,0),0)</f>
        <v>0</v>
      </c>
      <c r="P169" s="97">
        <f>IFERROR(VLOOKUP(O169,'RoC6'!$B$1:$C$161,2,0),0)</f>
        <v>0</v>
      </c>
      <c r="Q169" s="137">
        <f>IFERROR(VLOOKUP($B169,'RoC7'!$A$1:$B$161,2,0),0)</f>
        <v>0</v>
      </c>
      <c r="R169" s="97">
        <f>IFERROR(VLOOKUP(Q169,'RoC7'!$B$1:$C$161,2,0),0)</f>
        <v>0</v>
      </c>
      <c r="S169" s="137">
        <f>IFERROR(VLOOKUP($B169,'RoC8'!$A$1:$B$161,2,0),0)</f>
        <v>0</v>
      </c>
      <c r="T169" s="97">
        <f>IFERROR(VLOOKUP(S169,'RoC8'!$B$1:$C$161,2,0),0)</f>
        <v>0</v>
      </c>
      <c r="U169" s="137">
        <f>IFERROR(VLOOKUP($B169,'RoC9'!$A$1:$B$161,2,0),0)</f>
        <v>0</v>
      </c>
      <c r="V169" s="97">
        <f>IFERROR(VLOOKUP(U169,'RoC9'!$B$1:$C$161,2,0),0)</f>
        <v>0</v>
      </c>
      <c r="W169" s="137">
        <f>IFERROR(VLOOKUP($B169,'RoC10'!$A$1:$B$161,2,0),0)</f>
        <v>0</v>
      </c>
      <c r="X169" s="97">
        <f>IFERROR(VLOOKUP(W169,'RoC10'!$B$1:$C$161,2,0),0)</f>
        <v>0</v>
      </c>
      <c r="Y169" s="137">
        <f>IFERROR(VLOOKUP($B169,'RoC11'!$A$1:$B$161,2,0),0)</f>
        <v>0</v>
      </c>
      <c r="Z169" s="97">
        <f>IFERROR(VLOOKUP(Y169,'RoC11'!$B$1:$C$161,2,0),0)</f>
        <v>0</v>
      </c>
      <c r="AA169" s="97">
        <f>IFERROR(VLOOKUP(E169,'RoC1'!$B$1:$C$160,2,0),0)</f>
        <v>0</v>
      </c>
      <c r="AB169" s="97">
        <f>IFERROR(VLOOKUP(G169,'RoC2'!$B$1:$C$160,2,0),0)</f>
        <v>0</v>
      </c>
      <c r="AC169" s="97">
        <f>IFERROR(VLOOKUP(I169,'RoC3'!$B$1:$C$160,2,0),0)</f>
        <v>0</v>
      </c>
      <c r="AD169" s="97">
        <f>IFERROR(VLOOKUP(K169,'RoC4'!$B$1:$C$160,2,0),0)</f>
        <v>0</v>
      </c>
      <c r="AE169" s="97">
        <f>IFERROR(VLOOKUP(M169,'RoC5'!$B$1:$C$160,2,0),0)</f>
        <v>0</v>
      </c>
      <c r="AF169" s="97">
        <f>IFERROR(VLOOKUP(O169,'RoC6'!$B$1:$C$160,2,0),0)</f>
        <v>0</v>
      </c>
      <c r="AG169" s="97">
        <f>IFERROR(VLOOKUP(Q169,'RoC7'!$B$1:$C$160,2,0),0)</f>
        <v>0</v>
      </c>
      <c r="AH169" s="97">
        <f>IFERROR(VLOOKUP(S169,'RoC8'!$B$1:$C$160,2,0),0)</f>
        <v>0</v>
      </c>
      <c r="AI169" s="97">
        <f>IFERROR(VLOOKUP(U169,'RoC9'!$B$1:$C$160,2,0),0)</f>
        <v>0</v>
      </c>
      <c r="AJ169" s="97">
        <f>IFERROR(VLOOKUP(W169,'RoC10'!$B$1:$C$160,2,0),0)</f>
        <v>0</v>
      </c>
      <c r="AK169" s="97">
        <f>IFERROR(VLOOKUP(Y169,'RoC11'!$B$1:$C$160,2,0),0)</f>
        <v>0</v>
      </c>
    </row>
    <row r="170" ht="15.75" customHeight="1">
      <c r="A170" s="92">
        <v>169.0</v>
      </c>
      <c r="B170" s="124"/>
      <c r="C170" s="93">
        <f t="shared" si="4"/>
        <v>0</v>
      </c>
      <c r="D170" s="136"/>
      <c r="E170" s="137" t="str">
        <f>IFERROR(VLOOKUP($B170,'RoC1'!$A$1:$B$160,2,0),"0")</f>
        <v>0</v>
      </c>
      <c r="F170" s="97">
        <f>IFERROR(VLOOKUP(E170,'RoC1'!$B$1:$C$160,2,0),0)</f>
        <v>0</v>
      </c>
      <c r="G170" s="137" t="str">
        <f>IFERROR(VLOOKUP($B170,'RoC2'!$A$1:$B$161,2,0),"0")</f>
        <v>0</v>
      </c>
      <c r="H170" s="97">
        <f>IFERROR(VLOOKUP(G170,'RoC2'!$B$1:$C$161,2,0),0)</f>
        <v>0</v>
      </c>
      <c r="I170" s="137">
        <f>IFERROR(VLOOKUP($B170,'RoC3'!$A$1:$B$161,2,0),0)</f>
        <v>0</v>
      </c>
      <c r="J170" s="97">
        <f>IFERROR(VLOOKUP(I170,'RoC3'!$B$1:$C$161,2,0),0)</f>
        <v>0</v>
      </c>
      <c r="K170" s="137">
        <f>IFERROR(VLOOKUP($B170,'RoC4'!$A$1:$B$161,2,0),0)</f>
        <v>0</v>
      </c>
      <c r="L170" s="97">
        <f>IFERROR(VLOOKUP(K170,'RoC4'!$B$1:$C$161,2,0),0)</f>
        <v>0</v>
      </c>
      <c r="M170" s="137">
        <f>IFERROR(VLOOKUP($B170,'RoC5'!$A$1:$B$161,2,0),0)</f>
        <v>0</v>
      </c>
      <c r="N170" s="97">
        <f>IFERROR(VLOOKUP(M170,'RoC5'!$B$1:$C$161,2,0),0)</f>
        <v>0</v>
      </c>
      <c r="O170" s="137">
        <f>IFERROR(VLOOKUP($B170,'RoC6'!$A$1:$B$161,2,0),0)</f>
        <v>0</v>
      </c>
      <c r="P170" s="97">
        <f>IFERROR(VLOOKUP(O170,'RoC6'!$B$1:$C$161,2,0),0)</f>
        <v>0</v>
      </c>
      <c r="Q170" s="137">
        <f>IFERROR(VLOOKUP($B170,'RoC7'!$A$1:$B$161,2,0),0)</f>
        <v>0</v>
      </c>
      <c r="R170" s="97">
        <f>IFERROR(VLOOKUP(Q170,'RoC7'!$B$1:$C$161,2,0),0)</f>
        <v>0</v>
      </c>
      <c r="S170" s="137">
        <f>IFERROR(VLOOKUP($B170,'RoC8'!$A$1:$B$161,2,0),0)</f>
        <v>0</v>
      </c>
      <c r="T170" s="97">
        <f>IFERROR(VLOOKUP(S170,'RoC8'!$B$1:$C$161,2,0),0)</f>
        <v>0</v>
      </c>
      <c r="U170" s="137">
        <f>IFERROR(VLOOKUP($B170,'RoC9'!$A$1:$B$161,2,0),0)</f>
        <v>0</v>
      </c>
      <c r="V170" s="97">
        <f>IFERROR(VLOOKUP(U170,'RoC9'!$B$1:$C$161,2,0),0)</f>
        <v>0</v>
      </c>
      <c r="W170" s="137">
        <f>IFERROR(VLOOKUP($B170,'RoC10'!$A$1:$B$161,2,0),0)</f>
        <v>0</v>
      </c>
      <c r="X170" s="97">
        <f>IFERROR(VLOOKUP(W170,'RoC10'!$B$1:$C$161,2,0),0)</f>
        <v>0</v>
      </c>
      <c r="Y170" s="137">
        <f>IFERROR(VLOOKUP($B170,'RoC11'!$A$1:$B$161,2,0),0)</f>
        <v>0</v>
      </c>
      <c r="Z170" s="97">
        <f>IFERROR(VLOOKUP(Y170,'RoC11'!$B$1:$C$161,2,0),0)</f>
        <v>0</v>
      </c>
      <c r="AA170" s="97">
        <f>IFERROR(VLOOKUP(E170,'RoC1'!$B$1:$C$160,2,0),0)</f>
        <v>0</v>
      </c>
      <c r="AB170" s="97">
        <f>IFERROR(VLOOKUP(G170,'RoC2'!$B$1:$C$160,2,0),0)</f>
        <v>0</v>
      </c>
      <c r="AC170" s="97">
        <f>IFERROR(VLOOKUP(I170,'RoC3'!$B$1:$C$160,2,0),0)</f>
        <v>0</v>
      </c>
      <c r="AD170" s="97">
        <f>IFERROR(VLOOKUP(K170,'RoC4'!$B$1:$C$160,2,0),0)</f>
        <v>0</v>
      </c>
      <c r="AE170" s="97">
        <f>IFERROR(VLOOKUP(M170,'RoC5'!$B$1:$C$160,2,0),0)</f>
        <v>0</v>
      </c>
      <c r="AF170" s="97">
        <f>IFERROR(VLOOKUP(O170,'RoC6'!$B$1:$C$160,2,0),0)</f>
        <v>0</v>
      </c>
      <c r="AG170" s="97">
        <f>IFERROR(VLOOKUP(Q170,'RoC7'!$B$1:$C$160,2,0),0)</f>
        <v>0</v>
      </c>
      <c r="AH170" s="97">
        <f>IFERROR(VLOOKUP(S170,'RoC8'!$B$1:$C$160,2,0),0)</f>
        <v>0</v>
      </c>
      <c r="AI170" s="97">
        <f>IFERROR(VLOOKUP(U170,'RoC9'!$B$1:$C$160,2,0),0)</f>
        <v>0</v>
      </c>
      <c r="AJ170" s="97">
        <f>IFERROR(VLOOKUP(W170,'RoC10'!$B$1:$C$160,2,0),0)</f>
        <v>0</v>
      </c>
      <c r="AK170" s="97">
        <f>IFERROR(VLOOKUP(Y170,'RoC11'!$B$1:$C$160,2,0),0)</f>
        <v>0</v>
      </c>
    </row>
    <row r="171" ht="15.75" customHeight="1">
      <c r="A171" s="135">
        <v>170.0</v>
      </c>
      <c r="B171" s="124"/>
      <c r="C171" s="93">
        <f t="shared" si="4"/>
        <v>0</v>
      </c>
      <c r="D171" s="136"/>
      <c r="E171" s="137" t="str">
        <f>IFERROR(VLOOKUP($B171,'RoC1'!$A$1:$B$160,2,0),"0")</f>
        <v>0</v>
      </c>
      <c r="F171" s="97">
        <f>IFERROR(VLOOKUP(E171,'RoC1'!$B$1:$C$160,2,0),0)</f>
        <v>0</v>
      </c>
      <c r="G171" s="137" t="str">
        <f>IFERROR(VLOOKUP($B171,'RoC2'!$A$1:$B$161,2,0),"0")</f>
        <v>0</v>
      </c>
      <c r="H171" s="97">
        <f>IFERROR(VLOOKUP(G171,'RoC2'!$B$1:$C$161,2,0),0)</f>
        <v>0</v>
      </c>
      <c r="I171" s="137">
        <f>IFERROR(VLOOKUP($B171,'RoC3'!$A$1:$B$161,2,0),0)</f>
        <v>0</v>
      </c>
      <c r="J171" s="97">
        <f>IFERROR(VLOOKUP(I171,'RoC3'!$B$1:$C$161,2,0),0)</f>
        <v>0</v>
      </c>
      <c r="K171" s="137">
        <f>IFERROR(VLOOKUP($B171,'RoC4'!$A$1:$B$161,2,0),0)</f>
        <v>0</v>
      </c>
      <c r="L171" s="97">
        <f>IFERROR(VLOOKUP(K171,'RoC4'!$B$1:$C$161,2,0),0)</f>
        <v>0</v>
      </c>
      <c r="M171" s="137">
        <f>IFERROR(VLOOKUP($B171,'RoC5'!$A$1:$B$161,2,0),0)</f>
        <v>0</v>
      </c>
      <c r="N171" s="97">
        <f>IFERROR(VLOOKUP(M171,'RoC5'!$B$1:$C$161,2,0),0)</f>
        <v>0</v>
      </c>
      <c r="O171" s="137">
        <f>IFERROR(VLOOKUP($B171,'RoC6'!$A$1:$B$161,2,0),0)</f>
        <v>0</v>
      </c>
      <c r="P171" s="97">
        <f>IFERROR(VLOOKUP(O171,'RoC6'!$B$1:$C$161,2,0),0)</f>
        <v>0</v>
      </c>
      <c r="Q171" s="137">
        <f>IFERROR(VLOOKUP($B171,'RoC7'!$A$1:$B$161,2,0),0)</f>
        <v>0</v>
      </c>
      <c r="R171" s="97">
        <f>IFERROR(VLOOKUP(Q171,'RoC7'!$B$1:$C$161,2,0),0)</f>
        <v>0</v>
      </c>
      <c r="S171" s="137">
        <f>IFERROR(VLOOKUP($B171,'RoC8'!$A$1:$B$161,2,0),0)</f>
        <v>0</v>
      </c>
      <c r="T171" s="97">
        <f>IFERROR(VLOOKUP(S171,'RoC8'!$B$1:$C$161,2,0),0)</f>
        <v>0</v>
      </c>
      <c r="U171" s="137">
        <f>IFERROR(VLOOKUP($B171,'RoC9'!$A$1:$B$161,2,0),0)</f>
        <v>0</v>
      </c>
      <c r="V171" s="97">
        <f>IFERROR(VLOOKUP(U171,'RoC9'!$B$1:$C$161,2,0),0)</f>
        <v>0</v>
      </c>
      <c r="W171" s="137">
        <f>IFERROR(VLOOKUP($B171,'RoC10'!$A$1:$B$161,2,0),0)</f>
        <v>0</v>
      </c>
      <c r="X171" s="97">
        <f>IFERROR(VLOOKUP(W171,'RoC10'!$B$1:$C$161,2,0),0)</f>
        <v>0</v>
      </c>
      <c r="Y171" s="137">
        <f>IFERROR(VLOOKUP($B171,'RoC11'!$A$1:$B$161,2,0),0)</f>
        <v>0</v>
      </c>
      <c r="Z171" s="97">
        <f>IFERROR(VLOOKUP(Y171,'RoC11'!$B$1:$C$161,2,0),0)</f>
        <v>0</v>
      </c>
      <c r="AA171" s="97">
        <f>IFERROR(VLOOKUP(E171,'RoC1'!$B$1:$C$160,2,0),0)</f>
        <v>0</v>
      </c>
      <c r="AB171" s="97">
        <f>IFERROR(VLOOKUP(G171,'RoC2'!$B$1:$C$160,2,0),0)</f>
        <v>0</v>
      </c>
      <c r="AC171" s="97">
        <f>IFERROR(VLOOKUP(I171,'RoC3'!$B$1:$C$160,2,0),0)</f>
        <v>0</v>
      </c>
      <c r="AD171" s="97">
        <f>IFERROR(VLOOKUP(K171,'RoC4'!$B$1:$C$160,2,0),0)</f>
        <v>0</v>
      </c>
      <c r="AE171" s="97">
        <f>IFERROR(VLOOKUP(M171,'RoC5'!$B$1:$C$160,2,0),0)</f>
        <v>0</v>
      </c>
      <c r="AF171" s="97">
        <f>IFERROR(VLOOKUP(O171,'RoC6'!$B$1:$C$160,2,0),0)</f>
        <v>0</v>
      </c>
      <c r="AG171" s="97">
        <f>IFERROR(VLOOKUP(Q171,'RoC7'!$B$1:$C$160,2,0),0)</f>
        <v>0</v>
      </c>
      <c r="AH171" s="97">
        <f>IFERROR(VLOOKUP(S171,'RoC8'!$B$1:$C$160,2,0),0)</f>
        <v>0</v>
      </c>
      <c r="AI171" s="97">
        <f>IFERROR(VLOOKUP(U171,'RoC9'!$B$1:$C$160,2,0),0)</f>
        <v>0</v>
      </c>
      <c r="AJ171" s="97">
        <f>IFERROR(VLOOKUP(W171,'RoC10'!$B$1:$C$160,2,0),0)</f>
        <v>0</v>
      </c>
      <c r="AK171" s="97">
        <f>IFERROR(VLOOKUP(Y171,'RoC11'!$B$1:$C$160,2,0),0)</f>
        <v>0</v>
      </c>
    </row>
    <row r="172" ht="15.75" customHeight="1">
      <c r="A172" s="92">
        <v>171.0</v>
      </c>
      <c r="B172" s="124"/>
      <c r="C172" s="93">
        <f t="shared" si="4"/>
        <v>0</v>
      </c>
      <c r="D172" s="136"/>
      <c r="E172" s="137" t="str">
        <f>IFERROR(VLOOKUP($B172,'RoC1'!$A$1:$B$160,2,0),"0")</f>
        <v>0</v>
      </c>
      <c r="F172" s="97">
        <f>IFERROR(VLOOKUP(E172,'RoC1'!$B$1:$C$160,2,0),0)</f>
        <v>0</v>
      </c>
      <c r="G172" s="137" t="str">
        <f>IFERROR(VLOOKUP($B172,'RoC2'!$A$1:$B$161,2,0),"0")</f>
        <v>0</v>
      </c>
      <c r="H172" s="97">
        <f>IFERROR(VLOOKUP(G172,'RoC2'!$B$1:$C$161,2,0),0)</f>
        <v>0</v>
      </c>
      <c r="I172" s="137">
        <f>IFERROR(VLOOKUP($B172,'RoC3'!$A$1:$B$161,2,0),0)</f>
        <v>0</v>
      </c>
      <c r="J172" s="97">
        <f>IFERROR(VLOOKUP(I172,'RoC3'!$B$1:$C$161,2,0),0)</f>
        <v>0</v>
      </c>
      <c r="K172" s="137">
        <f>IFERROR(VLOOKUP($B172,'RoC4'!$A$1:$B$161,2,0),0)</f>
        <v>0</v>
      </c>
      <c r="L172" s="97">
        <f>IFERROR(VLOOKUP(K172,'RoC4'!$B$1:$C$161,2,0),0)</f>
        <v>0</v>
      </c>
      <c r="M172" s="137">
        <f>IFERROR(VLOOKUP($B172,'RoC5'!$A$1:$B$161,2,0),0)</f>
        <v>0</v>
      </c>
      <c r="N172" s="97">
        <f>IFERROR(VLOOKUP(M172,'RoC5'!$B$1:$C$161,2,0),0)</f>
        <v>0</v>
      </c>
      <c r="O172" s="137">
        <f>IFERROR(VLOOKUP($B172,'RoC6'!$A$1:$B$161,2,0),0)</f>
        <v>0</v>
      </c>
      <c r="P172" s="97">
        <f>IFERROR(VLOOKUP(O172,'RoC6'!$B$1:$C$161,2,0),0)</f>
        <v>0</v>
      </c>
      <c r="Q172" s="137">
        <f>IFERROR(VLOOKUP($B172,'RoC7'!$A$1:$B$161,2,0),0)</f>
        <v>0</v>
      </c>
      <c r="R172" s="97">
        <f>IFERROR(VLOOKUP(Q172,'RoC7'!$B$1:$C$161,2,0),0)</f>
        <v>0</v>
      </c>
      <c r="S172" s="137">
        <f>IFERROR(VLOOKUP($B172,'RoC8'!$A$1:$B$161,2,0),0)</f>
        <v>0</v>
      </c>
      <c r="T172" s="97">
        <f>IFERROR(VLOOKUP(S172,'RoC8'!$B$1:$C$161,2,0),0)</f>
        <v>0</v>
      </c>
      <c r="U172" s="137">
        <f>IFERROR(VLOOKUP($B172,'RoC9'!$A$1:$B$161,2,0),0)</f>
        <v>0</v>
      </c>
      <c r="V172" s="97">
        <f>IFERROR(VLOOKUP(U172,'RoC9'!$B$1:$C$161,2,0),0)</f>
        <v>0</v>
      </c>
      <c r="W172" s="137">
        <f>IFERROR(VLOOKUP($B172,'RoC10'!$A$1:$B$161,2,0),0)</f>
        <v>0</v>
      </c>
      <c r="X172" s="97">
        <f>IFERROR(VLOOKUP(W172,'RoC10'!$B$1:$C$161,2,0),0)</f>
        <v>0</v>
      </c>
      <c r="Y172" s="137">
        <f>IFERROR(VLOOKUP($B172,'RoC11'!$A$1:$B$161,2,0),0)</f>
        <v>0</v>
      </c>
      <c r="Z172" s="97">
        <f>IFERROR(VLOOKUP(Y172,'RoC11'!$B$1:$C$161,2,0),0)</f>
        <v>0</v>
      </c>
      <c r="AA172" s="97">
        <f>IFERROR(VLOOKUP(E172,'RoC1'!$B$1:$C$160,2,0),0)</f>
        <v>0</v>
      </c>
      <c r="AB172" s="97">
        <f>IFERROR(VLOOKUP(G172,'RoC2'!$B$1:$C$160,2,0),0)</f>
        <v>0</v>
      </c>
      <c r="AC172" s="97">
        <f>IFERROR(VLOOKUP(I172,'RoC3'!$B$1:$C$160,2,0),0)</f>
        <v>0</v>
      </c>
      <c r="AD172" s="97">
        <f>IFERROR(VLOOKUP(K172,'RoC4'!$B$1:$C$160,2,0),0)</f>
        <v>0</v>
      </c>
      <c r="AE172" s="97">
        <f>IFERROR(VLOOKUP(M172,'RoC5'!$B$1:$C$160,2,0),0)</f>
        <v>0</v>
      </c>
      <c r="AF172" s="97">
        <f>IFERROR(VLOOKUP(O172,'RoC6'!$B$1:$C$160,2,0),0)</f>
        <v>0</v>
      </c>
      <c r="AG172" s="97">
        <f>IFERROR(VLOOKUP(Q172,'RoC7'!$B$1:$C$160,2,0),0)</f>
        <v>0</v>
      </c>
      <c r="AH172" s="97">
        <f>IFERROR(VLOOKUP(S172,'RoC8'!$B$1:$C$160,2,0),0)</f>
        <v>0</v>
      </c>
      <c r="AI172" s="97">
        <f>IFERROR(VLOOKUP(U172,'RoC9'!$B$1:$C$160,2,0),0)</f>
        <v>0</v>
      </c>
      <c r="AJ172" s="97">
        <f>IFERROR(VLOOKUP(W172,'RoC10'!$B$1:$C$160,2,0),0)</f>
        <v>0</v>
      </c>
      <c r="AK172" s="97">
        <f>IFERROR(VLOOKUP(Y172,'RoC11'!$B$1:$C$160,2,0),0)</f>
        <v>0</v>
      </c>
    </row>
    <row r="173" ht="15.75" customHeight="1">
      <c r="A173" s="135">
        <v>172.0</v>
      </c>
      <c r="B173" s="124"/>
      <c r="C173" s="93">
        <f t="shared" si="4"/>
        <v>0</v>
      </c>
      <c r="D173" s="136"/>
      <c r="E173" s="137" t="str">
        <f>IFERROR(VLOOKUP($B173,'RoC1'!$A$1:$B$160,2,0),"0")</f>
        <v>0</v>
      </c>
      <c r="F173" s="97">
        <f>IFERROR(VLOOKUP(E173,'RoC1'!$B$1:$C$160,2,0),0)</f>
        <v>0</v>
      </c>
      <c r="G173" s="137" t="str">
        <f>IFERROR(VLOOKUP($B173,'RoC2'!$A$1:$B$161,2,0),"0")</f>
        <v>0</v>
      </c>
      <c r="H173" s="97">
        <f>IFERROR(VLOOKUP(G173,'RoC2'!$B$1:$C$161,2,0),0)</f>
        <v>0</v>
      </c>
      <c r="I173" s="137">
        <f>IFERROR(VLOOKUP($B173,'RoC3'!$A$1:$B$161,2,0),0)</f>
        <v>0</v>
      </c>
      <c r="J173" s="97">
        <f>IFERROR(VLOOKUP(I173,'RoC3'!$B$1:$C$161,2,0),0)</f>
        <v>0</v>
      </c>
      <c r="K173" s="137">
        <f>IFERROR(VLOOKUP($B173,'RoC4'!$A$1:$B$161,2,0),0)</f>
        <v>0</v>
      </c>
      <c r="L173" s="97">
        <f>IFERROR(VLOOKUP(K173,'RoC4'!$B$1:$C$161,2,0),0)</f>
        <v>0</v>
      </c>
      <c r="M173" s="137">
        <f>IFERROR(VLOOKUP($B173,'RoC5'!$A$1:$B$161,2,0),0)</f>
        <v>0</v>
      </c>
      <c r="N173" s="97">
        <f>IFERROR(VLOOKUP(M173,'RoC5'!$B$1:$C$161,2,0),0)</f>
        <v>0</v>
      </c>
      <c r="O173" s="137">
        <f>IFERROR(VLOOKUP($B173,'RoC6'!$A$1:$B$161,2,0),0)</f>
        <v>0</v>
      </c>
      <c r="P173" s="97">
        <f>IFERROR(VLOOKUP(O173,'RoC6'!$B$1:$C$161,2,0),0)</f>
        <v>0</v>
      </c>
      <c r="Q173" s="137">
        <f>IFERROR(VLOOKUP($B173,'RoC7'!$A$1:$B$161,2,0),0)</f>
        <v>0</v>
      </c>
      <c r="R173" s="97">
        <f>IFERROR(VLOOKUP(Q173,'RoC7'!$B$1:$C$161,2,0),0)</f>
        <v>0</v>
      </c>
      <c r="S173" s="137">
        <f>IFERROR(VLOOKUP($B173,'RoC8'!$A$1:$B$161,2,0),0)</f>
        <v>0</v>
      </c>
      <c r="T173" s="97">
        <f>IFERROR(VLOOKUP(S173,'RoC8'!$B$1:$C$161,2,0),0)</f>
        <v>0</v>
      </c>
      <c r="U173" s="137">
        <f>IFERROR(VLOOKUP($B173,'RoC9'!$A$1:$B$161,2,0),0)</f>
        <v>0</v>
      </c>
      <c r="V173" s="97">
        <f>IFERROR(VLOOKUP(U173,'RoC9'!$B$1:$C$161,2,0),0)</f>
        <v>0</v>
      </c>
      <c r="W173" s="137">
        <f>IFERROR(VLOOKUP($B173,'RoC10'!$A$1:$B$161,2,0),0)</f>
        <v>0</v>
      </c>
      <c r="X173" s="97">
        <f>IFERROR(VLOOKUP(W173,'RoC10'!$B$1:$C$161,2,0),0)</f>
        <v>0</v>
      </c>
      <c r="Y173" s="137">
        <f>IFERROR(VLOOKUP($B173,'RoC11'!$A$1:$B$161,2,0),0)</f>
        <v>0</v>
      </c>
      <c r="Z173" s="97">
        <f>IFERROR(VLOOKUP(Y173,'RoC11'!$B$1:$C$161,2,0),0)</f>
        <v>0</v>
      </c>
      <c r="AA173" s="97">
        <f>IFERROR(VLOOKUP(E173,'RoC1'!$B$1:$C$160,2,0),0)</f>
        <v>0</v>
      </c>
      <c r="AB173" s="97">
        <f>IFERROR(VLOOKUP(G173,'RoC2'!$B$1:$C$160,2,0),0)</f>
        <v>0</v>
      </c>
      <c r="AC173" s="97">
        <f>IFERROR(VLOOKUP(I173,'RoC3'!$B$1:$C$160,2,0),0)</f>
        <v>0</v>
      </c>
      <c r="AD173" s="97">
        <f>IFERROR(VLOOKUP(K173,'RoC4'!$B$1:$C$160,2,0),0)</f>
        <v>0</v>
      </c>
      <c r="AE173" s="97">
        <f>IFERROR(VLOOKUP(M173,'RoC5'!$B$1:$C$160,2,0),0)</f>
        <v>0</v>
      </c>
      <c r="AF173" s="97">
        <f>IFERROR(VLOOKUP(O173,'RoC6'!$B$1:$C$160,2,0),0)</f>
        <v>0</v>
      </c>
      <c r="AG173" s="97">
        <f>IFERROR(VLOOKUP(Q173,'RoC7'!$B$1:$C$160,2,0),0)</f>
        <v>0</v>
      </c>
      <c r="AH173" s="97">
        <f>IFERROR(VLOOKUP(S173,'RoC8'!$B$1:$C$160,2,0),0)</f>
        <v>0</v>
      </c>
      <c r="AI173" s="97">
        <f>IFERROR(VLOOKUP(U173,'RoC9'!$B$1:$C$160,2,0),0)</f>
        <v>0</v>
      </c>
      <c r="AJ173" s="97">
        <f>IFERROR(VLOOKUP(W173,'RoC10'!$B$1:$C$160,2,0),0)</f>
        <v>0</v>
      </c>
      <c r="AK173" s="97">
        <f>IFERROR(VLOOKUP(Y173,'RoC11'!$B$1:$C$160,2,0),0)</f>
        <v>0</v>
      </c>
    </row>
    <row r="174" ht="15.75" customHeight="1">
      <c r="A174" s="92">
        <v>173.0</v>
      </c>
      <c r="B174" s="124"/>
      <c r="C174" s="93">
        <f t="shared" si="4"/>
        <v>0</v>
      </c>
      <c r="D174" s="136"/>
      <c r="E174" s="137" t="str">
        <f>IFERROR(VLOOKUP($B174,'RoC1'!$A$1:$B$160,2,0),"0")</f>
        <v>0</v>
      </c>
      <c r="F174" s="97">
        <f>IFERROR(VLOOKUP(E174,'RoC1'!$B$1:$C$160,2,0),0)</f>
        <v>0</v>
      </c>
      <c r="G174" s="137" t="str">
        <f>IFERROR(VLOOKUP($B174,'RoC2'!$A$1:$B$161,2,0),"0")</f>
        <v>0</v>
      </c>
      <c r="H174" s="97">
        <f>IFERROR(VLOOKUP(G174,'RoC2'!$B$1:$C$161,2,0),0)</f>
        <v>0</v>
      </c>
      <c r="I174" s="137">
        <f>IFERROR(VLOOKUP($B174,'RoC3'!$A$1:$B$161,2,0),0)</f>
        <v>0</v>
      </c>
      <c r="J174" s="97">
        <f>IFERROR(VLOOKUP(I174,'RoC3'!$B$1:$C$161,2,0),0)</f>
        <v>0</v>
      </c>
      <c r="K174" s="137">
        <f>IFERROR(VLOOKUP($B174,'RoC4'!$A$1:$B$161,2,0),0)</f>
        <v>0</v>
      </c>
      <c r="L174" s="97">
        <f>IFERROR(VLOOKUP(K174,'RoC4'!$B$1:$C$161,2,0),0)</f>
        <v>0</v>
      </c>
      <c r="M174" s="137">
        <f>IFERROR(VLOOKUP($B174,'RoC5'!$A$1:$B$161,2,0),0)</f>
        <v>0</v>
      </c>
      <c r="N174" s="97">
        <f>IFERROR(VLOOKUP(M174,'RoC5'!$B$1:$C$161,2,0),0)</f>
        <v>0</v>
      </c>
      <c r="O174" s="137">
        <f>IFERROR(VLOOKUP($B174,'RoC6'!$A$1:$B$161,2,0),0)</f>
        <v>0</v>
      </c>
      <c r="P174" s="97">
        <f>IFERROR(VLOOKUP(O174,'RoC6'!$B$1:$C$161,2,0),0)</f>
        <v>0</v>
      </c>
      <c r="Q174" s="137">
        <f>IFERROR(VLOOKUP($B174,'RoC7'!$A$1:$B$161,2,0),0)</f>
        <v>0</v>
      </c>
      <c r="R174" s="97">
        <f>IFERROR(VLOOKUP(Q174,'RoC7'!$B$1:$C$161,2,0),0)</f>
        <v>0</v>
      </c>
      <c r="S174" s="137">
        <f>IFERROR(VLOOKUP($B174,'RoC8'!$A$1:$B$161,2,0),0)</f>
        <v>0</v>
      </c>
      <c r="T174" s="97">
        <f>IFERROR(VLOOKUP(S174,'RoC8'!$B$1:$C$161,2,0),0)</f>
        <v>0</v>
      </c>
      <c r="U174" s="137">
        <f>IFERROR(VLOOKUP($B174,'RoC9'!$A$1:$B$161,2,0),0)</f>
        <v>0</v>
      </c>
      <c r="V174" s="97">
        <f>IFERROR(VLOOKUP(U174,'RoC9'!$B$1:$C$161,2,0),0)</f>
        <v>0</v>
      </c>
      <c r="W174" s="137">
        <f>IFERROR(VLOOKUP($B174,'RoC10'!$A$1:$B$161,2,0),0)</f>
        <v>0</v>
      </c>
      <c r="X174" s="97">
        <f>IFERROR(VLOOKUP(W174,'RoC10'!$B$1:$C$161,2,0),0)</f>
        <v>0</v>
      </c>
      <c r="Y174" s="137">
        <f>IFERROR(VLOOKUP($B174,'RoC11'!$A$1:$B$161,2,0),0)</f>
        <v>0</v>
      </c>
      <c r="Z174" s="97">
        <f>IFERROR(VLOOKUP(Y174,'RoC11'!$B$1:$C$161,2,0),0)</f>
        <v>0</v>
      </c>
      <c r="AA174" s="97">
        <f>IFERROR(VLOOKUP(E174,'RoC1'!$B$1:$C$160,2,0),0)</f>
        <v>0</v>
      </c>
      <c r="AB174" s="97">
        <f>IFERROR(VLOOKUP(G174,'RoC2'!$B$1:$C$160,2,0),0)</f>
        <v>0</v>
      </c>
      <c r="AC174" s="97">
        <f>IFERROR(VLOOKUP(I174,'RoC3'!$B$1:$C$160,2,0),0)</f>
        <v>0</v>
      </c>
      <c r="AD174" s="97">
        <f>IFERROR(VLOOKUP(K174,'RoC4'!$B$1:$C$160,2,0),0)</f>
        <v>0</v>
      </c>
      <c r="AE174" s="97">
        <f>IFERROR(VLOOKUP(M174,'RoC5'!$B$1:$C$160,2,0),0)</f>
        <v>0</v>
      </c>
      <c r="AF174" s="97">
        <f>IFERROR(VLOOKUP(O174,'RoC6'!$B$1:$C$160,2,0),0)</f>
        <v>0</v>
      </c>
      <c r="AG174" s="97">
        <f>IFERROR(VLOOKUP(Q174,'RoC7'!$B$1:$C$160,2,0),0)</f>
        <v>0</v>
      </c>
      <c r="AH174" s="97">
        <f>IFERROR(VLOOKUP(S174,'RoC8'!$B$1:$C$160,2,0),0)</f>
        <v>0</v>
      </c>
      <c r="AI174" s="97">
        <f>IFERROR(VLOOKUP(U174,'RoC9'!$B$1:$C$160,2,0),0)</f>
        <v>0</v>
      </c>
      <c r="AJ174" s="97">
        <f>IFERROR(VLOOKUP(W174,'RoC10'!$B$1:$C$160,2,0),0)</f>
        <v>0</v>
      </c>
      <c r="AK174" s="97">
        <f>IFERROR(VLOOKUP(Y174,'RoC11'!$B$1:$C$160,2,0),0)</f>
        <v>0</v>
      </c>
    </row>
    <row r="175" ht="15.75" customHeight="1">
      <c r="A175" s="135">
        <v>174.0</v>
      </c>
      <c r="B175" s="124"/>
      <c r="C175" s="93">
        <f t="shared" si="4"/>
        <v>0</v>
      </c>
      <c r="D175" s="136"/>
      <c r="E175" s="137" t="str">
        <f>IFERROR(VLOOKUP($B175,'RoC1'!$A$1:$B$160,2,0),"0")</f>
        <v>0</v>
      </c>
      <c r="F175" s="97">
        <f>IFERROR(VLOOKUP(E175,'RoC1'!$B$1:$C$160,2,0),0)</f>
        <v>0</v>
      </c>
      <c r="G175" s="137" t="str">
        <f>IFERROR(VLOOKUP($B175,'RoC2'!$A$1:$B$161,2,0),"0")</f>
        <v>0</v>
      </c>
      <c r="H175" s="97">
        <f>IFERROR(VLOOKUP(G175,'RoC2'!$B$1:$C$161,2,0),0)</f>
        <v>0</v>
      </c>
      <c r="I175" s="137">
        <f>IFERROR(VLOOKUP($B175,'RoC3'!$A$1:$B$161,2,0),0)</f>
        <v>0</v>
      </c>
      <c r="J175" s="97">
        <f>IFERROR(VLOOKUP(I175,'RoC3'!$B$1:$C$161,2,0),0)</f>
        <v>0</v>
      </c>
      <c r="K175" s="137">
        <f>IFERROR(VLOOKUP($B175,'RoC4'!$A$1:$B$161,2,0),0)</f>
        <v>0</v>
      </c>
      <c r="L175" s="97">
        <f>IFERROR(VLOOKUP(K175,'RoC4'!$B$1:$C$161,2,0),0)</f>
        <v>0</v>
      </c>
      <c r="M175" s="137">
        <f>IFERROR(VLOOKUP($B175,'RoC5'!$A$1:$B$161,2,0),0)</f>
        <v>0</v>
      </c>
      <c r="N175" s="97">
        <f>IFERROR(VLOOKUP(M175,'RoC5'!$B$1:$C$161,2,0),0)</f>
        <v>0</v>
      </c>
      <c r="O175" s="137">
        <f>IFERROR(VLOOKUP($B175,'RoC6'!$A$1:$B$161,2,0),0)</f>
        <v>0</v>
      </c>
      <c r="P175" s="97">
        <f>IFERROR(VLOOKUP(O175,'RoC6'!$B$1:$C$161,2,0),0)</f>
        <v>0</v>
      </c>
      <c r="Q175" s="137">
        <f>IFERROR(VLOOKUP($B175,'RoC7'!$A$1:$B$161,2,0),0)</f>
        <v>0</v>
      </c>
      <c r="R175" s="97">
        <f>IFERROR(VLOOKUP(Q175,'RoC7'!$B$1:$C$161,2,0),0)</f>
        <v>0</v>
      </c>
      <c r="S175" s="137">
        <f>IFERROR(VLOOKUP($B175,'RoC8'!$A$1:$B$161,2,0),0)</f>
        <v>0</v>
      </c>
      <c r="T175" s="97">
        <f>IFERROR(VLOOKUP(S175,'RoC8'!$B$1:$C$161,2,0),0)</f>
        <v>0</v>
      </c>
      <c r="U175" s="137">
        <f>IFERROR(VLOOKUP($B175,'RoC9'!$A$1:$B$161,2,0),0)</f>
        <v>0</v>
      </c>
      <c r="V175" s="97">
        <f>IFERROR(VLOOKUP(U175,'RoC9'!$B$1:$C$161,2,0),0)</f>
        <v>0</v>
      </c>
      <c r="W175" s="137">
        <f>IFERROR(VLOOKUP($B175,'RoC10'!$A$1:$B$161,2,0),0)</f>
        <v>0</v>
      </c>
      <c r="X175" s="97">
        <f>IFERROR(VLOOKUP(W175,'RoC10'!$B$1:$C$161,2,0),0)</f>
        <v>0</v>
      </c>
      <c r="Y175" s="137">
        <f>IFERROR(VLOOKUP($B175,'RoC11'!$A$1:$B$161,2,0),0)</f>
        <v>0</v>
      </c>
      <c r="Z175" s="97">
        <f>IFERROR(VLOOKUP(Y175,'RoC11'!$B$1:$C$161,2,0),0)</f>
        <v>0</v>
      </c>
      <c r="AA175" s="97">
        <f>IFERROR(VLOOKUP(E175,'RoC1'!$B$1:$C$160,2,0),0)</f>
        <v>0</v>
      </c>
      <c r="AB175" s="97">
        <f>IFERROR(VLOOKUP(G175,'RoC2'!$B$1:$C$160,2,0),0)</f>
        <v>0</v>
      </c>
      <c r="AC175" s="97">
        <f>IFERROR(VLOOKUP(I175,'RoC3'!$B$1:$C$160,2,0),0)</f>
        <v>0</v>
      </c>
      <c r="AD175" s="97">
        <f>IFERROR(VLOOKUP(K175,'RoC4'!$B$1:$C$160,2,0),0)</f>
        <v>0</v>
      </c>
      <c r="AE175" s="97">
        <f>IFERROR(VLOOKUP(M175,'RoC5'!$B$1:$C$160,2,0),0)</f>
        <v>0</v>
      </c>
      <c r="AF175" s="97">
        <f>IFERROR(VLOOKUP(O175,'RoC6'!$B$1:$C$160,2,0),0)</f>
        <v>0</v>
      </c>
      <c r="AG175" s="97">
        <f>IFERROR(VLOOKUP(Q175,'RoC7'!$B$1:$C$160,2,0),0)</f>
        <v>0</v>
      </c>
      <c r="AH175" s="97">
        <f>IFERROR(VLOOKUP(S175,'RoC8'!$B$1:$C$160,2,0),0)</f>
        <v>0</v>
      </c>
      <c r="AI175" s="97">
        <f>IFERROR(VLOOKUP(U175,'RoC9'!$B$1:$C$160,2,0),0)</f>
        <v>0</v>
      </c>
      <c r="AJ175" s="97">
        <f>IFERROR(VLOOKUP(W175,'RoC10'!$B$1:$C$160,2,0),0)</f>
        <v>0</v>
      </c>
      <c r="AK175" s="97">
        <f>IFERROR(VLOOKUP(Y175,'RoC11'!$B$1:$C$160,2,0),0)</f>
        <v>0</v>
      </c>
    </row>
    <row r="176" ht="15.75" customHeight="1">
      <c r="A176" s="92">
        <v>175.0</v>
      </c>
      <c r="B176" s="124"/>
      <c r="C176" s="93">
        <f t="shared" si="4"/>
        <v>0</v>
      </c>
      <c r="D176" s="136"/>
      <c r="E176" s="137" t="str">
        <f>IFERROR(VLOOKUP($B176,'RoC1'!$A$1:$B$160,2,0),"0")</f>
        <v>0</v>
      </c>
      <c r="F176" s="97">
        <f>IFERROR(VLOOKUP(E176,'RoC1'!$B$1:$C$160,2,0),0)</f>
        <v>0</v>
      </c>
      <c r="G176" s="137" t="str">
        <f>IFERROR(VLOOKUP($B176,'RoC2'!$A$1:$B$161,2,0),"0")</f>
        <v>0</v>
      </c>
      <c r="H176" s="97">
        <f>IFERROR(VLOOKUP(G176,'RoC2'!$B$1:$C$161,2,0),0)</f>
        <v>0</v>
      </c>
      <c r="I176" s="137">
        <f>IFERROR(VLOOKUP($B176,'RoC3'!$A$1:$B$161,2,0),0)</f>
        <v>0</v>
      </c>
      <c r="J176" s="97">
        <f>IFERROR(VLOOKUP(I176,'RoC3'!$B$1:$C$161,2,0),0)</f>
        <v>0</v>
      </c>
      <c r="K176" s="137">
        <f>IFERROR(VLOOKUP($B176,'RoC4'!$A$1:$B$161,2,0),0)</f>
        <v>0</v>
      </c>
      <c r="L176" s="97">
        <f>IFERROR(VLOOKUP(K176,'RoC4'!$B$1:$C$161,2,0),0)</f>
        <v>0</v>
      </c>
      <c r="M176" s="137">
        <f>IFERROR(VLOOKUP($B176,'RoC5'!$A$1:$B$161,2,0),0)</f>
        <v>0</v>
      </c>
      <c r="N176" s="97">
        <f>IFERROR(VLOOKUP(M176,'RoC5'!$B$1:$C$161,2,0),0)</f>
        <v>0</v>
      </c>
      <c r="O176" s="137">
        <f>IFERROR(VLOOKUP($B176,'RoC6'!$A$1:$B$161,2,0),0)</f>
        <v>0</v>
      </c>
      <c r="P176" s="97">
        <f>IFERROR(VLOOKUP(O176,'RoC6'!$B$1:$C$161,2,0),0)</f>
        <v>0</v>
      </c>
      <c r="Q176" s="137">
        <f>IFERROR(VLOOKUP($B176,'RoC7'!$A$1:$B$161,2,0),0)</f>
        <v>0</v>
      </c>
      <c r="R176" s="97">
        <f>IFERROR(VLOOKUP(Q176,'RoC7'!$B$1:$C$161,2,0),0)</f>
        <v>0</v>
      </c>
      <c r="S176" s="137">
        <f>IFERROR(VLOOKUP($B176,'RoC8'!$A$1:$B$161,2,0),0)</f>
        <v>0</v>
      </c>
      <c r="T176" s="97">
        <f>IFERROR(VLOOKUP(S176,'RoC8'!$B$1:$C$161,2,0),0)</f>
        <v>0</v>
      </c>
      <c r="U176" s="137">
        <f>IFERROR(VLOOKUP($B176,'RoC9'!$A$1:$B$161,2,0),0)</f>
        <v>0</v>
      </c>
      <c r="V176" s="97">
        <f>IFERROR(VLOOKUP(U176,'RoC9'!$B$1:$C$161,2,0),0)</f>
        <v>0</v>
      </c>
      <c r="W176" s="137">
        <f>IFERROR(VLOOKUP($B176,'RoC10'!$A$1:$B$161,2,0),0)</f>
        <v>0</v>
      </c>
      <c r="X176" s="97">
        <f>IFERROR(VLOOKUP(W176,'RoC10'!$B$1:$C$161,2,0),0)</f>
        <v>0</v>
      </c>
      <c r="Y176" s="137">
        <f>IFERROR(VLOOKUP($B176,'RoC11'!$A$1:$B$161,2,0),0)</f>
        <v>0</v>
      </c>
      <c r="Z176" s="97">
        <f>IFERROR(VLOOKUP(Y176,'RoC11'!$B$1:$C$161,2,0),0)</f>
        <v>0</v>
      </c>
      <c r="AA176" s="97">
        <f>IFERROR(VLOOKUP(E176,'RoC1'!$B$1:$C$160,2,0),0)</f>
        <v>0</v>
      </c>
      <c r="AB176" s="97">
        <f>IFERROR(VLOOKUP(G176,'RoC2'!$B$1:$C$160,2,0),0)</f>
        <v>0</v>
      </c>
      <c r="AC176" s="97">
        <f>IFERROR(VLOOKUP(I176,'RoC3'!$B$1:$C$160,2,0),0)</f>
        <v>0</v>
      </c>
      <c r="AD176" s="97">
        <f>IFERROR(VLOOKUP(K176,'RoC4'!$B$1:$C$160,2,0),0)</f>
        <v>0</v>
      </c>
      <c r="AE176" s="97">
        <f>IFERROR(VLOOKUP(M176,'RoC5'!$B$1:$C$160,2,0),0)</f>
        <v>0</v>
      </c>
      <c r="AF176" s="97">
        <f>IFERROR(VLOOKUP(O176,'RoC6'!$B$1:$C$160,2,0),0)</f>
        <v>0</v>
      </c>
      <c r="AG176" s="97">
        <f>IFERROR(VLOOKUP(Q176,'RoC7'!$B$1:$C$160,2,0),0)</f>
        <v>0</v>
      </c>
      <c r="AH176" s="97">
        <f>IFERROR(VLOOKUP(S176,'RoC8'!$B$1:$C$160,2,0),0)</f>
        <v>0</v>
      </c>
      <c r="AI176" s="97">
        <f>IFERROR(VLOOKUP(U176,'RoC9'!$B$1:$C$160,2,0),0)</f>
        <v>0</v>
      </c>
      <c r="AJ176" s="97">
        <f>IFERROR(VLOOKUP(W176,'RoC10'!$B$1:$C$160,2,0),0)</f>
        <v>0</v>
      </c>
      <c r="AK176" s="97">
        <f>IFERROR(VLOOKUP(Y176,'RoC11'!$B$1:$C$160,2,0),0)</f>
        <v>0</v>
      </c>
    </row>
    <row r="177" ht="15.75" customHeight="1">
      <c r="A177" s="135">
        <v>176.0</v>
      </c>
      <c r="B177" s="124"/>
      <c r="C177" s="93">
        <f t="shared" si="4"/>
        <v>0</v>
      </c>
      <c r="D177" s="136"/>
      <c r="E177" s="137" t="str">
        <f>IFERROR(VLOOKUP($B177,'RoC1'!$A$1:$B$160,2,0),"0")</f>
        <v>0</v>
      </c>
      <c r="F177" s="97">
        <f>IFERROR(VLOOKUP(E177,'RoC1'!$B$1:$C$160,2,0),0)</f>
        <v>0</v>
      </c>
      <c r="G177" s="137" t="str">
        <f>IFERROR(VLOOKUP($B177,'RoC2'!$A$1:$B$161,2,0),"0")</f>
        <v>0</v>
      </c>
      <c r="H177" s="97">
        <f>IFERROR(VLOOKUP(G177,'RoC2'!$B$1:$C$161,2,0),0)</f>
        <v>0</v>
      </c>
      <c r="I177" s="137">
        <f>IFERROR(VLOOKUP($B177,'RoC3'!$A$1:$B$161,2,0),0)</f>
        <v>0</v>
      </c>
      <c r="J177" s="97">
        <f>IFERROR(VLOOKUP(I177,'RoC3'!$B$1:$C$161,2,0),0)</f>
        <v>0</v>
      </c>
      <c r="K177" s="137">
        <f>IFERROR(VLOOKUP($B177,'RoC4'!$A$1:$B$161,2,0),0)</f>
        <v>0</v>
      </c>
      <c r="L177" s="97">
        <f>IFERROR(VLOOKUP(K177,'RoC4'!$B$1:$C$161,2,0),0)</f>
        <v>0</v>
      </c>
      <c r="M177" s="137">
        <f>IFERROR(VLOOKUP($B177,'RoC5'!$A$1:$B$161,2,0),0)</f>
        <v>0</v>
      </c>
      <c r="N177" s="97">
        <f>IFERROR(VLOOKUP(M177,'RoC5'!$B$1:$C$161,2,0),0)</f>
        <v>0</v>
      </c>
      <c r="O177" s="137">
        <f>IFERROR(VLOOKUP($B177,'RoC6'!$A$1:$B$161,2,0),0)</f>
        <v>0</v>
      </c>
      <c r="P177" s="97">
        <f>IFERROR(VLOOKUP(O177,'RoC6'!$B$1:$C$161,2,0),0)</f>
        <v>0</v>
      </c>
      <c r="Q177" s="137">
        <f>IFERROR(VLOOKUP($B177,'RoC7'!$A$1:$B$161,2,0),0)</f>
        <v>0</v>
      </c>
      <c r="R177" s="97">
        <f>IFERROR(VLOOKUP(Q177,'RoC7'!$B$1:$C$161,2,0),0)</f>
        <v>0</v>
      </c>
      <c r="S177" s="137">
        <f>IFERROR(VLOOKUP($B177,'RoC8'!$A$1:$B$161,2,0),0)</f>
        <v>0</v>
      </c>
      <c r="T177" s="97">
        <f>IFERROR(VLOOKUP(S177,'RoC8'!$B$1:$C$161,2,0),0)</f>
        <v>0</v>
      </c>
      <c r="U177" s="137">
        <f>IFERROR(VLOOKUP($B177,'RoC9'!$A$1:$B$161,2,0),0)</f>
        <v>0</v>
      </c>
      <c r="V177" s="97">
        <f>IFERROR(VLOOKUP(U177,'RoC9'!$B$1:$C$161,2,0),0)</f>
        <v>0</v>
      </c>
      <c r="W177" s="137">
        <f>IFERROR(VLOOKUP($B177,'RoC10'!$A$1:$B$161,2,0),0)</f>
        <v>0</v>
      </c>
      <c r="X177" s="97">
        <f>IFERROR(VLOOKUP(W177,'RoC10'!$B$1:$C$161,2,0),0)</f>
        <v>0</v>
      </c>
      <c r="Y177" s="137">
        <f>IFERROR(VLOOKUP($B177,'RoC11'!$A$1:$B$161,2,0),0)</f>
        <v>0</v>
      </c>
      <c r="Z177" s="97">
        <f>IFERROR(VLOOKUP(Y177,'RoC11'!$B$1:$C$161,2,0),0)</f>
        <v>0</v>
      </c>
      <c r="AA177" s="97">
        <f>IFERROR(VLOOKUP(E177,'RoC1'!$B$1:$C$160,2,0),0)</f>
        <v>0</v>
      </c>
      <c r="AB177" s="97">
        <f>IFERROR(VLOOKUP(G177,'RoC2'!$B$1:$C$160,2,0),0)</f>
        <v>0</v>
      </c>
      <c r="AC177" s="97">
        <f>IFERROR(VLOOKUP(I177,'RoC3'!$B$1:$C$160,2,0),0)</f>
        <v>0</v>
      </c>
      <c r="AD177" s="97">
        <f>IFERROR(VLOOKUP(K177,'RoC4'!$B$1:$C$160,2,0),0)</f>
        <v>0</v>
      </c>
      <c r="AE177" s="97">
        <f>IFERROR(VLOOKUP(M177,'RoC5'!$B$1:$C$160,2,0),0)</f>
        <v>0</v>
      </c>
      <c r="AF177" s="97">
        <f>IFERROR(VLOOKUP(O177,'RoC6'!$B$1:$C$160,2,0),0)</f>
        <v>0</v>
      </c>
      <c r="AG177" s="97">
        <f>IFERROR(VLOOKUP(Q177,'RoC7'!$B$1:$C$160,2,0),0)</f>
        <v>0</v>
      </c>
      <c r="AH177" s="97">
        <f>IFERROR(VLOOKUP(S177,'RoC8'!$B$1:$C$160,2,0),0)</f>
        <v>0</v>
      </c>
      <c r="AI177" s="97">
        <f>IFERROR(VLOOKUP(U177,'RoC9'!$B$1:$C$160,2,0),0)</f>
        <v>0</v>
      </c>
      <c r="AJ177" s="97">
        <f>IFERROR(VLOOKUP(W177,'RoC10'!$B$1:$C$160,2,0),0)</f>
        <v>0</v>
      </c>
      <c r="AK177" s="97">
        <f>IFERROR(VLOOKUP(Y177,'RoC11'!$B$1:$C$160,2,0),0)</f>
        <v>0</v>
      </c>
    </row>
    <row r="178" ht="15.75" customHeight="1">
      <c r="A178" s="92">
        <v>177.0</v>
      </c>
      <c r="B178" s="124"/>
      <c r="C178" s="93">
        <f t="shared" si="4"/>
        <v>0</v>
      </c>
      <c r="D178" s="136"/>
      <c r="E178" s="137" t="str">
        <f>IFERROR(VLOOKUP($B178,'RoC1'!$A$1:$B$160,2,0),"0")</f>
        <v>0</v>
      </c>
      <c r="F178" s="97">
        <f>IFERROR(VLOOKUP(E178,'RoC1'!$B$1:$C$160,2,0),0)</f>
        <v>0</v>
      </c>
      <c r="G178" s="137" t="str">
        <f>IFERROR(VLOOKUP($B178,'RoC2'!$A$1:$B$161,2,0),"0")</f>
        <v>0</v>
      </c>
      <c r="H178" s="97">
        <f>IFERROR(VLOOKUP(G178,'RoC2'!$B$1:$C$161,2,0),0)</f>
        <v>0</v>
      </c>
      <c r="I178" s="137">
        <f>IFERROR(VLOOKUP($B178,'RoC3'!$A$1:$B$161,2,0),0)</f>
        <v>0</v>
      </c>
      <c r="J178" s="97">
        <f>IFERROR(VLOOKUP(I178,'RoC3'!$B$1:$C$161,2,0),0)</f>
        <v>0</v>
      </c>
      <c r="K178" s="137">
        <f>IFERROR(VLOOKUP($B178,'RoC4'!$A$1:$B$161,2,0),0)</f>
        <v>0</v>
      </c>
      <c r="L178" s="97">
        <f>IFERROR(VLOOKUP(K178,'RoC4'!$B$1:$C$161,2,0),0)</f>
        <v>0</v>
      </c>
      <c r="M178" s="137">
        <f>IFERROR(VLOOKUP($B178,'RoC5'!$A$1:$B$161,2,0),0)</f>
        <v>0</v>
      </c>
      <c r="N178" s="97">
        <f>IFERROR(VLOOKUP(M178,'RoC5'!$B$1:$C$161,2,0),0)</f>
        <v>0</v>
      </c>
      <c r="O178" s="137">
        <f>IFERROR(VLOOKUP($B178,'RoC6'!$A$1:$B$161,2,0),0)</f>
        <v>0</v>
      </c>
      <c r="P178" s="97">
        <f>IFERROR(VLOOKUP(O178,'RoC6'!$B$1:$C$161,2,0),0)</f>
        <v>0</v>
      </c>
      <c r="Q178" s="137">
        <f>IFERROR(VLOOKUP($B178,'RoC7'!$A$1:$B$161,2,0),0)</f>
        <v>0</v>
      </c>
      <c r="R178" s="97">
        <f>IFERROR(VLOOKUP(Q178,'RoC7'!$B$1:$C$161,2,0),0)</f>
        <v>0</v>
      </c>
      <c r="S178" s="137">
        <f>IFERROR(VLOOKUP($B178,'RoC8'!$A$1:$B$161,2,0),0)</f>
        <v>0</v>
      </c>
      <c r="T178" s="97">
        <f>IFERROR(VLOOKUP(S178,'RoC8'!$B$1:$C$161,2,0),0)</f>
        <v>0</v>
      </c>
      <c r="U178" s="137">
        <f>IFERROR(VLOOKUP($B178,'RoC9'!$A$1:$B$161,2,0),0)</f>
        <v>0</v>
      </c>
      <c r="V178" s="97">
        <f>IFERROR(VLOOKUP(U178,'RoC9'!$B$1:$C$161,2,0),0)</f>
        <v>0</v>
      </c>
      <c r="W178" s="137">
        <f>IFERROR(VLOOKUP($B178,'RoC10'!$A$1:$B$161,2,0),0)</f>
        <v>0</v>
      </c>
      <c r="X178" s="97">
        <f>IFERROR(VLOOKUP(W178,'RoC10'!$B$1:$C$161,2,0),0)</f>
        <v>0</v>
      </c>
      <c r="Y178" s="137">
        <f>IFERROR(VLOOKUP($B178,'RoC11'!$A$1:$B$161,2,0),0)</f>
        <v>0</v>
      </c>
      <c r="Z178" s="97">
        <f>IFERROR(VLOOKUP(Y178,'RoC11'!$B$1:$C$161,2,0),0)</f>
        <v>0</v>
      </c>
      <c r="AA178" s="97">
        <f>IFERROR(VLOOKUP(E178,'RoC1'!$B$1:$C$160,2,0),0)</f>
        <v>0</v>
      </c>
      <c r="AB178" s="97">
        <f>IFERROR(VLOOKUP(G178,'RoC2'!$B$1:$C$160,2,0),0)</f>
        <v>0</v>
      </c>
      <c r="AC178" s="97">
        <f>IFERROR(VLOOKUP(I178,'RoC3'!$B$1:$C$160,2,0),0)</f>
        <v>0</v>
      </c>
      <c r="AD178" s="97">
        <f>IFERROR(VLOOKUP(K178,'RoC4'!$B$1:$C$160,2,0),0)</f>
        <v>0</v>
      </c>
      <c r="AE178" s="97">
        <f>IFERROR(VLOOKUP(M178,'RoC5'!$B$1:$C$160,2,0),0)</f>
        <v>0</v>
      </c>
      <c r="AF178" s="97">
        <f>IFERROR(VLOOKUP(O178,'RoC6'!$B$1:$C$160,2,0),0)</f>
        <v>0</v>
      </c>
      <c r="AG178" s="97">
        <f>IFERROR(VLOOKUP(Q178,'RoC7'!$B$1:$C$160,2,0),0)</f>
        <v>0</v>
      </c>
      <c r="AH178" s="97">
        <f>IFERROR(VLOOKUP(S178,'RoC8'!$B$1:$C$160,2,0),0)</f>
        <v>0</v>
      </c>
      <c r="AI178" s="97">
        <f>IFERROR(VLOOKUP(U178,'RoC9'!$B$1:$C$160,2,0),0)</f>
        <v>0</v>
      </c>
      <c r="AJ178" s="97">
        <f>IFERROR(VLOOKUP(W178,'RoC10'!$B$1:$C$160,2,0),0)</f>
        <v>0</v>
      </c>
      <c r="AK178" s="97">
        <f>IFERROR(VLOOKUP(Y178,'RoC11'!$B$1:$C$160,2,0),0)</f>
        <v>0</v>
      </c>
    </row>
    <row r="179" ht="15.75" customHeight="1">
      <c r="A179" s="135">
        <v>178.0</v>
      </c>
      <c r="B179" s="124"/>
      <c r="C179" s="93">
        <f t="shared" si="4"/>
        <v>0</v>
      </c>
      <c r="D179" s="136"/>
      <c r="E179" s="137" t="str">
        <f>IFERROR(VLOOKUP($B179,'RoC1'!$A$1:$B$160,2,0),"0")</f>
        <v>0</v>
      </c>
      <c r="F179" s="97">
        <f>IFERROR(VLOOKUP(E179,'RoC1'!$B$1:$C$160,2,0),0)</f>
        <v>0</v>
      </c>
      <c r="G179" s="137" t="str">
        <f>IFERROR(VLOOKUP($B179,'RoC2'!$A$1:$B$161,2,0),"0")</f>
        <v>0</v>
      </c>
      <c r="H179" s="97">
        <f>IFERROR(VLOOKUP(G179,'RoC2'!$B$1:$C$161,2,0),0)</f>
        <v>0</v>
      </c>
      <c r="I179" s="137">
        <f>IFERROR(VLOOKUP($B179,'RoC3'!$A$1:$B$161,2,0),0)</f>
        <v>0</v>
      </c>
      <c r="J179" s="97">
        <f>IFERROR(VLOOKUP(I179,'RoC3'!$B$1:$C$161,2,0),0)</f>
        <v>0</v>
      </c>
      <c r="K179" s="137">
        <f>IFERROR(VLOOKUP($B179,'RoC4'!$A$1:$B$161,2,0),0)</f>
        <v>0</v>
      </c>
      <c r="L179" s="97">
        <f>IFERROR(VLOOKUP(K179,'RoC4'!$B$1:$C$161,2,0),0)</f>
        <v>0</v>
      </c>
      <c r="M179" s="137">
        <f>IFERROR(VLOOKUP($B179,'RoC5'!$A$1:$B$161,2,0),0)</f>
        <v>0</v>
      </c>
      <c r="N179" s="97">
        <f>IFERROR(VLOOKUP(M179,'RoC5'!$B$1:$C$161,2,0),0)</f>
        <v>0</v>
      </c>
      <c r="O179" s="137">
        <f>IFERROR(VLOOKUP($B179,'RoC6'!$A$1:$B$161,2,0),0)</f>
        <v>0</v>
      </c>
      <c r="P179" s="97">
        <f>IFERROR(VLOOKUP(O179,'RoC6'!$B$1:$C$161,2,0),0)</f>
        <v>0</v>
      </c>
      <c r="Q179" s="137">
        <f>IFERROR(VLOOKUP($B179,'RoC7'!$A$1:$B$161,2,0),0)</f>
        <v>0</v>
      </c>
      <c r="R179" s="97">
        <f>IFERROR(VLOOKUP(Q179,'RoC7'!$B$1:$C$161,2,0),0)</f>
        <v>0</v>
      </c>
      <c r="S179" s="137">
        <f>IFERROR(VLOOKUP($B179,'RoC8'!$A$1:$B$161,2,0),0)</f>
        <v>0</v>
      </c>
      <c r="T179" s="97">
        <f>IFERROR(VLOOKUP(S179,'RoC8'!$B$1:$C$161,2,0),0)</f>
        <v>0</v>
      </c>
      <c r="U179" s="137">
        <f>IFERROR(VLOOKUP($B179,'RoC9'!$A$1:$B$161,2,0),0)</f>
        <v>0</v>
      </c>
      <c r="V179" s="97">
        <f>IFERROR(VLOOKUP(U179,'RoC9'!$B$1:$C$161,2,0),0)</f>
        <v>0</v>
      </c>
      <c r="W179" s="137">
        <f>IFERROR(VLOOKUP($B179,'RoC10'!$A$1:$B$161,2,0),0)</f>
        <v>0</v>
      </c>
      <c r="X179" s="97">
        <f>IFERROR(VLOOKUP(W179,'RoC10'!$B$1:$C$161,2,0),0)</f>
        <v>0</v>
      </c>
      <c r="Y179" s="137">
        <f>IFERROR(VLOOKUP($B179,'RoC11'!$A$1:$B$161,2,0),0)</f>
        <v>0</v>
      </c>
      <c r="Z179" s="97">
        <f>IFERROR(VLOOKUP(Y179,'RoC11'!$B$1:$C$161,2,0),0)</f>
        <v>0</v>
      </c>
      <c r="AA179" s="97">
        <f>IFERROR(VLOOKUP(E179,'RoC1'!$B$1:$C$160,2,0),0)</f>
        <v>0</v>
      </c>
      <c r="AB179" s="97">
        <f>IFERROR(VLOOKUP(G179,'RoC2'!$B$1:$C$160,2,0),0)</f>
        <v>0</v>
      </c>
      <c r="AC179" s="97">
        <f>IFERROR(VLOOKUP(I179,'RoC3'!$B$1:$C$160,2,0),0)</f>
        <v>0</v>
      </c>
      <c r="AD179" s="97">
        <f>IFERROR(VLOOKUP(K179,'RoC4'!$B$1:$C$160,2,0),0)</f>
        <v>0</v>
      </c>
      <c r="AE179" s="97">
        <f>IFERROR(VLOOKUP(M179,'RoC5'!$B$1:$C$160,2,0),0)</f>
        <v>0</v>
      </c>
      <c r="AF179" s="97">
        <f>IFERROR(VLOOKUP(O179,'RoC6'!$B$1:$C$160,2,0),0)</f>
        <v>0</v>
      </c>
      <c r="AG179" s="97">
        <f>IFERROR(VLOOKUP(Q179,'RoC7'!$B$1:$C$160,2,0),0)</f>
        <v>0</v>
      </c>
      <c r="AH179" s="97">
        <f>IFERROR(VLOOKUP(S179,'RoC8'!$B$1:$C$160,2,0),0)</f>
        <v>0</v>
      </c>
      <c r="AI179" s="97">
        <f>IFERROR(VLOOKUP(U179,'RoC9'!$B$1:$C$160,2,0),0)</f>
        <v>0</v>
      </c>
      <c r="AJ179" s="97">
        <f>IFERROR(VLOOKUP(W179,'RoC10'!$B$1:$C$160,2,0),0)</f>
        <v>0</v>
      </c>
      <c r="AK179" s="97">
        <f>IFERROR(VLOOKUP(Y179,'RoC11'!$B$1:$C$160,2,0),0)</f>
        <v>0</v>
      </c>
    </row>
    <row r="180" ht="15.75" customHeight="1">
      <c r="A180" s="92">
        <v>179.0</v>
      </c>
      <c r="B180" s="124"/>
      <c r="C180" s="93">
        <f t="shared" si="4"/>
        <v>0</v>
      </c>
      <c r="D180" s="136"/>
      <c r="E180" s="137" t="str">
        <f>IFERROR(VLOOKUP($B180,'RoC1'!$A$1:$B$160,2,0),"0")</f>
        <v>0</v>
      </c>
      <c r="F180" s="97">
        <f>IFERROR(VLOOKUP(E180,'RoC1'!$B$1:$C$160,2,0),0)</f>
        <v>0</v>
      </c>
      <c r="G180" s="137" t="str">
        <f>IFERROR(VLOOKUP($B180,'RoC2'!$A$1:$B$161,2,0),"0")</f>
        <v>0</v>
      </c>
      <c r="H180" s="97">
        <f>IFERROR(VLOOKUP(G180,'RoC2'!$B$1:$C$161,2,0),0)</f>
        <v>0</v>
      </c>
      <c r="I180" s="137">
        <f>IFERROR(VLOOKUP($B180,'RoC3'!$A$1:$B$161,2,0),0)</f>
        <v>0</v>
      </c>
      <c r="J180" s="97">
        <f>IFERROR(VLOOKUP(I180,'RoC3'!$B$1:$C$161,2,0),0)</f>
        <v>0</v>
      </c>
      <c r="K180" s="137">
        <f>IFERROR(VLOOKUP($B180,'RoC4'!$A$1:$B$161,2,0),0)</f>
        <v>0</v>
      </c>
      <c r="L180" s="97">
        <f>IFERROR(VLOOKUP(K180,'RoC4'!$B$1:$C$161,2,0),0)</f>
        <v>0</v>
      </c>
      <c r="M180" s="137">
        <f>IFERROR(VLOOKUP($B180,'RoC5'!$A$1:$B$161,2,0),0)</f>
        <v>0</v>
      </c>
      <c r="N180" s="97">
        <f>IFERROR(VLOOKUP(M180,'RoC5'!$B$1:$C$161,2,0),0)</f>
        <v>0</v>
      </c>
      <c r="O180" s="137">
        <f>IFERROR(VLOOKUP($B180,'RoC6'!$A$1:$B$161,2,0),0)</f>
        <v>0</v>
      </c>
      <c r="P180" s="97">
        <f>IFERROR(VLOOKUP(O180,'RoC6'!$B$1:$C$161,2,0),0)</f>
        <v>0</v>
      </c>
      <c r="Q180" s="137">
        <f>IFERROR(VLOOKUP($B180,'RoC7'!$A$1:$B$161,2,0),0)</f>
        <v>0</v>
      </c>
      <c r="R180" s="97">
        <f>IFERROR(VLOOKUP(Q180,'RoC7'!$B$1:$C$161,2,0),0)</f>
        <v>0</v>
      </c>
      <c r="S180" s="137">
        <f>IFERROR(VLOOKUP($B180,'RoC8'!$A$1:$B$161,2,0),0)</f>
        <v>0</v>
      </c>
      <c r="T180" s="97">
        <f>IFERROR(VLOOKUP(S180,'RoC8'!$B$1:$C$161,2,0),0)</f>
        <v>0</v>
      </c>
      <c r="U180" s="137">
        <f>IFERROR(VLOOKUP($B180,'RoC9'!$A$1:$B$161,2,0),0)</f>
        <v>0</v>
      </c>
      <c r="V180" s="97">
        <f>IFERROR(VLOOKUP(U180,'RoC9'!$B$1:$C$161,2,0),0)</f>
        <v>0</v>
      </c>
      <c r="W180" s="137">
        <f>IFERROR(VLOOKUP($B180,'RoC10'!$A$1:$B$161,2,0),0)</f>
        <v>0</v>
      </c>
      <c r="X180" s="97">
        <f>IFERROR(VLOOKUP(W180,'RoC10'!$B$1:$C$161,2,0),0)</f>
        <v>0</v>
      </c>
      <c r="Y180" s="137">
        <f>IFERROR(VLOOKUP($B180,'RoC11'!$A$1:$B$161,2,0),0)</f>
        <v>0</v>
      </c>
      <c r="Z180" s="97">
        <f>IFERROR(VLOOKUP(Y180,'RoC11'!$B$1:$C$161,2,0),0)</f>
        <v>0</v>
      </c>
      <c r="AA180" s="97">
        <f>IFERROR(VLOOKUP(E180,'RoC1'!$B$1:$C$160,2,0),0)</f>
        <v>0</v>
      </c>
      <c r="AB180" s="97">
        <f>IFERROR(VLOOKUP(G180,'RoC2'!$B$1:$C$160,2,0),0)</f>
        <v>0</v>
      </c>
      <c r="AC180" s="97">
        <f>IFERROR(VLOOKUP(I180,'RoC3'!$B$1:$C$160,2,0),0)</f>
        <v>0</v>
      </c>
      <c r="AD180" s="97">
        <f>IFERROR(VLOOKUP(K180,'RoC4'!$B$1:$C$160,2,0),0)</f>
        <v>0</v>
      </c>
      <c r="AE180" s="97">
        <f>IFERROR(VLOOKUP(M180,'RoC5'!$B$1:$C$160,2,0),0)</f>
        <v>0</v>
      </c>
      <c r="AF180" s="97">
        <f>IFERROR(VLOOKUP(O180,'RoC6'!$B$1:$C$160,2,0),0)</f>
        <v>0</v>
      </c>
      <c r="AG180" s="97">
        <f>IFERROR(VLOOKUP(Q180,'RoC7'!$B$1:$C$160,2,0),0)</f>
        <v>0</v>
      </c>
      <c r="AH180" s="97">
        <f>IFERROR(VLOOKUP(S180,'RoC8'!$B$1:$C$160,2,0),0)</f>
        <v>0</v>
      </c>
      <c r="AI180" s="97">
        <f>IFERROR(VLOOKUP(U180,'RoC9'!$B$1:$C$160,2,0),0)</f>
        <v>0</v>
      </c>
      <c r="AJ180" s="97">
        <f>IFERROR(VLOOKUP(W180,'RoC10'!$B$1:$C$160,2,0),0)</f>
        <v>0</v>
      </c>
      <c r="AK180" s="97">
        <f>IFERROR(VLOOKUP(Y180,'RoC11'!$B$1:$C$160,2,0),0)</f>
        <v>0</v>
      </c>
    </row>
    <row r="181" ht="15.75" customHeight="1">
      <c r="A181" s="135">
        <v>180.0</v>
      </c>
      <c r="B181" s="124"/>
      <c r="C181" s="93">
        <f t="shared" si="4"/>
        <v>0</v>
      </c>
      <c r="D181" s="136"/>
      <c r="E181" s="137" t="str">
        <f>IFERROR(VLOOKUP($B181,'RoC1'!$A$1:$B$160,2,0),"0")</f>
        <v>0</v>
      </c>
      <c r="F181" s="97">
        <f>IFERROR(VLOOKUP(E181,'RoC1'!$B$1:$C$160,2,0),0)</f>
        <v>0</v>
      </c>
      <c r="G181" s="137" t="str">
        <f>IFERROR(VLOOKUP($B181,'RoC2'!$A$1:$B$161,2,0),"0")</f>
        <v>0</v>
      </c>
      <c r="H181" s="97">
        <f>IFERROR(VLOOKUP(G181,'RoC2'!$B$1:$C$161,2,0),0)</f>
        <v>0</v>
      </c>
      <c r="I181" s="137">
        <f>IFERROR(VLOOKUP($B181,'RoC3'!$A$1:$B$161,2,0),0)</f>
        <v>0</v>
      </c>
      <c r="J181" s="97">
        <f>IFERROR(VLOOKUP(I181,'RoC3'!$B$1:$C$161,2,0),0)</f>
        <v>0</v>
      </c>
      <c r="K181" s="137">
        <f>IFERROR(VLOOKUP($B181,'RoC4'!$A$1:$B$161,2,0),0)</f>
        <v>0</v>
      </c>
      <c r="L181" s="97">
        <f>IFERROR(VLOOKUP(K181,'RoC4'!$B$1:$C$161,2,0),0)</f>
        <v>0</v>
      </c>
      <c r="M181" s="137">
        <f>IFERROR(VLOOKUP($B181,'RoC5'!$A$1:$B$161,2,0),0)</f>
        <v>0</v>
      </c>
      <c r="N181" s="97">
        <f>IFERROR(VLOOKUP(M181,'RoC5'!$B$1:$C$161,2,0),0)</f>
        <v>0</v>
      </c>
      <c r="O181" s="137">
        <f>IFERROR(VLOOKUP($B181,'RoC6'!$A$1:$B$161,2,0),0)</f>
        <v>0</v>
      </c>
      <c r="P181" s="97">
        <f>IFERROR(VLOOKUP(O181,'RoC6'!$B$1:$C$161,2,0),0)</f>
        <v>0</v>
      </c>
      <c r="Q181" s="137">
        <f>IFERROR(VLOOKUP($B181,'RoC7'!$A$1:$B$161,2,0),0)</f>
        <v>0</v>
      </c>
      <c r="R181" s="97">
        <f>IFERROR(VLOOKUP(Q181,'RoC7'!$B$1:$C$161,2,0),0)</f>
        <v>0</v>
      </c>
      <c r="S181" s="137">
        <f>IFERROR(VLOOKUP($B181,'RoC8'!$A$1:$B$161,2,0),0)</f>
        <v>0</v>
      </c>
      <c r="T181" s="97">
        <f>IFERROR(VLOOKUP(S181,'RoC8'!$B$1:$C$161,2,0),0)</f>
        <v>0</v>
      </c>
      <c r="U181" s="137">
        <f>IFERROR(VLOOKUP($B181,'RoC9'!$A$1:$B$161,2,0),0)</f>
        <v>0</v>
      </c>
      <c r="V181" s="97">
        <f>IFERROR(VLOOKUP(U181,'RoC9'!$B$1:$C$161,2,0),0)</f>
        <v>0</v>
      </c>
      <c r="W181" s="137">
        <f>IFERROR(VLOOKUP($B181,'RoC10'!$A$1:$B$161,2,0),0)</f>
        <v>0</v>
      </c>
      <c r="X181" s="97">
        <f>IFERROR(VLOOKUP(W181,'RoC10'!$B$1:$C$161,2,0),0)</f>
        <v>0</v>
      </c>
      <c r="Y181" s="137">
        <f>IFERROR(VLOOKUP($B181,'RoC11'!$A$1:$B$161,2,0),0)</f>
        <v>0</v>
      </c>
      <c r="Z181" s="97">
        <f>IFERROR(VLOOKUP(Y181,'RoC11'!$B$1:$C$161,2,0),0)</f>
        <v>0</v>
      </c>
      <c r="AA181" s="97">
        <f>IFERROR(VLOOKUP(E181,'RoC1'!$B$1:$C$160,2,0),0)</f>
        <v>0</v>
      </c>
      <c r="AB181" s="97">
        <f>IFERROR(VLOOKUP(G181,'RoC2'!$B$1:$C$160,2,0),0)</f>
        <v>0</v>
      </c>
      <c r="AC181" s="97">
        <f>IFERROR(VLOOKUP(I181,'RoC3'!$B$1:$C$160,2,0),0)</f>
        <v>0</v>
      </c>
      <c r="AD181" s="97">
        <f>IFERROR(VLOOKUP(K181,'RoC4'!$B$1:$C$160,2,0),0)</f>
        <v>0</v>
      </c>
      <c r="AE181" s="97">
        <f>IFERROR(VLOOKUP(M181,'RoC5'!$B$1:$C$160,2,0),0)</f>
        <v>0</v>
      </c>
      <c r="AF181" s="97">
        <f>IFERROR(VLOOKUP(O181,'RoC6'!$B$1:$C$160,2,0),0)</f>
        <v>0</v>
      </c>
      <c r="AG181" s="97">
        <f>IFERROR(VLOOKUP(Q181,'RoC7'!$B$1:$C$160,2,0),0)</f>
        <v>0</v>
      </c>
      <c r="AH181" s="97">
        <f>IFERROR(VLOOKUP(S181,'RoC8'!$B$1:$C$160,2,0),0)</f>
        <v>0</v>
      </c>
      <c r="AI181" s="97">
        <f>IFERROR(VLOOKUP(U181,'RoC9'!$B$1:$C$160,2,0),0)</f>
        <v>0</v>
      </c>
      <c r="AJ181" s="97">
        <f>IFERROR(VLOOKUP(W181,'RoC10'!$B$1:$C$160,2,0),0)</f>
        <v>0</v>
      </c>
      <c r="AK181" s="97">
        <f>IFERROR(VLOOKUP(Y181,'RoC11'!$B$1:$C$160,2,0),0)</f>
        <v>0</v>
      </c>
    </row>
    <row r="182" ht="15.75" customHeight="1">
      <c r="A182" s="92">
        <v>181.0</v>
      </c>
      <c r="B182" s="124"/>
      <c r="C182" s="93">
        <f t="shared" si="4"/>
        <v>0</v>
      </c>
      <c r="D182" s="136"/>
      <c r="E182" s="137" t="str">
        <f>IFERROR(VLOOKUP($B182,'RoC1'!$A$1:$B$160,2,0),"0")</f>
        <v>0</v>
      </c>
      <c r="F182" s="97">
        <f>IFERROR(VLOOKUP(E182,'RoC1'!$B$1:$C$160,2,0),0)</f>
        <v>0</v>
      </c>
      <c r="G182" s="137" t="str">
        <f>IFERROR(VLOOKUP($B182,'RoC2'!$A$1:$B$161,2,0),"0")</f>
        <v>0</v>
      </c>
      <c r="H182" s="97">
        <f>IFERROR(VLOOKUP(G182,'RoC2'!$B$1:$C$161,2,0),0)</f>
        <v>0</v>
      </c>
      <c r="I182" s="137">
        <f>IFERROR(VLOOKUP($B182,'RoC3'!$A$1:$B$161,2,0),0)</f>
        <v>0</v>
      </c>
      <c r="J182" s="97">
        <f>IFERROR(VLOOKUP(I182,'RoC3'!$B$1:$C$161,2,0),0)</f>
        <v>0</v>
      </c>
      <c r="K182" s="137">
        <f>IFERROR(VLOOKUP($B182,'RoC4'!$A$1:$B$161,2,0),0)</f>
        <v>0</v>
      </c>
      <c r="L182" s="97">
        <f>IFERROR(VLOOKUP(K182,'RoC4'!$B$1:$C$161,2,0),0)</f>
        <v>0</v>
      </c>
      <c r="M182" s="137">
        <f>IFERROR(VLOOKUP($B182,'RoC5'!$A$1:$B$161,2,0),0)</f>
        <v>0</v>
      </c>
      <c r="N182" s="97">
        <f>IFERROR(VLOOKUP(M182,'RoC5'!$B$1:$C$161,2,0),0)</f>
        <v>0</v>
      </c>
      <c r="O182" s="137">
        <f>IFERROR(VLOOKUP($B182,'RoC6'!$A$1:$B$161,2,0),0)</f>
        <v>0</v>
      </c>
      <c r="P182" s="97">
        <f>IFERROR(VLOOKUP(O182,'RoC6'!$B$1:$C$161,2,0),0)</f>
        <v>0</v>
      </c>
      <c r="Q182" s="137">
        <f>IFERROR(VLOOKUP($B182,'RoC7'!$A$1:$B$161,2,0),0)</f>
        <v>0</v>
      </c>
      <c r="R182" s="97">
        <f>IFERROR(VLOOKUP(Q182,'RoC7'!$B$1:$C$161,2,0),0)</f>
        <v>0</v>
      </c>
      <c r="S182" s="137">
        <f>IFERROR(VLOOKUP($B182,'RoC8'!$A$1:$B$161,2,0),0)</f>
        <v>0</v>
      </c>
      <c r="T182" s="97">
        <f>IFERROR(VLOOKUP(S182,'RoC8'!$B$1:$C$161,2,0),0)</f>
        <v>0</v>
      </c>
      <c r="U182" s="137">
        <f>IFERROR(VLOOKUP($B182,'RoC9'!$A$1:$B$161,2,0),0)</f>
        <v>0</v>
      </c>
      <c r="V182" s="97">
        <f>IFERROR(VLOOKUP(U182,'RoC9'!$B$1:$C$161,2,0),0)</f>
        <v>0</v>
      </c>
      <c r="W182" s="137">
        <f>IFERROR(VLOOKUP($B182,'RoC10'!$A$1:$B$161,2,0),0)</f>
        <v>0</v>
      </c>
      <c r="X182" s="97">
        <f>IFERROR(VLOOKUP(W182,'RoC10'!$B$1:$C$161,2,0),0)</f>
        <v>0</v>
      </c>
      <c r="Y182" s="137">
        <f>IFERROR(VLOOKUP($B182,'RoC11'!$A$1:$B$161,2,0),0)</f>
        <v>0</v>
      </c>
      <c r="Z182" s="97">
        <f>IFERROR(VLOOKUP(Y182,'RoC11'!$B$1:$C$161,2,0),0)</f>
        <v>0</v>
      </c>
      <c r="AA182" s="97">
        <f>IFERROR(VLOOKUP(E182,'RoC1'!$B$1:$C$160,2,0),0)</f>
        <v>0</v>
      </c>
      <c r="AB182" s="97">
        <f>IFERROR(VLOOKUP(G182,'RoC2'!$B$1:$C$160,2,0),0)</f>
        <v>0</v>
      </c>
      <c r="AC182" s="97">
        <f>IFERROR(VLOOKUP(I182,'RoC3'!$B$1:$C$160,2,0),0)</f>
        <v>0</v>
      </c>
      <c r="AD182" s="97">
        <f>IFERROR(VLOOKUP(K182,'RoC4'!$B$1:$C$160,2,0),0)</f>
        <v>0</v>
      </c>
      <c r="AE182" s="97">
        <f>IFERROR(VLOOKUP(M182,'RoC5'!$B$1:$C$160,2,0),0)</f>
        <v>0</v>
      </c>
      <c r="AF182" s="97">
        <f>IFERROR(VLOOKUP(O182,'RoC6'!$B$1:$C$160,2,0),0)</f>
        <v>0</v>
      </c>
      <c r="AG182" s="97">
        <f>IFERROR(VLOOKUP(Q182,'RoC7'!$B$1:$C$160,2,0),0)</f>
        <v>0</v>
      </c>
      <c r="AH182" s="97">
        <f>IFERROR(VLOOKUP(S182,'RoC8'!$B$1:$C$160,2,0),0)</f>
        <v>0</v>
      </c>
      <c r="AI182" s="97">
        <f>IFERROR(VLOOKUP(U182,'RoC9'!$B$1:$C$160,2,0),0)</f>
        <v>0</v>
      </c>
      <c r="AJ182" s="97">
        <f>IFERROR(VLOOKUP(W182,'RoC10'!$B$1:$C$160,2,0),0)</f>
        <v>0</v>
      </c>
      <c r="AK182" s="97">
        <f>IFERROR(VLOOKUP(Y182,'RoC11'!$B$1:$C$160,2,0),0)</f>
        <v>0</v>
      </c>
    </row>
    <row r="183" ht="15.75" customHeight="1">
      <c r="A183" s="135">
        <v>182.0</v>
      </c>
      <c r="B183" s="124"/>
      <c r="C183" s="93">
        <f t="shared" si="4"/>
        <v>0</v>
      </c>
      <c r="D183" s="136"/>
      <c r="E183" s="137" t="str">
        <f>IFERROR(VLOOKUP($B183,'RoC1'!$A$1:$B$160,2,0),"0")</f>
        <v>0</v>
      </c>
      <c r="F183" s="97">
        <f>IFERROR(VLOOKUP(E183,'RoC1'!$B$1:$C$160,2,0),0)</f>
        <v>0</v>
      </c>
      <c r="G183" s="137" t="str">
        <f>IFERROR(VLOOKUP($B183,'RoC2'!$A$1:$B$161,2,0),"0")</f>
        <v>0</v>
      </c>
      <c r="H183" s="97">
        <f>IFERROR(VLOOKUP(G183,'RoC2'!$B$1:$C$161,2,0),0)</f>
        <v>0</v>
      </c>
      <c r="I183" s="137">
        <f>IFERROR(VLOOKUP($B183,'RoC3'!$A$1:$B$161,2,0),0)</f>
        <v>0</v>
      </c>
      <c r="J183" s="97">
        <f>IFERROR(VLOOKUP(I183,'RoC3'!$B$1:$C$161,2,0),0)</f>
        <v>0</v>
      </c>
      <c r="K183" s="137">
        <f>IFERROR(VLOOKUP($B183,'RoC4'!$A$1:$B$161,2,0),0)</f>
        <v>0</v>
      </c>
      <c r="L183" s="97">
        <f>IFERROR(VLOOKUP(K183,'RoC4'!$B$1:$C$161,2,0),0)</f>
        <v>0</v>
      </c>
      <c r="M183" s="137">
        <f>IFERROR(VLOOKUP($B183,'RoC5'!$A$1:$B$161,2,0),0)</f>
        <v>0</v>
      </c>
      <c r="N183" s="97">
        <f>IFERROR(VLOOKUP(M183,'RoC5'!$B$1:$C$161,2,0),0)</f>
        <v>0</v>
      </c>
      <c r="O183" s="137">
        <f>IFERROR(VLOOKUP($B183,'RoC6'!$A$1:$B$161,2,0),0)</f>
        <v>0</v>
      </c>
      <c r="P183" s="97">
        <f>IFERROR(VLOOKUP(O183,'RoC6'!$B$1:$C$161,2,0),0)</f>
        <v>0</v>
      </c>
      <c r="Q183" s="137">
        <f>IFERROR(VLOOKUP($B183,'RoC7'!$A$1:$B$161,2,0),0)</f>
        <v>0</v>
      </c>
      <c r="R183" s="97">
        <f>IFERROR(VLOOKUP(Q183,'RoC7'!$B$1:$C$161,2,0),0)</f>
        <v>0</v>
      </c>
      <c r="S183" s="137">
        <f>IFERROR(VLOOKUP($B183,'RoC8'!$A$1:$B$161,2,0),0)</f>
        <v>0</v>
      </c>
      <c r="T183" s="97">
        <f>IFERROR(VLOOKUP(S183,'RoC8'!$B$1:$C$161,2,0),0)</f>
        <v>0</v>
      </c>
      <c r="U183" s="137">
        <f>IFERROR(VLOOKUP($B183,'RoC9'!$A$1:$B$161,2,0),0)</f>
        <v>0</v>
      </c>
      <c r="V183" s="97">
        <f>IFERROR(VLOOKUP(U183,'RoC9'!$B$1:$C$161,2,0),0)</f>
        <v>0</v>
      </c>
      <c r="W183" s="137">
        <f>IFERROR(VLOOKUP($B183,'RoC10'!$A$1:$B$161,2,0),0)</f>
        <v>0</v>
      </c>
      <c r="X183" s="97">
        <f>IFERROR(VLOOKUP(W183,'RoC10'!$B$1:$C$161,2,0),0)</f>
        <v>0</v>
      </c>
      <c r="Y183" s="137">
        <f>IFERROR(VLOOKUP($B183,'RoC11'!$A$1:$B$161,2,0),0)</f>
        <v>0</v>
      </c>
      <c r="Z183" s="97">
        <f>IFERROR(VLOOKUP(Y183,'RoC11'!$B$1:$C$161,2,0),0)</f>
        <v>0</v>
      </c>
      <c r="AA183" s="97">
        <f>IFERROR(VLOOKUP(E183,'RoC1'!$B$1:$C$160,2,0),0)</f>
        <v>0</v>
      </c>
      <c r="AB183" s="97">
        <f>IFERROR(VLOOKUP(G183,'RoC2'!$B$1:$C$160,2,0),0)</f>
        <v>0</v>
      </c>
      <c r="AC183" s="97">
        <f>IFERROR(VLOOKUP(I183,'RoC3'!$B$1:$C$160,2,0),0)</f>
        <v>0</v>
      </c>
      <c r="AD183" s="97">
        <f>IFERROR(VLOOKUP(K183,'RoC4'!$B$1:$C$160,2,0),0)</f>
        <v>0</v>
      </c>
      <c r="AE183" s="97">
        <f>IFERROR(VLOOKUP(M183,'RoC5'!$B$1:$C$160,2,0),0)</f>
        <v>0</v>
      </c>
      <c r="AF183" s="97">
        <f>IFERROR(VLOOKUP(O183,'RoC6'!$B$1:$C$160,2,0),0)</f>
        <v>0</v>
      </c>
      <c r="AG183" s="97">
        <f>IFERROR(VLOOKUP(Q183,'RoC7'!$B$1:$C$160,2,0),0)</f>
        <v>0</v>
      </c>
      <c r="AH183" s="97">
        <f>IFERROR(VLOOKUP(S183,'RoC8'!$B$1:$C$160,2,0),0)</f>
        <v>0</v>
      </c>
      <c r="AI183" s="97">
        <f>IFERROR(VLOOKUP(U183,'RoC9'!$B$1:$C$160,2,0),0)</f>
        <v>0</v>
      </c>
      <c r="AJ183" s="97">
        <f>IFERROR(VLOOKUP(W183,'RoC10'!$B$1:$C$160,2,0),0)</f>
        <v>0</v>
      </c>
      <c r="AK183" s="97">
        <f>IFERROR(VLOOKUP(Y183,'RoC11'!$B$1:$C$160,2,0),0)</f>
        <v>0</v>
      </c>
    </row>
    <row r="184" ht="15.75" customHeight="1">
      <c r="A184" s="92">
        <v>183.0</v>
      </c>
      <c r="B184" s="124"/>
      <c r="C184" s="93">
        <f t="shared" si="4"/>
        <v>0</v>
      </c>
      <c r="D184" s="136"/>
      <c r="E184" s="137" t="str">
        <f>IFERROR(VLOOKUP($B184,'RoC1'!$A$1:$B$160,2,0),"0")</f>
        <v>0</v>
      </c>
      <c r="F184" s="97">
        <f>IFERROR(VLOOKUP(E184,'RoC1'!$B$1:$C$160,2,0),0)</f>
        <v>0</v>
      </c>
      <c r="G184" s="137" t="str">
        <f>IFERROR(VLOOKUP($B184,'RoC2'!$A$1:$B$161,2,0),"0")</f>
        <v>0</v>
      </c>
      <c r="H184" s="97">
        <f>IFERROR(VLOOKUP(G184,'RoC2'!$B$1:$C$161,2,0),0)</f>
        <v>0</v>
      </c>
      <c r="I184" s="137">
        <f>IFERROR(VLOOKUP($B184,'RoC3'!$A$1:$B$161,2,0),0)</f>
        <v>0</v>
      </c>
      <c r="J184" s="97">
        <f>IFERROR(VLOOKUP(I184,'RoC3'!$B$1:$C$161,2,0),0)</f>
        <v>0</v>
      </c>
      <c r="K184" s="137">
        <f>IFERROR(VLOOKUP($B184,'RoC4'!$A$1:$B$161,2,0),0)</f>
        <v>0</v>
      </c>
      <c r="L184" s="97">
        <f>IFERROR(VLOOKUP(K184,'RoC4'!$B$1:$C$161,2,0),0)</f>
        <v>0</v>
      </c>
      <c r="M184" s="137">
        <f>IFERROR(VLOOKUP($B184,'RoC5'!$A$1:$B$161,2,0),0)</f>
        <v>0</v>
      </c>
      <c r="N184" s="97">
        <f>IFERROR(VLOOKUP(M184,'RoC5'!$B$1:$C$161,2,0),0)</f>
        <v>0</v>
      </c>
      <c r="O184" s="137">
        <f>IFERROR(VLOOKUP($B184,'RoC6'!$A$1:$B$161,2,0),0)</f>
        <v>0</v>
      </c>
      <c r="P184" s="97">
        <f>IFERROR(VLOOKUP(O184,'RoC6'!$B$1:$C$161,2,0),0)</f>
        <v>0</v>
      </c>
      <c r="Q184" s="137">
        <f>IFERROR(VLOOKUP($B184,'RoC7'!$A$1:$B$161,2,0),0)</f>
        <v>0</v>
      </c>
      <c r="R184" s="97">
        <f>IFERROR(VLOOKUP(Q184,'RoC7'!$B$1:$C$161,2,0),0)</f>
        <v>0</v>
      </c>
      <c r="S184" s="137">
        <f>IFERROR(VLOOKUP($B184,'RoC8'!$A$1:$B$161,2,0),0)</f>
        <v>0</v>
      </c>
      <c r="T184" s="97">
        <f>IFERROR(VLOOKUP(S184,'RoC8'!$B$1:$C$161,2,0),0)</f>
        <v>0</v>
      </c>
      <c r="U184" s="137">
        <f>IFERROR(VLOOKUP($B184,'RoC9'!$A$1:$B$161,2,0),0)</f>
        <v>0</v>
      </c>
      <c r="V184" s="97">
        <f>IFERROR(VLOOKUP(U184,'RoC9'!$B$1:$C$161,2,0),0)</f>
        <v>0</v>
      </c>
      <c r="W184" s="137">
        <f>IFERROR(VLOOKUP($B184,'RoC10'!$A$1:$B$161,2,0),0)</f>
        <v>0</v>
      </c>
      <c r="X184" s="97">
        <f>IFERROR(VLOOKUP(W184,'RoC10'!$B$1:$C$161,2,0),0)</f>
        <v>0</v>
      </c>
      <c r="Y184" s="137">
        <f>IFERROR(VLOOKUP($B184,'RoC11'!$A$1:$B$161,2,0),0)</f>
        <v>0</v>
      </c>
      <c r="Z184" s="97">
        <f>IFERROR(VLOOKUP(Y184,'RoC11'!$B$1:$C$161,2,0),0)</f>
        <v>0</v>
      </c>
      <c r="AA184" s="97">
        <f>IFERROR(VLOOKUP(E184,'RoC1'!$B$1:$C$160,2,0),0)</f>
        <v>0</v>
      </c>
      <c r="AB184" s="97">
        <f>IFERROR(VLOOKUP(G184,'RoC2'!$B$1:$C$160,2,0),0)</f>
        <v>0</v>
      </c>
      <c r="AC184" s="97">
        <f>IFERROR(VLOOKUP(I184,'RoC3'!$B$1:$C$160,2,0),0)</f>
        <v>0</v>
      </c>
      <c r="AD184" s="97">
        <f>IFERROR(VLOOKUP(K184,'RoC4'!$B$1:$C$160,2,0),0)</f>
        <v>0</v>
      </c>
      <c r="AE184" s="97">
        <f>IFERROR(VLOOKUP(M184,'RoC5'!$B$1:$C$160,2,0),0)</f>
        <v>0</v>
      </c>
      <c r="AF184" s="97">
        <f>IFERROR(VLOOKUP(O184,'RoC6'!$B$1:$C$160,2,0),0)</f>
        <v>0</v>
      </c>
      <c r="AG184" s="97">
        <f>IFERROR(VLOOKUP(Q184,'RoC7'!$B$1:$C$160,2,0),0)</f>
        <v>0</v>
      </c>
      <c r="AH184" s="97">
        <f>IFERROR(VLOOKUP(S184,'RoC8'!$B$1:$C$160,2,0),0)</f>
        <v>0</v>
      </c>
      <c r="AI184" s="97">
        <f>IFERROR(VLOOKUP(U184,'RoC9'!$B$1:$C$160,2,0),0)</f>
        <v>0</v>
      </c>
      <c r="AJ184" s="97">
        <f>IFERROR(VLOOKUP(W184,'RoC10'!$B$1:$C$160,2,0),0)</f>
        <v>0</v>
      </c>
      <c r="AK184" s="97">
        <f>IFERROR(VLOOKUP(Y184,'RoC11'!$B$1:$C$160,2,0),0)</f>
        <v>0</v>
      </c>
    </row>
    <row r="185" ht="15.75" customHeight="1">
      <c r="A185" s="135">
        <v>184.0</v>
      </c>
      <c r="B185" s="124"/>
      <c r="C185" s="93">
        <f t="shared" si="4"/>
        <v>0</v>
      </c>
      <c r="D185" s="136"/>
      <c r="E185" s="137" t="str">
        <f>IFERROR(VLOOKUP($B185,'RoC1'!$A$1:$B$160,2,0),"0")</f>
        <v>0</v>
      </c>
      <c r="F185" s="97">
        <f>IFERROR(VLOOKUP(E185,'RoC1'!$B$1:$C$160,2,0),0)</f>
        <v>0</v>
      </c>
      <c r="G185" s="137" t="str">
        <f>IFERROR(VLOOKUP($B185,'RoC2'!$A$1:$B$161,2,0),"0")</f>
        <v>0</v>
      </c>
      <c r="H185" s="97">
        <f>IFERROR(VLOOKUP(G185,'RoC2'!$B$1:$C$161,2,0),0)</f>
        <v>0</v>
      </c>
      <c r="I185" s="137">
        <f>IFERROR(VLOOKUP($B185,'RoC3'!$A$1:$B$161,2,0),0)</f>
        <v>0</v>
      </c>
      <c r="J185" s="97">
        <f>IFERROR(VLOOKUP(I185,'RoC3'!$B$1:$C$161,2,0),0)</f>
        <v>0</v>
      </c>
      <c r="K185" s="137">
        <f>IFERROR(VLOOKUP($B185,'RoC4'!$A$1:$B$161,2,0),0)</f>
        <v>0</v>
      </c>
      <c r="L185" s="97">
        <f>IFERROR(VLOOKUP(K185,'RoC4'!$B$1:$C$161,2,0),0)</f>
        <v>0</v>
      </c>
      <c r="M185" s="137">
        <f>IFERROR(VLOOKUP($B185,'RoC5'!$A$1:$B$161,2,0),0)</f>
        <v>0</v>
      </c>
      <c r="N185" s="97">
        <f>IFERROR(VLOOKUP(M185,'RoC5'!$B$1:$C$161,2,0),0)</f>
        <v>0</v>
      </c>
      <c r="O185" s="137">
        <f>IFERROR(VLOOKUP($B185,'RoC6'!$A$1:$B$161,2,0),0)</f>
        <v>0</v>
      </c>
      <c r="P185" s="97">
        <f>IFERROR(VLOOKUP(O185,'RoC6'!$B$1:$C$161,2,0),0)</f>
        <v>0</v>
      </c>
      <c r="Q185" s="137">
        <f>IFERROR(VLOOKUP($B185,'RoC7'!$A$1:$B$161,2,0),0)</f>
        <v>0</v>
      </c>
      <c r="R185" s="97">
        <f>IFERROR(VLOOKUP(Q185,'RoC7'!$B$1:$C$161,2,0),0)</f>
        <v>0</v>
      </c>
      <c r="S185" s="137">
        <f>IFERROR(VLOOKUP($B185,'RoC8'!$A$1:$B$161,2,0),0)</f>
        <v>0</v>
      </c>
      <c r="T185" s="97">
        <f>IFERROR(VLOOKUP(S185,'RoC8'!$B$1:$C$161,2,0),0)</f>
        <v>0</v>
      </c>
      <c r="U185" s="137">
        <f>IFERROR(VLOOKUP($B185,'RoC9'!$A$1:$B$161,2,0),0)</f>
        <v>0</v>
      </c>
      <c r="V185" s="97">
        <f>IFERROR(VLOOKUP(U185,'RoC9'!$B$1:$C$161,2,0),0)</f>
        <v>0</v>
      </c>
      <c r="W185" s="137">
        <f>IFERROR(VLOOKUP($B185,'RoC10'!$A$1:$B$161,2,0),0)</f>
        <v>0</v>
      </c>
      <c r="X185" s="97">
        <f>IFERROR(VLOOKUP(W185,'RoC10'!$B$1:$C$161,2,0),0)</f>
        <v>0</v>
      </c>
      <c r="Y185" s="137">
        <f>IFERROR(VLOOKUP($B185,'RoC11'!$A$1:$B$161,2,0),0)</f>
        <v>0</v>
      </c>
      <c r="Z185" s="97">
        <f>IFERROR(VLOOKUP(Y185,'RoC11'!$B$1:$C$161,2,0),0)</f>
        <v>0</v>
      </c>
      <c r="AA185" s="97">
        <f>IFERROR(VLOOKUP(E185,'RoC1'!$B$1:$C$160,2,0),0)</f>
        <v>0</v>
      </c>
      <c r="AB185" s="97">
        <f>IFERROR(VLOOKUP(G185,'RoC2'!$B$1:$C$160,2,0),0)</f>
        <v>0</v>
      </c>
      <c r="AC185" s="97">
        <f>IFERROR(VLOOKUP(I185,'RoC3'!$B$1:$C$160,2,0),0)</f>
        <v>0</v>
      </c>
      <c r="AD185" s="97">
        <f>IFERROR(VLOOKUP(K185,'RoC4'!$B$1:$C$160,2,0),0)</f>
        <v>0</v>
      </c>
      <c r="AE185" s="97">
        <f>IFERROR(VLOOKUP(M185,'RoC5'!$B$1:$C$160,2,0),0)</f>
        <v>0</v>
      </c>
      <c r="AF185" s="97">
        <f>IFERROR(VLOOKUP(O185,'RoC6'!$B$1:$C$160,2,0),0)</f>
        <v>0</v>
      </c>
      <c r="AG185" s="97">
        <f>IFERROR(VLOOKUP(Q185,'RoC7'!$B$1:$C$160,2,0),0)</f>
        <v>0</v>
      </c>
      <c r="AH185" s="97">
        <f>IFERROR(VLOOKUP(S185,'RoC8'!$B$1:$C$160,2,0),0)</f>
        <v>0</v>
      </c>
      <c r="AI185" s="97">
        <f>IFERROR(VLOOKUP(U185,'RoC9'!$B$1:$C$160,2,0),0)</f>
        <v>0</v>
      </c>
      <c r="AJ185" s="97">
        <f>IFERROR(VLOOKUP(W185,'RoC10'!$B$1:$C$160,2,0),0)</f>
        <v>0</v>
      </c>
      <c r="AK185" s="97">
        <f>IFERROR(VLOOKUP(Y185,'RoC11'!$B$1:$C$160,2,0),0)</f>
        <v>0</v>
      </c>
    </row>
    <row r="186" ht="15.75" customHeight="1">
      <c r="A186" s="92">
        <v>185.0</v>
      </c>
      <c r="B186" s="124"/>
      <c r="C186" s="93">
        <f t="shared" si="4"/>
        <v>0</v>
      </c>
      <c r="D186" s="136"/>
      <c r="E186" s="137" t="str">
        <f>IFERROR(VLOOKUP($B186,'RoC1'!$A$1:$B$160,2,0),"0")</f>
        <v>0</v>
      </c>
      <c r="F186" s="97">
        <f>IFERROR(VLOOKUP(E186,'RoC1'!$B$1:$C$160,2,0),0)</f>
        <v>0</v>
      </c>
      <c r="G186" s="137" t="str">
        <f>IFERROR(VLOOKUP($B186,'RoC2'!$A$1:$B$161,2,0),"0")</f>
        <v>0</v>
      </c>
      <c r="H186" s="97">
        <f>IFERROR(VLOOKUP(G186,'RoC2'!$B$1:$C$161,2,0),0)</f>
        <v>0</v>
      </c>
      <c r="I186" s="137">
        <f>IFERROR(VLOOKUP($B186,'RoC3'!$A$1:$B$161,2,0),0)</f>
        <v>0</v>
      </c>
      <c r="J186" s="97">
        <f>IFERROR(VLOOKUP(I186,'RoC3'!$B$1:$C$161,2,0),0)</f>
        <v>0</v>
      </c>
      <c r="K186" s="137">
        <f>IFERROR(VLOOKUP($B186,'RoC4'!$A$1:$B$161,2,0),0)</f>
        <v>0</v>
      </c>
      <c r="L186" s="97">
        <f>IFERROR(VLOOKUP(K186,'RoC4'!$B$1:$C$161,2,0),0)</f>
        <v>0</v>
      </c>
      <c r="M186" s="137">
        <f>IFERROR(VLOOKUP($B186,'RoC5'!$A$1:$B$161,2,0),0)</f>
        <v>0</v>
      </c>
      <c r="N186" s="97">
        <f>IFERROR(VLOOKUP(M186,'RoC5'!$B$1:$C$161,2,0),0)</f>
        <v>0</v>
      </c>
      <c r="O186" s="137">
        <f>IFERROR(VLOOKUP($B186,'RoC6'!$A$1:$B$161,2,0),0)</f>
        <v>0</v>
      </c>
      <c r="P186" s="97">
        <f>IFERROR(VLOOKUP(O186,'RoC6'!$B$1:$C$161,2,0),0)</f>
        <v>0</v>
      </c>
      <c r="Q186" s="137">
        <f>IFERROR(VLOOKUP($B186,'RoC7'!$A$1:$B$161,2,0),0)</f>
        <v>0</v>
      </c>
      <c r="R186" s="97">
        <f>IFERROR(VLOOKUP(Q186,'RoC7'!$B$1:$C$161,2,0),0)</f>
        <v>0</v>
      </c>
      <c r="S186" s="137">
        <f>IFERROR(VLOOKUP($B186,'RoC8'!$A$1:$B$161,2,0),0)</f>
        <v>0</v>
      </c>
      <c r="T186" s="97">
        <f>IFERROR(VLOOKUP(S186,'RoC8'!$B$1:$C$161,2,0),0)</f>
        <v>0</v>
      </c>
      <c r="U186" s="137">
        <f>IFERROR(VLOOKUP($B186,'RoC9'!$A$1:$B$161,2,0),0)</f>
        <v>0</v>
      </c>
      <c r="V186" s="97">
        <f>IFERROR(VLOOKUP(U186,'RoC9'!$B$1:$C$161,2,0),0)</f>
        <v>0</v>
      </c>
      <c r="W186" s="137">
        <f>IFERROR(VLOOKUP($B186,'RoC10'!$A$1:$B$161,2,0),0)</f>
        <v>0</v>
      </c>
      <c r="X186" s="97">
        <f>IFERROR(VLOOKUP(W186,'RoC10'!$B$1:$C$161,2,0),0)</f>
        <v>0</v>
      </c>
      <c r="Y186" s="137">
        <f>IFERROR(VLOOKUP($B186,'RoC11'!$A$1:$B$161,2,0),0)</f>
        <v>0</v>
      </c>
      <c r="Z186" s="97">
        <f>IFERROR(VLOOKUP(Y186,'RoC11'!$B$1:$C$161,2,0),0)</f>
        <v>0</v>
      </c>
      <c r="AA186" s="97">
        <f>IFERROR(VLOOKUP(E186,'RoC1'!$B$1:$C$160,2,0),0)</f>
        <v>0</v>
      </c>
      <c r="AB186" s="97">
        <f>IFERROR(VLOOKUP(G186,'RoC2'!$B$1:$C$160,2,0),0)</f>
        <v>0</v>
      </c>
      <c r="AC186" s="97">
        <f>IFERROR(VLOOKUP(I186,'RoC3'!$B$1:$C$160,2,0),0)</f>
        <v>0</v>
      </c>
      <c r="AD186" s="97">
        <f>IFERROR(VLOOKUP(K186,'RoC4'!$B$1:$C$160,2,0),0)</f>
        <v>0</v>
      </c>
      <c r="AE186" s="97">
        <f>IFERROR(VLOOKUP(M186,'RoC5'!$B$1:$C$160,2,0),0)</f>
        <v>0</v>
      </c>
      <c r="AF186" s="97">
        <f>IFERROR(VLOOKUP(O186,'RoC6'!$B$1:$C$160,2,0),0)</f>
        <v>0</v>
      </c>
      <c r="AG186" s="97">
        <f>IFERROR(VLOOKUP(Q186,'RoC7'!$B$1:$C$160,2,0),0)</f>
        <v>0</v>
      </c>
      <c r="AH186" s="97">
        <f>IFERROR(VLOOKUP(S186,'RoC8'!$B$1:$C$160,2,0),0)</f>
        <v>0</v>
      </c>
      <c r="AI186" s="97">
        <f>IFERROR(VLOOKUP(U186,'RoC9'!$B$1:$C$160,2,0),0)</f>
        <v>0</v>
      </c>
      <c r="AJ186" s="97">
        <f>IFERROR(VLOOKUP(W186,'RoC10'!$B$1:$C$160,2,0),0)</f>
        <v>0</v>
      </c>
      <c r="AK186" s="97">
        <f>IFERROR(VLOOKUP(Y186,'RoC11'!$B$1:$C$160,2,0),0)</f>
        <v>0</v>
      </c>
    </row>
    <row r="187" ht="15.75" customHeight="1">
      <c r="A187" s="135">
        <v>186.0</v>
      </c>
      <c r="B187" s="124"/>
      <c r="C187" s="93">
        <f t="shared" si="4"/>
        <v>0</v>
      </c>
      <c r="D187" s="136"/>
      <c r="E187" s="137" t="str">
        <f>IFERROR(VLOOKUP($B187,'RoC1'!$A$1:$B$160,2,0),"0")</f>
        <v>0</v>
      </c>
      <c r="F187" s="97">
        <f>IFERROR(VLOOKUP(E187,'RoC1'!$B$1:$C$160,2,0),0)</f>
        <v>0</v>
      </c>
      <c r="G187" s="137" t="str">
        <f>IFERROR(VLOOKUP($B187,'RoC2'!$A$1:$B$161,2,0),"0")</f>
        <v>0</v>
      </c>
      <c r="H187" s="97">
        <f>IFERROR(VLOOKUP(G187,'RoC2'!$B$1:$C$161,2,0),0)</f>
        <v>0</v>
      </c>
      <c r="I187" s="137">
        <f>IFERROR(VLOOKUP($B187,'RoC3'!$A$1:$B$161,2,0),0)</f>
        <v>0</v>
      </c>
      <c r="J187" s="97">
        <f>IFERROR(VLOOKUP(I187,'RoC3'!$B$1:$C$161,2,0),0)</f>
        <v>0</v>
      </c>
      <c r="K187" s="137">
        <f>IFERROR(VLOOKUP($B187,'RoC4'!$A$1:$B$161,2,0),0)</f>
        <v>0</v>
      </c>
      <c r="L187" s="97">
        <f>IFERROR(VLOOKUP(K187,'RoC4'!$B$1:$C$161,2,0),0)</f>
        <v>0</v>
      </c>
      <c r="M187" s="137">
        <f>IFERROR(VLOOKUP($B187,'RoC5'!$A$1:$B$161,2,0),0)</f>
        <v>0</v>
      </c>
      <c r="N187" s="97">
        <f>IFERROR(VLOOKUP(M187,'RoC5'!$B$1:$C$161,2,0),0)</f>
        <v>0</v>
      </c>
      <c r="O187" s="137">
        <f>IFERROR(VLOOKUP($B187,'RoC6'!$A$1:$B$161,2,0),0)</f>
        <v>0</v>
      </c>
      <c r="P187" s="97">
        <f>IFERROR(VLOOKUP(O187,'RoC6'!$B$1:$C$161,2,0),0)</f>
        <v>0</v>
      </c>
      <c r="Q187" s="137">
        <f>IFERROR(VLOOKUP($B187,'RoC7'!$A$1:$B$161,2,0),0)</f>
        <v>0</v>
      </c>
      <c r="R187" s="97">
        <f>IFERROR(VLOOKUP(Q187,'RoC7'!$B$1:$C$161,2,0),0)</f>
        <v>0</v>
      </c>
      <c r="S187" s="137">
        <f>IFERROR(VLOOKUP($B187,'RoC8'!$A$1:$B$161,2,0),0)</f>
        <v>0</v>
      </c>
      <c r="T187" s="97">
        <f>IFERROR(VLOOKUP(S187,'RoC8'!$B$1:$C$161,2,0),0)</f>
        <v>0</v>
      </c>
      <c r="U187" s="137">
        <f>IFERROR(VLOOKUP($B187,'RoC9'!$A$1:$B$161,2,0),0)</f>
        <v>0</v>
      </c>
      <c r="V187" s="97">
        <f>IFERROR(VLOOKUP(U187,'RoC9'!$B$1:$C$161,2,0),0)</f>
        <v>0</v>
      </c>
      <c r="W187" s="137">
        <f>IFERROR(VLOOKUP($B187,'RoC10'!$A$1:$B$161,2,0),0)</f>
        <v>0</v>
      </c>
      <c r="X187" s="97">
        <f>IFERROR(VLOOKUP(W187,'RoC10'!$B$1:$C$161,2,0),0)</f>
        <v>0</v>
      </c>
      <c r="Y187" s="137">
        <f>IFERROR(VLOOKUP($B187,'RoC11'!$A$1:$B$161,2,0),0)</f>
        <v>0</v>
      </c>
      <c r="Z187" s="97">
        <f>IFERROR(VLOOKUP(Y187,'RoC11'!$B$1:$C$161,2,0),0)</f>
        <v>0</v>
      </c>
      <c r="AA187" s="97">
        <f>IFERROR(VLOOKUP(E187,'RoC1'!$B$1:$C$160,2,0),0)</f>
        <v>0</v>
      </c>
      <c r="AB187" s="97">
        <f>IFERROR(VLOOKUP(G187,'RoC2'!$B$1:$C$160,2,0),0)</f>
        <v>0</v>
      </c>
      <c r="AC187" s="97">
        <f>IFERROR(VLOOKUP(I187,'RoC3'!$B$1:$C$160,2,0),0)</f>
        <v>0</v>
      </c>
      <c r="AD187" s="97">
        <f>IFERROR(VLOOKUP(K187,'RoC4'!$B$1:$C$160,2,0),0)</f>
        <v>0</v>
      </c>
      <c r="AE187" s="97">
        <f>IFERROR(VLOOKUP(M187,'RoC5'!$B$1:$C$160,2,0),0)</f>
        <v>0</v>
      </c>
      <c r="AF187" s="97">
        <f>IFERROR(VLOOKUP(O187,'RoC6'!$B$1:$C$160,2,0),0)</f>
        <v>0</v>
      </c>
      <c r="AG187" s="97">
        <f>IFERROR(VLOOKUP(Q187,'RoC7'!$B$1:$C$160,2,0),0)</f>
        <v>0</v>
      </c>
      <c r="AH187" s="97">
        <f>IFERROR(VLOOKUP(S187,'RoC8'!$B$1:$C$160,2,0),0)</f>
        <v>0</v>
      </c>
      <c r="AI187" s="97">
        <f>IFERROR(VLOOKUP(U187,'RoC9'!$B$1:$C$160,2,0),0)</f>
        <v>0</v>
      </c>
      <c r="AJ187" s="97">
        <f>IFERROR(VLOOKUP(W187,'RoC10'!$B$1:$C$160,2,0),0)</f>
        <v>0</v>
      </c>
      <c r="AK187" s="97">
        <f>IFERROR(VLOOKUP(Y187,'RoC11'!$B$1:$C$160,2,0),0)</f>
        <v>0</v>
      </c>
    </row>
    <row r="188" ht="15.75" customHeight="1">
      <c r="A188" s="92">
        <v>187.0</v>
      </c>
      <c r="B188" s="124"/>
      <c r="C188" s="93">
        <f t="shared" si="4"/>
        <v>0</v>
      </c>
      <c r="D188" s="136"/>
      <c r="E188" s="137" t="str">
        <f>IFERROR(VLOOKUP($B188,'RoC1'!$A$1:$B$160,2,0),"0")</f>
        <v>0</v>
      </c>
      <c r="F188" s="97">
        <f>IFERROR(VLOOKUP(E188,'RoC1'!$B$1:$C$160,2,0),0)</f>
        <v>0</v>
      </c>
      <c r="G188" s="137" t="str">
        <f>IFERROR(VLOOKUP($B188,'RoC2'!$A$1:$B$161,2,0),"0")</f>
        <v>0</v>
      </c>
      <c r="H188" s="97">
        <f>IFERROR(VLOOKUP(G188,'RoC2'!$B$1:$C$161,2,0),0)</f>
        <v>0</v>
      </c>
      <c r="I188" s="137">
        <f>IFERROR(VLOOKUP($B188,'RoC3'!$A$1:$B$161,2,0),0)</f>
        <v>0</v>
      </c>
      <c r="J188" s="97">
        <f>IFERROR(VLOOKUP(I188,'RoC3'!$B$1:$C$161,2,0),0)</f>
        <v>0</v>
      </c>
      <c r="K188" s="137">
        <f>IFERROR(VLOOKUP($B188,'RoC4'!$A$1:$B$161,2,0),0)</f>
        <v>0</v>
      </c>
      <c r="L188" s="97">
        <f>IFERROR(VLOOKUP(K188,'RoC4'!$B$1:$C$161,2,0),0)</f>
        <v>0</v>
      </c>
      <c r="M188" s="137">
        <f>IFERROR(VLOOKUP($B188,'RoC5'!$A$1:$B$161,2,0),0)</f>
        <v>0</v>
      </c>
      <c r="N188" s="97">
        <f>IFERROR(VLOOKUP(M188,'RoC5'!$B$1:$C$161,2,0),0)</f>
        <v>0</v>
      </c>
      <c r="O188" s="137">
        <f>IFERROR(VLOOKUP($B188,'RoC6'!$A$1:$B$161,2,0),0)</f>
        <v>0</v>
      </c>
      <c r="P188" s="97">
        <f>IFERROR(VLOOKUP(O188,'RoC6'!$B$1:$C$161,2,0),0)</f>
        <v>0</v>
      </c>
      <c r="Q188" s="137">
        <f>IFERROR(VLOOKUP($B188,'RoC7'!$A$1:$B$161,2,0),0)</f>
        <v>0</v>
      </c>
      <c r="R188" s="97">
        <f>IFERROR(VLOOKUP(Q188,'RoC7'!$B$1:$C$161,2,0),0)</f>
        <v>0</v>
      </c>
      <c r="S188" s="137">
        <f>IFERROR(VLOOKUP($B188,'RoC8'!$A$1:$B$161,2,0),0)</f>
        <v>0</v>
      </c>
      <c r="T188" s="97">
        <f>IFERROR(VLOOKUP(S188,'RoC8'!$B$1:$C$161,2,0),0)</f>
        <v>0</v>
      </c>
      <c r="U188" s="137">
        <f>IFERROR(VLOOKUP($B188,'RoC9'!$A$1:$B$161,2,0),0)</f>
        <v>0</v>
      </c>
      <c r="V188" s="97">
        <f>IFERROR(VLOOKUP(U188,'RoC9'!$B$1:$C$161,2,0),0)</f>
        <v>0</v>
      </c>
      <c r="W188" s="137">
        <f>IFERROR(VLOOKUP($B188,'RoC10'!$A$1:$B$161,2,0),0)</f>
        <v>0</v>
      </c>
      <c r="X188" s="97">
        <f>IFERROR(VLOOKUP(W188,'RoC10'!$B$1:$C$161,2,0),0)</f>
        <v>0</v>
      </c>
      <c r="Y188" s="137">
        <f>IFERROR(VLOOKUP($B188,'RoC11'!$A$1:$B$161,2,0),0)</f>
        <v>0</v>
      </c>
      <c r="Z188" s="97">
        <f>IFERROR(VLOOKUP(Y188,'RoC11'!$B$1:$C$161,2,0),0)</f>
        <v>0</v>
      </c>
      <c r="AA188" s="97">
        <f>IFERROR(VLOOKUP(E188,'RoC1'!$B$1:$C$160,2,0),0)</f>
        <v>0</v>
      </c>
      <c r="AB188" s="97">
        <f>IFERROR(VLOOKUP(G188,'RoC2'!$B$1:$C$160,2,0),0)</f>
        <v>0</v>
      </c>
      <c r="AC188" s="97">
        <f>IFERROR(VLOOKUP(I188,'RoC3'!$B$1:$C$160,2,0),0)</f>
        <v>0</v>
      </c>
      <c r="AD188" s="97">
        <f>IFERROR(VLOOKUP(K188,'RoC4'!$B$1:$C$160,2,0),0)</f>
        <v>0</v>
      </c>
      <c r="AE188" s="97">
        <f>IFERROR(VLOOKUP(M188,'RoC5'!$B$1:$C$160,2,0),0)</f>
        <v>0</v>
      </c>
      <c r="AF188" s="97">
        <f>IFERROR(VLOOKUP(O188,'RoC6'!$B$1:$C$160,2,0),0)</f>
        <v>0</v>
      </c>
      <c r="AG188" s="97">
        <f>IFERROR(VLOOKUP(Q188,'RoC7'!$B$1:$C$160,2,0),0)</f>
        <v>0</v>
      </c>
      <c r="AH188" s="97">
        <f>IFERROR(VLOOKUP(S188,'RoC8'!$B$1:$C$160,2,0),0)</f>
        <v>0</v>
      </c>
      <c r="AI188" s="97">
        <f>IFERROR(VLOOKUP(U188,'RoC9'!$B$1:$C$160,2,0),0)</f>
        <v>0</v>
      </c>
      <c r="AJ188" s="97">
        <f>IFERROR(VLOOKUP(W188,'RoC10'!$B$1:$C$160,2,0),0)</f>
        <v>0</v>
      </c>
      <c r="AK188" s="97">
        <f>IFERROR(VLOOKUP(Y188,'RoC11'!$B$1:$C$160,2,0),0)</f>
        <v>0</v>
      </c>
    </row>
    <row r="189" ht="15.75" customHeight="1">
      <c r="A189" s="135">
        <v>188.0</v>
      </c>
      <c r="B189" s="124"/>
      <c r="C189" s="93">
        <f t="shared" si="4"/>
        <v>0</v>
      </c>
      <c r="D189" s="136"/>
      <c r="E189" s="137" t="str">
        <f>IFERROR(VLOOKUP($B189,'RoC1'!$A$1:$B$160,2,0),"0")</f>
        <v>0</v>
      </c>
      <c r="F189" s="97">
        <f>IFERROR(VLOOKUP(E189,'RoC1'!$B$1:$C$160,2,0),0)</f>
        <v>0</v>
      </c>
      <c r="G189" s="137" t="str">
        <f>IFERROR(VLOOKUP($B189,'RoC2'!$A$1:$B$161,2,0),"0")</f>
        <v>0</v>
      </c>
      <c r="H189" s="97">
        <f>IFERROR(VLOOKUP(G189,'RoC2'!$B$1:$C$161,2,0),0)</f>
        <v>0</v>
      </c>
      <c r="I189" s="137">
        <f>IFERROR(VLOOKUP($B189,'RoC3'!$A$1:$B$161,2,0),0)</f>
        <v>0</v>
      </c>
      <c r="J189" s="97">
        <f>IFERROR(VLOOKUP(I189,'RoC3'!$B$1:$C$161,2,0),0)</f>
        <v>0</v>
      </c>
      <c r="K189" s="137">
        <f>IFERROR(VLOOKUP($B189,'RoC4'!$A$1:$B$161,2,0),0)</f>
        <v>0</v>
      </c>
      <c r="L189" s="97">
        <f>IFERROR(VLOOKUP(K189,'RoC4'!$B$1:$C$161,2,0),0)</f>
        <v>0</v>
      </c>
      <c r="M189" s="137">
        <f>IFERROR(VLOOKUP($B189,'RoC5'!$A$1:$B$161,2,0),0)</f>
        <v>0</v>
      </c>
      <c r="N189" s="97">
        <f>IFERROR(VLOOKUP(M189,'RoC5'!$B$1:$C$161,2,0),0)</f>
        <v>0</v>
      </c>
      <c r="O189" s="137">
        <f>IFERROR(VLOOKUP($B189,'RoC6'!$A$1:$B$161,2,0),0)</f>
        <v>0</v>
      </c>
      <c r="P189" s="97">
        <f>IFERROR(VLOOKUP(O189,'RoC6'!$B$1:$C$161,2,0),0)</f>
        <v>0</v>
      </c>
      <c r="Q189" s="137">
        <f>IFERROR(VLOOKUP($B189,'RoC7'!$A$1:$B$161,2,0),0)</f>
        <v>0</v>
      </c>
      <c r="R189" s="97">
        <f>IFERROR(VLOOKUP(Q189,'RoC7'!$B$1:$C$161,2,0),0)</f>
        <v>0</v>
      </c>
      <c r="S189" s="137">
        <f>IFERROR(VLOOKUP($B189,'RoC8'!$A$1:$B$161,2,0),0)</f>
        <v>0</v>
      </c>
      <c r="T189" s="97">
        <f>IFERROR(VLOOKUP(S189,'RoC8'!$B$1:$C$161,2,0),0)</f>
        <v>0</v>
      </c>
      <c r="U189" s="137">
        <f>IFERROR(VLOOKUP($B189,'RoC9'!$A$1:$B$161,2,0),0)</f>
        <v>0</v>
      </c>
      <c r="V189" s="97">
        <f>IFERROR(VLOOKUP(U189,'RoC9'!$B$1:$C$161,2,0),0)</f>
        <v>0</v>
      </c>
      <c r="W189" s="137">
        <f>IFERROR(VLOOKUP($B189,'RoC10'!$A$1:$B$161,2,0),0)</f>
        <v>0</v>
      </c>
      <c r="X189" s="97">
        <f>IFERROR(VLOOKUP(W189,'RoC10'!$B$1:$C$161,2,0),0)</f>
        <v>0</v>
      </c>
      <c r="Y189" s="137">
        <f>IFERROR(VLOOKUP($B189,'RoC11'!$A$1:$B$161,2,0),0)</f>
        <v>0</v>
      </c>
      <c r="Z189" s="97">
        <f>IFERROR(VLOOKUP(Y189,'RoC11'!$B$1:$C$161,2,0),0)</f>
        <v>0</v>
      </c>
      <c r="AA189" s="97">
        <f>IFERROR(VLOOKUP(E189,'RoC1'!$B$1:$C$160,2,0),0)</f>
        <v>0</v>
      </c>
      <c r="AB189" s="97">
        <f>IFERROR(VLOOKUP(G189,'RoC2'!$B$1:$C$160,2,0),0)</f>
        <v>0</v>
      </c>
      <c r="AC189" s="97">
        <f>IFERROR(VLOOKUP(I189,'RoC3'!$B$1:$C$160,2,0),0)</f>
        <v>0</v>
      </c>
      <c r="AD189" s="97">
        <f>IFERROR(VLOOKUP(K189,'RoC4'!$B$1:$C$160,2,0),0)</f>
        <v>0</v>
      </c>
      <c r="AE189" s="97">
        <f>IFERROR(VLOOKUP(M189,'RoC5'!$B$1:$C$160,2,0),0)</f>
        <v>0</v>
      </c>
      <c r="AF189" s="97">
        <f>IFERROR(VLOOKUP(O189,'RoC6'!$B$1:$C$160,2,0),0)</f>
        <v>0</v>
      </c>
      <c r="AG189" s="97">
        <f>IFERROR(VLOOKUP(Q189,'RoC7'!$B$1:$C$160,2,0),0)</f>
        <v>0</v>
      </c>
      <c r="AH189" s="97">
        <f>IFERROR(VLOOKUP(S189,'RoC8'!$B$1:$C$160,2,0),0)</f>
        <v>0</v>
      </c>
      <c r="AI189" s="97">
        <f>IFERROR(VLOOKUP(U189,'RoC9'!$B$1:$C$160,2,0),0)</f>
        <v>0</v>
      </c>
      <c r="AJ189" s="97">
        <f>IFERROR(VLOOKUP(W189,'RoC10'!$B$1:$C$160,2,0),0)</f>
        <v>0</v>
      </c>
      <c r="AK189" s="97">
        <f>IFERROR(VLOOKUP(Y189,'RoC11'!$B$1:$C$160,2,0),0)</f>
        <v>0</v>
      </c>
    </row>
    <row r="190" ht="15.75" customHeight="1">
      <c r="A190" s="92">
        <v>189.0</v>
      </c>
      <c r="B190" s="124"/>
      <c r="C190" s="93">
        <f t="shared" si="4"/>
        <v>0</v>
      </c>
      <c r="D190" s="136"/>
      <c r="E190" s="137" t="str">
        <f>IFERROR(VLOOKUP($B190,'RoC1'!$A$1:$B$160,2,0),"0")</f>
        <v>0</v>
      </c>
      <c r="F190" s="97">
        <f>IFERROR(VLOOKUP(E190,'RoC1'!$B$1:$C$160,2,0),0)</f>
        <v>0</v>
      </c>
      <c r="G190" s="137" t="str">
        <f>IFERROR(VLOOKUP($B190,'RoC2'!$A$1:$B$161,2,0),"0")</f>
        <v>0</v>
      </c>
      <c r="H190" s="97">
        <f>IFERROR(VLOOKUP(G190,'RoC2'!$B$1:$C$161,2,0),0)</f>
        <v>0</v>
      </c>
      <c r="I190" s="137">
        <f>IFERROR(VLOOKUP($B190,'RoC3'!$A$1:$B$161,2,0),0)</f>
        <v>0</v>
      </c>
      <c r="J190" s="97">
        <f>IFERROR(VLOOKUP(I190,'RoC3'!$B$1:$C$161,2,0),0)</f>
        <v>0</v>
      </c>
      <c r="K190" s="137">
        <f>IFERROR(VLOOKUP($B190,'RoC4'!$A$1:$B$161,2,0),0)</f>
        <v>0</v>
      </c>
      <c r="L190" s="97">
        <f>IFERROR(VLOOKUP(K190,'RoC4'!$B$1:$C$161,2,0),0)</f>
        <v>0</v>
      </c>
      <c r="M190" s="137">
        <f>IFERROR(VLOOKUP($B190,'RoC5'!$A$1:$B$161,2,0),0)</f>
        <v>0</v>
      </c>
      <c r="N190" s="97">
        <f>IFERROR(VLOOKUP(M190,'RoC5'!$B$1:$C$161,2,0),0)</f>
        <v>0</v>
      </c>
      <c r="O190" s="137">
        <f>IFERROR(VLOOKUP($B190,'RoC6'!$A$1:$B$161,2,0),0)</f>
        <v>0</v>
      </c>
      <c r="P190" s="97">
        <f>IFERROR(VLOOKUP(O190,'RoC6'!$B$1:$C$161,2,0),0)</f>
        <v>0</v>
      </c>
      <c r="Q190" s="137">
        <f>IFERROR(VLOOKUP($B190,'RoC7'!$A$1:$B$161,2,0),0)</f>
        <v>0</v>
      </c>
      <c r="R190" s="97">
        <f>IFERROR(VLOOKUP(Q190,'RoC7'!$B$1:$C$161,2,0),0)</f>
        <v>0</v>
      </c>
      <c r="S190" s="137">
        <f>IFERROR(VLOOKUP($B190,'RoC8'!$A$1:$B$161,2,0),0)</f>
        <v>0</v>
      </c>
      <c r="T190" s="97">
        <f>IFERROR(VLOOKUP(S190,'RoC8'!$B$1:$C$161,2,0),0)</f>
        <v>0</v>
      </c>
      <c r="U190" s="137">
        <f>IFERROR(VLOOKUP($B190,'RoC9'!$A$1:$B$161,2,0),0)</f>
        <v>0</v>
      </c>
      <c r="V190" s="97">
        <f>IFERROR(VLOOKUP(U190,'RoC9'!$B$1:$C$161,2,0),0)</f>
        <v>0</v>
      </c>
      <c r="W190" s="137">
        <f>IFERROR(VLOOKUP($B190,'RoC10'!$A$1:$B$161,2,0),0)</f>
        <v>0</v>
      </c>
      <c r="X190" s="97">
        <f>IFERROR(VLOOKUP(W190,'RoC10'!$B$1:$C$161,2,0),0)</f>
        <v>0</v>
      </c>
      <c r="Y190" s="137">
        <f>IFERROR(VLOOKUP($B190,'RoC11'!$A$1:$B$161,2,0),0)</f>
        <v>0</v>
      </c>
      <c r="Z190" s="97">
        <f>IFERROR(VLOOKUP(Y190,'RoC11'!$B$1:$C$161,2,0),0)</f>
        <v>0</v>
      </c>
      <c r="AA190" s="97">
        <f>IFERROR(VLOOKUP(E190,'RoC1'!$B$1:$C$160,2,0),0)</f>
        <v>0</v>
      </c>
      <c r="AB190" s="97">
        <f>IFERROR(VLOOKUP(G190,'RoC2'!$B$1:$C$160,2,0),0)</f>
        <v>0</v>
      </c>
      <c r="AC190" s="97">
        <f>IFERROR(VLOOKUP(I190,'RoC3'!$B$1:$C$160,2,0),0)</f>
        <v>0</v>
      </c>
      <c r="AD190" s="97">
        <f>IFERROR(VLOOKUP(K190,'RoC4'!$B$1:$C$160,2,0),0)</f>
        <v>0</v>
      </c>
      <c r="AE190" s="97">
        <f>IFERROR(VLOOKUP(M190,'RoC5'!$B$1:$C$160,2,0),0)</f>
        <v>0</v>
      </c>
      <c r="AF190" s="97">
        <f>IFERROR(VLOOKUP(O190,'RoC6'!$B$1:$C$160,2,0),0)</f>
        <v>0</v>
      </c>
      <c r="AG190" s="97">
        <f>IFERROR(VLOOKUP(Q190,'RoC7'!$B$1:$C$160,2,0),0)</f>
        <v>0</v>
      </c>
      <c r="AH190" s="97">
        <f>IFERROR(VLOOKUP(S190,'RoC8'!$B$1:$C$160,2,0),0)</f>
        <v>0</v>
      </c>
      <c r="AI190" s="97">
        <f>IFERROR(VLOOKUP(U190,'RoC9'!$B$1:$C$160,2,0),0)</f>
        <v>0</v>
      </c>
      <c r="AJ190" s="97">
        <f>IFERROR(VLOOKUP(W190,'RoC10'!$B$1:$C$160,2,0),0)</f>
        <v>0</v>
      </c>
      <c r="AK190" s="97">
        <f>IFERROR(VLOOKUP(Y190,'RoC11'!$B$1:$C$160,2,0),0)</f>
        <v>0</v>
      </c>
    </row>
    <row r="191" ht="15.75" customHeight="1">
      <c r="A191" s="135">
        <v>190.0</v>
      </c>
      <c r="B191" s="124"/>
      <c r="C191" s="93">
        <f t="shared" si="4"/>
        <v>0</v>
      </c>
      <c r="D191" s="136"/>
      <c r="E191" s="137" t="str">
        <f>IFERROR(VLOOKUP($B191,'RoC1'!$A$1:$B$160,2,0),"0")</f>
        <v>0</v>
      </c>
      <c r="F191" s="97">
        <f>IFERROR(VLOOKUP(E191,'RoC1'!$B$1:$C$160,2,0),0)</f>
        <v>0</v>
      </c>
      <c r="G191" s="137" t="str">
        <f>IFERROR(VLOOKUP($B191,'RoC2'!$A$1:$B$161,2,0),"0")</f>
        <v>0</v>
      </c>
      <c r="H191" s="97">
        <f>IFERROR(VLOOKUP(G191,'RoC2'!$B$1:$C$161,2,0),0)</f>
        <v>0</v>
      </c>
      <c r="I191" s="137">
        <f>IFERROR(VLOOKUP($B191,'RoC3'!$A$1:$B$161,2,0),0)</f>
        <v>0</v>
      </c>
      <c r="J191" s="97">
        <f>IFERROR(VLOOKUP(I191,'RoC3'!$B$1:$C$161,2,0),0)</f>
        <v>0</v>
      </c>
      <c r="K191" s="137">
        <f>IFERROR(VLOOKUP($B191,'RoC4'!$A$1:$B$161,2,0),0)</f>
        <v>0</v>
      </c>
      <c r="L191" s="97">
        <f>IFERROR(VLOOKUP(K191,'RoC4'!$B$1:$C$161,2,0),0)</f>
        <v>0</v>
      </c>
      <c r="M191" s="137">
        <f>IFERROR(VLOOKUP($B191,'RoC5'!$A$1:$B$161,2,0),0)</f>
        <v>0</v>
      </c>
      <c r="N191" s="97">
        <f>IFERROR(VLOOKUP(M191,'RoC5'!$B$1:$C$161,2,0),0)</f>
        <v>0</v>
      </c>
      <c r="O191" s="137">
        <f>IFERROR(VLOOKUP($B191,'RoC6'!$A$1:$B$161,2,0),0)</f>
        <v>0</v>
      </c>
      <c r="P191" s="97">
        <f>IFERROR(VLOOKUP(O191,'RoC6'!$B$1:$C$161,2,0),0)</f>
        <v>0</v>
      </c>
      <c r="Q191" s="137">
        <f>IFERROR(VLOOKUP($B191,'RoC7'!$A$1:$B$161,2,0),0)</f>
        <v>0</v>
      </c>
      <c r="R191" s="97">
        <f>IFERROR(VLOOKUP(Q191,'RoC7'!$B$1:$C$161,2,0),0)</f>
        <v>0</v>
      </c>
      <c r="S191" s="137">
        <f>IFERROR(VLOOKUP($B191,'RoC8'!$A$1:$B$161,2,0),0)</f>
        <v>0</v>
      </c>
      <c r="T191" s="97">
        <f>IFERROR(VLOOKUP(S191,'RoC8'!$B$1:$C$161,2,0),0)</f>
        <v>0</v>
      </c>
      <c r="U191" s="137">
        <f>IFERROR(VLOOKUP($B191,'RoC9'!$A$1:$B$161,2,0),0)</f>
        <v>0</v>
      </c>
      <c r="V191" s="97">
        <f>IFERROR(VLOOKUP(U191,'RoC9'!$B$1:$C$161,2,0),0)</f>
        <v>0</v>
      </c>
      <c r="W191" s="137">
        <f>IFERROR(VLOOKUP($B191,'RoC10'!$A$1:$B$161,2,0),0)</f>
        <v>0</v>
      </c>
      <c r="X191" s="97">
        <f>IFERROR(VLOOKUP(W191,'RoC10'!$B$1:$C$161,2,0),0)</f>
        <v>0</v>
      </c>
      <c r="Y191" s="137">
        <f>IFERROR(VLOOKUP($B191,'RoC11'!$A$1:$B$161,2,0),0)</f>
        <v>0</v>
      </c>
      <c r="Z191" s="97">
        <f>IFERROR(VLOOKUP(Y191,'RoC11'!$B$1:$C$161,2,0),0)</f>
        <v>0</v>
      </c>
      <c r="AA191" s="97">
        <f>IFERROR(VLOOKUP(E191,'RoC1'!$B$1:$C$160,2,0),0)</f>
        <v>0</v>
      </c>
      <c r="AB191" s="97">
        <f>IFERROR(VLOOKUP(G191,'RoC2'!$B$1:$C$160,2,0),0)</f>
        <v>0</v>
      </c>
      <c r="AC191" s="97">
        <f>IFERROR(VLOOKUP(I191,'RoC3'!$B$1:$C$160,2,0),0)</f>
        <v>0</v>
      </c>
      <c r="AD191" s="97">
        <f>IFERROR(VLOOKUP(K191,'RoC4'!$B$1:$C$160,2,0),0)</f>
        <v>0</v>
      </c>
      <c r="AE191" s="97">
        <f>IFERROR(VLOOKUP(M191,'RoC5'!$B$1:$C$160,2,0),0)</f>
        <v>0</v>
      </c>
      <c r="AF191" s="97">
        <f>IFERROR(VLOOKUP(O191,'RoC6'!$B$1:$C$160,2,0),0)</f>
        <v>0</v>
      </c>
      <c r="AG191" s="97">
        <f>IFERROR(VLOOKUP(Q191,'RoC7'!$B$1:$C$160,2,0),0)</f>
        <v>0</v>
      </c>
      <c r="AH191" s="97">
        <f>IFERROR(VLOOKUP(S191,'RoC8'!$B$1:$C$160,2,0),0)</f>
        <v>0</v>
      </c>
      <c r="AI191" s="97">
        <f>IFERROR(VLOOKUP(U191,'RoC9'!$B$1:$C$160,2,0),0)</f>
        <v>0</v>
      </c>
      <c r="AJ191" s="97">
        <f>IFERROR(VLOOKUP(W191,'RoC10'!$B$1:$C$160,2,0),0)</f>
        <v>0</v>
      </c>
      <c r="AK191" s="97">
        <f>IFERROR(VLOOKUP(Y191,'RoC11'!$B$1:$C$160,2,0),0)</f>
        <v>0</v>
      </c>
    </row>
    <row r="192" ht="15.75" customHeight="1">
      <c r="A192" s="92">
        <v>191.0</v>
      </c>
      <c r="B192" s="124"/>
      <c r="C192" s="93">
        <f t="shared" si="4"/>
        <v>0</v>
      </c>
      <c r="D192" s="136"/>
      <c r="E192" s="137" t="str">
        <f>IFERROR(VLOOKUP($B192,'RoC1'!$A$1:$B$160,2,0),"0")</f>
        <v>0</v>
      </c>
      <c r="F192" s="97">
        <f>IFERROR(VLOOKUP(E192,'RoC1'!$B$1:$C$160,2,0),0)</f>
        <v>0</v>
      </c>
      <c r="G192" s="137" t="str">
        <f>IFERROR(VLOOKUP($B192,'RoC2'!$A$1:$B$161,2,0),"0")</f>
        <v>0</v>
      </c>
      <c r="H192" s="97">
        <f>IFERROR(VLOOKUP(G192,'RoC2'!$B$1:$C$161,2,0),0)</f>
        <v>0</v>
      </c>
      <c r="I192" s="137">
        <f>IFERROR(VLOOKUP($B192,'RoC3'!$A$1:$B$161,2,0),0)</f>
        <v>0</v>
      </c>
      <c r="J192" s="97">
        <f>IFERROR(VLOOKUP(I192,'RoC3'!$B$1:$C$161,2,0),0)</f>
        <v>0</v>
      </c>
      <c r="K192" s="137">
        <f>IFERROR(VLOOKUP($B192,'RoC4'!$A$1:$B$161,2,0),0)</f>
        <v>0</v>
      </c>
      <c r="L192" s="97">
        <f>IFERROR(VLOOKUP(K192,'RoC4'!$B$1:$C$161,2,0),0)</f>
        <v>0</v>
      </c>
      <c r="M192" s="137">
        <f>IFERROR(VLOOKUP($B192,'RoC5'!$A$1:$B$161,2,0),0)</f>
        <v>0</v>
      </c>
      <c r="N192" s="97">
        <f>IFERROR(VLOOKUP(M192,'RoC5'!$B$1:$C$161,2,0),0)</f>
        <v>0</v>
      </c>
      <c r="O192" s="137">
        <f>IFERROR(VLOOKUP($B192,'RoC6'!$A$1:$B$161,2,0),0)</f>
        <v>0</v>
      </c>
      <c r="P192" s="97">
        <f>IFERROR(VLOOKUP(O192,'RoC6'!$B$1:$C$161,2,0),0)</f>
        <v>0</v>
      </c>
      <c r="Q192" s="137">
        <f>IFERROR(VLOOKUP($B192,'RoC7'!$A$1:$B$161,2,0),0)</f>
        <v>0</v>
      </c>
      <c r="R192" s="97">
        <f>IFERROR(VLOOKUP(Q192,'RoC7'!$B$1:$C$161,2,0),0)</f>
        <v>0</v>
      </c>
      <c r="S192" s="137">
        <f>IFERROR(VLOOKUP($B192,'RoC8'!$A$1:$B$161,2,0),0)</f>
        <v>0</v>
      </c>
      <c r="T192" s="97">
        <f>IFERROR(VLOOKUP(S192,'RoC8'!$B$1:$C$161,2,0),0)</f>
        <v>0</v>
      </c>
      <c r="U192" s="137">
        <f>IFERROR(VLOOKUP($B192,'RoC9'!$A$1:$B$161,2,0),0)</f>
        <v>0</v>
      </c>
      <c r="V192" s="97">
        <f>IFERROR(VLOOKUP(U192,'RoC9'!$B$1:$C$161,2,0),0)</f>
        <v>0</v>
      </c>
      <c r="W192" s="137">
        <f>IFERROR(VLOOKUP($B192,'RoC10'!$A$1:$B$161,2,0),0)</f>
        <v>0</v>
      </c>
      <c r="X192" s="97">
        <f>IFERROR(VLOOKUP(W192,'RoC10'!$B$1:$C$161,2,0),0)</f>
        <v>0</v>
      </c>
      <c r="Y192" s="137">
        <f>IFERROR(VLOOKUP($B192,'RoC11'!$A$1:$B$161,2,0),0)</f>
        <v>0</v>
      </c>
      <c r="Z192" s="97">
        <f>IFERROR(VLOOKUP(Y192,'RoC11'!$B$1:$C$161,2,0),0)</f>
        <v>0</v>
      </c>
      <c r="AA192" s="97">
        <f>IFERROR(VLOOKUP(E192,'RoC1'!$B$1:$C$160,2,0),0)</f>
        <v>0</v>
      </c>
      <c r="AB192" s="97">
        <f>IFERROR(VLOOKUP(G192,'RoC2'!$B$1:$C$160,2,0),0)</f>
        <v>0</v>
      </c>
      <c r="AC192" s="97">
        <f>IFERROR(VLOOKUP(I192,'RoC3'!$B$1:$C$160,2,0),0)</f>
        <v>0</v>
      </c>
      <c r="AD192" s="97">
        <f>IFERROR(VLOOKUP(K192,'RoC4'!$B$1:$C$160,2,0),0)</f>
        <v>0</v>
      </c>
      <c r="AE192" s="97">
        <f>IFERROR(VLOOKUP(M192,'RoC5'!$B$1:$C$160,2,0),0)</f>
        <v>0</v>
      </c>
      <c r="AF192" s="97">
        <f>IFERROR(VLOOKUP(O192,'RoC6'!$B$1:$C$160,2,0),0)</f>
        <v>0</v>
      </c>
      <c r="AG192" s="97">
        <f>IFERROR(VLOOKUP(Q192,'RoC7'!$B$1:$C$160,2,0),0)</f>
        <v>0</v>
      </c>
      <c r="AH192" s="97">
        <f>IFERROR(VLOOKUP(S192,'RoC8'!$B$1:$C$160,2,0),0)</f>
        <v>0</v>
      </c>
      <c r="AI192" s="97">
        <f>IFERROR(VLOOKUP(U192,'RoC9'!$B$1:$C$160,2,0),0)</f>
        <v>0</v>
      </c>
      <c r="AJ192" s="97">
        <f>IFERROR(VLOOKUP(W192,'RoC10'!$B$1:$C$160,2,0),0)</f>
        <v>0</v>
      </c>
      <c r="AK192" s="97">
        <f>IFERROR(VLOOKUP(Y192,'RoC11'!$B$1:$C$160,2,0),0)</f>
        <v>0</v>
      </c>
    </row>
    <row r="193" ht="15.75" customHeight="1">
      <c r="A193" s="135">
        <v>192.0</v>
      </c>
      <c r="B193" s="124"/>
      <c r="C193" s="93">
        <f t="shared" si="4"/>
        <v>0</v>
      </c>
      <c r="D193" s="136"/>
      <c r="E193" s="137" t="str">
        <f>IFERROR(VLOOKUP($B193,'RoC1'!$A$1:$B$160,2,0),"0")</f>
        <v>0</v>
      </c>
      <c r="F193" s="97">
        <f>IFERROR(VLOOKUP(E193,'RoC1'!$B$1:$C$160,2,0),0)</f>
        <v>0</v>
      </c>
      <c r="G193" s="137" t="str">
        <f>IFERROR(VLOOKUP($B193,'RoC2'!$A$1:$B$161,2,0),"0")</f>
        <v>0</v>
      </c>
      <c r="H193" s="97">
        <f>IFERROR(VLOOKUP(G193,'RoC2'!$B$1:$C$161,2,0),0)</f>
        <v>0</v>
      </c>
      <c r="I193" s="137">
        <f>IFERROR(VLOOKUP($B193,'RoC3'!$A$1:$B$161,2,0),0)</f>
        <v>0</v>
      </c>
      <c r="J193" s="97">
        <f>IFERROR(VLOOKUP(I193,'RoC3'!$B$1:$C$161,2,0),0)</f>
        <v>0</v>
      </c>
      <c r="K193" s="137">
        <f>IFERROR(VLOOKUP($B193,'RoC4'!$A$1:$B$161,2,0),0)</f>
        <v>0</v>
      </c>
      <c r="L193" s="97">
        <f>IFERROR(VLOOKUP(K193,'RoC4'!$B$1:$C$161,2,0),0)</f>
        <v>0</v>
      </c>
      <c r="M193" s="137">
        <f>IFERROR(VLOOKUP($B193,'RoC5'!$A$1:$B$161,2,0),0)</f>
        <v>0</v>
      </c>
      <c r="N193" s="97">
        <f>IFERROR(VLOOKUP(M193,'RoC5'!$B$1:$C$161,2,0),0)</f>
        <v>0</v>
      </c>
      <c r="O193" s="137">
        <f>IFERROR(VLOOKUP($B193,'RoC6'!$A$1:$B$161,2,0),0)</f>
        <v>0</v>
      </c>
      <c r="P193" s="97">
        <f>IFERROR(VLOOKUP(O193,'RoC6'!$B$1:$C$161,2,0),0)</f>
        <v>0</v>
      </c>
      <c r="Q193" s="137">
        <f>IFERROR(VLOOKUP($B193,'RoC7'!$A$1:$B$161,2,0),0)</f>
        <v>0</v>
      </c>
      <c r="R193" s="97">
        <f>IFERROR(VLOOKUP(Q193,'RoC7'!$B$1:$C$161,2,0),0)</f>
        <v>0</v>
      </c>
      <c r="S193" s="137">
        <f>IFERROR(VLOOKUP($B193,'RoC8'!$A$1:$B$161,2,0),0)</f>
        <v>0</v>
      </c>
      <c r="T193" s="97">
        <f>IFERROR(VLOOKUP(S193,'RoC8'!$B$1:$C$161,2,0),0)</f>
        <v>0</v>
      </c>
      <c r="U193" s="137">
        <f>IFERROR(VLOOKUP($B193,'RoC9'!$A$1:$B$161,2,0),0)</f>
        <v>0</v>
      </c>
      <c r="V193" s="97">
        <f>IFERROR(VLOOKUP(U193,'RoC9'!$B$1:$C$161,2,0),0)</f>
        <v>0</v>
      </c>
      <c r="W193" s="137">
        <f>IFERROR(VLOOKUP($B193,'RoC10'!$A$1:$B$161,2,0),0)</f>
        <v>0</v>
      </c>
      <c r="X193" s="97">
        <f>IFERROR(VLOOKUP(W193,'RoC10'!$B$1:$C$161,2,0),0)</f>
        <v>0</v>
      </c>
      <c r="Y193" s="137">
        <f>IFERROR(VLOOKUP($B193,'RoC11'!$A$1:$B$161,2,0),0)</f>
        <v>0</v>
      </c>
      <c r="Z193" s="97">
        <f>IFERROR(VLOOKUP(Y193,'RoC11'!$B$1:$C$161,2,0),0)</f>
        <v>0</v>
      </c>
      <c r="AA193" s="97">
        <f>IFERROR(VLOOKUP(E193,'RoC1'!$B$1:$C$160,2,0),0)</f>
        <v>0</v>
      </c>
      <c r="AB193" s="97">
        <f>IFERROR(VLOOKUP(G193,'RoC2'!$B$1:$C$160,2,0),0)</f>
        <v>0</v>
      </c>
      <c r="AC193" s="97">
        <f>IFERROR(VLOOKUP(I193,'RoC3'!$B$1:$C$160,2,0),0)</f>
        <v>0</v>
      </c>
      <c r="AD193" s="97">
        <f>IFERROR(VLOOKUP(K193,'RoC4'!$B$1:$C$160,2,0),0)</f>
        <v>0</v>
      </c>
      <c r="AE193" s="97">
        <f>IFERROR(VLOOKUP(M193,'RoC5'!$B$1:$C$160,2,0),0)</f>
        <v>0</v>
      </c>
      <c r="AF193" s="97">
        <f>IFERROR(VLOOKUP(O193,'RoC6'!$B$1:$C$160,2,0),0)</f>
        <v>0</v>
      </c>
      <c r="AG193" s="97">
        <f>IFERROR(VLOOKUP(Q193,'RoC7'!$B$1:$C$160,2,0),0)</f>
        <v>0</v>
      </c>
      <c r="AH193" s="97">
        <f>IFERROR(VLOOKUP(S193,'RoC8'!$B$1:$C$160,2,0),0)</f>
        <v>0</v>
      </c>
      <c r="AI193" s="97">
        <f>IFERROR(VLOOKUP(U193,'RoC9'!$B$1:$C$160,2,0),0)</f>
        <v>0</v>
      </c>
      <c r="AJ193" s="97">
        <f>IFERROR(VLOOKUP(W193,'RoC10'!$B$1:$C$160,2,0),0)</f>
        <v>0</v>
      </c>
      <c r="AK193" s="97">
        <f>IFERROR(VLOOKUP(Y193,'RoC11'!$B$1:$C$160,2,0),0)</f>
        <v>0</v>
      </c>
    </row>
    <row r="194" ht="15.75" customHeight="1">
      <c r="A194" s="92">
        <v>193.0</v>
      </c>
      <c r="B194" s="124"/>
      <c r="C194" s="93">
        <f t="shared" si="4"/>
        <v>0</v>
      </c>
      <c r="D194" s="136"/>
      <c r="E194" s="137" t="str">
        <f>IFERROR(VLOOKUP($B194,'RoC1'!$A$1:$B$160,2,0),"0")</f>
        <v>0</v>
      </c>
      <c r="F194" s="97">
        <f>IFERROR(VLOOKUP(E194,'RoC1'!$B$1:$C$160,2,0),0)</f>
        <v>0</v>
      </c>
      <c r="G194" s="137" t="str">
        <f>IFERROR(VLOOKUP($B194,'RoC2'!$A$1:$B$161,2,0),"0")</f>
        <v>0</v>
      </c>
      <c r="H194" s="97">
        <f>IFERROR(VLOOKUP(G194,'RoC2'!$B$1:$C$161,2,0),0)</f>
        <v>0</v>
      </c>
      <c r="I194" s="137">
        <f>IFERROR(VLOOKUP($B194,'RoC3'!$A$1:$B$161,2,0),0)</f>
        <v>0</v>
      </c>
      <c r="J194" s="97">
        <f>IFERROR(VLOOKUP(I194,'RoC3'!$B$1:$C$161,2,0),0)</f>
        <v>0</v>
      </c>
      <c r="K194" s="137">
        <f>IFERROR(VLOOKUP($B194,'RoC4'!$A$1:$B$161,2,0),0)</f>
        <v>0</v>
      </c>
      <c r="L194" s="97">
        <f>IFERROR(VLOOKUP(K194,'RoC4'!$B$1:$C$161,2,0),0)</f>
        <v>0</v>
      </c>
      <c r="M194" s="137">
        <f>IFERROR(VLOOKUP($B194,'RoC5'!$A$1:$B$161,2,0),0)</f>
        <v>0</v>
      </c>
      <c r="N194" s="97">
        <f>IFERROR(VLOOKUP(M194,'RoC5'!$B$1:$C$161,2,0),0)</f>
        <v>0</v>
      </c>
      <c r="O194" s="137">
        <f>IFERROR(VLOOKUP($B194,'RoC6'!$A$1:$B$161,2,0),0)</f>
        <v>0</v>
      </c>
      <c r="P194" s="97">
        <f>IFERROR(VLOOKUP(O194,'RoC6'!$B$1:$C$161,2,0),0)</f>
        <v>0</v>
      </c>
      <c r="Q194" s="137">
        <f>IFERROR(VLOOKUP($B194,'RoC7'!$A$1:$B$161,2,0),0)</f>
        <v>0</v>
      </c>
      <c r="R194" s="97">
        <f>IFERROR(VLOOKUP(Q194,'RoC7'!$B$1:$C$161,2,0),0)</f>
        <v>0</v>
      </c>
      <c r="S194" s="137">
        <f>IFERROR(VLOOKUP($B194,'RoC8'!$A$1:$B$161,2,0),0)</f>
        <v>0</v>
      </c>
      <c r="T194" s="97">
        <f>IFERROR(VLOOKUP(S194,'RoC8'!$B$1:$C$161,2,0),0)</f>
        <v>0</v>
      </c>
      <c r="U194" s="137">
        <f>IFERROR(VLOOKUP($B194,'RoC9'!$A$1:$B$161,2,0),0)</f>
        <v>0</v>
      </c>
      <c r="V194" s="97">
        <f>IFERROR(VLOOKUP(U194,'RoC9'!$B$1:$C$161,2,0),0)</f>
        <v>0</v>
      </c>
      <c r="W194" s="137">
        <f>IFERROR(VLOOKUP($B194,'RoC10'!$A$1:$B$161,2,0),0)</f>
        <v>0</v>
      </c>
      <c r="X194" s="97">
        <f>IFERROR(VLOOKUP(W194,'RoC10'!$B$1:$C$161,2,0),0)</f>
        <v>0</v>
      </c>
      <c r="Y194" s="137">
        <f>IFERROR(VLOOKUP($B194,'RoC11'!$A$1:$B$161,2,0),0)</f>
        <v>0</v>
      </c>
      <c r="Z194" s="97">
        <f>IFERROR(VLOOKUP(Y194,'RoC11'!$B$1:$C$161,2,0),0)</f>
        <v>0</v>
      </c>
      <c r="AA194" s="97">
        <f>IFERROR(VLOOKUP(E194,'RoC1'!$B$1:$C$160,2,0),0)</f>
        <v>0</v>
      </c>
      <c r="AB194" s="97">
        <f>IFERROR(VLOOKUP(G194,'RoC2'!$B$1:$C$160,2,0),0)</f>
        <v>0</v>
      </c>
      <c r="AC194" s="97">
        <f>IFERROR(VLOOKUP(I194,'RoC3'!$B$1:$C$160,2,0),0)</f>
        <v>0</v>
      </c>
      <c r="AD194" s="97">
        <f>IFERROR(VLOOKUP(K194,'RoC4'!$B$1:$C$160,2,0),0)</f>
        <v>0</v>
      </c>
      <c r="AE194" s="97">
        <f>IFERROR(VLOOKUP(M194,'RoC5'!$B$1:$C$160,2,0),0)</f>
        <v>0</v>
      </c>
      <c r="AF194" s="97">
        <f>IFERROR(VLOOKUP(O194,'RoC6'!$B$1:$C$160,2,0),0)</f>
        <v>0</v>
      </c>
      <c r="AG194" s="97">
        <f>IFERROR(VLOOKUP(Q194,'RoC7'!$B$1:$C$160,2,0),0)</f>
        <v>0</v>
      </c>
      <c r="AH194" s="97">
        <f>IFERROR(VLOOKUP(S194,'RoC8'!$B$1:$C$160,2,0),0)</f>
        <v>0</v>
      </c>
      <c r="AI194" s="97">
        <f>IFERROR(VLOOKUP(U194,'RoC9'!$B$1:$C$160,2,0),0)</f>
        <v>0</v>
      </c>
      <c r="AJ194" s="97">
        <f>IFERROR(VLOOKUP(W194,'RoC10'!$B$1:$C$160,2,0),0)</f>
        <v>0</v>
      </c>
      <c r="AK194" s="97">
        <f>IFERROR(VLOOKUP(Y194,'RoC11'!$B$1:$C$160,2,0),0)</f>
        <v>0</v>
      </c>
    </row>
    <row r="195" ht="15.75" customHeight="1">
      <c r="A195" s="135">
        <v>194.0</v>
      </c>
      <c r="B195" s="124"/>
      <c r="C195" s="93">
        <f t="shared" si="4"/>
        <v>0</v>
      </c>
      <c r="D195" s="136"/>
      <c r="E195" s="137" t="str">
        <f>IFERROR(VLOOKUP($B195,'RoC1'!$A$1:$B$160,2,0),"0")</f>
        <v>0</v>
      </c>
      <c r="F195" s="97">
        <f>IFERROR(VLOOKUP(E195,'RoC1'!$B$1:$C$160,2,0),0)</f>
        <v>0</v>
      </c>
      <c r="G195" s="137" t="str">
        <f>IFERROR(VLOOKUP($B195,'RoC2'!$A$1:$B$161,2,0),"0")</f>
        <v>0</v>
      </c>
      <c r="H195" s="97">
        <f>IFERROR(VLOOKUP(G195,'RoC2'!$B$1:$C$161,2,0),0)</f>
        <v>0</v>
      </c>
      <c r="I195" s="137">
        <f>IFERROR(VLOOKUP($B195,'RoC3'!$A$1:$B$161,2,0),0)</f>
        <v>0</v>
      </c>
      <c r="J195" s="97">
        <f>IFERROR(VLOOKUP(I195,'RoC3'!$B$1:$C$161,2,0),0)</f>
        <v>0</v>
      </c>
      <c r="K195" s="137">
        <f>IFERROR(VLOOKUP($B195,'RoC4'!$A$1:$B$161,2,0),0)</f>
        <v>0</v>
      </c>
      <c r="L195" s="97">
        <f>IFERROR(VLOOKUP(K195,'RoC4'!$B$1:$C$161,2,0),0)</f>
        <v>0</v>
      </c>
      <c r="M195" s="137">
        <f>IFERROR(VLOOKUP($B195,'RoC5'!$A$1:$B$161,2,0),0)</f>
        <v>0</v>
      </c>
      <c r="N195" s="97">
        <f>IFERROR(VLOOKUP(M195,'RoC5'!$B$1:$C$161,2,0),0)</f>
        <v>0</v>
      </c>
      <c r="O195" s="137">
        <f>IFERROR(VLOOKUP($B195,'RoC6'!$A$1:$B$161,2,0),0)</f>
        <v>0</v>
      </c>
      <c r="P195" s="97">
        <f>IFERROR(VLOOKUP(O195,'RoC6'!$B$1:$C$161,2,0),0)</f>
        <v>0</v>
      </c>
      <c r="Q195" s="137">
        <f>IFERROR(VLOOKUP($B195,'RoC7'!$A$1:$B$161,2,0),0)</f>
        <v>0</v>
      </c>
      <c r="R195" s="97">
        <f>IFERROR(VLOOKUP(Q195,'RoC7'!$B$1:$C$161,2,0),0)</f>
        <v>0</v>
      </c>
      <c r="S195" s="137">
        <f>IFERROR(VLOOKUP($B195,'RoC8'!$A$1:$B$161,2,0),0)</f>
        <v>0</v>
      </c>
      <c r="T195" s="97">
        <f>IFERROR(VLOOKUP(S195,'RoC8'!$B$1:$C$161,2,0),0)</f>
        <v>0</v>
      </c>
      <c r="U195" s="137">
        <f>IFERROR(VLOOKUP($B195,'RoC9'!$A$1:$B$161,2,0),0)</f>
        <v>0</v>
      </c>
      <c r="V195" s="97">
        <f>IFERROR(VLOOKUP(U195,'RoC9'!$B$1:$C$161,2,0),0)</f>
        <v>0</v>
      </c>
      <c r="W195" s="137">
        <f>IFERROR(VLOOKUP($B195,'RoC10'!$A$1:$B$161,2,0),0)</f>
        <v>0</v>
      </c>
      <c r="X195" s="97">
        <f>IFERROR(VLOOKUP(W195,'RoC10'!$B$1:$C$161,2,0),0)</f>
        <v>0</v>
      </c>
      <c r="Y195" s="137">
        <f>IFERROR(VLOOKUP($B195,'RoC11'!$A$1:$B$161,2,0),0)</f>
        <v>0</v>
      </c>
      <c r="Z195" s="97">
        <f>IFERROR(VLOOKUP(Y195,'RoC11'!$B$1:$C$161,2,0),0)</f>
        <v>0</v>
      </c>
      <c r="AA195" s="97">
        <f>IFERROR(VLOOKUP(E195,'RoC1'!$B$1:$C$160,2,0),0)</f>
        <v>0</v>
      </c>
      <c r="AB195" s="97">
        <f>IFERROR(VLOOKUP(G195,'RoC2'!$B$1:$C$160,2,0),0)</f>
        <v>0</v>
      </c>
      <c r="AC195" s="97">
        <f>IFERROR(VLOOKUP(I195,'RoC3'!$B$1:$C$160,2,0),0)</f>
        <v>0</v>
      </c>
      <c r="AD195" s="97">
        <f>IFERROR(VLOOKUP(K195,'RoC4'!$B$1:$C$160,2,0),0)</f>
        <v>0</v>
      </c>
      <c r="AE195" s="97">
        <f>IFERROR(VLOOKUP(M195,'RoC5'!$B$1:$C$160,2,0),0)</f>
        <v>0</v>
      </c>
      <c r="AF195" s="97">
        <f>IFERROR(VLOOKUP(O195,'RoC6'!$B$1:$C$160,2,0),0)</f>
        <v>0</v>
      </c>
      <c r="AG195" s="97">
        <f>IFERROR(VLOOKUP(Q195,'RoC7'!$B$1:$C$160,2,0),0)</f>
        <v>0</v>
      </c>
      <c r="AH195" s="97">
        <f>IFERROR(VLOOKUP(S195,'RoC8'!$B$1:$C$160,2,0),0)</f>
        <v>0</v>
      </c>
      <c r="AI195" s="97">
        <f>IFERROR(VLOOKUP(U195,'RoC9'!$B$1:$C$160,2,0),0)</f>
        <v>0</v>
      </c>
      <c r="AJ195" s="97">
        <f>IFERROR(VLOOKUP(W195,'RoC10'!$B$1:$C$160,2,0),0)</f>
        <v>0</v>
      </c>
      <c r="AK195" s="97">
        <f>IFERROR(VLOOKUP(Y195,'RoC11'!$B$1:$C$160,2,0),0)</f>
        <v>0</v>
      </c>
    </row>
    <row r="196" ht="15.75" customHeight="1">
      <c r="A196" s="92">
        <v>195.0</v>
      </c>
      <c r="B196" s="124"/>
      <c r="C196" s="93">
        <f t="shared" si="4"/>
        <v>0</v>
      </c>
      <c r="D196" s="136"/>
      <c r="E196" s="137" t="str">
        <f>IFERROR(VLOOKUP($B196,'RoC1'!$A$1:$B$160,2,0),"0")</f>
        <v>0</v>
      </c>
      <c r="F196" s="97">
        <f>IFERROR(VLOOKUP(E196,'RoC1'!$B$1:$C$160,2,0),0)</f>
        <v>0</v>
      </c>
      <c r="G196" s="137" t="str">
        <f>IFERROR(VLOOKUP($B196,'RoC2'!$A$1:$B$161,2,0),"0")</f>
        <v>0</v>
      </c>
      <c r="H196" s="97">
        <f>IFERROR(VLOOKUP(G196,'RoC2'!$B$1:$C$161,2,0),0)</f>
        <v>0</v>
      </c>
      <c r="I196" s="137">
        <f>IFERROR(VLOOKUP($B196,'RoC3'!$A$1:$B$161,2,0),0)</f>
        <v>0</v>
      </c>
      <c r="J196" s="97">
        <f>IFERROR(VLOOKUP(I196,'RoC3'!$B$1:$C$161,2,0),0)</f>
        <v>0</v>
      </c>
      <c r="K196" s="137">
        <f>IFERROR(VLOOKUP($B196,'RoC4'!$A$1:$B$161,2,0),0)</f>
        <v>0</v>
      </c>
      <c r="L196" s="97">
        <f>IFERROR(VLOOKUP(K196,'RoC4'!$B$1:$C$161,2,0),0)</f>
        <v>0</v>
      </c>
      <c r="M196" s="137">
        <f>IFERROR(VLOOKUP($B196,'RoC5'!$A$1:$B$161,2,0),0)</f>
        <v>0</v>
      </c>
      <c r="N196" s="97">
        <f>IFERROR(VLOOKUP(M196,'RoC5'!$B$1:$C$161,2,0),0)</f>
        <v>0</v>
      </c>
      <c r="O196" s="137">
        <f>IFERROR(VLOOKUP($B196,'RoC6'!$A$1:$B$161,2,0),0)</f>
        <v>0</v>
      </c>
      <c r="P196" s="97">
        <f>IFERROR(VLOOKUP(O196,'RoC6'!$B$1:$C$161,2,0),0)</f>
        <v>0</v>
      </c>
      <c r="Q196" s="137">
        <f>IFERROR(VLOOKUP($B196,'RoC7'!$A$1:$B$161,2,0),0)</f>
        <v>0</v>
      </c>
      <c r="R196" s="97">
        <f>IFERROR(VLOOKUP(Q196,'RoC7'!$B$1:$C$161,2,0),0)</f>
        <v>0</v>
      </c>
      <c r="S196" s="137">
        <f>IFERROR(VLOOKUP($B196,'RoC8'!$A$1:$B$161,2,0),0)</f>
        <v>0</v>
      </c>
      <c r="T196" s="97">
        <f>IFERROR(VLOOKUP(S196,'RoC8'!$B$1:$C$161,2,0),0)</f>
        <v>0</v>
      </c>
      <c r="U196" s="137">
        <f>IFERROR(VLOOKUP($B196,'RoC9'!$A$1:$B$161,2,0),0)</f>
        <v>0</v>
      </c>
      <c r="V196" s="97">
        <f>IFERROR(VLOOKUP(U196,'RoC9'!$B$1:$C$161,2,0),0)</f>
        <v>0</v>
      </c>
      <c r="W196" s="137">
        <f>IFERROR(VLOOKUP($B196,'RoC10'!$A$1:$B$161,2,0),0)</f>
        <v>0</v>
      </c>
      <c r="X196" s="97">
        <f>IFERROR(VLOOKUP(W196,'RoC10'!$B$1:$C$161,2,0),0)</f>
        <v>0</v>
      </c>
      <c r="Y196" s="137">
        <f>IFERROR(VLOOKUP($B196,'RoC11'!$A$1:$B$161,2,0),0)</f>
        <v>0</v>
      </c>
      <c r="Z196" s="97">
        <f>IFERROR(VLOOKUP(Y196,'RoC11'!$B$1:$C$161,2,0),0)</f>
        <v>0</v>
      </c>
      <c r="AA196" s="97">
        <f>IFERROR(VLOOKUP(E196,'RoC1'!$B$1:$C$160,2,0),0)</f>
        <v>0</v>
      </c>
      <c r="AB196" s="97">
        <f>IFERROR(VLOOKUP(G196,'RoC2'!$B$1:$C$160,2,0),0)</f>
        <v>0</v>
      </c>
      <c r="AC196" s="97">
        <f>IFERROR(VLOOKUP(I196,'RoC3'!$B$1:$C$160,2,0),0)</f>
        <v>0</v>
      </c>
      <c r="AD196" s="97">
        <f>IFERROR(VLOOKUP(K196,'RoC4'!$B$1:$C$160,2,0),0)</f>
        <v>0</v>
      </c>
      <c r="AE196" s="97">
        <f>IFERROR(VLOOKUP(M196,'RoC5'!$B$1:$C$160,2,0),0)</f>
        <v>0</v>
      </c>
      <c r="AF196" s="97">
        <f>IFERROR(VLOOKUP(O196,'RoC6'!$B$1:$C$160,2,0),0)</f>
        <v>0</v>
      </c>
      <c r="AG196" s="97">
        <f>IFERROR(VLOOKUP(Q196,'RoC7'!$B$1:$C$160,2,0),0)</f>
        <v>0</v>
      </c>
      <c r="AH196" s="97">
        <f>IFERROR(VLOOKUP(S196,'RoC8'!$B$1:$C$160,2,0),0)</f>
        <v>0</v>
      </c>
      <c r="AI196" s="97">
        <f>IFERROR(VLOOKUP(U196,'RoC9'!$B$1:$C$160,2,0),0)</f>
        <v>0</v>
      </c>
      <c r="AJ196" s="97">
        <f>IFERROR(VLOOKUP(W196,'RoC10'!$B$1:$C$160,2,0),0)</f>
        <v>0</v>
      </c>
      <c r="AK196" s="97">
        <f>IFERROR(VLOOKUP(Y196,'RoC11'!$B$1:$C$160,2,0),0)</f>
        <v>0</v>
      </c>
    </row>
    <row r="197" ht="15.75" customHeight="1">
      <c r="A197" s="135">
        <v>196.0</v>
      </c>
      <c r="B197" s="124"/>
      <c r="C197" s="93">
        <f t="shared" si="4"/>
        <v>0</v>
      </c>
      <c r="D197" s="136"/>
      <c r="E197" s="137" t="str">
        <f>IFERROR(VLOOKUP($B197,'RoC1'!$A$1:$B$160,2,0),"0")</f>
        <v>0</v>
      </c>
      <c r="F197" s="97">
        <f>IFERROR(VLOOKUP(E197,'RoC1'!$B$1:$C$160,2,0),0)</f>
        <v>0</v>
      </c>
      <c r="G197" s="137" t="str">
        <f>IFERROR(VLOOKUP($B197,'RoC2'!$A$1:$B$161,2,0),"0")</f>
        <v>0</v>
      </c>
      <c r="H197" s="97">
        <f>IFERROR(VLOOKUP(G197,'RoC2'!$B$1:$C$161,2,0),0)</f>
        <v>0</v>
      </c>
      <c r="I197" s="137">
        <f>IFERROR(VLOOKUP($B197,'RoC3'!$A$1:$B$161,2,0),0)</f>
        <v>0</v>
      </c>
      <c r="J197" s="97">
        <f>IFERROR(VLOOKUP(I197,'RoC3'!$B$1:$C$161,2,0),0)</f>
        <v>0</v>
      </c>
      <c r="K197" s="137">
        <f>IFERROR(VLOOKUP($B197,'RoC4'!$A$1:$B$161,2,0),0)</f>
        <v>0</v>
      </c>
      <c r="L197" s="97">
        <f>IFERROR(VLOOKUP(K197,'RoC4'!$B$1:$C$161,2,0),0)</f>
        <v>0</v>
      </c>
      <c r="M197" s="137">
        <f>IFERROR(VLOOKUP($B197,'RoC5'!$A$1:$B$161,2,0),0)</f>
        <v>0</v>
      </c>
      <c r="N197" s="97">
        <f>IFERROR(VLOOKUP(M197,'RoC5'!$B$1:$C$161,2,0),0)</f>
        <v>0</v>
      </c>
      <c r="O197" s="137">
        <f>IFERROR(VLOOKUP($B197,'RoC6'!$A$1:$B$161,2,0),0)</f>
        <v>0</v>
      </c>
      <c r="P197" s="97">
        <f>IFERROR(VLOOKUP(O197,'RoC6'!$B$1:$C$161,2,0),0)</f>
        <v>0</v>
      </c>
      <c r="Q197" s="137">
        <f>IFERROR(VLOOKUP($B197,'RoC7'!$A$1:$B$161,2,0),0)</f>
        <v>0</v>
      </c>
      <c r="R197" s="97">
        <f>IFERROR(VLOOKUP(Q197,'RoC7'!$B$1:$C$161,2,0),0)</f>
        <v>0</v>
      </c>
      <c r="S197" s="137">
        <f>IFERROR(VLOOKUP($B197,'RoC8'!$A$1:$B$161,2,0),0)</f>
        <v>0</v>
      </c>
      <c r="T197" s="97">
        <f>IFERROR(VLOOKUP(S197,'RoC8'!$B$1:$C$161,2,0),0)</f>
        <v>0</v>
      </c>
      <c r="U197" s="137">
        <f>IFERROR(VLOOKUP($B197,'RoC9'!$A$1:$B$161,2,0),0)</f>
        <v>0</v>
      </c>
      <c r="V197" s="97">
        <f>IFERROR(VLOOKUP(U197,'RoC9'!$B$1:$C$161,2,0),0)</f>
        <v>0</v>
      </c>
      <c r="W197" s="137">
        <f>IFERROR(VLOOKUP($B197,'RoC10'!$A$1:$B$161,2,0),0)</f>
        <v>0</v>
      </c>
      <c r="X197" s="97">
        <f>IFERROR(VLOOKUP(W197,'RoC10'!$B$1:$C$161,2,0),0)</f>
        <v>0</v>
      </c>
      <c r="Y197" s="137">
        <f>IFERROR(VLOOKUP($B197,'RoC11'!$A$1:$B$161,2,0),0)</f>
        <v>0</v>
      </c>
      <c r="Z197" s="97">
        <f>IFERROR(VLOOKUP(Y197,'RoC11'!$B$1:$C$161,2,0),0)</f>
        <v>0</v>
      </c>
      <c r="AA197" s="97">
        <f>IFERROR(VLOOKUP(E197,'RoC1'!$B$1:$C$160,2,0),0)</f>
        <v>0</v>
      </c>
      <c r="AB197" s="97">
        <f>IFERROR(VLOOKUP(G197,'RoC2'!$B$1:$C$160,2,0),0)</f>
        <v>0</v>
      </c>
      <c r="AC197" s="97">
        <f>IFERROR(VLOOKUP(I197,'RoC3'!$B$1:$C$160,2,0),0)</f>
        <v>0</v>
      </c>
      <c r="AD197" s="97">
        <f>IFERROR(VLOOKUP(K197,'RoC4'!$B$1:$C$160,2,0),0)</f>
        <v>0</v>
      </c>
      <c r="AE197" s="97">
        <f>IFERROR(VLOOKUP(M197,'RoC5'!$B$1:$C$160,2,0),0)</f>
        <v>0</v>
      </c>
      <c r="AF197" s="97">
        <f>IFERROR(VLOOKUP(O197,'RoC6'!$B$1:$C$160,2,0),0)</f>
        <v>0</v>
      </c>
      <c r="AG197" s="97">
        <f>IFERROR(VLOOKUP(Q197,'RoC7'!$B$1:$C$160,2,0),0)</f>
        <v>0</v>
      </c>
      <c r="AH197" s="97">
        <f>IFERROR(VLOOKUP(S197,'RoC8'!$B$1:$C$160,2,0),0)</f>
        <v>0</v>
      </c>
      <c r="AI197" s="97">
        <f>IFERROR(VLOOKUP(U197,'RoC9'!$B$1:$C$160,2,0),0)</f>
        <v>0</v>
      </c>
      <c r="AJ197" s="97">
        <f>IFERROR(VLOOKUP(W197,'RoC10'!$B$1:$C$160,2,0),0)</f>
        <v>0</v>
      </c>
      <c r="AK197" s="97">
        <f>IFERROR(VLOOKUP(Y197,'RoC11'!$B$1:$C$160,2,0),0)</f>
        <v>0</v>
      </c>
    </row>
    <row r="198" ht="15.75" customHeight="1">
      <c r="A198" s="92">
        <v>197.0</v>
      </c>
      <c r="B198" s="124"/>
      <c r="C198" s="93">
        <f t="shared" si="4"/>
        <v>0</v>
      </c>
      <c r="D198" s="136"/>
      <c r="E198" s="137" t="str">
        <f>IFERROR(VLOOKUP($B198,'RoC1'!$A$1:$B$160,2,0),"0")</f>
        <v>0</v>
      </c>
      <c r="F198" s="97">
        <f>IFERROR(VLOOKUP(E198,'RoC1'!$B$1:$C$160,2,0),0)</f>
        <v>0</v>
      </c>
      <c r="G198" s="137" t="str">
        <f>IFERROR(VLOOKUP($B198,'RoC2'!$A$1:$B$161,2,0),"0")</f>
        <v>0</v>
      </c>
      <c r="H198" s="97">
        <f>IFERROR(VLOOKUP(G198,'RoC2'!$B$1:$C$161,2,0),0)</f>
        <v>0</v>
      </c>
      <c r="I198" s="137">
        <f>IFERROR(VLOOKUP($B198,'RoC3'!$A$1:$B$161,2,0),0)</f>
        <v>0</v>
      </c>
      <c r="J198" s="97">
        <f>IFERROR(VLOOKUP(I198,'RoC3'!$B$1:$C$161,2,0),0)</f>
        <v>0</v>
      </c>
      <c r="K198" s="137">
        <f>IFERROR(VLOOKUP($B198,'RoC4'!$A$1:$B$161,2,0),0)</f>
        <v>0</v>
      </c>
      <c r="L198" s="97">
        <f>IFERROR(VLOOKUP(K198,'RoC4'!$B$1:$C$161,2,0),0)</f>
        <v>0</v>
      </c>
      <c r="M198" s="137">
        <f>IFERROR(VLOOKUP($B198,'RoC5'!$A$1:$B$161,2,0),0)</f>
        <v>0</v>
      </c>
      <c r="N198" s="97">
        <f>IFERROR(VLOOKUP(M198,'RoC5'!$B$1:$C$161,2,0),0)</f>
        <v>0</v>
      </c>
      <c r="O198" s="137">
        <f>IFERROR(VLOOKUP($B198,'RoC6'!$A$1:$B$161,2,0),0)</f>
        <v>0</v>
      </c>
      <c r="P198" s="97">
        <f>IFERROR(VLOOKUP(O198,'RoC6'!$B$1:$C$161,2,0),0)</f>
        <v>0</v>
      </c>
      <c r="Q198" s="137">
        <f>IFERROR(VLOOKUP($B198,'RoC7'!$A$1:$B$161,2,0),0)</f>
        <v>0</v>
      </c>
      <c r="R198" s="97">
        <f>IFERROR(VLOOKUP(Q198,'RoC7'!$B$1:$C$161,2,0),0)</f>
        <v>0</v>
      </c>
      <c r="S198" s="137">
        <f>IFERROR(VLOOKUP($B198,'RoC8'!$A$1:$B$161,2,0),0)</f>
        <v>0</v>
      </c>
      <c r="T198" s="97">
        <f>IFERROR(VLOOKUP(S198,'RoC8'!$B$1:$C$161,2,0),0)</f>
        <v>0</v>
      </c>
      <c r="U198" s="137">
        <f>IFERROR(VLOOKUP($B198,'RoC9'!$A$1:$B$161,2,0),0)</f>
        <v>0</v>
      </c>
      <c r="V198" s="97">
        <f>IFERROR(VLOOKUP(U198,'RoC9'!$B$1:$C$161,2,0),0)</f>
        <v>0</v>
      </c>
      <c r="W198" s="137">
        <f>IFERROR(VLOOKUP($B198,'RoC10'!$A$1:$B$161,2,0),0)</f>
        <v>0</v>
      </c>
      <c r="X198" s="97">
        <f>IFERROR(VLOOKUP(W198,'RoC10'!$B$1:$C$161,2,0),0)</f>
        <v>0</v>
      </c>
      <c r="Y198" s="137">
        <f>IFERROR(VLOOKUP($B198,'RoC11'!$A$1:$B$161,2,0),0)</f>
        <v>0</v>
      </c>
      <c r="Z198" s="97">
        <f>IFERROR(VLOOKUP(Y198,'RoC11'!$B$1:$C$161,2,0),0)</f>
        <v>0</v>
      </c>
      <c r="AA198" s="97">
        <f>IFERROR(VLOOKUP(E198,'RoC1'!$B$1:$C$160,2,0),0)</f>
        <v>0</v>
      </c>
      <c r="AB198" s="97">
        <f>IFERROR(VLOOKUP(G198,'RoC2'!$B$1:$C$160,2,0),0)</f>
        <v>0</v>
      </c>
      <c r="AC198" s="97">
        <f>IFERROR(VLOOKUP(I198,'RoC3'!$B$1:$C$160,2,0),0)</f>
        <v>0</v>
      </c>
      <c r="AD198" s="97">
        <f>IFERROR(VLOOKUP(K198,'RoC4'!$B$1:$C$160,2,0),0)</f>
        <v>0</v>
      </c>
      <c r="AE198" s="97">
        <f>IFERROR(VLOOKUP(M198,'RoC5'!$B$1:$C$160,2,0),0)</f>
        <v>0</v>
      </c>
      <c r="AF198" s="97">
        <f>IFERROR(VLOOKUP(O198,'RoC6'!$B$1:$C$160,2,0),0)</f>
        <v>0</v>
      </c>
      <c r="AG198" s="97">
        <f>IFERROR(VLOOKUP(Q198,'RoC7'!$B$1:$C$160,2,0),0)</f>
        <v>0</v>
      </c>
      <c r="AH198" s="97">
        <f>IFERROR(VLOOKUP(S198,'RoC8'!$B$1:$C$160,2,0),0)</f>
        <v>0</v>
      </c>
      <c r="AI198" s="97">
        <f>IFERROR(VLOOKUP(U198,'RoC9'!$B$1:$C$160,2,0),0)</f>
        <v>0</v>
      </c>
      <c r="AJ198" s="97">
        <f>IFERROR(VLOOKUP(W198,'RoC10'!$B$1:$C$160,2,0),0)</f>
        <v>0</v>
      </c>
      <c r="AK198" s="97">
        <f>IFERROR(VLOOKUP(Y198,'RoC11'!$B$1:$C$160,2,0),0)</f>
        <v>0</v>
      </c>
    </row>
    <row r="199" ht="15.75" customHeight="1">
      <c r="A199" s="135">
        <v>198.0</v>
      </c>
      <c r="B199" s="124"/>
      <c r="C199" s="93">
        <f t="shared" si="4"/>
        <v>0</v>
      </c>
      <c r="D199" s="136"/>
      <c r="E199" s="137" t="str">
        <f>IFERROR(VLOOKUP($B199,'RoC1'!$A$1:$B$160,2,0),"0")</f>
        <v>0</v>
      </c>
      <c r="F199" s="97">
        <f>IFERROR(VLOOKUP(E199,'RoC1'!$B$1:$C$160,2,0),0)</f>
        <v>0</v>
      </c>
      <c r="G199" s="137" t="str">
        <f>IFERROR(VLOOKUP($B199,'RoC2'!$A$1:$B$161,2,0),"0")</f>
        <v>0</v>
      </c>
      <c r="H199" s="97">
        <f>IFERROR(VLOOKUP(G199,'RoC2'!$B$1:$C$161,2,0),0)</f>
        <v>0</v>
      </c>
      <c r="I199" s="137">
        <f>IFERROR(VLOOKUP($B199,'RoC3'!$A$1:$B$161,2,0),0)</f>
        <v>0</v>
      </c>
      <c r="J199" s="97">
        <f>IFERROR(VLOOKUP(I199,'RoC3'!$B$1:$C$161,2,0),0)</f>
        <v>0</v>
      </c>
      <c r="K199" s="137">
        <f>IFERROR(VLOOKUP($B199,'RoC4'!$A$1:$B$161,2,0),0)</f>
        <v>0</v>
      </c>
      <c r="L199" s="97">
        <f>IFERROR(VLOOKUP(K199,'RoC4'!$B$1:$C$161,2,0),0)</f>
        <v>0</v>
      </c>
      <c r="M199" s="137">
        <f>IFERROR(VLOOKUP($B199,'RoC5'!$A$1:$B$161,2,0),0)</f>
        <v>0</v>
      </c>
      <c r="N199" s="97">
        <f>IFERROR(VLOOKUP(M199,'RoC5'!$B$1:$C$161,2,0),0)</f>
        <v>0</v>
      </c>
      <c r="O199" s="137">
        <f>IFERROR(VLOOKUP($B199,'RoC6'!$A$1:$B$161,2,0),0)</f>
        <v>0</v>
      </c>
      <c r="P199" s="97">
        <f>IFERROR(VLOOKUP(O199,'RoC6'!$B$1:$C$161,2,0),0)</f>
        <v>0</v>
      </c>
      <c r="Q199" s="137">
        <f>IFERROR(VLOOKUP($B199,'RoC7'!$A$1:$B$161,2,0),0)</f>
        <v>0</v>
      </c>
      <c r="R199" s="97">
        <f>IFERROR(VLOOKUP(Q199,'RoC7'!$B$1:$C$161,2,0),0)</f>
        <v>0</v>
      </c>
      <c r="S199" s="137">
        <f>IFERROR(VLOOKUP($B199,'RoC8'!$A$1:$B$161,2,0),0)</f>
        <v>0</v>
      </c>
      <c r="T199" s="97">
        <f>IFERROR(VLOOKUP(S199,'RoC8'!$B$1:$C$161,2,0),0)</f>
        <v>0</v>
      </c>
      <c r="U199" s="137">
        <f>IFERROR(VLOOKUP($B199,'RoC9'!$A$1:$B$161,2,0),0)</f>
        <v>0</v>
      </c>
      <c r="V199" s="97">
        <f>IFERROR(VLOOKUP(U199,'RoC9'!$B$1:$C$161,2,0),0)</f>
        <v>0</v>
      </c>
      <c r="W199" s="137">
        <f>IFERROR(VLOOKUP($B199,'RoC10'!$A$1:$B$161,2,0),0)</f>
        <v>0</v>
      </c>
      <c r="X199" s="97">
        <f>IFERROR(VLOOKUP(W199,'RoC10'!$B$1:$C$161,2,0),0)</f>
        <v>0</v>
      </c>
      <c r="Y199" s="137">
        <f>IFERROR(VLOOKUP($B199,'RoC11'!$A$1:$B$161,2,0),0)</f>
        <v>0</v>
      </c>
      <c r="Z199" s="97">
        <f>IFERROR(VLOOKUP(Y199,'RoC11'!$B$1:$C$161,2,0),0)</f>
        <v>0</v>
      </c>
      <c r="AA199" s="97">
        <f>IFERROR(VLOOKUP(E199,'RoC1'!$B$1:$C$160,2,0),0)</f>
        <v>0</v>
      </c>
      <c r="AB199" s="97">
        <f>IFERROR(VLOOKUP(G199,'RoC2'!$B$1:$C$160,2,0),0)</f>
        <v>0</v>
      </c>
      <c r="AC199" s="97">
        <f>IFERROR(VLOOKUP(I199,'RoC3'!$B$1:$C$160,2,0),0)</f>
        <v>0</v>
      </c>
      <c r="AD199" s="97">
        <f>IFERROR(VLOOKUP(K199,'RoC4'!$B$1:$C$160,2,0),0)</f>
        <v>0</v>
      </c>
      <c r="AE199" s="97">
        <f>IFERROR(VLOOKUP(M199,'RoC5'!$B$1:$C$160,2,0),0)</f>
        <v>0</v>
      </c>
      <c r="AF199" s="97">
        <f>IFERROR(VLOOKUP(O199,'RoC6'!$B$1:$C$160,2,0),0)</f>
        <v>0</v>
      </c>
      <c r="AG199" s="97">
        <f>IFERROR(VLOOKUP(Q199,'RoC7'!$B$1:$C$160,2,0),0)</f>
        <v>0</v>
      </c>
      <c r="AH199" s="97">
        <f>IFERROR(VLOOKUP(S199,'RoC8'!$B$1:$C$160,2,0),0)</f>
        <v>0</v>
      </c>
      <c r="AI199" s="97">
        <f>IFERROR(VLOOKUP(U199,'RoC9'!$B$1:$C$160,2,0),0)</f>
        <v>0</v>
      </c>
      <c r="AJ199" s="97">
        <f>IFERROR(VLOOKUP(W199,'RoC10'!$B$1:$C$160,2,0),0)</f>
        <v>0</v>
      </c>
      <c r="AK199" s="97">
        <f>IFERROR(VLOOKUP(Y199,'RoC11'!$B$1:$C$160,2,0),0)</f>
        <v>0</v>
      </c>
    </row>
    <row r="200" ht="15.75" customHeight="1">
      <c r="A200" s="92">
        <v>199.0</v>
      </c>
      <c r="B200" s="124"/>
      <c r="C200" s="93">
        <f t="shared" si="4"/>
        <v>0</v>
      </c>
      <c r="D200" s="136"/>
      <c r="E200" s="137" t="str">
        <f>IFERROR(VLOOKUP($B200,'RoC1'!$A$1:$B$160,2,0),"0")</f>
        <v>0</v>
      </c>
      <c r="F200" s="97">
        <f>IFERROR(VLOOKUP(E200,'RoC1'!$B$1:$C$160,2,0),0)</f>
        <v>0</v>
      </c>
      <c r="G200" s="137" t="str">
        <f>IFERROR(VLOOKUP($B200,'RoC2'!$A$1:$B$161,2,0),"0")</f>
        <v>0</v>
      </c>
      <c r="H200" s="97">
        <f>IFERROR(VLOOKUP(G200,'RoC2'!$B$1:$C$161,2,0),0)</f>
        <v>0</v>
      </c>
      <c r="I200" s="137">
        <f>IFERROR(VLOOKUP($B200,'RoC3'!$A$1:$B$161,2,0),0)</f>
        <v>0</v>
      </c>
      <c r="J200" s="97">
        <f>IFERROR(VLOOKUP(I200,'RoC3'!$B$1:$C$161,2,0),0)</f>
        <v>0</v>
      </c>
      <c r="K200" s="137">
        <f>IFERROR(VLOOKUP($B200,'RoC4'!$A$1:$B$161,2,0),0)</f>
        <v>0</v>
      </c>
      <c r="L200" s="97">
        <f>IFERROR(VLOOKUP(K200,'RoC4'!$B$1:$C$161,2,0),0)</f>
        <v>0</v>
      </c>
      <c r="M200" s="137">
        <f>IFERROR(VLOOKUP($B200,'RoC5'!$A$1:$B$161,2,0),0)</f>
        <v>0</v>
      </c>
      <c r="N200" s="97">
        <f>IFERROR(VLOOKUP(M200,'RoC5'!$B$1:$C$161,2,0),0)</f>
        <v>0</v>
      </c>
      <c r="O200" s="137">
        <f>IFERROR(VLOOKUP($B200,'RoC6'!$A$1:$B$161,2,0),0)</f>
        <v>0</v>
      </c>
      <c r="P200" s="97">
        <f>IFERROR(VLOOKUP(O200,'RoC6'!$B$1:$C$161,2,0),0)</f>
        <v>0</v>
      </c>
      <c r="Q200" s="137">
        <f>IFERROR(VLOOKUP($B200,'RoC7'!$A$1:$B$161,2,0),0)</f>
        <v>0</v>
      </c>
      <c r="R200" s="97">
        <f>IFERROR(VLOOKUP(Q200,'RoC7'!$B$1:$C$161,2,0),0)</f>
        <v>0</v>
      </c>
      <c r="S200" s="137">
        <f>IFERROR(VLOOKUP($B200,'RoC8'!$A$1:$B$161,2,0),0)</f>
        <v>0</v>
      </c>
      <c r="T200" s="97">
        <f>IFERROR(VLOOKUP(S200,'RoC8'!$B$1:$C$161,2,0),0)</f>
        <v>0</v>
      </c>
      <c r="U200" s="137">
        <f>IFERROR(VLOOKUP($B200,'RoC9'!$A$1:$B$161,2,0),0)</f>
        <v>0</v>
      </c>
      <c r="V200" s="97">
        <f>IFERROR(VLOOKUP(U200,'RoC9'!$B$1:$C$161,2,0),0)</f>
        <v>0</v>
      </c>
      <c r="W200" s="137">
        <f>IFERROR(VLOOKUP($B200,'RoC10'!$A$1:$B$161,2,0),0)</f>
        <v>0</v>
      </c>
      <c r="X200" s="97">
        <f>IFERROR(VLOOKUP(W200,'RoC10'!$B$1:$C$161,2,0),0)</f>
        <v>0</v>
      </c>
      <c r="Y200" s="137">
        <f>IFERROR(VLOOKUP($B200,'RoC11'!$A$1:$B$161,2,0),0)</f>
        <v>0</v>
      </c>
      <c r="Z200" s="97">
        <f>IFERROR(VLOOKUP(Y200,'RoC11'!$B$1:$C$161,2,0),0)</f>
        <v>0</v>
      </c>
      <c r="AA200" s="97">
        <f>IFERROR(VLOOKUP(E200,'RoC1'!$B$1:$C$160,2,0),0)</f>
        <v>0</v>
      </c>
      <c r="AB200" s="97">
        <f>IFERROR(VLOOKUP(G200,'RoC2'!$B$1:$C$160,2,0),0)</f>
        <v>0</v>
      </c>
      <c r="AC200" s="97">
        <f>IFERROR(VLOOKUP(I200,'RoC3'!$B$1:$C$160,2,0),0)</f>
        <v>0</v>
      </c>
      <c r="AD200" s="97">
        <f>IFERROR(VLOOKUP(K200,'RoC4'!$B$1:$C$160,2,0),0)</f>
        <v>0</v>
      </c>
      <c r="AE200" s="97">
        <f>IFERROR(VLOOKUP(M200,'RoC5'!$B$1:$C$160,2,0),0)</f>
        <v>0</v>
      </c>
      <c r="AF200" s="97">
        <f>IFERROR(VLOOKUP(O200,'RoC6'!$B$1:$C$160,2,0),0)</f>
        <v>0</v>
      </c>
      <c r="AG200" s="97">
        <f>IFERROR(VLOOKUP(Q200,'RoC7'!$B$1:$C$160,2,0),0)</f>
        <v>0</v>
      </c>
      <c r="AH200" s="97">
        <f>IFERROR(VLOOKUP(S200,'RoC8'!$B$1:$C$160,2,0),0)</f>
        <v>0</v>
      </c>
      <c r="AI200" s="97">
        <f>IFERROR(VLOOKUP(U200,'RoC9'!$B$1:$C$160,2,0),0)</f>
        <v>0</v>
      </c>
      <c r="AJ200" s="97">
        <f>IFERROR(VLOOKUP(W200,'RoC10'!$B$1:$C$160,2,0),0)</f>
        <v>0</v>
      </c>
      <c r="AK200" s="97">
        <f>IFERROR(VLOOKUP(Y200,'RoC11'!$B$1:$C$160,2,0),0)</f>
        <v>0</v>
      </c>
    </row>
    <row r="201" ht="15.75" customHeight="1">
      <c r="A201" s="135">
        <v>200.0</v>
      </c>
      <c r="B201" s="124"/>
      <c r="C201" s="93">
        <f t="shared" si="4"/>
        <v>0</v>
      </c>
      <c r="D201" s="136"/>
      <c r="E201" s="137" t="str">
        <f>IFERROR(VLOOKUP($B201,'RoC1'!$A$1:$B$160,2,0),"0")</f>
        <v>0</v>
      </c>
      <c r="F201" s="97">
        <f>IFERROR(VLOOKUP(E201,'RoC1'!$B$1:$C$160,2,0),0)</f>
        <v>0</v>
      </c>
      <c r="G201" s="137" t="str">
        <f>IFERROR(VLOOKUP($B201,'RoC2'!$A$1:$B$161,2,0),"0")</f>
        <v>0</v>
      </c>
      <c r="H201" s="97">
        <f>IFERROR(VLOOKUP(G201,'RoC2'!$B$1:$C$161,2,0),0)</f>
        <v>0</v>
      </c>
      <c r="I201" s="137">
        <f>IFERROR(VLOOKUP($B201,'RoC3'!$A$1:$B$161,2,0),0)</f>
        <v>0</v>
      </c>
      <c r="J201" s="97">
        <f>IFERROR(VLOOKUP(I201,'RoC3'!$B$1:$C$161,2,0),0)</f>
        <v>0</v>
      </c>
      <c r="K201" s="137">
        <f>IFERROR(VLOOKUP($B201,'RoC4'!$A$1:$B$161,2,0),0)</f>
        <v>0</v>
      </c>
      <c r="L201" s="97">
        <f>IFERROR(VLOOKUP(K201,'RoC4'!$B$1:$C$161,2,0),0)</f>
        <v>0</v>
      </c>
      <c r="M201" s="137">
        <f>IFERROR(VLOOKUP($B201,'RoC5'!$A$1:$B$161,2,0),0)</f>
        <v>0</v>
      </c>
      <c r="N201" s="97">
        <f>IFERROR(VLOOKUP(M201,'RoC5'!$B$1:$C$161,2,0),0)</f>
        <v>0</v>
      </c>
      <c r="O201" s="137">
        <f>IFERROR(VLOOKUP($B201,'RoC6'!$A$1:$B$161,2,0),0)</f>
        <v>0</v>
      </c>
      <c r="P201" s="97">
        <f>IFERROR(VLOOKUP(O201,'RoC6'!$B$1:$C$161,2,0),0)</f>
        <v>0</v>
      </c>
      <c r="Q201" s="137">
        <f>IFERROR(VLOOKUP($B201,'RoC7'!$A$1:$B$161,2,0),0)</f>
        <v>0</v>
      </c>
      <c r="R201" s="97">
        <f>IFERROR(VLOOKUP(Q201,'RoC7'!$B$1:$C$161,2,0),0)</f>
        <v>0</v>
      </c>
      <c r="S201" s="137">
        <f>IFERROR(VLOOKUP($B201,'RoC8'!$A$1:$B$161,2,0),0)</f>
        <v>0</v>
      </c>
      <c r="T201" s="97">
        <f>IFERROR(VLOOKUP(S201,'RoC8'!$B$1:$C$161,2,0),0)</f>
        <v>0</v>
      </c>
      <c r="U201" s="137">
        <f>IFERROR(VLOOKUP($B201,'RoC9'!$A$1:$B$161,2,0),0)</f>
        <v>0</v>
      </c>
      <c r="V201" s="97">
        <f>IFERROR(VLOOKUP(U201,'RoC9'!$B$1:$C$161,2,0),0)</f>
        <v>0</v>
      </c>
      <c r="W201" s="137">
        <f>IFERROR(VLOOKUP($B201,'RoC10'!$A$1:$B$161,2,0),0)</f>
        <v>0</v>
      </c>
      <c r="X201" s="97">
        <f>IFERROR(VLOOKUP(W201,'RoC10'!$B$1:$C$161,2,0),0)</f>
        <v>0</v>
      </c>
      <c r="Y201" s="137">
        <f>IFERROR(VLOOKUP($B201,'RoC11'!$A$1:$B$161,2,0),0)</f>
        <v>0</v>
      </c>
      <c r="Z201" s="97">
        <f>IFERROR(VLOOKUP(Y201,'RoC11'!$B$1:$C$161,2,0),0)</f>
        <v>0</v>
      </c>
      <c r="AA201" s="97">
        <f>IFERROR(VLOOKUP(E201,'RoC1'!$B$1:$C$160,2,0),0)</f>
        <v>0</v>
      </c>
      <c r="AB201" s="97">
        <f>IFERROR(VLOOKUP(G201,'RoC2'!$B$1:$C$160,2,0),0)</f>
        <v>0</v>
      </c>
      <c r="AC201" s="97">
        <f>IFERROR(VLOOKUP(I201,'RoC3'!$B$1:$C$160,2,0),0)</f>
        <v>0</v>
      </c>
      <c r="AD201" s="97">
        <f>IFERROR(VLOOKUP(K201,'RoC4'!$B$1:$C$160,2,0),0)</f>
        <v>0</v>
      </c>
      <c r="AE201" s="97">
        <f>IFERROR(VLOOKUP(M201,'RoC5'!$B$1:$C$160,2,0),0)</f>
        <v>0</v>
      </c>
      <c r="AF201" s="97">
        <f>IFERROR(VLOOKUP(O201,'RoC6'!$B$1:$C$160,2,0),0)</f>
        <v>0</v>
      </c>
      <c r="AG201" s="97">
        <f>IFERROR(VLOOKUP(Q201,'RoC7'!$B$1:$C$160,2,0),0)</f>
        <v>0</v>
      </c>
      <c r="AH201" s="97">
        <f>IFERROR(VLOOKUP(S201,'RoC8'!$B$1:$C$160,2,0),0)</f>
        <v>0</v>
      </c>
      <c r="AI201" s="97">
        <f>IFERROR(VLOOKUP(U201,'RoC9'!$B$1:$C$160,2,0),0)</f>
        <v>0</v>
      </c>
      <c r="AJ201" s="97">
        <f>IFERROR(VLOOKUP(W201,'RoC10'!$B$1:$C$160,2,0),0)</f>
        <v>0</v>
      </c>
      <c r="AK201" s="97">
        <f>IFERROR(VLOOKUP(Y201,'RoC11'!$B$1:$C$160,2,0),0)</f>
        <v>0</v>
      </c>
    </row>
    <row r="202" ht="15.75" customHeight="1">
      <c r="A202" s="92">
        <v>201.0</v>
      </c>
      <c r="B202" s="124"/>
      <c r="C202" s="93">
        <f t="shared" si="4"/>
        <v>0</v>
      </c>
      <c r="D202" s="136"/>
      <c r="E202" s="137" t="str">
        <f>IFERROR(VLOOKUP($B202,'RoC1'!$A$1:$B$160,2,0),"0")</f>
        <v>0</v>
      </c>
      <c r="F202" s="97">
        <f>IFERROR(VLOOKUP(E202,'RoC1'!$B$1:$C$160,2,0),0)</f>
        <v>0</v>
      </c>
      <c r="G202" s="137" t="str">
        <f>IFERROR(VLOOKUP($B202,'RoC2'!$A$1:$B$161,2,0),"0")</f>
        <v>0</v>
      </c>
      <c r="H202" s="97">
        <f>IFERROR(VLOOKUP(G202,'RoC2'!$B$1:$C$161,2,0),0)</f>
        <v>0</v>
      </c>
      <c r="I202" s="137">
        <f>IFERROR(VLOOKUP($B202,'RoC3'!$A$1:$B$161,2,0),0)</f>
        <v>0</v>
      </c>
      <c r="J202" s="97">
        <f>IFERROR(VLOOKUP(I202,'RoC3'!$B$1:$C$161,2,0),0)</f>
        <v>0</v>
      </c>
      <c r="K202" s="137">
        <f>IFERROR(VLOOKUP($B202,'RoC4'!$A$1:$B$161,2,0),0)</f>
        <v>0</v>
      </c>
      <c r="L202" s="97">
        <f>IFERROR(VLOOKUP(K202,'RoC4'!$B$1:$C$161,2,0),0)</f>
        <v>0</v>
      </c>
      <c r="M202" s="137">
        <f>IFERROR(VLOOKUP($B202,'RoC5'!$A$1:$B$161,2,0),0)</f>
        <v>0</v>
      </c>
      <c r="N202" s="97">
        <f>IFERROR(VLOOKUP(M202,'RoC5'!$B$1:$C$161,2,0),0)</f>
        <v>0</v>
      </c>
      <c r="O202" s="137">
        <f>IFERROR(VLOOKUP($B202,'RoC6'!$A$1:$B$161,2,0),0)</f>
        <v>0</v>
      </c>
      <c r="P202" s="97">
        <f>IFERROR(VLOOKUP(O202,'RoC6'!$B$1:$C$161,2,0),0)</f>
        <v>0</v>
      </c>
      <c r="Q202" s="137">
        <f>IFERROR(VLOOKUP($B202,'RoC7'!$A$1:$B$161,2,0),0)</f>
        <v>0</v>
      </c>
      <c r="R202" s="97">
        <f>IFERROR(VLOOKUP(Q202,'RoC7'!$B$1:$C$161,2,0),0)</f>
        <v>0</v>
      </c>
      <c r="S202" s="137">
        <f>IFERROR(VLOOKUP($B202,'RoC8'!$A$1:$B$161,2,0),0)</f>
        <v>0</v>
      </c>
      <c r="T202" s="97">
        <f>IFERROR(VLOOKUP(S202,'RoC8'!$B$1:$C$161,2,0),0)</f>
        <v>0</v>
      </c>
      <c r="U202" s="137">
        <f>IFERROR(VLOOKUP($B202,'RoC9'!$A$1:$B$161,2,0),0)</f>
        <v>0</v>
      </c>
      <c r="V202" s="97">
        <f>IFERROR(VLOOKUP(U202,'RoC9'!$B$1:$C$161,2,0),0)</f>
        <v>0</v>
      </c>
      <c r="W202" s="137">
        <f>IFERROR(VLOOKUP($B202,'RoC10'!$A$1:$B$161,2,0),0)</f>
        <v>0</v>
      </c>
      <c r="X202" s="97">
        <f>IFERROR(VLOOKUP(W202,'RoC10'!$B$1:$C$161,2,0),0)</f>
        <v>0</v>
      </c>
      <c r="Y202" s="137">
        <f>IFERROR(VLOOKUP($B202,'RoC11'!$A$1:$B$161,2,0),0)</f>
        <v>0</v>
      </c>
      <c r="Z202" s="97">
        <f>IFERROR(VLOOKUP(Y202,'RoC11'!$B$1:$C$161,2,0),0)</f>
        <v>0</v>
      </c>
      <c r="AA202" s="97">
        <f>IFERROR(VLOOKUP(E202,'RoC1'!$B$1:$C$160,2,0),0)</f>
        <v>0</v>
      </c>
      <c r="AB202" s="97">
        <f>IFERROR(VLOOKUP(G202,'RoC2'!$B$1:$C$160,2,0),0)</f>
        <v>0</v>
      </c>
      <c r="AC202" s="97">
        <f>IFERROR(VLOOKUP(I202,'RoC3'!$B$1:$C$160,2,0),0)</f>
        <v>0</v>
      </c>
      <c r="AD202" s="97">
        <f>IFERROR(VLOOKUP(K202,'RoC4'!$B$1:$C$160,2,0),0)</f>
        <v>0</v>
      </c>
      <c r="AE202" s="97">
        <f>IFERROR(VLOOKUP(M202,'RoC5'!$B$1:$C$160,2,0),0)</f>
        <v>0</v>
      </c>
      <c r="AF202" s="97">
        <f>IFERROR(VLOOKUP(O202,'RoC6'!$B$1:$C$160,2,0),0)</f>
        <v>0</v>
      </c>
      <c r="AG202" s="97">
        <f>IFERROR(VLOOKUP(Q202,'RoC7'!$B$1:$C$160,2,0),0)</f>
        <v>0</v>
      </c>
      <c r="AH202" s="97">
        <f>IFERROR(VLOOKUP(S202,'RoC8'!$B$1:$C$160,2,0),0)</f>
        <v>0</v>
      </c>
      <c r="AI202" s="97">
        <f>IFERROR(VLOOKUP(U202,'RoC9'!$B$1:$C$160,2,0),0)</f>
        <v>0</v>
      </c>
      <c r="AJ202" s="97">
        <f>IFERROR(VLOOKUP(W202,'RoC10'!$B$1:$C$160,2,0),0)</f>
        <v>0</v>
      </c>
      <c r="AK202" s="97">
        <f>IFERROR(VLOOKUP(Y202,'RoC11'!$B$1:$C$160,2,0),0)</f>
        <v>0</v>
      </c>
    </row>
    <row r="203" ht="15.75" customHeight="1">
      <c r="A203" s="135">
        <v>202.0</v>
      </c>
      <c r="B203" s="124"/>
      <c r="C203" s="93">
        <f t="shared" si="4"/>
        <v>0</v>
      </c>
      <c r="D203" s="136"/>
      <c r="E203" s="137" t="str">
        <f>IFERROR(VLOOKUP($B203,'RoC1'!$A$1:$B$160,2,0),"0")</f>
        <v>0</v>
      </c>
      <c r="F203" s="97">
        <f>IFERROR(VLOOKUP(E203,'RoC1'!$B$1:$C$160,2,0),0)</f>
        <v>0</v>
      </c>
      <c r="G203" s="137" t="str">
        <f>IFERROR(VLOOKUP($B203,'RoC2'!$A$1:$B$161,2,0),"0")</f>
        <v>0</v>
      </c>
      <c r="H203" s="97">
        <f>IFERROR(VLOOKUP(G203,'RoC2'!$B$1:$C$161,2,0),0)</f>
        <v>0</v>
      </c>
      <c r="I203" s="137">
        <f>IFERROR(VLOOKUP($B203,'RoC3'!$A$1:$B$161,2,0),0)</f>
        <v>0</v>
      </c>
      <c r="J203" s="97">
        <f>IFERROR(VLOOKUP(I203,'RoC3'!$B$1:$C$161,2,0),0)</f>
        <v>0</v>
      </c>
      <c r="K203" s="137">
        <f>IFERROR(VLOOKUP($B203,'RoC4'!$A$1:$B$161,2,0),0)</f>
        <v>0</v>
      </c>
      <c r="L203" s="97">
        <f>IFERROR(VLOOKUP(K203,'RoC4'!$B$1:$C$161,2,0),0)</f>
        <v>0</v>
      </c>
      <c r="M203" s="137">
        <f>IFERROR(VLOOKUP($B203,'RoC5'!$A$1:$B$161,2,0),0)</f>
        <v>0</v>
      </c>
      <c r="N203" s="97">
        <f>IFERROR(VLOOKUP(M203,'RoC5'!$B$1:$C$161,2,0),0)</f>
        <v>0</v>
      </c>
      <c r="O203" s="137">
        <f>IFERROR(VLOOKUP($B203,'RoC6'!$A$1:$B$161,2,0),0)</f>
        <v>0</v>
      </c>
      <c r="P203" s="97">
        <f>IFERROR(VLOOKUP(O203,'RoC6'!$B$1:$C$161,2,0),0)</f>
        <v>0</v>
      </c>
      <c r="Q203" s="137">
        <f>IFERROR(VLOOKUP($B203,'RoC7'!$A$1:$B$161,2,0),0)</f>
        <v>0</v>
      </c>
      <c r="R203" s="97">
        <f>IFERROR(VLOOKUP(Q203,'RoC7'!$B$1:$C$161,2,0),0)</f>
        <v>0</v>
      </c>
      <c r="S203" s="137">
        <f>IFERROR(VLOOKUP($B203,'RoC8'!$A$1:$B$161,2,0),0)</f>
        <v>0</v>
      </c>
      <c r="T203" s="97">
        <f>IFERROR(VLOOKUP(S203,'RoC8'!$B$1:$C$161,2,0),0)</f>
        <v>0</v>
      </c>
      <c r="U203" s="137">
        <f>IFERROR(VLOOKUP($B203,'RoC9'!$A$1:$B$161,2,0),0)</f>
        <v>0</v>
      </c>
      <c r="V203" s="97">
        <f>IFERROR(VLOOKUP(U203,'RoC9'!$B$1:$C$161,2,0),0)</f>
        <v>0</v>
      </c>
      <c r="W203" s="137">
        <f>IFERROR(VLOOKUP($B203,'RoC10'!$A$1:$B$161,2,0),0)</f>
        <v>0</v>
      </c>
      <c r="X203" s="97">
        <f>IFERROR(VLOOKUP(W203,'RoC10'!$B$1:$C$161,2,0),0)</f>
        <v>0</v>
      </c>
      <c r="Y203" s="137">
        <f>IFERROR(VLOOKUP($B203,'RoC11'!$A$1:$B$161,2,0),0)</f>
        <v>0</v>
      </c>
      <c r="Z203" s="97">
        <f>IFERROR(VLOOKUP(Y203,'RoC11'!$B$1:$C$161,2,0),0)</f>
        <v>0</v>
      </c>
      <c r="AA203" s="97">
        <f>IFERROR(VLOOKUP(E203,'RoC1'!$B$1:$C$160,2,0),0)</f>
        <v>0</v>
      </c>
      <c r="AB203" s="97">
        <f>IFERROR(VLOOKUP(G203,'RoC2'!$B$1:$C$160,2,0),0)</f>
        <v>0</v>
      </c>
      <c r="AC203" s="97">
        <f>IFERROR(VLOOKUP(I203,'RoC3'!$B$1:$C$160,2,0),0)</f>
        <v>0</v>
      </c>
      <c r="AD203" s="97">
        <f>IFERROR(VLOOKUP(K203,'RoC4'!$B$1:$C$160,2,0),0)</f>
        <v>0</v>
      </c>
      <c r="AE203" s="97">
        <f>IFERROR(VLOOKUP(M203,'RoC5'!$B$1:$C$160,2,0),0)</f>
        <v>0</v>
      </c>
      <c r="AF203" s="97">
        <f>IFERROR(VLOOKUP(O203,'RoC6'!$B$1:$C$160,2,0),0)</f>
        <v>0</v>
      </c>
      <c r="AG203" s="97">
        <f>IFERROR(VLOOKUP(Q203,'RoC7'!$B$1:$C$160,2,0),0)</f>
        <v>0</v>
      </c>
      <c r="AH203" s="97">
        <f>IFERROR(VLOOKUP(S203,'RoC8'!$B$1:$C$160,2,0),0)</f>
        <v>0</v>
      </c>
      <c r="AI203" s="97">
        <f>IFERROR(VLOOKUP(U203,'RoC9'!$B$1:$C$160,2,0),0)</f>
        <v>0</v>
      </c>
      <c r="AJ203" s="97">
        <f>IFERROR(VLOOKUP(W203,'RoC10'!$B$1:$C$160,2,0),0)</f>
        <v>0</v>
      </c>
      <c r="AK203" s="97">
        <f>IFERROR(VLOOKUP(Y203,'RoC11'!$B$1:$C$160,2,0),0)</f>
        <v>0</v>
      </c>
    </row>
    <row r="204" ht="15.75" customHeight="1">
      <c r="A204" s="92">
        <v>203.0</v>
      </c>
      <c r="B204" s="124"/>
      <c r="C204" s="93">
        <f t="shared" si="4"/>
        <v>0</v>
      </c>
      <c r="D204" s="136"/>
      <c r="E204" s="137" t="str">
        <f>IFERROR(VLOOKUP($B204,'RoC1'!$A$1:$B$160,2,0),"0")</f>
        <v>0</v>
      </c>
      <c r="F204" s="97">
        <f>IFERROR(VLOOKUP(E204,'RoC1'!$B$1:$C$160,2,0),0)</f>
        <v>0</v>
      </c>
      <c r="G204" s="137" t="str">
        <f>IFERROR(VLOOKUP($B204,'RoC2'!$A$1:$B$161,2,0),"0")</f>
        <v>0</v>
      </c>
      <c r="H204" s="97">
        <f>IFERROR(VLOOKUP(G204,'RoC2'!$B$1:$C$161,2,0),0)</f>
        <v>0</v>
      </c>
      <c r="I204" s="137">
        <f>IFERROR(VLOOKUP($B204,'RoC3'!$A$1:$B$161,2,0),0)</f>
        <v>0</v>
      </c>
      <c r="J204" s="97">
        <f>IFERROR(VLOOKUP(I204,'RoC3'!$B$1:$C$161,2,0),0)</f>
        <v>0</v>
      </c>
      <c r="K204" s="137">
        <f>IFERROR(VLOOKUP($B204,'RoC4'!$A$1:$B$161,2,0),0)</f>
        <v>0</v>
      </c>
      <c r="L204" s="97">
        <f>IFERROR(VLOOKUP(K204,'RoC4'!$B$1:$C$161,2,0),0)</f>
        <v>0</v>
      </c>
      <c r="M204" s="137">
        <f>IFERROR(VLOOKUP($B204,'RoC5'!$A$1:$B$161,2,0),0)</f>
        <v>0</v>
      </c>
      <c r="N204" s="97">
        <f>IFERROR(VLOOKUP(M204,'RoC5'!$B$1:$C$161,2,0),0)</f>
        <v>0</v>
      </c>
      <c r="O204" s="137">
        <f>IFERROR(VLOOKUP($B204,'RoC6'!$A$1:$B$161,2,0),0)</f>
        <v>0</v>
      </c>
      <c r="P204" s="97">
        <f>IFERROR(VLOOKUP(O204,'RoC6'!$B$1:$C$161,2,0),0)</f>
        <v>0</v>
      </c>
      <c r="Q204" s="137">
        <f>IFERROR(VLOOKUP($B204,'RoC7'!$A$1:$B$161,2,0),0)</f>
        <v>0</v>
      </c>
      <c r="R204" s="97">
        <f>IFERROR(VLOOKUP(Q204,'RoC7'!$B$1:$C$161,2,0),0)</f>
        <v>0</v>
      </c>
      <c r="S204" s="137">
        <f>IFERROR(VLOOKUP($B204,'RoC8'!$A$1:$B$161,2,0),0)</f>
        <v>0</v>
      </c>
      <c r="T204" s="97">
        <f>IFERROR(VLOOKUP(S204,'RoC8'!$B$1:$C$161,2,0),0)</f>
        <v>0</v>
      </c>
      <c r="U204" s="137">
        <f>IFERROR(VLOOKUP($B204,'RoC9'!$A$1:$B$161,2,0),0)</f>
        <v>0</v>
      </c>
      <c r="V204" s="97">
        <f>IFERROR(VLOOKUP(U204,'RoC9'!$B$1:$C$161,2,0),0)</f>
        <v>0</v>
      </c>
      <c r="W204" s="137">
        <f>IFERROR(VLOOKUP($B204,'RoC10'!$A$1:$B$161,2,0),0)</f>
        <v>0</v>
      </c>
      <c r="X204" s="97">
        <f>IFERROR(VLOOKUP(W204,'RoC10'!$B$1:$C$161,2,0),0)</f>
        <v>0</v>
      </c>
      <c r="Y204" s="137">
        <f>IFERROR(VLOOKUP($B204,'RoC11'!$A$1:$B$161,2,0),0)</f>
        <v>0</v>
      </c>
      <c r="Z204" s="97">
        <f>IFERROR(VLOOKUP(Y204,'RoC11'!$B$1:$C$161,2,0),0)</f>
        <v>0</v>
      </c>
      <c r="AA204" s="97">
        <f>IFERROR(VLOOKUP(E204,'RoC1'!$B$1:$C$160,2,0),0)</f>
        <v>0</v>
      </c>
      <c r="AB204" s="97">
        <f>IFERROR(VLOOKUP(G204,'RoC2'!$B$1:$C$160,2,0),0)</f>
        <v>0</v>
      </c>
      <c r="AC204" s="97">
        <f>IFERROR(VLOOKUP(I204,'RoC3'!$B$1:$C$160,2,0),0)</f>
        <v>0</v>
      </c>
      <c r="AD204" s="97">
        <f>IFERROR(VLOOKUP(K204,'RoC4'!$B$1:$C$160,2,0),0)</f>
        <v>0</v>
      </c>
      <c r="AE204" s="97">
        <f>IFERROR(VLOOKUP(M204,'RoC5'!$B$1:$C$160,2,0),0)</f>
        <v>0</v>
      </c>
      <c r="AF204" s="97">
        <f>IFERROR(VLOOKUP(O204,'RoC6'!$B$1:$C$160,2,0),0)</f>
        <v>0</v>
      </c>
      <c r="AG204" s="97">
        <f>IFERROR(VLOOKUP(Q204,'RoC7'!$B$1:$C$160,2,0),0)</f>
        <v>0</v>
      </c>
      <c r="AH204" s="97">
        <f>IFERROR(VLOOKUP(S204,'RoC8'!$B$1:$C$160,2,0),0)</f>
        <v>0</v>
      </c>
      <c r="AI204" s="97">
        <f>IFERROR(VLOOKUP(U204,'RoC9'!$B$1:$C$160,2,0),0)</f>
        <v>0</v>
      </c>
      <c r="AJ204" s="97">
        <f>IFERROR(VLOOKUP(W204,'RoC10'!$B$1:$C$160,2,0),0)</f>
        <v>0</v>
      </c>
      <c r="AK204" s="97">
        <f>IFERROR(VLOOKUP(Y204,'RoC11'!$B$1:$C$160,2,0),0)</f>
        <v>0</v>
      </c>
    </row>
    <row r="205" ht="15.75" customHeight="1">
      <c r="A205" s="135">
        <v>204.0</v>
      </c>
      <c r="B205" s="124"/>
      <c r="C205" s="93">
        <f t="shared" si="4"/>
        <v>0</v>
      </c>
      <c r="D205" s="136"/>
      <c r="E205" s="137" t="str">
        <f>IFERROR(VLOOKUP($B205,'RoC1'!$A$1:$B$160,2,0),"0")</f>
        <v>0</v>
      </c>
      <c r="F205" s="97">
        <f>IFERROR(VLOOKUP(E205,'RoC1'!$B$1:$C$160,2,0),0)</f>
        <v>0</v>
      </c>
      <c r="G205" s="137" t="str">
        <f>IFERROR(VLOOKUP($B205,'RoC2'!$A$1:$B$161,2,0),"0")</f>
        <v>0</v>
      </c>
      <c r="H205" s="97">
        <f>IFERROR(VLOOKUP(G205,'RoC2'!$B$1:$C$161,2,0),0)</f>
        <v>0</v>
      </c>
      <c r="I205" s="137">
        <f>IFERROR(VLOOKUP($B205,'RoC3'!$A$1:$B$161,2,0),0)</f>
        <v>0</v>
      </c>
      <c r="J205" s="97">
        <f>IFERROR(VLOOKUP(I205,'RoC3'!$B$1:$C$161,2,0),0)</f>
        <v>0</v>
      </c>
      <c r="K205" s="137">
        <f>IFERROR(VLOOKUP($B205,'RoC4'!$A$1:$B$161,2,0),0)</f>
        <v>0</v>
      </c>
      <c r="L205" s="97">
        <f>IFERROR(VLOOKUP(K205,'RoC4'!$B$1:$C$161,2,0),0)</f>
        <v>0</v>
      </c>
      <c r="M205" s="137">
        <f>IFERROR(VLOOKUP($B205,'RoC5'!$A$1:$B$161,2,0),0)</f>
        <v>0</v>
      </c>
      <c r="N205" s="97">
        <f>IFERROR(VLOOKUP(M205,'RoC5'!$B$1:$C$161,2,0),0)</f>
        <v>0</v>
      </c>
      <c r="O205" s="137">
        <f>IFERROR(VLOOKUP($B205,'RoC6'!$A$1:$B$161,2,0),0)</f>
        <v>0</v>
      </c>
      <c r="P205" s="97">
        <f>IFERROR(VLOOKUP(O205,'RoC6'!$B$1:$C$161,2,0),0)</f>
        <v>0</v>
      </c>
      <c r="Q205" s="137">
        <f>IFERROR(VLOOKUP($B205,'RoC7'!$A$1:$B$161,2,0),0)</f>
        <v>0</v>
      </c>
      <c r="R205" s="97">
        <f>IFERROR(VLOOKUP(Q205,'RoC7'!$B$1:$C$161,2,0),0)</f>
        <v>0</v>
      </c>
      <c r="S205" s="137">
        <f>IFERROR(VLOOKUP($B205,'RoC8'!$A$1:$B$161,2,0),0)</f>
        <v>0</v>
      </c>
      <c r="T205" s="97">
        <f>IFERROR(VLOOKUP(S205,'RoC8'!$B$1:$C$161,2,0),0)</f>
        <v>0</v>
      </c>
      <c r="U205" s="137">
        <f>IFERROR(VLOOKUP($B205,'RoC9'!$A$1:$B$161,2,0),0)</f>
        <v>0</v>
      </c>
      <c r="V205" s="97">
        <f>IFERROR(VLOOKUP(U205,'RoC9'!$B$1:$C$161,2,0),0)</f>
        <v>0</v>
      </c>
      <c r="W205" s="137">
        <f>IFERROR(VLOOKUP($B205,'RoC10'!$A$1:$B$161,2,0),0)</f>
        <v>0</v>
      </c>
      <c r="X205" s="97">
        <f>IFERROR(VLOOKUP(W205,'RoC10'!$B$1:$C$161,2,0),0)</f>
        <v>0</v>
      </c>
      <c r="Y205" s="137">
        <f>IFERROR(VLOOKUP($B205,'RoC11'!$A$1:$B$161,2,0),0)</f>
        <v>0</v>
      </c>
      <c r="Z205" s="97">
        <f>IFERROR(VLOOKUP(Y205,'RoC11'!$B$1:$C$161,2,0),0)</f>
        <v>0</v>
      </c>
      <c r="AA205" s="97">
        <f>IFERROR(VLOOKUP(E205,'RoC1'!$B$1:$C$160,2,0),0)</f>
        <v>0</v>
      </c>
      <c r="AB205" s="97">
        <f>IFERROR(VLOOKUP(G205,'RoC2'!$B$1:$C$160,2,0),0)</f>
        <v>0</v>
      </c>
      <c r="AC205" s="97">
        <f>IFERROR(VLOOKUP(I205,'RoC3'!$B$1:$C$160,2,0),0)</f>
        <v>0</v>
      </c>
      <c r="AD205" s="97">
        <f>IFERROR(VLOOKUP(K205,'RoC4'!$B$1:$C$160,2,0),0)</f>
        <v>0</v>
      </c>
      <c r="AE205" s="97">
        <f>IFERROR(VLOOKUP(M205,'RoC5'!$B$1:$C$160,2,0),0)</f>
        <v>0</v>
      </c>
      <c r="AF205" s="97">
        <f>IFERROR(VLOOKUP(O205,'RoC6'!$B$1:$C$160,2,0),0)</f>
        <v>0</v>
      </c>
      <c r="AG205" s="97">
        <f>IFERROR(VLOOKUP(Q205,'RoC7'!$B$1:$C$160,2,0),0)</f>
        <v>0</v>
      </c>
      <c r="AH205" s="97">
        <f>IFERROR(VLOOKUP(S205,'RoC8'!$B$1:$C$160,2,0),0)</f>
        <v>0</v>
      </c>
      <c r="AI205" s="97">
        <f>IFERROR(VLOOKUP(U205,'RoC9'!$B$1:$C$160,2,0),0)</f>
        <v>0</v>
      </c>
      <c r="AJ205" s="97">
        <f>IFERROR(VLOOKUP(W205,'RoC10'!$B$1:$C$160,2,0),0)</f>
        <v>0</v>
      </c>
      <c r="AK205" s="97">
        <f>IFERROR(VLOOKUP(Y205,'RoC11'!$B$1:$C$160,2,0),0)</f>
        <v>0</v>
      </c>
    </row>
    <row r="206" ht="15.75" customHeight="1">
      <c r="A206" s="92">
        <v>205.0</v>
      </c>
      <c r="B206" s="124"/>
      <c r="C206" s="93">
        <f t="shared" si="4"/>
        <v>0</v>
      </c>
      <c r="D206" s="136"/>
      <c r="E206" s="137" t="str">
        <f>IFERROR(VLOOKUP($B206,'RoC1'!$A$1:$B$160,2,0),"0")</f>
        <v>0</v>
      </c>
      <c r="F206" s="97">
        <f>IFERROR(VLOOKUP(E206,'RoC1'!$B$1:$C$160,2,0),0)</f>
        <v>0</v>
      </c>
      <c r="G206" s="137" t="str">
        <f>IFERROR(VLOOKUP($B206,'RoC2'!$A$1:$B$161,2,0),"0")</f>
        <v>0</v>
      </c>
      <c r="H206" s="97">
        <f>IFERROR(VLOOKUP(G206,'RoC2'!$B$1:$C$161,2,0),0)</f>
        <v>0</v>
      </c>
      <c r="I206" s="137">
        <f>IFERROR(VLOOKUP($B206,'RoC3'!$A$1:$B$161,2,0),0)</f>
        <v>0</v>
      </c>
      <c r="J206" s="97">
        <f>IFERROR(VLOOKUP(I206,'RoC3'!$B$1:$C$161,2,0),0)</f>
        <v>0</v>
      </c>
      <c r="K206" s="137">
        <f>IFERROR(VLOOKUP($B206,'RoC4'!$A$1:$B$161,2,0),0)</f>
        <v>0</v>
      </c>
      <c r="L206" s="97">
        <f>IFERROR(VLOOKUP(K206,'RoC4'!$B$1:$C$161,2,0),0)</f>
        <v>0</v>
      </c>
      <c r="M206" s="137">
        <f>IFERROR(VLOOKUP($B206,'RoC5'!$A$1:$B$161,2,0),0)</f>
        <v>0</v>
      </c>
      <c r="N206" s="97">
        <f>IFERROR(VLOOKUP(M206,'RoC5'!$B$1:$C$161,2,0),0)</f>
        <v>0</v>
      </c>
      <c r="O206" s="137">
        <f>IFERROR(VLOOKUP($B206,'RoC6'!$A$1:$B$161,2,0),0)</f>
        <v>0</v>
      </c>
      <c r="P206" s="97">
        <f>IFERROR(VLOOKUP(O206,'RoC6'!$B$1:$C$161,2,0),0)</f>
        <v>0</v>
      </c>
      <c r="Q206" s="137">
        <f>IFERROR(VLOOKUP($B206,'RoC7'!$A$1:$B$161,2,0),0)</f>
        <v>0</v>
      </c>
      <c r="R206" s="97">
        <f>IFERROR(VLOOKUP(Q206,'RoC7'!$B$1:$C$161,2,0),0)</f>
        <v>0</v>
      </c>
      <c r="S206" s="137">
        <f>IFERROR(VLOOKUP($B206,'RoC8'!$A$1:$B$161,2,0),0)</f>
        <v>0</v>
      </c>
      <c r="T206" s="97">
        <f>IFERROR(VLOOKUP(S206,'RoC8'!$B$1:$C$161,2,0),0)</f>
        <v>0</v>
      </c>
      <c r="U206" s="137">
        <f>IFERROR(VLOOKUP($B206,'RoC9'!$A$1:$B$161,2,0),0)</f>
        <v>0</v>
      </c>
      <c r="V206" s="97">
        <f>IFERROR(VLOOKUP(U206,'RoC9'!$B$1:$C$161,2,0),0)</f>
        <v>0</v>
      </c>
      <c r="W206" s="137">
        <f>IFERROR(VLOOKUP($B206,'RoC10'!$A$1:$B$161,2,0),0)</f>
        <v>0</v>
      </c>
      <c r="X206" s="97">
        <f>IFERROR(VLOOKUP(W206,'RoC10'!$B$1:$C$161,2,0),0)</f>
        <v>0</v>
      </c>
      <c r="Y206" s="137">
        <f>IFERROR(VLOOKUP($B206,'RoC11'!$A$1:$B$161,2,0),0)</f>
        <v>0</v>
      </c>
      <c r="Z206" s="97">
        <f>IFERROR(VLOOKUP(Y206,'RoC11'!$B$1:$C$161,2,0),0)</f>
        <v>0</v>
      </c>
      <c r="AA206" s="97">
        <f>IFERROR(VLOOKUP(E206,'RoC1'!$B$1:$C$160,2,0),0)</f>
        <v>0</v>
      </c>
      <c r="AB206" s="97">
        <f>IFERROR(VLOOKUP(G206,'RoC2'!$B$1:$C$160,2,0),0)</f>
        <v>0</v>
      </c>
      <c r="AC206" s="97">
        <f>IFERROR(VLOOKUP(I206,'RoC3'!$B$1:$C$160,2,0),0)</f>
        <v>0</v>
      </c>
      <c r="AD206" s="97">
        <f>IFERROR(VLOOKUP(K206,'RoC4'!$B$1:$C$160,2,0),0)</f>
        <v>0</v>
      </c>
      <c r="AE206" s="97">
        <f>IFERROR(VLOOKUP(M206,'RoC5'!$B$1:$C$160,2,0),0)</f>
        <v>0</v>
      </c>
      <c r="AF206" s="97">
        <f>IFERROR(VLOOKUP(O206,'RoC6'!$B$1:$C$160,2,0),0)</f>
        <v>0</v>
      </c>
      <c r="AG206" s="97">
        <f>IFERROR(VLOOKUP(Q206,'RoC7'!$B$1:$C$160,2,0),0)</f>
        <v>0</v>
      </c>
      <c r="AH206" s="97">
        <f>IFERROR(VLOOKUP(S206,'RoC8'!$B$1:$C$160,2,0),0)</f>
        <v>0</v>
      </c>
      <c r="AI206" s="97">
        <f>IFERROR(VLOOKUP(U206,'RoC9'!$B$1:$C$160,2,0),0)</f>
        <v>0</v>
      </c>
      <c r="AJ206" s="97">
        <f>IFERROR(VLOOKUP(W206,'RoC10'!$B$1:$C$160,2,0),0)</f>
        <v>0</v>
      </c>
      <c r="AK206" s="97">
        <f>IFERROR(VLOOKUP(Y206,'RoC11'!$B$1:$C$160,2,0),0)</f>
        <v>0</v>
      </c>
    </row>
    <row r="207" ht="15.75" customHeight="1">
      <c r="A207" s="135">
        <v>206.0</v>
      </c>
      <c r="B207" s="124"/>
      <c r="C207" s="93">
        <f t="shared" si="4"/>
        <v>0</v>
      </c>
      <c r="D207" s="136"/>
      <c r="E207" s="137" t="str">
        <f>IFERROR(VLOOKUP($B207,'RoC1'!$A$1:$B$160,2,0),"0")</f>
        <v>0</v>
      </c>
      <c r="F207" s="97">
        <f>IFERROR(VLOOKUP(E207,'RoC1'!$B$1:$C$160,2,0),0)</f>
        <v>0</v>
      </c>
      <c r="G207" s="137" t="str">
        <f>IFERROR(VLOOKUP($B207,'RoC2'!$A$1:$B$161,2,0),"0")</f>
        <v>0</v>
      </c>
      <c r="H207" s="97">
        <f>IFERROR(VLOOKUP(G207,'RoC2'!$B$1:$C$161,2,0),0)</f>
        <v>0</v>
      </c>
      <c r="I207" s="137">
        <f>IFERROR(VLOOKUP($B207,'RoC3'!$A$1:$B$161,2,0),0)</f>
        <v>0</v>
      </c>
      <c r="J207" s="97">
        <f>IFERROR(VLOOKUP(I207,'RoC3'!$B$1:$C$161,2,0),0)</f>
        <v>0</v>
      </c>
      <c r="K207" s="137">
        <f>IFERROR(VLOOKUP($B207,'RoC4'!$A$1:$B$161,2,0),0)</f>
        <v>0</v>
      </c>
      <c r="L207" s="97">
        <f>IFERROR(VLOOKUP(K207,'RoC4'!$B$1:$C$161,2,0),0)</f>
        <v>0</v>
      </c>
      <c r="M207" s="137">
        <f>IFERROR(VLOOKUP($B207,'RoC5'!$A$1:$B$161,2,0),0)</f>
        <v>0</v>
      </c>
      <c r="N207" s="97">
        <f>IFERROR(VLOOKUP(M207,'RoC5'!$B$1:$C$161,2,0),0)</f>
        <v>0</v>
      </c>
      <c r="O207" s="137">
        <f>IFERROR(VLOOKUP($B207,'RoC6'!$A$1:$B$161,2,0),0)</f>
        <v>0</v>
      </c>
      <c r="P207" s="97">
        <f>IFERROR(VLOOKUP(O207,'RoC6'!$B$1:$C$161,2,0),0)</f>
        <v>0</v>
      </c>
      <c r="Q207" s="137">
        <f>IFERROR(VLOOKUP($B207,'RoC7'!$A$1:$B$161,2,0),0)</f>
        <v>0</v>
      </c>
      <c r="R207" s="97">
        <f>IFERROR(VLOOKUP(Q207,'RoC7'!$B$1:$C$161,2,0),0)</f>
        <v>0</v>
      </c>
      <c r="S207" s="137">
        <f>IFERROR(VLOOKUP($B207,'RoC8'!$A$1:$B$161,2,0),0)</f>
        <v>0</v>
      </c>
      <c r="T207" s="97">
        <f>IFERROR(VLOOKUP(S207,'RoC8'!$B$1:$C$161,2,0),0)</f>
        <v>0</v>
      </c>
      <c r="U207" s="137">
        <f>IFERROR(VLOOKUP($B207,'RoC9'!$A$1:$B$161,2,0),0)</f>
        <v>0</v>
      </c>
      <c r="V207" s="97">
        <f>IFERROR(VLOOKUP(U207,'RoC9'!$B$1:$C$161,2,0),0)</f>
        <v>0</v>
      </c>
      <c r="W207" s="137">
        <f>IFERROR(VLOOKUP($B207,'RoC10'!$A$1:$B$161,2,0),0)</f>
        <v>0</v>
      </c>
      <c r="X207" s="97">
        <f>IFERROR(VLOOKUP(W207,'RoC10'!$B$1:$C$161,2,0),0)</f>
        <v>0</v>
      </c>
      <c r="Y207" s="137">
        <f>IFERROR(VLOOKUP($B207,'RoC11'!$A$1:$B$161,2,0),0)</f>
        <v>0</v>
      </c>
      <c r="Z207" s="97">
        <f>IFERROR(VLOOKUP(Y207,'RoC11'!$B$1:$C$161,2,0),0)</f>
        <v>0</v>
      </c>
      <c r="AA207" s="97">
        <f>IFERROR(VLOOKUP(E207,'RoC1'!$B$1:$C$160,2,0),0)</f>
        <v>0</v>
      </c>
      <c r="AB207" s="97">
        <f>IFERROR(VLOOKUP(G207,'RoC2'!$B$1:$C$160,2,0),0)</f>
        <v>0</v>
      </c>
      <c r="AC207" s="97">
        <f>IFERROR(VLOOKUP(I207,'RoC3'!$B$1:$C$160,2,0),0)</f>
        <v>0</v>
      </c>
      <c r="AD207" s="97">
        <f>IFERROR(VLOOKUP(K207,'RoC4'!$B$1:$C$160,2,0),0)</f>
        <v>0</v>
      </c>
      <c r="AE207" s="97">
        <f>IFERROR(VLOOKUP(M207,'RoC5'!$B$1:$C$160,2,0),0)</f>
        <v>0</v>
      </c>
      <c r="AF207" s="97">
        <f>IFERROR(VLOOKUP(O207,'RoC6'!$B$1:$C$160,2,0),0)</f>
        <v>0</v>
      </c>
      <c r="AG207" s="97">
        <f>IFERROR(VLOOKUP(Q207,'RoC7'!$B$1:$C$160,2,0),0)</f>
        <v>0</v>
      </c>
      <c r="AH207" s="97">
        <f>IFERROR(VLOOKUP(S207,'RoC8'!$B$1:$C$160,2,0),0)</f>
        <v>0</v>
      </c>
      <c r="AI207" s="97">
        <f>IFERROR(VLOOKUP(U207,'RoC9'!$B$1:$C$160,2,0),0)</f>
        <v>0</v>
      </c>
      <c r="AJ207" s="97">
        <f>IFERROR(VLOOKUP(W207,'RoC10'!$B$1:$C$160,2,0),0)</f>
        <v>0</v>
      </c>
      <c r="AK207" s="97">
        <f>IFERROR(VLOOKUP(Y207,'RoC11'!$B$1:$C$160,2,0),0)</f>
        <v>0</v>
      </c>
    </row>
    <row r="208" ht="15.75" customHeight="1">
      <c r="A208" s="92">
        <v>207.0</v>
      </c>
      <c r="B208" s="124"/>
      <c r="C208" s="93">
        <f t="shared" si="4"/>
        <v>0</v>
      </c>
      <c r="D208" s="136"/>
      <c r="E208" s="137" t="str">
        <f>IFERROR(VLOOKUP($B208,'RoC1'!$A$1:$B$160,2,0),"0")</f>
        <v>0</v>
      </c>
      <c r="F208" s="97">
        <f>IFERROR(VLOOKUP(E208,'RoC1'!$B$1:$C$160,2,0),0)</f>
        <v>0</v>
      </c>
      <c r="G208" s="137" t="str">
        <f>IFERROR(VLOOKUP($B208,'RoC2'!$A$1:$B$161,2,0),"0")</f>
        <v>0</v>
      </c>
      <c r="H208" s="97">
        <f>IFERROR(VLOOKUP(G208,'RoC2'!$B$1:$C$161,2,0),0)</f>
        <v>0</v>
      </c>
      <c r="I208" s="137">
        <f>IFERROR(VLOOKUP($B208,'RoC3'!$A$1:$B$161,2,0),0)</f>
        <v>0</v>
      </c>
      <c r="J208" s="97">
        <f>IFERROR(VLOOKUP(I208,'RoC3'!$B$1:$C$161,2,0),0)</f>
        <v>0</v>
      </c>
      <c r="K208" s="137">
        <f>IFERROR(VLOOKUP($B208,'RoC4'!$A$1:$B$161,2,0),0)</f>
        <v>0</v>
      </c>
      <c r="L208" s="97">
        <f>IFERROR(VLOOKUP(K208,'RoC4'!$B$1:$C$161,2,0),0)</f>
        <v>0</v>
      </c>
      <c r="M208" s="137">
        <f>IFERROR(VLOOKUP($B208,'RoC5'!$A$1:$B$161,2,0),0)</f>
        <v>0</v>
      </c>
      <c r="N208" s="97">
        <f>IFERROR(VLOOKUP(M208,'RoC5'!$B$1:$C$161,2,0),0)</f>
        <v>0</v>
      </c>
      <c r="O208" s="137">
        <f>IFERROR(VLOOKUP($B208,'RoC6'!$A$1:$B$161,2,0),0)</f>
        <v>0</v>
      </c>
      <c r="P208" s="97">
        <f>IFERROR(VLOOKUP(O208,'RoC6'!$B$1:$C$161,2,0),0)</f>
        <v>0</v>
      </c>
      <c r="Q208" s="137">
        <f>IFERROR(VLOOKUP($B208,'RoC7'!$A$1:$B$161,2,0),0)</f>
        <v>0</v>
      </c>
      <c r="R208" s="97">
        <f>IFERROR(VLOOKUP(Q208,'RoC7'!$B$1:$C$161,2,0),0)</f>
        <v>0</v>
      </c>
      <c r="S208" s="137">
        <f>IFERROR(VLOOKUP($B208,'RoC8'!$A$1:$B$161,2,0),0)</f>
        <v>0</v>
      </c>
      <c r="T208" s="97">
        <f>IFERROR(VLOOKUP(S208,'RoC8'!$B$1:$C$161,2,0),0)</f>
        <v>0</v>
      </c>
      <c r="U208" s="137">
        <f>IFERROR(VLOOKUP($B208,'RoC9'!$A$1:$B$161,2,0),0)</f>
        <v>0</v>
      </c>
      <c r="V208" s="97">
        <f>IFERROR(VLOOKUP(U208,'RoC9'!$B$1:$C$161,2,0),0)</f>
        <v>0</v>
      </c>
      <c r="W208" s="137">
        <f>IFERROR(VLOOKUP($B208,'RoC10'!$A$1:$B$161,2,0),0)</f>
        <v>0</v>
      </c>
      <c r="X208" s="97">
        <f>IFERROR(VLOOKUP(W208,'RoC10'!$B$1:$C$161,2,0),0)</f>
        <v>0</v>
      </c>
      <c r="Y208" s="137">
        <f>IFERROR(VLOOKUP($B208,'RoC11'!$A$1:$B$161,2,0),0)</f>
        <v>0</v>
      </c>
      <c r="Z208" s="97">
        <f>IFERROR(VLOOKUP(Y208,'RoC11'!$B$1:$C$161,2,0),0)</f>
        <v>0</v>
      </c>
      <c r="AA208" s="97">
        <f>IFERROR(VLOOKUP(E208,'RoC1'!$B$1:$C$160,2,0),0)</f>
        <v>0</v>
      </c>
      <c r="AB208" s="97">
        <f>IFERROR(VLOOKUP(G208,'RoC2'!$B$1:$C$160,2,0),0)</f>
        <v>0</v>
      </c>
      <c r="AC208" s="97">
        <f>IFERROR(VLOOKUP(I208,'RoC3'!$B$1:$C$160,2,0),0)</f>
        <v>0</v>
      </c>
      <c r="AD208" s="97">
        <f>IFERROR(VLOOKUP(K208,'RoC4'!$B$1:$C$160,2,0),0)</f>
        <v>0</v>
      </c>
      <c r="AE208" s="97">
        <f>IFERROR(VLOOKUP(M208,'RoC5'!$B$1:$C$160,2,0),0)</f>
        <v>0</v>
      </c>
      <c r="AF208" s="97">
        <f>IFERROR(VLOOKUP(O208,'RoC6'!$B$1:$C$160,2,0),0)</f>
        <v>0</v>
      </c>
      <c r="AG208" s="97">
        <f>IFERROR(VLOOKUP(Q208,'RoC7'!$B$1:$C$160,2,0),0)</f>
        <v>0</v>
      </c>
      <c r="AH208" s="97">
        <f>IFERROR(VLOOKUP(S208,'RoC8'!$B$1:$C$160,2,0),0)</f>
        <v>0</v>
      </c>
      <c r="AI208" s="97">
        <f>IFERROR(VLOOKUP(U208,'RoC9'!$B$1:$C$160,2,0),0)</f>
        <v>0</v>
      </c>
      <c r="AJ208" s="97">
        <f>IFERROR(VLOOKUP(W208,'RoC10'!$B$1:$C$160,2,0),0)</f>
        <v>0</v>
      </c>
      <c r="AK208" s="97">
        <f>IFERROR(VLOOKUP(Y208,'RoC11'!$B$1:$C$160,2,0),0)</f>
        <v>0</v>
      </c>
    </row>
    <row r="209" ht="15.75" customHeight="1">
      <c r="A209" s="135">
        <v>208.0</v>
      </c>
      <c r="B209" s="124"/>
      <c r="C209" s="93">
        <f t="shared" si="4"/>
        <v>0</v>
      </c>
      <c r="D209" s="136"/>
      <c r="E209" s="137" t="str">
        <f>IFERROR(VLOOKUP($B209,'RoC1'!$A$1:$B$160,2,0),"0")</f>
        <v>0</v>
      </c>
      <c r="F209" s="97">
        <f>IFERROR(VLOOKUP(E209,'RoC1'!$B$1:$C$160,2,0),0)</f>
        <v>0</v>
      </c>
      <c r="G209" s="137" t="str">
        <f>IFERROR(VLOOKUP($B209,'RoC2'!$A$1:$B$161,2,0),"0")</f>
        <v>0</v>
      </c>
      <c r="H209" s="97">
        <f>IFERROR(VLOOKUP(G209,'RoC2'!$B$1:$C$161,2,0),0)</f>
        <v>0</v>
      </c>
      <c r="I209" s="137">
        <f>IFERROR(VLOOKUP($B209,'RoC3'!$A$1:$B$161,2,0),0)</f>
        <v>0</v>
      </c>
      <c r="J209" s="97">
        <f>IFERROR(VLOOKUP(I209,'RoC3'!$B$1:$C$161,2,0),0)</f>
        <v>0</v>
      </c>
      <c r="K209" s="137">
        <f>IFERROR(VLOOKUP($B209,'RoC4'!$A$1:$B$161,2,0),0)</f>
        <v>0</v>
      </c>
      <c r="L209" s="97">
        <f>IFERROR(VLOOKUP(K209,'RoC4'!$B$1:$C$161,2,0),0)</f>
        <v>0</v>
      </c>
      <c r="M209" s="137">
        <f>IFERROR(VLOOKUP($B209,'RoC5'!$A$1:$B$161,2,0),0)</f>
        <v>0</v>
      </c>
      <c r="N209" s="97">
        <f>IFERROR(VLOOKUP(M209,'RoC5'!$B$1:$C$161,2,0),0)</f>
        <v>0</v>
      </c>
      <c r="O209" s="137">
        <f>IFERROR(VLOOKUP($B209,'RoC6'!$A$1:$B$161,2,0),0)</f>
        <v>0</v>
      </c>
      <c r="P209" s="97">
        <f>IFERROR(VLOOKUP(O209,'RoC6'!$B$1:$C$161,2,0),0)</f>
        <v>0</v>
      </c>
      <c r="Q209" s="137">
        <f>IFERROR(VLOOKUP($B209,'RoC7'!$A$1:$B$161,2,0),0)</f>
        <v>0</v>
      </c>
      <c r="R209" s="97">
        <f>IFERROR(VLOOKUP(Q209,'RoC7'!$B$1:$C$161,2,0),0)</f>
        <v>0</v>
      </c>
      <c r="S209" s="137">
        <f>IFERROR(VLOOKUP($B209,'RoC8'!$A$1:$B$161,2,0),0)</f>
        <v>0</v>
      </c>
      <c r="T209" s="97">
        <f>IFERROR(VLOOKUP(S209,'RoC8'!$B$1:$C$161,2,0),0)</f>
        <v>0</v>
      </c>
      <c r="U209" s="137">
        <f>IFERROR(VLOOKUP($B209,'RoC9'!$A$1:$B$161,2,0),0)</f>
        <v>0</v>
      </c>
      <c r="V209" s="97">
        <f>IFERROR(VLOOKUP(U209,'RoC9'!$B$1:$C$161,2,0),0)</f>
        <v>0</v>
      </c>
      <c r="W209" s="137">
        <f>IFERROR(VLOOKUP($B209,'RoC10'!$A$1:$B$161,2,0),0)</f>
        <v>0</v>
      </c>
      <c r="X209" s="97">
        <f>IFERROR(VLOOKUP(W209,'RoC10'!$B$1:$C$161,2,0),0)</f>
        <v>0</v>
      </c>
      <c r="Y209" s="137">
        <f>IFERROR(VLOOKUP($B209,'RoC11'!$A$1:$B$161,2,0),0)</f>
        <v>0</v>
      </c>
      <c r="Z209" s="97">
        <f>IFERROR(VLOOKUP(Y209,'RoC11'!$B$1:$C$161,2,0),0)</f>
        <v>0</v>
      </c>
      <c r="AA209" s="97">
        <f>IFERROR(VLOOKUP(E209,'RoC1'!$B$1:$C$160,2,0),0)</f>
        <v>0</v>
      </c>
      <c r="AB209" s="97">
        <f>IFERROR(VLOOKUP(G209,'RoC2'!$B$1:$C$160,2,0),0)</f>
        <v>0</v>
      </c>
      <c r="AC209" s="97">
        <f>IFERROR(VLOOKUP(I209,'RoC3'!$B$1:$C$160,2,0),0)</f>
        <v>0</v>
      </c>
      <c r="AD209" s="97">
        <f>IFERROR(VLOOKUP(K209,'RoC4'!$B$1:$C$160,2,0),0)</f>
        <v>0</v>
      </c>
      <c r="AE209" s="97">
        <f>IFERROR(VLOOKUP(M209,'RoC5'!$B$1:$C$160,2,0),0)</f>
        <v>0</v>
      </c>
      <c r="AF209" s="97">
        <f>IFERROR(VLOOKUP(O209,'RoC6'!$B$1:$C$160,2,0),0)</f>
        <v>0</v>
      </c>
      <c r="AG209" s="97">
        <f>IFERROR(VLOOKUP(Q209,'RoC7'!$B$1:$C$160,2,0),0)</f>
        <v>0</v>
      </c>
      <c r="AH209" s="97">
        <f>IFERROR(VLOOKUP(S209,'RoC8'!$B$1:$C$160,2,0),0)</f>
        <v>0</v>
      </c>
      <c r="AI209" s="97">
        <f>IFERROR(VLOOKUP(U209,'RoC9'!$B$1:$C$160,2,0),0)</f>
        <v>0</v>
      </c>
      <c r="AJ209" s="97">
        <f>IFERROR(VLOOKUP(W209,'RoC10'!$B$1:$C$160,2,0),0)</f>
        <v>0</v>
      </c>
      <c r="AK209" s="97">
        <f>IFERROR(VLOOKUP(Y209,'RoC11'!$B$1:$C$160,2,0),0)</f>
        <v>0</v>
      </c>
    </row>
    <row r="210" ht="15.75" customHeight="1">
      <c r="A210" s="92">
        <v>209.0</v>
      </c>
      <c r="B210" s="124"/>
      <c r="C210" s="93">
        <f t="shared" si="4"/>
        <v>0</v>
      </c>
      <c r="D210" s="136"/>
      <c r="E210" s="137" t="str">
        <f>IFERROR(VLOOKUP($B210,'RoC1'!$A$1:$B$160,2,0),"0")</f>
        <v>0</v>
      </c>
      <c r="F210" s="97">
        <f>IFERROR(VLOOKUP(E210,'RoC1'!$B$1:$C$160,2,0),0)</f>
        <v>0</v>
      </c>
      <c r="G210" s="137" t="str">
        <f>IFERROR(VLOOKUP($B210,'RoC2'!$A$1:$B$161,2,0),"0")</f>
        <v>0</v>
      </c>
      <c r="H210" s="97">
        <f>IFERROR(VLOOKUP(G210,'RoC2'!$B$1:$C$161,2,0),0)</f>
        <v>0</v>
      </c>
      <c r="I210" s="137">
        <f>IFERROR(VLOOKUP($B210,'RoC3'!$A$1:$B$161,2,0),0)</f>
        <v>0</v>
      </c>
      <c r="J210" s="97">
        <f>IFERROR(VLOOKUP(I210,'RoC3'!$B$1:$C$161,2,0),0)</f>
        <v>0</v>
      </c>
      <c r="K210" s="137">
        <f>IFERROR(VLOOKUP($B210,'RoC4'!$A$1:$B$161,2,0),0)</f>
        <v>0</v>
      </c>
      <c r="L210" s="97">
        <f>IFERROR(VLOOKUP(K210,'RoC4'!$B$1:$C$161,2,0),0)</f>
        <v>0</v>
      </c>
      <c r="M210" s="137">
        <f>IFERROR(VLOOKUP($B210,'RoC5'!$A$1:$B$161,2,0),0)</f>
        <v>0</v>
      </c>
      <c r="N210" s="97">
        <f>IFERROR(VLOOKUP(M210,'RoC5'!$B$1:$C$161,2,0),0)</f>
        <v>0</v>
      </c>
      <c r="O210" s="137">
        <f>IFERROR(VLOOKUP($B210,'RoC6'!$A$1:$B$161,2,0),0)</f>
        <v>0</v>
      </c>
      <c r="P210" s="97">
        <f>IFERROR(VLOOKUP(O210,'RoC6'!$B$1:$C$161,2,0),0)</f>
        <v>0</v>
      </c>
      <c r="Q210" s="137">
        <f>IFERROR(VLOOKUP($B210,'RoC7'!$A$1:$B$161,2,0),0)</f>
        <v>0</v>
      </c>
      <c r="R210" s="97">
        <f>IFERROR(VLOOKUP(Q210,'RoC7'!$B$1:$C$161,2,0),0)</f>
        <v>0</v>
      </c>
      <c r="S210" s="137">
        <f>IFERROR(VLOOKUP($B210,'RoC8'!$A$1:$B$161,2,0),0)</f>
        <v>0</v>
      </c>
      <c r="T210" s="97">
        <f>IFERROR(VLOOKUP(S210,'RoC8'!$B$1:$C$161,2,0),0)</f>
        <v>0</v>
      </c>
      <c r="U210" s="137">
        <f>IFERROR(VLOOKUP($B210,'RoC9'!$A$1:$B$161,2,0),0)</f>
        <v>0</v>
      </c>
      <c r="V210" s="97">
        <f>IFERROR(VLOOKUP(U210,'RoC9'!$B$1:$C$161,2,0),0)</f>
        <v>0</v>
      </c>
      <c r="W210" s="137">
        <f>IFERROR(VLOOKUP($B210,'RoC10'!$A$1:$B$161,2,0),0)</f>
        <v>0</v>
      </c>
      <c r="X210" s="97">
        <f>IFERROR(VLOOKUP(W210,'RoC10'!$B$1:$C$161,2,0),0)</f>
        <v>0</v>
      </c>
      <c r="Y210" s="137">
        <f>IFERROR(VLOOKUP($B210,'RoC11'!$A$1:$B$161,2,0),0)</f>
        <v>0</v>
      </c>
      <c r="Z210" s="97">
        <f>IFERROR(VLOOKUP(Y210,'RoC11'!$B$1:$C$161,2,0),0)</f>
        <v>0</v>
      </c>
      <c r="AA210" s="97">
        <f>IFERROR(VLOOKUP(E210,'RoC1'!$B$1:$C$160,2,0),0)</f>
        <v>0</v>
      </c>
      <c r="AB210" s="97">
        <f>IFERROR(VLOOKUP(G210,'RoC2'!$B$1:$C$160,2,0),0)</f>
        <v>0</v>
      </c>
      <c r="AC210" s="97">
        <f>IFERROR(VLOOKUP(I210,'RoC3'!$B$1:$C$160,2,0),0)</f>
        <v>0</v>
      </c>
      <c r="AD210" s="97">
        <f>IFERROR(VLOOKUP(K210,'RoC4'!$B$1:$C$160,2,0),0)</f>
        <v>0</v>
      </c>
      <c r="AE210" s="97">
        <f>IFERROR(VLOOKUP(M210,'RoC5'!$B$1:$C$160,2,0),0)</f>
        <v>0</v>
      </c>
      <c r="AF210" s="97">
        <f>IFERROR(VLOOKUP(O210,'RoC6'!$B$1:$C$160,2,0),0)</f>
        <v>0</v>
      </c>
      <c r="AG210" s="97">
        <f>IFERROR(VLOOKUP(Q210,'RoC7'!$B$1:$C$160,2,0),0)</f>
        <v>0</v>
      </c>
      <c r="AH210" s="97">
        <f>IFERROR(VLOOKUP(S210,'RoC8'!$B$1:$C$160,2,0),0)</f>
        <v>0</v>
      </c>
      <c r="AI210" s="97">
        <f>IFERROR(VLOOKUP(U210,'RoC9'!$B$1:$C$160,2,0),0)</f>
        <v>0</v>
      </c>
      <c r="AJ210" s="97">
        <f>IFERROR(VLOOKUP(W210,'RoC10'!$B$1:$C$160,2,0),0)</f>
        <v>0</v>
      </c>
      <c r="AK210" s="97">
        <f>IFERROR(VLOOKUP(Y210,'RoC11'!$B$1:$C$160,2,0),0)</f>
        <v>0</v>
      </c>
    </row>
    <row r="211" ht="15.75" customHeight="1">
      <c r="A211" s="135">
        <v>210.0</v>
      </c>
      <c r="B211" s="124"/>
      <c r="C211" s="93">
        <f t="shared" si="4"/>
        <v>0</v>
      </c>
      <c r="D211" s="136"/>
      <c r="E211" s="137" t="str">
        <f>IFERROR(VLOOKUP($B211,'RoC1'!$A$1:$B$160,2,0),"0")</f>
        <v>0</v>
      </c>
      <c r="F211" s="97">
        <f>IFERROR(VLOOKUP(E211,'RoC1'!$B$1:$C$160,2,0),0)</f>
        <v>0</v>
      </c>
      <c r="G211" s="137" t="str">
        <f>IFERROR(VLOOKUP($B211,'RoC2'!$A$1:$B$161,2,0),"0")</f>
        <v>0</v>
      </c>
      <c r="H211" s="97">
        <f>IFERROR(VLOOKUP(G211,'RoC2'!$B$1:$C$161,2,0),0)</f>
        <v>0</v>
      </c>
      <c r="I211" s="137">
        <f>IFERROR(VLOOKUP($B211,'RoC3'!$A$1:$B$161,2,0),0)</f>
        <v>0</v>
      </c>
      <c r="J211" s="97">
        <f>IFERROR(VLOOKUP(I211,'RoC3'!$B$1:$C$161,2,0),0)</f>
        <v>0</v>
      </c>
      <c r="K211" s="137">
        <f>IFERROR(VLOOKUP($B211,'RoC4'!$A$1:$B$161,2,0),0)</f>
        <v>0</v>
      </c>
      <c r="L211" s="97">
        <f>IFERROR(VLOOKUP(K211,'RoC4'!$B$1:$C$161,2,0),0)</f>
        <v>0</v>
      </c>
      <c r="M211" s="137">
        <f>IFERROR(VLOOKUP($B211,'RoC5'!$A$1:$B$161,2,0),0)</f>
        <v>0</v>
      </c>
      <c r="N211" s="97">
        <f>IFERROR(VLOOKUP(M211,'RoC5'!$B$1:$C$161,2,0),0)</f>
        <v>0</v>
      </c>
      <c r="O211" s="137">
        <f>IFERROR(VLOOKUP($B211,'RoC6'!$A$1:$B$161,2,0),0)</f>
        <v>0</v>
      </c>
      <c r="P211" s="97">
        <f>IFERROR(VLOOKUP(O211,'RoC6'!$B$1:$C$161,2,0),0)</f>
        <v>0</v>
      </c>
      <c r="Q211" s="137">
        <f>IFERROR(VLOOKUP($B211,'RoC7'!$A$1:$B$161,2,0),0)</f>
        <v>0</v>
      </c>
      <c r="R211" s="97">
        <f>IFERROR(VLOOKUP(Q211,'RoC7'!$B$1:$C$161,2,0),0)</f>
        <v>0</v>
      </c>
      <c r="S211" s="137">
        <f>IFERROR(VLOOKUP($B211,'RoC8'!$A$1:$B$161,2,0),0)</f>
        <v>0</v>
      </c>
      <c r="T211" s="97">
        <f>IFERROR(VLOOKUP(S211,'RoC8'!$B$1:$C$161,2,0),0)</f>
        <v>0</v>
      </c>
      <c r="U211" s="137">
        <f>IFERROR(VLOOKUP($B211,'RoC9'!$A$1:$B$161,2,0),0)</f>
        <v>0</v>
      </c>
      <c r="V211" s="97">
        <f>IFERROR(VLOOKUP(U211,'RoC9'!$B$1:$C$161,2,0),0)</f>
        <v>0</v>
      </c>
      <c r="W211" s="137">
        <f>IFERROR(VLOOKUP($B211,'RoC10'!$A$1:$B$161,2,0),0)</f>
        <v>0</v>
      </c>
      <c r="X211" s="97">
        <f>IFERROR(VLOOKUP(W211,'RoC10'!$B$1:$C$161,2,0),0)</f>
        <v>0</v>
      </c>
      <c r="Y211" s="137">
        <f>IFERROR(VLOOKUP($B211,'RoC11'!$A$1:$B$161,2,0),0)</f>
        <v>0</v>
      </c>
      <c r="Z211" s="97">
        <f>IFERROR(VLOOKUP(Y211,'RoC11'!$B$1:$C$161,2,0),0)</f>
        <v>0</v>
      </c>
      <c r="AA211" s="97">
        <f>IFERROR(VLOOKUP(E211,'RoC1'!$B$1:$C$160,2,0),0)</f>
        <v>0</v>
      </c>
      <c r="AB211" s="97">
        <f>IFERROR(VLOOKUP(G211,'RoC2'!$B$1:$C$160,2,0),0)</f>
        <v>0</v>
      </c>
      <c r="AC211" s="97">
        <f>IFERROR(VLOOKUP(I211,'RoC3'!$B$1:$C$160,2,0),0)</f>
        <v>0</v>
      </c>
      <c r="AD211" s="97">
        <f>IFERROR(VLOOKUP(K211,'RoC4'!$B$1:$C$160,2,0),0)</f>
        <v>0</v>
      </c>
      <c r="AE211" s="97">
        <f>IFERROR(VLOOKUP(M211,'RoC5'!$B$1:$C$160,2,0),0)</f>
        <v>0</v>
      </c>
      <c r="AF211" s="97">
        <f>IFERROR(VLOOKUP(O211,'RoC6'!$B$1:$C$160,2,0),0)</f>
        <v>0</v>
      </c>
      <c r="AG211" s="97">
        <f>IFERROR(VLOOKUP(Q211,'RoC7'!$B$1:$C$160,2,0),0)</f>
        <v>0</v>
      </c>
      <c r="AH211" s="97">
        <f>IFERROR(VLOOKUP(S211,'RoC8'!$B$1:$C$160,2,0),0)</f>
        <v>0</v>
      </c>
      <c r="AI211" s="97">
        <f>IFERROR(VLOOKUP(U211,'RoC9'!$B$1:$C$160,2,0),0)</f>
        <v>0</v>
      </c>
      <c r="AJ211" s="97">
        <f>IFERROR(VLOOKUP(W211,'RoC10'!$B$1:$C$160,2,0),0)</f>
        <v>0</v>
      </c>
      <c r="AK211" s="97">
        <f>IFERROR(VLOOKUP(Y211,'RoC11'!$B$1:$C$160,2,0),0)</f>
        <v>0</v>
      </c>
    </row>
    <row r="212" ht="15.75" customHeight="1">
      <c r="A212" s="92">
        <v>211.0</v>
      </c>
      <c r="B212" s="124"/>
      <c r="C212" s="93">
        <f t="shared" si="4"/>
        <v>0</v>
      </c>
      <c r="D212" s="136"/>
      <c r="E212" s="137" t="str">
        <f>IFERROR(VLOOKUP($B212,'RoC1'!$A$1:$B$160,2,0),"0")</f>
        <v>0</v>
      </c>
      <c r="F212" s="97">
        <f>IFERROR(VLOOKUP(E212,'RoC1'!$B$1:$C$160,2,0),0)</f>
        <v>0</v>
      </c>
      <c r="G212" s="137" t="str">
        <f>IFERROR(VLOOKUP($B212,'RoC2'!$A$1:$B$161,2,0),"0")</f>
        <v>0</v>
      </c>
      <c r="H212" s="97">
        <f>IFERROR(VLOOKUP(G212,'RoC2'!$B$1:$C$161,2,0),0)</f>
        <v>0</v>
      </c>
      <c r="I212" s="137">
        <f>IFERROR(VLOOKUP($B212,'RoC3'!$A$1:$B$161,2,0),0)</f>
        <v>0</v>
      </c>
      <c r="J212" s="97">
        <f>IFERROR(VLOOKUP(I212,'RoC3'!$B$1:$C$161,2,0),0)</f>
        <v>0</v>
      </c>
      <c r="K212" s="137">
        <f>IFERROR(VLOOKUP($B212,'RoC4'!$A$1:$B$161,2,0),0)</f>
        <v>0</v>
      </c>
      <c r="L212" s="97">
        <f>IFERROR(VLOOKUP(K212,'RoC4'!$B$1:$C$161,2,0),0)</f>
        <v>0</v>
      </c>
      <c r="M212" s="137">
        <f>IFERROR(VLOOKUP($B212,'RoC5'!$A$1:$B$161,2,0),0)</f>
        <v>0</v>
      </c>
      <c r="N212" s="97">
        <f>IFERROR(VLOOKUP(M212,'RoC5'!$B$1:$C$161,2,0),0)</f>
        <v>0</v>
      </c>
      <c r="O212" s="137">
        <f>IFERROR(VLOOKUP($B212,'RoC6'!$A$1:$B$161,2,0),0)</f>
        <v>0</v>
      </c>
      <c r="P212" s="97">
        <f>IFERROR(VLOOKUP(O212,'RoC6'!$B$1:$C$161,2,0),0)</f>
        <v>0</v>
      </c>
      <c r="Q212" s="137">
        <f>IFERROR(VLOOKUP($B212,'RoC7'!$A$1:$B$161,2,0),0)</f>
        <v>0</v>
      </c>
      <c r="R212" s="97">
        <f>IFERROR(VLOOKUP(Q212,'RoC7'!$B$1:$C$161,2,0),0)</f>
        <v>0</v>
      </c>
      <c r="S212" s="137">
        <f>IFERROR(VLOOKUP($B212,'RoC8'!$A$1:$B$161,2,0),0)</f>
        <v>0</v>
      </c>
      <c r="T212" s="97">
        <f>IFERROR(VLOOKUP(S212,'RoC8'!$B$1:$C$161,2,0),0)</f>
        <v>0</v>
      </c>
      <c r="U212" s="137">
        <f>IFERROR(VLOOKUP($B212,'RoC9'!$A$1:$B$161,2,0),0)</f>
        <v>0</v>
      </c>
      <c r="V212" s="97">
        <f>IFERROR(VLOOKUP(U212,'RoC9'!$B$1:$C$161,2,0),0)</f>
        <v>0</v>
      </c>
      <c r="W212" s="137">
        <f>IFERROR(VLOOKUP($B212,'RoC10'!$A$1:$B$161,2,0),0)</f>
        <v>0</v>
      </c>
      <c r="X212" s="97">
        <f>IFERROR(VLOOKUP(W212,'RoC10'!$B$1:$C$161,2,0),0)</f>
        <v>0</v>
      </c>
      <c r="Y212" s="137">
        <f>IFERROR(VLOOKUP($B212,'RoC11'!$A$1:$B$161,2,0),0)</f>
        <v>0</v>
      </c>
      <c r="Z212" s="97">
        <f>IFERROR(VLOOKUP(Y212,'RoC11'!$B$1:$C$161,2,0),0)</f>
        <v>0</v>
      </c>
      <c r="AA212" s="97">
        <f>IFERROR(VLOOKUP(E212,'RoC1'!$B$1:$C$160,2,0),0)</f>
        <v>0</v>
      </c>
      <c r="AB212" s="97">
        <f>IFERROR(VLOOKUP(G212,'RoC2'!$B$1:$C$160,2,0),0)</f>
        <v>0</v>
      </c>
      <c r="AC212" s="97">
        <f>IFERROR(VLOOKUP(I212,'RoC3'!$B$1:$C$160,2,0),0)</f>
        <v>0</v>
      </c>
      <c r="AD212" s="97">
        <f>IFERROR(VLOOKUP(K212,'RoC4'!$B$1:$C$160,2,0),0)</f>
        <v>0</v>
      </c>
      <c r="AE212" s="97">
        <f>IFERROR(VLOOKUP(M212,'RoC5'!$B$1:$C$160,2,0),0)</f>
        <v>0</v>
      </c>
      <c r="AF212" s="97">
        <f>IFERROR(VLOOKUP(O212,'RoC6'!$B$1:$C$160,2,0),0)</f>
        <v>0</v>
      </c>
      <c r="AG212" s="97">
        <f>IFERROR(VLOOKUP(Q212,'RoC7'!$B$1:$C$160,2,0),0)</f>
        <v>0</v>
      </c>
      <c r="AH212" s="97">
        <f>IFERROR(VLOOKUP(S212,'RoC8'!$B$1:$C$160,2,0),0)</f>
        <v>0</v>
      </c>
      <c r="AI212" s="97">
        <f>IFERROR(VLOOKUP(U212,'RoC9'!$B$1:$C$160,2,0),0)</f>
        <v>0</v>
      </c>
      <c r="AJ212" s="97">
        <f>IFERROR(VLOOKUP(W212,'RoC10'!$B$1:$C$160,2,0),0)</f>
        <v>0</v>
      </c>
      <c r="AK212" s="97">
        <f>IFERROR(VLOOKUP(Y212,'RoC11'!$B$1:$C$160,2,0),0)</f>
        <v>0</v>
      </c>
    </row>
    <row r="213" ht="15.75" customHeight="1">
      <c r="A213" s="135">
        <v>212.0</v>
      </c>
      <c r="B213" s="124"/>
      <c r="C213" s="93">
        <f t="shared" si="4"/>
        <v>0</v>
      </c>
      <c r="D213" s="136"/>
      <c r="E213" s="137" t="str">
        <f>IFERROR(VLOOKUP($B213,'RoC1'!$A$1:$B$160,2,0),"0")</f>
        <v>0</v>
      </c>
      <c r="F213" s="97">
        <f>IFERROR(VLOOKUP(E213,'RoC1'!$B$1:$C$160,2,0),0)</f>
        <v>0</v>
      </c>
      <c r="G213" s="137" t="str">
        <f>IFERROR(VLOOKUP($B213,'RoC2'!$A$1:$B$161,2,0),"0")</f>
        <v>0</v>
      </c>
      <c r="H213" s="97">
        <f>IFERROR(VLOOKUP(G213,'RoC2'!$B$1:$C$161,2,0),0)</f>
        <v>0</v>
      </c>
      <c r="I213" s="137">
        <f>IFERROR(VLOOKUP($B213,'RoC3'!$A$1:$B$161,2,0),0)</f>
        <v>0</v>
      </c>
      <c r="J213" s="97">
        <f>IFERROR(VLOOKUP(I213,'RoC3'!$B$1:$C$161,2,0),0)</f>
        <v>0</v>
      </c>
      <c r="K213" s="137">
        <f>IFERROR(VLOOKUP($B213,'RoC4'!$A$1:$B$161,2,0),0)</f>
        <v>0</v>
      </c>
      <c r="L213" s="97">
        <f>IFERROR(VLOOKUP(K213,'RoC4'!$B$1:$C$161,2,0),0)</f>
        <v>0</v>
      </c>
      <c r="M213" s="137">
        <f>IFERROR(VLOOKUP($B213,'RoC5'!$A$1:$B$161,2,0),0)</f>
        <v>0</v>
      </c>
      <c r="N213" s="97">
        <f>IFERROR(VLOOKUP(M213,'RoC5'!$B$1:$C$161,2,0),0)</f>
        <v>0</v>
      </c>
      <c r="O213" s="137">
        <f>IFERROR(VLOOKUP($B213,'RoC6'!$A$1:$B$161,2,0),0)</f>
        <v>0</v>
      </c>
      <c r="P213" s="97">
        <f>IFERROR(VLOOKUP(O213,'RoC6'!$B$1:$C$161,2,0),0)</f>
        <v>0</v>
      </c>
      <c r="Q213" s="137">
        <f>IFERROR(VLOOKUP($B213,'RoC7'!$A$1:$B$161,2,0),0)</f>
        <v>0</v>
      </c>
      <c r="R213" s="97">
        <f>IFERROR(VLOOKUP(Q213,'RoC7'!$B$1:$C$161,2,0),0)</f>
        <v>0</v>
      </c>
      <c r="S213" s="137">
        <f>IFERROR(VLOOKUP($B213,'RoC8'!$A$1:$B$161,2,0),0)</f>
        <v>0</v>
      </c>
      <c r="T213" s="97">
        <f>IFERROR(VLOOKUP(S213,'RoC8'!$B$1:$C$161,2,0),0)</f>
        <v>0</v>
      </c>
      <c r="U213" s="137">
        <f>IFERROR(VLOOKUP($B213,'RoC9'!$A$1:$B$161,2,0),0)</f>
        <v>0</v>
      </c>
      <c r="V213" s="97">
        <f>IFERROR(VLOOKUP(U213,'RoC9'!$B$1:$C$161,2,0),0)</f>
        <v>0</v>
      </c>
      <c r="W213" s="137">
        <f>IFERROR(VLOOKUP($B213,'RoC10'!$A$1:$B$161,2,0),0)</f>
        <v>0</v>
      </c>
      <c r="X213" s="97">
        <f>IFERROR(VLOOKUP(W213,'RoC10'!$B$1:$C$161,2,0),0)</f>
        <v>0</v>
      </c>
      <c r="Y213" s="137">
        <f>IFERROR(VLOOKUP($B213,'RoC11'!$A$1:$B$161,2,0),0)</f>
        <v>0</v>
      </c>
      <c r="Z213" s="97">
        <f>IFERROR(VLOOKUP(Y213,'RoC11'!$B$1:$C$161,2,0),0)</f>
        <v>0</v>
      </c>
      <c r="AA213" s="97">
        <f>IFERROR(VLOOKUP(E213,'RoC1'!$B$1:$C$160,2,0),0)</f>
        <v>0</v>
      </c>
      <c r="AB213" s="97">
        <f>IFERROR(VLOOKUP(G213,'RoC2'!$B$1:$C$160,2,0),0)</f>
        <v>0</v>
      </c>
      <c r="AC213" s="97">
        <f>IFERROR(VLOOKUP(I213,'RoC3'!$B$1:$C$160,2,0),0)</f>
        <v>0</v>
      </c>
      <c r="AD213" s="97">
        <f>IFERROR(VLOOKUP(K213,'RoC4'!$B$1:$C$160,2,0),0)</f>
        <v>0</v>
      </c>
      <c r="AE213" s="97">
        <f>IFERROR(VLOOKUP(M213,'RoC5'!$B$1:$C$160,2,0),0)</f>
        <v>0</v>
      </c>
      <c r="AF213" s="97">
        <f>IFERROR(VLOOKUP(O213,'RoC6'!$B$1:$C$160,2,0),0)</f>
        <v>0</v>
      </c>
      <c r="AG213" s="97">
        <f>IFERROR(VLOOKUP(Q213,'RoC7'!$B$1:$C$160,2,0),0)</f>
        <v>0</v>
      </c>
      <c r="AH213" s="97">
        <f>IFERROR(VLOOKUP(S213,'RoC8'!$B$1:$C$160,2,0),0)</f>
        <v>0</v>
      </c>
      <c r="AI213" s="97">
        <f>IFERROR(VLOOKUP(U213,'RoC9'!$B$1:$C$160,2,0),0)</f>
        <v>0</v>
      </c>
      <c r="AJ213" s="97">
        <f>IFERROR(VLOOKUP(W213,'RoC10'!$B$1:$C$160,2,0),0)</f>
        <v>0</v>
      </c>
      <c r="AK213" s="97">
        <f>IFERROR(VLOOKUP(Y213,'RoC11'!$B$1:$C$160,2,0),0)</f>
        <v>0</v>
      </c>
    </row>
    <row r="214" ht="15.75" customHeight="1">
      <c r="A214" s="92">
        <v>213.0</v>
      </c>
      <c r="B214" s="124"/>
      <c r="C214" s="93">
        <f t="shared" si="4"/>
        <v>0</v>
      </c>
      <c r="D214" s="136"/>
      <c r="E214" s="137" t="str">
        <f>IFERROR(VLOOKUP($B214,'RoC1'!$A$1:$B$160,2,0),"0")</f>
        <v>0</v>
      </c>
      <c r="F214" s="97">
        <f>IFERROR(VLOOKUP(E214,'RoC1'!$B$1:$C$160,2,0),0)</f>
        <v>0</v>
      </c>
      <c r="G214" s="137" t="str">
        <f>IFERROR(VLOOKUP($B214,'RoC2'!$A$1:$B$161,2,0),"0")</f>
        <v>0</v>
      </c>
      <c r="H214" s="97">
        <f>IFERROR(VLOOKUP(G214,'RoC2'!$B$1:$C$161,2,0),0)</f>
        <v>0</v>
      </c>
      <c r="I214" s="137">
        <f>IFERROR(VLOOKUP($B214,'RoC3'!$A$1:$B$161,2,0),0)</f>
        <v>0</v>
      </c>
      <c r="J214" s="97">
        <f>IFERROR(VLOOKUP(I214,'RoC3'!$B$1:$C$161,2,0),0)</f>
        <v>0</v>
      </c>
      <c r="K214" s="137">
        <f>IFERROR(VLOOKUP($B214,'RoC4'!$A$1:$B$161,2,0),0)</f>
        <v>0</v>
      </c>
      <c r="L214" s="97">
        <f>IFERROR(VLOOKUP(K214,'RoC4'!$B$1:$C$161,2,0),0)</f>
        <v>0</v>
      </c>
      <c r="M214" s="137">
        <f>IFERROR(VLOOKUP($B214,'RoC5'!$A$1:$B$161,2,0),0)</f>
        <v>0</v>
      </c>
      <c r="N214" s="97">
        <f>IFERROR(VLOOKUP(M214,'RoC5'!$B$1:$C$161,2,0),0)</f>
        <v>0</v>
      </c>
      <c r="O214" s="137">
        <f>IFERROR(VLOOKUP($B214,'RoC6'!$A$1:$B$161,2,0),0)</f>
        <v>0</v>
      </c>
      <c r="P214" s="97">
        <f>IFERROR(VLOOKUP(O214,'RoC6'!$B$1:$C$161,2,0),0)</f>
        <v>0</v>
      </c>
      <c r="Q214" s="137">
        <f>IFERROR(VLOOKUP($B214,'RoC7'!$A$1:$B$161,2,0),0)</f>
        <v>0</v>
      </c>
      <c r="R214" s="97">
        <f>IFERROR(VLOOKUP(Q214,'RoC7'!$B$1:$C$161,2,0),0)</f>
        <v>0</v>
      </c>
      <c r="S214" s="137">
        <f>IFERROR(VLOOKUP($B214,'RoC8'!$A$1:$B$161,2,0),0)</f>
        <v>0</v>
      </c>
      <c r="T214" s="97">
        <f>IFERROR(VLOOKUP(S214,'RoC8'!$B$1:$C$161,2,0),0)</f>
        <v>0</v>
      </c>
      <c r="U214" s="137">
        <f>IFERROR(VLOOKUP($B214,'RoC9'!$A$1:$B$161,2,0),0)</f>
        <v>0</v>
      </c>
      <c r="V214" s="97">
        <f>IFERROR(VLOOKUP(U214,'RoC9'!$B$1:$C$161,2,0),0)</f>
        <v>0</v>
      </c>
      <c r="W214" s="137">
        <f>IFERROR(VLOOKUP($B214,'RoC10'!$A$1:$B$161,2,0),0)</f>
        <v>0</v>
      </c>
      <c r="X214" s="97">
        <f>IFERROR(VLOOKUP(W214,'RoC10'!$B$1:$C$161,2,0),0)</f>
        <v>0</v>
      </c>
      <c r="Y214" s="137">
        <f>IFERROR(VLOOKUP($B214,'RoC11'!$A$1:$B$161,2,0),0)</f>
        <v>0</v>
      </c>
      <c r="Z214" s="97">
        <f>IFERROR(VLOOKUP(Y214,'RoC11'!$B$1:$C$161,2,0),0)</f>
        <v>0</v>
      </c>
      <c r="AA214" s="97">
        <f>IFERROR(VLOOKUP(E214,'RoC1'!$B$1:$C$160,2,0),0)</f>
        <v>0</v>
      </c>
      <c r="AB214" s="97">
        <f>IFERROR(VLOOKUP(G214,'RoC2'!$B$1:$C$160,2,0),0)</f>
        <v>0</v>
      </c>
      <c r="AC214" s="97">
        <f>IFERROR(VLOOKUP(I214,'RoC3'!$B$1:$C$160,2,0),0)</f>
        <v>0</v>
      </c>
      <c r="AD214" s="97">
        <f>IFERROR(VLOOKUP(K214,'RoC4'!$B$1:$C$160,2,0),0)</f>
        <v>0</v>
      </c>
      <c r="AE214" s="97">
        <f>IFERROR(VLOOKUP(M214,'RoC5'!$B$1:$C$160,2,0),0)</f>
        <v>0</v>
      </c>
      <c r="AF214" s="97">
        <f>IFERROR(VLOOKUP(O214,'RoC6'!$B$1:$C$160,2,0),0)</f>
        <v>0</v>
      </c>
      <c r="AG214" s="97">
        <f>IFERROR(VLOOKUP(Q214,'RoC7'!$B$1:$C$160,2,0),0)</f>
        <v>0</v>
      </c>
      <c r="AH214" s="97">
        <f>IFERROR(VLOOKUP(S214,'RoC8'!$B$1:$C$160,2,0),0)</f>
        <v>0</v>
      </c>
      <c r="AI214" s="97">
        <f>IFERROR(VLOOKUP(U214,'RoC9'!$B$1:$C$160,2,0),0)</f>
        <v>0</v>
      </c>
      <c r="AJ214" s="97">
        <f>IFERROR(VLOOKUP(W214,'RoC10'!$B$1:$C$160,2,0),0)</f>
        <v>0</v>
      </c>
      <c r="AK214" s="97">
        <f>IFERROR(VLOOKUP(Y214,'RoC11'!$B$1:$C$160,2,0),0)</f>
        <v>0</v>
      </c>
    </row>
    <row r="215" ht="15.75" customHeight="1">
      <c r="A215" s="135">
        <v>214.0</v>
      </c>
      <c r="B215" s="124"/>
      <c r="C215" s="93">
        <f t="shared" si="4"/>
        <v>0</v>
      </c>
      <c r="D215" s="136"/>
      <c r="E215" s="137" t="str">
        <f>IFERROR(VLOOKUP($B215,'RoC1'!$A$1:$B$160,2,0),"0")</f>
        <v>0</v>
      </c>
      <c r="F215" s="97">
        <f>IFERROR(VLOOKUP(E215,'RoC1'!$B$1:$C$160,2,0),0)</f>
        <v>0</v>
      </c>
      <c r="G215" s="137" t="str">
        <f>IFERROR(VLOOKUP($B215,'RoC2'!$A$1:$B$161,2,0),"0")</f>
        <v>0</v>
      </c>
      <c r="H215" s="97">
        <f>IFERROR(VLOOKUP(G215,'RoC2'!$B$1:$C$161,2,0),0)</f>
        <v>0</v>
      </c>
      <c r="I215" s="137">
        <f>IFERROR(VLOOKUP($B215,'RoC3'!$A$1:$B$161,2,0),0)</f>
        <v>0</v>
      </c>
      <c r="J215" s="97">
        <f>IFERROR(VLOOKUP(I215,'RoC3'!$B$1:$C$161,2,0),0)</f>
        <v>0</v>
      </c>
      <c r="K215" s="137">
        <f>IFERROR(VLOOKUP($B215,'RoC4'!$A$1:$B$161,2,0),0)</f>
        <v>0</v>
      </c>
      <c r="L215" s="97">
        <f>IFERROR(VLOOKUP(K215,'RoC4'!$B$1:$C$161,2,0),0)</f>
        <v>0</v>
      </c>
      <c r="M215" s="137">
        <f>IFERROR(VLOOKUP($B215,'RoC5'!$A$1:$B$161,2,0),0)</f>
        <v>0</v>
      </c>
      <c r="N215" s="97">
        <f>IFERROR(VLOOKUP(M215,'RoC5'!$B$1:$C$161,2,0),0)</f>
        <v>0</v>
      </c>
      <c r="O215" s="137">
        <f>IFERROR(VLOOKUP($B215,'RoC6'!$A$1:$B$161,2,0),0)</f>
        <v>0</v>
      </c>
      <c r="P215" s="97">
        <f>IFERROR(VLOOKUP(O215,'RoC6'!$B$1:$C$161,2,0),0)</f>
        <v>0</v>
      </c>
      <c r="Q215" s="137">
        <f>IFERROR(VLOOKUP($B215,'RoC7'!$A$1:$B$161,2,0),0)</f>
        <v>0</v>
      </c>
      <c r="R215" s="97">
        <f>IFERROR(VLOOKUP(Q215,'RoC7'!$B$1:$C$161,2,0),0)</f>
        <v>0</v>
      </c>
      <c r="S215" s="137">
        <f>IFERROR(VLOOKUP($B215,'RoC8'!$A$1:$B$161,2,0),0)</f>
        <v>0</v>
      </c>
      <c r="T215" s="97">
        <f>IFERROR(VLOOKUP(S215,'RoC8'!$B$1:$C$161,2,0),0)</f>
        <v>0</v>
      </c>
      <c r="U215" s="137">
        <f>IFERROR(VLOOKUP($B215,'RoC9'!$A$1:$B$161,2,0),0)</f>
        <v>0</v>
      </c>
      <c r="V215" s="97">
        <f>IFERROR(VLOOKUP(U215,'RoC9'!$B$1:$C$161,2,0),0)</f>
        <v>0</v>
      </c>
      <c r="W215" s="137">
        <f>IFERROR(VLOOKUP($B215,'RoC10'!$A$1:$B$161,2,0),0)</f>
        <v>0</v>
      </c>
      <c r="X215" s="97">
        <f>IFERROR(VLOOKUP(W215,'RoC10'!$B$1:$C$161,2,0),0)</f>
        <v>0</v>
      </c>
      <c r="Y215" s="137">
        <f>IFERROR(VLOOKUP($B215,'RoC11'!$A$1:$B$161,2,0),0)</f>
        <v>0</v>
      </c>
      <c r="Z215" s="97">
        <f>IFERROR(VLOOKUP(Y215,'RoC11'!$B$1:$C$161,2,0),0)</f>
        <v>0</v>
      </c>
      <c r="AA215" s="97">
        <f>IFERROR(VLOOKUP(E215,'RoC1'!$B$1:$C$160,2,0),0)</f>
        <v>0</v>
      </c>
      <c r="AB215" s="97">
        <f>IFERROR(VLOOKUP(G215,'RoC2'!$B$1:$C$160,2,0),0)</f>
        <v>0</v>
      </c>
      <c r="AC215" s="97">
        <f>IFERROR(VLOOKUP(I215,'RoC3'!$B$1:$C$160,2,0),0)</f>
        <v>0</v>
      </c>
      <c r="AD215" s="97">
        <f>IFERROR(VLOOKUP(K215,'RoC4'!$B$1:$C$160,2,0),0)</f>
        <v>0</v>
      </c>
      <c r="AE215" s="97">
        <f>IFERROR(VLOOKUP(M215,'RoC5'!$B$1:$C$160,2,0),0)</f>
        <v>0</v>
      </c>
      <c r="AF215" s="97">
        <f>IFERROR(VLOOKUP(O215,'RoC6'!$B$1:$C$160,2,0),0)</f>
        <v>0</v>
      </c>
      <c r="AG215" s="97">
        <f>IFERROR(VLOOKUP(Q215,'RoC7'!$B$1:$C$160,2,0),0)</f>
        <v>0</v>
      </c>
      <c r="AH215" s="97">
        <f>IFERROR(VLOOKUP(S215,'RoC8'!$B$1:$C$160,2,0),0)</f>
        <v>0</v>
      </c>
      <c r="AI215" s="97">
        <f>IFERROR(VLOOKUP(U215,'RoC9'!$B$1:$C$160,2,0),0)</f>
        <v>0</v>
      </c>
      <c r="AJ215" s="97">
        <f>IFERROR(VLOOKUP(W215,'RoC10'!$B$1:$C$160,2,0),0)</f>
        <v>0</v>
      </c>
      <c r="AK215" s="97">
        <f>IFERROR(VLOOKUP(Y215,'RoC11'!$B$1:$C$160,2,0),0)</f>
        <v>0</v>
      </c>
    </row>
    <row r="216" ht="15.75" customHeight="1">
      <c r="A216" s="92">
        <v>215.0</v>
      </c>
      <c r="B216" s="124"/>
      <c r="C216" s="93">
        <f t="shared" si="4"/>
        <v>0</v>
      </c>
      <c r="D216" s="136"/>
      <c r="E216" s="137" t="str">
        <f>IFERROR(VLOOKUP($B216,'RoC1'!$A$1:$B$160,2,0),"0")</f>
        <v>0</v>
      </c>
      <c r="F216" s="97">
        <f>IFERROR(VLOOKUP(E216,'RoC1'!$B$1:$C$160,2,0),0)</f>
        <v>0</v>
      </c>
      <c r="G216" s="137" t="str">
        <f>IFERROR(VLOOKUP($B216,'RoC2'!$A$1:$B$161,2,0),"0")</f>
        <v>0</v>
      </c>
      <c r="H216" s="97">
        <f>IFERROR(VLOOKUP(G216,'RoC2'!$B$1:$C$161,2,0),0)</f>
        <v>0</v>
      </c>
      <c r="I216" s="137">
        <f>IFERROR(VLOOKUP($B216,'RoC3'!$A$1:$B$161,2,0),0)</f>
        <v>0</v>
      </c>
      <c r="J216" s="97">
        <f>IFERROR(VLOOKUP(I216,'RoC3'!$B$1:$C$161,2,0),0)</f>
        <v>0</v>
      </c>
      <c r="K216" s="137">
        <f>IFERROR(VLOOKUP($B216,'RoC4'!$A$1:$B$161,2,0),0)</f>
        <v>0</v>
      </c>
      <c r="L216" s="97">
        <f>IFERROR(VLOOKUP(K216,'RoC4'!$B$1:$C$161,2,0),0)</f>
        <v>0</v>
      </c>
      <c r="M216" s="137">
        <f>IFERROR(VLOOKUP($B216,'RoC5'!$A$1:$B$161,2,0),0)</f>
        <v>0</v>
      </c>
      <c r="N216" s="97">
        <f>IFERROR(VLOOKUP(M216,'RoC5'!$B$1:$C$161,2,0),0)</f>
        <v>0</v>
      </c>
      <c r="O216" s="137">
        <f>IFERROR(VLOOKUP($B216,'RoC6'!$A$1:$B$161,2,0),0)</f>
        <v>0</v>
      </c>
      <c r="P216" s="97">
        <f>IFERROR(VLOOKUP(O216,'RoC6'!$B$1:$C$161,2,0),0)</f>
        <v>0</v>
      </c>
      <c r="Q216" s="137">
        <f>IFERROR(VLOOKUP($B216,'RoC7'!$A$1:$B$161,2,0),0)</f>
        <v>0</v>
      </c>
      <c r="R216" s="97">
        <f>IFERROR(VLOOKUP(Q216,'RoC7'!$B$1:$C$161,2,0),0)</f>
        <v>0</v>
      </c>
      <c r="S216" s="137">
        <f>IFERROR(VLOOKUP($B216,'RoC8'!$A$1:$B$161,2,0),0)</f>
        <v>0</v>
      </c>
      <c r="T216" s="97">
        <f>IFERROR(VLOOKUP(S216,'RoC8'!$B$1:$C$161,2,0),0)</f>
        <v>0</v>
      </c>
      <c r="U216" s="137">
        <f>IFERROR(VLOOKUP($B216,'RoC9'!$A$1:$B$161,2,0),0)</f>
        <v>0</v>
      </c>
      <c r="V216" s="97">
        <f>IFERROR(VLOOKUP(U216,'RoC9'!$B$1:$C$161,2,0),0)</f>
        <v>0</v>
      </c>
      <c r="W216" s="137">
        <f>IFERROR(VLOOKUP($B216,'RoC10'!$A$1:$B$161,2,0),0)</f>
        <v>0</v>
      </c>
      <c r="X216" s="97">
        <f>IFERROR(VLOOKUP(W216,'RoC10'!$B$1:$C$161,2,0),0)</f>
        <v>0</v>
      </c>
      <c r="Y216" s="137">
        <f>IFERROR(VLOOKUP($B216,'RoC11'!$A$1:$B$161,2,0),0)</f>
        <v>0</v>
      </c>
      <c r="Z216" s="97">
        <f>IFERROR(VLOOKUP(Y216,'RoC11'!$B$1:$C$161,2,0),0)</f>
        <v>0</v>
      </c>
      <c r="AA216" s="97">
        <f>IFERROR(VLOOKUP(E216,'RoC1'!$B$1:$C$160,2,0),0)</f>
        <v>0</v>
      </c>
      <c r="AB216" s="97">
        <f>IFERROR(VLOOKUP(G216,'RoC2'!$B$1:$C$160,2,0),0)</f>
        <v>0</v>
      </c>
      <c r="AC216" s="97">
        <f>IFERROR(VLOOKUP(I216,'RoC3'!$B$1:$C$160,2,0),0)</f>
        <v>0</v>
      </c>
      <c r="AD216" s="97">
        <f>IFERROR(VLOOKUP(K216,'RoC4'!$B$1:$C$160,2,0),0)</f>
        <v>0</v>
      </c>
      <c r="AE216" s="97">
        <f>IFERROR(VLOOKUP(M216,'RoC5'!$B$1:$C$160,2,0),0)</f>
        <v>0</v>
      </c>
      <c r="AF216" s="97">
        <f>IFERROR(VLOOKUP(O216,'RoC6'!$B$1:$C$160,2,0),0)</f>
        <v>0</v>
      </c>
      <c r="AG216" s="97">
        <f>IFERROR(VLOOKUP(Q216,'RoC7'!$B$1:$C$160,2,0),0)</f>
        <v>0</v>
      </c>
      <c r="AH216" s="97">
        <f>IFERROR(VLOOKUP(S216,'RoC8'!$B$1:$C$160,2,0),0)</f>
        <v>0</v>
      </c>
      <c r="AI216" s="97">
        <f>IFERROR(VLOOKUP(U216,'RoC9'!$B$1:$C$160,2,0),0)</f>
        <v>0</v>
      </c>
      <c r="AJ216" s="97">
        <f>IFERROR(VLOOKUP(W216,'RoC10'!$B$1:$C$160,2,0),0)</f>
        <v>0</v>
      </c>
      <c r="AK216" s="97">
        <f>IFERROR(VLOOKUP(Y216,'RoC11'!$B$1:$C$160,2,0),0)</f>
        <v>0</v>
      </c>
    </row>
    <row r="217" ht="15.75" customHeight="1">
      <c r="A217" s="135">
        <v>216.0</v>
      </c>
      <c r="B217" s="124"/>
      <c r="C217" s="93">
        <f t="shared" si="4"/>
        <v>0</v>
      </c>
      <c r="D217" s="136"/>
      <c r="E217" s="137" t="str">
        <f>IFERROR(VLOOKUP($B217,'RoC1'!$A$1:$B$160,2,0),"0")</f>
        <v>0</v>
      </c>
      <c r="F217" s="97">
        <f>IFERROR(VLOOKUP(E217,'RoC1'!$B$1:$C$160,2,0),0)</f>
        <v>0</v>
      </c>
      <c r="G217" s="137" t="str">
        <f>IFERROR(VLOOKUP($B217,'RoC2'!$A$1:$B$161,2,0),"0")</f>
        <v>0</v>
      </c>
      <c r="H217" s="97">
        <f>IFERROR(VLOOKUP(G217,'RoC2'!$B$1:$C$161,2,0),0)</f>
        <v>0</v>
      </c>
      <c r="I217" s="137">
        <f>IFERROR(VLOOKUP($B217,'RoC3'!$A$1:$B$161,2,0),0)</f>
        <v>0</v>
      </c>
      <c r="J217" s="97">
        <f>IFERROR(VLOOKUP(I217,'RoC3'!$B$1:$C$161,2,0),0)</f>
        <v>0</v>
      </c>
      <c r="K217" s="137">
        <f>IFERROR(VLOOKUP($B217,'RoC4'!$A$1:$B$161,2,0),0)</f>
        <v>0</v>
      </c>
      <c r="L217" s="97">
        <f>IFERROR(VLOOKUP(K217,'RoC4'!$B$1:$C$161,2,0),0)</f>
        <v>0</v>
      </c>
      <c r="M217" s="137">
        <f>IFERROR(VLOOKUP($B217,'RoC5'!$A$1:$B$161,2,0),0)</f>
        <v>0</v>
      </c>
      <c r="N217" s="97">
        <f>IFERROR(VLOOKUP(M217,'RoC5'!$B$1:$C$161,2,0),0)</f>
        <v>0</v>
      </c>
      <c r="O217" s="137">
        <f>IFERROR(VLOOKUP($B217,'RoC6'!$A$1:$B$161,2,0),0)</f>
        <v>0</v>
      </c>
      <c r="P217" s="97">
        <f>IFERROR(VLOOKUP(O217,'RoC6'!$B$1:$C$161,2,0),0)</f>
        <v>0</v>
      </c>
      <c r="Q217" s="137">
        <f>IFERROR(VLOOKUP($B217,'RoC7'!$A$1:$B$161,2,0),0)</f>
        <v>0</v>
      </c>
      <c r="R217" s="97">
        <f>IFERROR(VLOOKUP(Q217,'RoC7'!$B$1:$C$161,2,0),0)</f>
        <v>0</v>
      </c>
      <c r="S217" s="137">
        <f>IFERROR(VLOOKUP($B217,'RoC8'!$A$1:$B$161,2,0),0)</f>
        <v>0</v>
      </c>
      <c r="T217" s="97">
        <f>IFERROR(VLOOKUP(S217,'RoC8'!$B$1:$C$161,2,0),0)</f>
        <v>0</v>
      </c>
      <c r="U217" s="137">
        <f>IFERROR(VLOOKUP($B217,'RoC9'!$A$1:$B$161,2,0),0)</f>
        <v>0</v>
      </c>
      <c r="V217" s="97">
        <f>IFERROR(VLOOKUP(U217,'RoC9'!$B$1:$C$161,2,0),0)</f>
        <v>0</v>
      </c>
      <c r="W217" s="137">
        <f>IFERROR(VLOOKUP($B217,'RoC10'!$A$1:$B$161,2,0),0)</f>
        <v>0</v>
      </c>
      <c r="X217" s="97">
        <f>IFERROR(VLOOKUP(W217,'RoC10'!$B$1:$C$161,2,0),0)</f>
        <v>0</v>
      </c>
      <c r="Y217" s="137">
        <f>IFERROR(VLOOKUP($B217,'RoC11'!$A$1:$B$161,2,0),0)</f>
        <v>0</v>
      </c>
      <c r="Z217" s="97">
        <f>IFERROR(VLOOKUP(Y217,'RoC11'!$B$1:$C$161,2,0),0)</f>
        <v>0</v>
      </c>
      <c r="AA217" s="97">
        <f>IFERROR(VLOOKUP(E217,'RoC1'!$B$1:$C$160,2,0),0)</f>
        <v>0</v>
      </c>
      <c r="AB217" s="97">
        <f>IFERROR(VLOOKUP(G217,'RoC2'!$B$1:$C$160,2,0),0)</f>
        <v>0</v>
      </c>
      <c r="AC217" s="97">
        <f>IFERROR(VLOOKUP(I217,'RoC3'!$B$1:$C$160,2,0),0)</f>
        <v>0</v>
      </c>
      <c r="AD217" s="97">
        <f>IFERROR(VLOOKUP(K217,'RoC4'!$B$1:$C$160,2,0),0)</f>
        <v>0</v>
      </c>
      <c r="AE217" s="97">
        <f>IFERROR(VLOOKUP(M217,'RoC5'!$B$1:$C$160,2,0),0)</f>
        <v>0</v>
      </c>
      <c r="AF217" s="97">
        <f>IFERROR(VLOOKUP(O217,'RoC6'!$B$1:$C$160,2,0),0)</f>
        <v>0</v>
      </c>
      <c r="AG217" s="97">
        <f>IFERROR(VLOOKUP(Q217,'RoC7'!$B$1:$C$160,2,0),0)</f>
        <v>0</v>
      </c>
      <c r="AH217" s="97">
        <f>IFERROR(VLOOKUP(S217,'RoC8'!$B$1:$C$160,2,0),0)</f>
        <v>0</v>
      </c>
      <c r="AI217" s="97">
        <f>IFERROR(VLOOKUP(U217,'RoC9'!$B$1:$C$160,2,0),0)</f>
        <v>0</v>
      </c>
      <c r="AJ217" s="97">
        <f>IFERROR(VLOOKUP(W217,'RoC10'!$B$1:$C$160,2,0),0)</f>
        <v>0</v>
      </c>
      <c r="AK217" s="97">
        <f>IFERROR(VLOOKUP(Y217,'RoC11'!$B$1:$C$160,2,0),0)</f>
        <v>0</v>
      </c>
    </row>
    <row r="218" ht="15.75" customHeight="1">
      <c r="A218" s="92">
        <v>217.0</v>
      </c>
      <c r="B218" s="124"/>
      <c r="C218" s="93">
        <f t="shared" si="4"/>
        <v>0</v>
      </c>
      <c r="D218" s="136"/>
      <c r="E218" s="137" t="str">
        <f>IFERROR(VLOOKUP($B218,'RoC1'!$A$1:$B$160,2,0),"0")</f>
        <v>0</v>
      </c>
      <c r="F218" s="97">
        <f>IFERROR(VLOOKUP(E218,'RoC1'!$B$1:$C$160,2,0),0)</f>
        <v>0</v>
      </c>
      <c r="G218" s="137" t="str">
        <f>IFERROR(VLOOKUP($B218,'RoC2'!$A$1:$B$161,2,0),"0")</f>
        <v>0</v>
      </c>
      <c r="H218" s="97">
        <f>IFERROR(VLOOKUP(G218,'RoC2'!$B$1:$C$161,2,0),0)</f>
        <v>0</v>
      </c>
      <c r="I218" s="137">
        <f>IFERROR(VLOOKUP($B218,'RoC3'!$A$1:$B$161,2,0),0)</f>
        <v>0</v>
      </c>
      <c r="J218" s="97">
        <f>IFERROR(VLOOKUP(I218,'RoC3'!$B$1:$C$161,2,0),0)</f>
        <v>0</v>
      </c>
      <c r="K218" s="137">
        <f>IFERROR(VLOOKUP($B218,'RoC4'!$A$1:$B$161,2,0),0)</f>
        <v>0</v>
      </c>
      <c r="L218" s="97">
        <f>IFERROR(VLOOKUP(K218,'RoC4'!$B$1:$C$161,2,0),0)</f>
        <v>0</v>
      </c>
      <c r="M218" s="137">
        <f>IFERROR(VLOOKUP($B218,'RoC5'!$A$1:$B$161,2,0),0)</f>
        <v>0</v>
      </c>
      <c r="N218" s="97">
        <f>IFERROR(VLOOKUP(M218,'RoC5'!$B$1:$C$161,2,0),0)</f>
        <v>0</v>
      </c>
      <c r="O218" s="137">
        <f>IFERROR(VLOOKUP($B218,'RoC6'!$A$1:$B$161,2,0),0)</f>
        <v>0</v>
      </c>
      <c r="P218" s="97">
        <f>IFERROR(VLOOKUP(O218,'RoC6'!$B$1:$C$161,2,0),0)</f>
        <v>0</v>
      </c>
      <c r="Q218" s="137">
        <f>IFERROR(VLOOKUP($B218,'RoC7'!$A$1:$B$161,2,0),0)</f>
        <v>0</v>
      </c>
      <c r="R218" s="97">
        <f>IFERROR(VLOOKUP(Q218,'RoC7'!$B$1:$C$161,2,0),0)</f>
        <v>0</v>
      </c>
      <c r="S218" s="137">
        <f>IFERROR(VLOOKUP($B218,'RoC8'!$A$1:$B$161,2,0),0)</f>
        <v>0</v>
      </c>
      <c r="T218" s="97">
        <f>IFERROR(VLOOKUP(S218,'RoC8'!$B$1:$C$161,2,0),0)</f>
        <v>0</v>
      </c>
      <c r="U218" s="137">
        <f>IFERROR(VLOOKUP($B218,'RoC9'!$A$1:$B$161,2,0),0)</f>
        <v>0</v>
      </c>
      <c r="V218" s="97">
        <f>IFERROR(VLOOKUP(U218,'RoC9'!$B$1:$C$161,2,0),0)</f>
        <v>0</v>
      </c>
      <c r="W218" s="137">
        <f>IFERROR(VLOOKUP($B218,'RoC10'!$A$1:$B$161,2,0),0)</f>
        <v>0</v>
      </c>
      <c r="X218" s="97">
        <f>IFERROR(VLOOKUP(W218,'RoC10'!$B$1:$C$161,2,0),0)</f>
        <v>0</v>
      </c>
      <c r="Y218" s="137">
        <f>IFERROR(VLOOKUP($B218,'RoC11'!$A$1:$B$161,2,0),0)</f>
        <v>0</v>
      </c>
      <c r="Z218" s="97">
        <f>IFERROR(VLOOKUP(Y218,'RoC11'!$B$1:$C$161,2,0),0)</f>
        <v>0</v>
      </c>
      <c r="AA218" s="97">
        <f>IFERROR(VLOOKUP(E218,'RoC1'!$B$1:$C$160,2,0),0)</f>
        <v>0</v>
      </c>
      <c r="AB218" s="97">
        <f>IFERROR(VLOOKUP(G218,'RoC2'!$B$1:$C$160,2,0),0)</f>
        <v>0</v>
      </c>
      <c r="AC218" s="97">
        <f>IFERROR(VLOOKUP(I218,'RoC3'!$B$1:$C$160,2,0),0)</f>
        <v>0</v>
      </c>
      <c r="AD218" s="97">
        <f>IFERROR(VLOOKUP(K218,'RoC4'!$B$1:$C$160,2,0),0)</f>
        <v>0</v>
      </c>
      <c r="AE218" s="97">
        <f>IFERROR(VLOOKUP(M218,'RoC5'!$B$1:$C$160,2,0),0)</f>
        <v>0</v>
      </c>
      <c r="AF218" s="97">
        <f>IFERROR(VLOOKUP(O218,'RoC6'!$B$1:$C$160,2,0),0)</f>
        <v>0</v>
      </c>
      <c r="AG218" s="97">
        <f>IFERROR(VLOOKUP(Q218,'RoC7'!$B$1:$C$160,2,0),0)</f>
        <v>0</v>
      </c>
      <c r="AH218" s="97">
        <f>IFERROR(VLOOKUP(S218,'RoC8'!$B$1:$C$160,2,0),0)</f>
        <v>0</v>
      </c>
      <c r="AI218" s="97">
        <f>IFERROR(VLOOKUP(U218,'RoC9'!$B$1:$C$160,2,0),0)</f>
        <v>0</v>
      </c>
      <c r="AJ218" s="97">
        <f>IFERROR(VLOOKUP(W218,'RoC10'!$B$1:$C$160,2,0),0)</f>
        <v>0</v>
      </c>
      <c r="AK218" s="97">
        <f>IFERROR(VLOOKUP(Y218,'RoC11'!$B$1:$C$160,2,0),0)</f>
        <v>0</v>
      </c>
    </row>
    <row r="219" ht="15.75" customHeight="1">
      <c r="A219" s="135">
        <v>218.0</v>
      </c>
      <c r="B219" s="124"/>
      <c r="C219" s="93">
        <f t="shared" si="4"/>
        <v>0</v>
      </c>
      <c r="D219" s="136"/>
      <c r="E219" s="137" t="str">
        <f>IFERROR(VLOOKUP($B219,'RoC1'!$A$1:$B$160,2,0),"0")</f>
        <v>0</v>
      </c>
      <c r="F219" s="97">
        <f>IFERROR(VLOOKUP(E219,'RoC1'!$B$1:$C$160,2,0),0)</f>
        <v>0</v>
      </c>
      <c r="G219" s="137" t="str">
        <f>IFERROR(VLOOKUP($B219,'RoC2'!$A$1:$B$161,2,0),"0")</f>
        <v>0</v>
      </c>
      <c r="H219" s="97">
        <f>IFERROR(VLOOKUP(G219,'RoC2'!$B$1:$C$161,2,0),0)</f>
        <v>0</v>
      </c>
      <c r="I219" s="137">
        <f>IFERROR(VLOOKUP($B219,'RoC3'!$A$1:$B$161,2,0),0)</f>
        <v>0</v>
      </c>
      <c r="J219" s="97">
        <f>IFERROR(VLOOKUP(I219,'RoC3'!$B$1:$C$161,2,0),0)</f>
        <v>0</v>
      </c>
      <c r="K219" s="137">
        <f>IFERROR(VLOOKUP($B219,'RoC4'!$A$1:$B$161,2,0),0)</f>
        <v>0</v>
      </c>
      <c r="L219" s="97">
        <f>IFERROR(VLOOKUP(K219,'RoC4'!$B$1:$C$161,2,0),0)</f>
        <v>0</v>
      </c>
      <c r="M219" s="137">
        <f>IFERROR(VLOOKUP($B219,'RoC5'!$A$1:$B$161,2,0),0)</f>
        <v>0</v>
      </c>
      <c r="N219" s="97">
        <f>IFERROR(VLOOKUP(M219,'RoC5'!$B$1:$C$161,2,0),0)</f>
        <v>0</v>
      </c>
      <c r="O219" s="137">
        <f>IFERROR(VLOOKUP($B219,'RoC6'!$A$1:$B$161,2,0),0)</f>
        <v>0</v>
      </c>
      <c r="P219" s="97">
        <f>IFERROR(VLOOKUP(O219,'RoC6'!$B$1:$C$161,2,0),0)</f>
        <v>0</v>
      </c>
      <c r="Q219" s="137">
        <f>IFERROR(VLOOKUP($B219,'RoC7'!$A$1:$B$161,2,0),0)</f>
        <v>0</v>
      </c>
      <c r="R219" s="97">
        <f>IFERROR(VLOOKUP(Q219,'RoC7'!$B$1:$C$161,2,0),0)</f>
        <v>0</v>
      </c>
      <c r="S219" s="137">
        <f>IFERROR(VLOOKUP($B219,'RoC8'!$A$1:$B$161,2,0),0)</f>
        <v>0</v>
      </c>
      <c r="T219" s="97">
        <f>IFERROR(VLOOKUP(S219,'RoC8'!$B$1:$C$161,2,0),0)</f>
        <v>0</v>
      </c>
      <c r="U219" s="137">
        <f>IFERROR(VLOOKUP($B219,'RoC9'!$A$1:$B$161,2,0),0)</f>
        <v>0</v>
      </c>
      <c r="V219" s="97">
        <f>IFERROR(VLOOKUP(U219,'RoC9'!$B$1:$C$161,2,0),0)</f>
        <v>0</v>
      </c>
      <c r="W219" s="137">
        <f>IFERROR(VLOOKUP($B219,'RoC10'!$A$1:$B$161,2,0),0)</f>
        <v>0</v>
      </c>
      <c r="X219" s="97">
        <f>IFERROR(VLOOKUP(W219,'RoC10'!$B$1:$C$161,2,0),0)</f>
        <v>0</v>
      </c>
      <c r="Y219" s="137">
        <f>IFERROR(VLOOKUP($B219,'RoC11'!$A$1:$B$161,2,0),0)</f>
        <v>0</v>
      </c>
      <c r="Z219" s="97">
        <f>IFERROR(VLOOKUP(Y219,'RoC11'!$B$1:$C$161,2,0),0)</f>
        <v>0</v>
      </c>
      <c r="AA219" s="97">
        <f>IFERROR(VLOOKUP(E219,'RoC1'!$B$1:$C$160,2,0),0)</f>
        <v>0</v>
      </c>
      <c r="AB219" s="97">
        <f>IFERROR(VLOOKUP(G219,'RoC2'!$B$1:$C$160,2,0),0)</f>
        <v>0</v>
      </c>
      <c r="AC219" s="97">
        <f>IFERROR(VLOOKUP(I219,'RoC3'!$B$1:$C$160,2,0),0)</f>
        <v>0</v>
      </c>
      <c r="AD219" s="97">
        <f>IFERROR(VLOOKUP(K219,'RoC4'!$B$1:$C$160,2,0),0)</f>
        <v>0</v>
      </c>
      <c r="AE219" s="97">
        <f>IFERROR(VLOOKUP(M219,'RoC5'!$B$1:$C$160,2,0),0)</f>
        <v>0</v>
      </c>
      <c r="AF219" s="97">
        <f>IFERROR(VLOOKUP(O219,'RoC6'!$B$1:$C$160,2,0),0)</f>
        <v>0</v>
      </c>
      <c r="AG219" s="97">
        <f>IFERROR(VLOOKUP(Q219,'RoC7'!$B$1:$C$160,2,0),0)</f>
        <v>0</v>
      </c>
      <c r="AH219" s="97">
        <f>IFERROR(VLOOKUP(S219,'RoC8'!$B$1:$C$160,2,0),0)</f>
        <v>0</v>
      </c>
      <c r="AI219" s="97">
        <f>IFERROR(VLOOKUP(U219,'RoC9'!$B$1:$C$160,2,0),0)</f>
        <v>0</v>
      </c>
      <c r="AJ219" s="97">
        <f>IFERROR(VLOOKUP(W219,'RoC10'!$B$1:$C$160,2,0),0)</f>
        <v>0</v>
      </c>
      <c r="AK219" s="97">
        <f>IFERROR(VLOOKUP(Y219,'RoC11'!$B$1:$C$160,2,0),0)</f>
        <v>0</v>
      </c>
    </row>
    <row r="220" ht="15.75" customHeight="1">
      <c r="A220" s="92">
        <v>219.0</v>
      </c>
      <c r="B220" s="124"/>
      <c r="C220" s="93">
        <f t="shared" si="4"/>
        <v>0</v>
      </c>
      <c r="D220" s="136"/>
      <c r="E220" s="137" t="str">
        <f>IFERROR(VLOOKUP($B220,'RoC1'!$A$1:$B$160,2,0),"0")</f>
        <v>0</v>
      </c>
      <c r="F220" s="97">
        <f>IFERROR(VLOOKUP(E220,'RoC1'!$B$1:$C$160,2,0),0)</f>
        <v>0</v>
      </c>
      <c r="G220" s="137" t="str">
        <f>IFERROR(VLOOKUP($B220,'RoC2'!$A$1:$B$161,2,0),"0")</f>
        <v>0</v>
      </c>
      <c r="H220" s="97">
        <f>IFERROR(VLOOKUP(G220,'RoC2'!$B$1:$C$161,2,0),0)</f>
        <v>0</v>
      </c>
      <c r="I220" s="137">
        <f>IFERROR(VLOOKUP($B220,'RoC3'!$A$1:$B$161,2,0),0)</f>
        <v>0</v>
      </c>
      <c r="J220" s="97">
        <f>IFERROR(VLOOKUP(I220,'RoC3'!$B$1:$C$161,2,0),0)</f>
        <v>0</v>
      </c>
      <c r="K220" s="137">
        <f>IFERROR(VLOOKUP($B220,'RoC4'!$A$1:$B$161,2,0),0)</f>
        <v>0</v>
      </c>
      <c r="L220" s="97">
        <f>IFERROR(VLOOKUP(K220,'RoC4'!$B$1:$C$161,2,0),0)</f>
        <v>0</v>
      </c>
      <c r="M220" s="137">
        <f>IFERROR(VLOOKUP($B220,'RoC5'!$A$1:$B$161,2,0),0)</f>
        <v>0</v>
      </c>
      <c r="N220" s="97">
        <f>IFERROR(VLOOKUP(M220,'RoC5'!$B$1:$C$161,2,0),0)</f>
        <v>0</v>
      </c>
      <c r="O220" s="137">
        <f>IFERROR(VLOOKUP($B220,'RoC6'!$A$1:$B$161,2,0),0)</f>
        <v>0</v>
      </c>
      <c r="P220" s="97">
        <f>IFERROR(VLOOKUP(O220,'RoC6'!$B$1:$C$161,2,0),0)</f>
        <v>0</v>
      </c>
      <c r="Q220" s="137">
        <f>IFERROR(VLOOKUP($B220,'RoC7'!$A$1:$B$161,2,0),0)</f>
        <v>0</v>
      </c>
      <c r="R220" s="97">
        <f>IFERROR(VLOOKUP(Q220,'RoC7'!$B$1:$C$161,2,0),0)</f>
        <v>0</v>
      </c>
      <c r="S220" s="137">
        <f>IFERROR(VLOOKUP($B220,'RoC8'!$A$1:$B$161,2,0),0)</f>
        <v>0</v>
      </c>
      <c r="T220" s="97">
        <f>IFERROR(VLOOKUP(S220,'RoC8'!$B$1:$C$161,2,0),0)</f>
        <v>0</v>
      </c>
      <c r="U220" s="137">
        <f>IFERROR(VLOOKUP($B220,'RoC9'!$A$1:$B$161,2,0),0)</f>
        <v>0</v>
      </c>
      <c r="V220" s="97">
        <f>IFERROR(VLOOKUP(U220,'RoC9'!$B$1:$C$161,2,0),0)</f>
        <v>0</v>
      </c>
      <c r="W220" s="137">
        <f>IFERROR(VLOOKUP($B220,'RoC10'!$A$1:$B$161,2,0),0)</f>
        <v>0</v>
      </c>
      <c r="X220" s="97">
        <f>IFERROR(VLOOKUP(W220,'RoC10'!$B$1:$C$161,2,0),0)</f>
        <v>0</v>
      </c>
      <c r="Y220" s="137">
        <f>IFERROR(VLOOKUP($B220,'RoC11'!$A$1:$B$161,2,0),0)</f>
        <v>0</v>
      </c>
      <c r="Z220" s="97">
        <f>IFERROR(VLOOKUP(Y220,'RoC11'!$B$1:$C$161,2,0),0)</f>
        <v>0</v>
      </c>
      <c r="AA220" s="97">
        <f>IFERROR(VLOOKUP(E220,'RoC1'!$B$1:$C$160,2,0),0)</f>
        <v>0</v>
      </c>
      <c r="AB220" s="97">
        <f>IFERROR(VLOOKUP(G220,'RoC2'!$B$1:$C$160,2,0),0)</f>
        <v>0</v>
      </c>
      <c r="AC220" s="97">
        <f>IFERROR(VLOOKUP(I220,'RoC3'!$B$1:$C$160,2,0),0)</f>
        <v>0</v>
      </c>
      <c r="AD220" s="97">
        <f>IFERROR(VLOOKUP(K220,'RoC4'!$B$1:$C$160,2,0),0)</f>
        <v>0</v>
      </c>
      <c r="AE220" s="97">
        <f>IFERROR(VLOOKUP(M220,'RoC5'!$B$1:$C$160,2,0),0)</f>
        <v>0</v>
      </c>
      <c r="AF220" s="97">
        <f>IFERROR(VLOOKUP(O220,'RoC6'!$B$1:$C$160,2,0),0)</f>
        <v>0</v>
      </c>
      <c r="AG220" s="97">
        <f>IFERROR(VLOOKUP(Q220,'RoC7'!$B$1:$C$160,2,0),0)</f>
        <v>0</v>
      </c>
      <c r="AH220" s="97">
        <f>IFERROR(VLOOKUP(S220,'RoC8'!$B$1:$C$160,2,0),0)</f>
        <v>0</v>
      </c>
      <c r="AI220" s="97">
        <f>IFERROR(VLOOKUP(U220,'RoC9'!$B$1:$C$160,2,0),0)</f>
        <v>0</v>
      </c>
      <c r="AJ220" s="97">
        <f>IFERROR(VLOOKUP(W220,'RoC10'!$B$1:$C$160,2,0),0)</f>
        <v>0</v>
      </c>
      <c r="AK220" s="97">
        <f>IFERROR(VLOOKUP(Y220,'RoC11'!$B$1:$C$160,2,0),0)</f>
        <v>0</v>
      </c>
    </row>
    <row r="221" ht="15.75" customHeight="1">
      <c r="A221" s="135">
        <v>220.0</v>
      </c>
      <c r="B221" s="124"/>
      <c r="C221" s="93">
        <f t="shared" si="4"/>
        <v>0</v>
      </c>
      <c r="D221" s="136"/>
      <c r="E221" s="137" t="str">
        <f>IFERROR(VLOOKUP($B221,'RoC1'!$A$1:$B$160,2,0),"0")</f>
        <v>0</v>
      </c>
      <c r="F221" s="97">
        <f>IFERROR(VLOOKUP(E221,'RoC1'!$B$1:$C$160,2,0),0)</f>
        <v>0</v>
      </c>
      <c r="G221" s="137" t="str">
        <f>IFERROR(VLOOKUP($B221,'RoC2'!$A$1:$B$161,2,0),"0")</f>
        <v>0</v>
      </c>
      <c r="H221" s="97">
        <f>IFERROR(VLOOKUP(G221,'RoC2'!$B$1:$C$161,2,0),0)</f>
        <v>0</v>
      </c>
      <c r="I221" s="137">
        <f>IFERROR(VLOOKUP($B221,'RoC3'!$A$1:$B$161,2,0),0)</f>
        <v>0</v>
      </c>
      <c r="J221" s="97">
        <f>IFERROR(VLOOKUP(I221,'RoC3'!$B$1:$C$161,2,0),0)</f>
        <v>0</v>
      </c>
      <c r="K221" s="137">
        <f>IFERROR(VLOOKUP($B221,'RoC4'!$A$1:$B$161,2,0),0)</f>
        <v>0</v>
      </c>
      <c r="L221" s="97">
        <f>IFERROR(VLOOKUP(K221,'RoC4'!$B$1:$C$161,2,0),0)</f>
        <v>0</v>
      </c>
      <c r="M221" s="137">
        <f>IFERROR(VLOOKUP($B221,'RoC5'!$A$1:$B$161,2,0),0)</f>
        <v>0</v>
      </c>
      <c r="N221" s="97">
        <f>IFERROR(VLOOKUP(M221,'RoC5'!$B$1:$C$161,2,0),0)</f>
        <v>0</v>
      </c>
      <c r="O221" s="137">
        <f>IFERROR(VLOOKUP($B221,'RoC6'!$A$1:$B$161,2,0),0)</f>
        <v>0</v>
      </c>
      <c r="P221" s="97">
        <f>IFERROR(VLOOKUP(O221,'RoC6'!$B$1:$C$161,2,0),0)</f>
        <v>0</v>
      </c>
      <c r="Q221" s="137">
        <f>IFERROR(VLOOKUP($B221,'RoC7'!$A$1:$B$161,2,0),0)</f>
        <v>0</v>
      </c>
      <c r="R221" s="97">
        <f>IFERROR(VLOOKUP(Q221,'RoC7'!$B$1:$C$161,2,0),0)</f>
        <v>0</v>
      </c>
      <c r="S221" s="137">
        <f>IFERROR(VLOOKUP($B221,'RoC8'!$A$1:$B$161,2,0),0)</f>
        <v>0</v>
      </c>
      <c r="T221" s="97">
        <f>IFERROR(VLOOKUP(S221,'RoC8'!$B$1:$C$161,2,0),0)</f>
        <v>0</v>
      </c>
      <c r="U221" s="137">
        <f>IFERROR(VLOOKUP($B221,'RoC9'!$A$1:$B$161,2,0),0)</f>
        <v>0</v>
      </c>
      <c r="V221" s="97">
        <f>IFERROR(VLOOKUP(U221,'RoC9'!$B$1:$C$161,2,0),0)</f>
        <v>0</v>
      </c>
      <c r="W221" s="137">
        <f>IFERROR(VLOOKUP($B221,'RoC10'!$A$1:$B$161,2,0),0)</f>
        <v>0</v>
      </c>
      <c r="X221" s="97">
        <f>IFERROR(VLOOKUP(W221,'RoC10'!$B$1:$C$161,2,0),0)</f>
        <v>0</v>
      </c>
      <c r="Y221" s="137">
        <f>IFERROR(VLOOKUP($B221,'RoC11'!$A$1:$B$161,2,0),0)</f>
        <v>0</v>
      </c>
      <c r="Z221" s="97">
        <f>IFERROR(VLOOKUP(Y221,'RoC11'!$B$1:$C$161,2,0),0)</f>
        <v>0</v>
      </c>
      <c r="AA221" s="97">
        <f>IFERROR(VLOOKUP(E221,'RoC1'!$B$1:$C$160,2,0),0)</f>
        <v>0</v>
      </c>
      <c r="AB221" s="97">
        <f>IFERROR(VLOOKUP(G221,'RoC2'!$B$1:$C$160,2,0),0)</f>
        <v>0</v>
      </c>
      <c r="AC221" s="97">
        <f>IFERROR(VLOOKUP(I221,'RoC3'!$B$1:$C$160,2,0),0)</f>
        <v>0</v>
      </c>
      <c r="AD221" s="97">
        <f>IFERROR(VLOOKUP(K221,'RoC4'!$B$1:$C$160,2,0),0)</f>
        <v>0</v>
      </c>
      <c r="AE221" s="97">
        <f>IFERROR(VLOOKUP(M221,'RoC5'!$B$1:$C$160,2,0),0)</f>
        <v>0</v>
      </c>
      <c r="AF221" s="97">
        <f>IFERROR(VLOOKUP(O221,'RoC6'!$B$1:$C$160,2,0),0)</f>
        <v>0</v>
      </c>
      <c r="AG221" s="97">
        <f>IFERROR(VLOOKUP(Q221,'RoC7'!$B$1:$C$160,2,0),0)</f>
        <v>0</v>
      </c>
      <c r="AH221" s="97">
        <f>IFERROR(VLOOKUP(S221,'RoC8'!$B$1:$C$160,2,0),0)</f>
        <v>0</v>
      </c>
      <c r="AI221" s="97">
        <f>IFERROR(VLOOKUP(U221,'RoC9'!$B$1:$C$160,2,0),0)</f>
        <v>0</v>
      </c>
      <c r="AJ221" s="97">
        <f>IFERROR(VLOOKUP(W221,'RoC10'!$B$1:$C$160,2,0),0)</f>
        <v>0</v>
      </c>
      <c r="AK221" s="97">
        <f>IFERROR(VLOOKUP(Y221,'RoC11'!$B$1:$C$160,2,0),0)</f>
        <v>0</v>
      </c>
    </row>
    <row r="222" ht="15.75" customHeight="1">
      <c r="A222" s="92">
        <v>221.0</v>
      </c>
      <c r="B222" s="124"/>
      <c r="C222" s="93">
        <f t="shared" si="4"/>
        <v>0</v>
      </c>
      <c r="D222" s="136"/>
      <c r="E222" s="137" t="str">
        <f>IFERROR(VLOOKUP($B222,'RoC1'!$A$1:$B$160,2,0),"0")</f>
        <v>0</v>
      </c>
      <c r="F222" s="97">
        <f>IFERROR(VLOOKUP(E222,'RoC1'!$B$1:$C$160,2,0),0)</f>
        <v>0</v>
      </c>
      <c r="G222" s="137" t="str">
        <f>IFERROR(VLOOKUP($B222,'RoC2'!$A$1:$B$161,2,0),"0")</f>
        <v>0</v>
      </c>
      <c r="H222" s="97">
        <f>IFERROR(VLOOKUP(G222,'RoC2'!$B$1:$C$161,2,0),0)</f>
        <v>0</v>
      </c>
      <c r="I222" s="137">
        <f>IFERROR(VLOOKUP($B222,'RoC3'!$A$1:$B$161,2,0),0)</f>
        <v>0</v>
      </c>
      <c r="J222" s="97">
        <f>IFERROR(VLOOKUP(I222,'RoC3'!$B$1:$C$161,2,0),0)</f>
        <v>0</v>
      </c>
      <c r="K222" s="137">
        <f>IFERROR(VLOOKUP($B222,'RoC4'!$A$1:$B$161,2,0),0)</f>
        <v>0</v>
      </c>
      <c r="L222" s="97">
        <f>IFERROR(VLOOKUP(K222,'RoC4'!$B$1:$C$161,2,0),0)</f>
        <v>0</v>
      </c>
      <c r="M222" s="137">
        <f>IFERROR(VLOOKUP($B222,'RoC5'!$A$1:$B$161,2,0),0)</f>
        <v>0</v>
      </c>
      <c r="N222" s="97">
        <f>IFERROR(VLOOKUP(M222,'RoC5'!$B$1:$C$161,2,0),0)</f>
        <v>0</v>
      </c>
      <c r="O222" s="137">
        <f>IFERROR(VLOOKUP($B222,'RoC6'!$A$1:$B$161,2,0),0)</f>
        <v>0</v>
      </c>
      <c r="P222" s="97">
        <f>IFERROR(VLOOKUP(O222,'RoC6'!$B$1:$C$161,2,0),0)</f>
        <v>0</v>
      </c>
      <c r="Q222" s="137">
        <f>IFERROR(VLOOKUP($B222,'RoC7'!$A$1:$B$161,2,0),0)</f>
        <v>0</v>
      </c>
      <c r="R222" s="97">
        <f>IFERROR(VLOOKUP(Q222,'RoC7'!$B$1:$C$161,2,0),0)</f>
        <v>0</v>
      </c>
      <c r="S222" s="137">
        <f>IFERROR(VLOOKUP($B222,'RoC8'!$A$1:$B$161,2,0),0)</f>
        <v>0</v>
      </c>
      <c r="T222" s="97">
        <f>IFERROR(VLOOKUP(S222,'RoC8'!$B$1:$C$161,2,0),0)</f>
        <v>0</v>
      </c>
      <c r="U222" s="137">
        <f>IFERROR(VLOOKUP($B222,'RoC9'!$A$1:$B$161,2,0),0)</f>
        <v>0</v>
      </c>
      <c r="V222" s="97">
        <f>IFERROR(VLOOKUP(U222,'RoC9'!$B$1:$C$161,2,0),0)</f>
        <v>0</v>
      </c>
      <c r="W222" s="137">
        <f>IFERROR(VLOOKUP($B222,'RoC10'!$A$1:$B$161,2,0),0)</f>
        <v>0</v>
      </c>
      <c r="X222" s="97">
        <f>IFERROR(VLOOKUP(W222,'RoC10'!$B$1:$C$161,2,0),0)</f>
        <v>0</v>
      </c>
      <c r="Y222" s="137">
        <f>IFERROR(VLOOKUP($B222,'RoC11'!$A$1:$B$161,2,0),0)</f>
        <v>0</v>
      </c>
      <c r="Z222" s="97">
        <f>IFERROR(VLOOKUP(Y222,'RoC11'!$B$1:$C$161,2,0),0)</f>
        <v>0</v>
      </c>
      <c r="AA222" s="97">
        <f>IFERROR(VLOOKUP(E222,'RoC1'!$B$1:$C$160,2,0),0)</f>
        <v>0</v>
      </c>
      <c r="AB222" s="97">
        <f>IFERROR(VLOOKUP(G222,'RoC2'!$B$1:$C$160,2,0),0)</f>
        <v>0</v>
      </c>
      <c r="AC222" s="97">
        <f>IFERROR(VLOOKUP(I222,'RoC3'!$B$1:$C$160,2,0),0)</f>
        <v>0</v>
      </c>
      <c r="AD222" s="97">
        <f>IFERROR(VLOOKUP(K222,'RoC4'!$B$1:$C$160,2,0),0)</f>
        <v>0</v>
      </c>
      <c r="AE222" s="97">
        <f>IFERROR(VLOOKUP(M222,'RoC5'!$B$1:$C$160,2,0),0)</f>
        <v>0</v>
      </c>
      <c r="AF222" s="97">
        <f>IFERROR(VLOOKUP(O222,'RoC6'!$B$1:$C$160,2,0),0)</f>
        <v>0</v>
      </c>
      <c r="AG222" s="97">
        <f>IFERROR(VLOOKUP(Q222,'RoC7'!$B$1:$C$160,2,0),0)</f>
        <v>0</v>
      </c>
      <c r="AH222" s="97">
        <f>IFERROR(VLOOKUP(S222,'RoC8'!$B$1:$C$160,2,0),0)</f>
        <v>0</v>
      </c>
      <c r="AI222" s="97">
        <f>IFERROR(VLOOKUP(U222,'RoC9'!$B$1:$C$160,2,0),0)</f>
        <v>0</v>
      </c>
      <c r="AJ222" s="97">
        <f>IFERROR(VLOOKUP(W222,'RoC10'!$B$1:$C$160,2,0),0)</f>
        <v>0</v>
      </c>
      <c r="AK222" s="97">
        <f>IFERROR(VLOOKUP(Y222,'RoC11'!$B$1:$C$160,2,0),0)</f>
        <v>0</v>
      </c>
    </row>
    <row r="223" ht="15.75" customHeight="1">
      <c r="A223" s="135">
        <v>222.0</v>
      </c>
      <c r="B223" s="124"/>
      <c r="C223" s="93">
        <f t="shared" si="4"/>
        <v>0</v>
      </c>
      <c r="D223" s="136"/>
      <c r="E223" s="137" t="str">
        <f>IFERROR(VLOOKUP($B223,'RoC1'!$A$1:$B$160,2,0),"0")</f>
        <v>0</v>
      </c>
      <c r="F223" s="97">
        <f>IFERROR(VLOOKUP(E223,'RoC1'!$B$1:$C$160,2,0),0)</f>
        <v>0</v>
      </c>
      <c r="G223" s="137" t="str">
        <f>IFERROR(VLOOKUP($B223,'RoC2'!$A$1:$B$161,2,0),"0")</f>
        <v>0</v>
      </c>
      <c r="H223" s="97">
        <f>IFERROR(VLOOKUP(G223,'RoC2'!$B$1:$C$161,2,0),0)</f>
        <v>0</v>
      </c>
      <c r="I223" s="137">
        <f>IFERROR(VLOOKUP($B223,'RoC3'!$A$1:$B$161,2,0),0)</f>
        <v>0</v>
      </c>
      <c r="J223" s="97">
        <f>IFERROR(VLOOKUP(I223,'RoC3'!$B$1:$C$161,2,0),0)</f>
        <v>0</v>
      </c>
      <c r="K223" s="137">
        <f>IFERROR(VLOOKUP($B223,'RoC4'!$A$1:$B$161,2,0),0)</f>
        <v>0</v>
      </c>
      <c r="L223" s="97">
        <f>IFERROR(VLOOKUP(K223,'RoC4'!$B$1:$C$161,2,0),0)</f>
        <v>0</v>
      </c>
      <c r="M223" s="137">
        <f>IFERROR(VLOOKUP($B223,'RoC5'!$A$1:$B$161,2,0),0)</f>
        <v>0</v>
      </c>
      <c r="N223" s="97">
        <f>IFERROR(VLOOKUP(M223,'RoC5'!$B$1:$C$161,2,0),0)</f>
        <v>0</v>
      </c>
      <c r="O223" s="137">
        <f>IFERROR(VLOOKUP($B223,'RoC6'!$A$1:$B$161,2,0),0)</f>
        <v>0</v>
      </c>
      <c r="P223" s="97">
        <f>IFERROR(VLOOKUP(O223,'RoC6'!$B$1:$C$161,2,0),0)</f>
        <v>0</v>
      </c>
      <c r="Q223" s="137">
        <f>IFERROR(VLOOKUP($B223,'RoC7'!$A$1:$B$161,2,0),0)</f>
        <v>0</v>
      </c>
      <c r="R223" s="97">
        <f>IFERROR(VLOOKUP(Q223,'RoC7'!$B$1:$C$161,2,0),0)</f>
        <v>0</v>
      </c>
      <c r="S223" s="137">
        <f>IFERROR(VLOOKUP($B223,'RoC8'!$A$1:$B$161,2,0),0)</f>
        <v>0</v>
      </c>
      <c r="T223" s="97">
        <f>IFERROR(VLOOKUP(S223,'RoC8'!$B$1:$C$161,2,0),0)</f>
        <v>0</v>
      </c>
      <c r="U223" s="137">
        <f>IFERROR(VLOOKUP($B223,'RoC9'!$A$1:$B$161,2,0),0)</f>
        <v>0</v>
      </c>
      <c r="V223" s="97">
        <f>IFERROR(VLOOKUP(U223,'RoC9'!$B$1:$C$161,2,0),0)</f>
        <v>0</v>
      </c>
      <c r="W223" s="137">
        <f>IFERROR(VLOOKUP($B223,'RoC10'!$A$1:$B$161,2,0),0)</f>
        <v>0</v>
      </c>
      <c r="X223" s="97">
        <f>IFERROR(VLOOKUP(W223,'RoC10'!$B$1:$C$161,2,0),0)</f>
        <v>0</v>
      </c>
      <c r="Y223" s="137">
        <f>IFERROR(VLOOKUP($B223,'RoC11'!$A$1:$B$161,2,0),0)</f>
        <v>0</v>
      </c>
      <c r="Z223" s="97">
        <f>IFERROR(VLOOKUP(Y223,'RoC11'!$B$1:$C$161,2,0),0)</f>
        <v>0</v>
      </c>
      <c r="AA223" s="97">
        <f>IFERROR(VLOOKUP(E223,'RoC1'!$B$1:$C$160,2,0),0)</f>
        <v>0</v>
      </c>
      <c r="AB223" s="97">
        <f>IFERROR(VLOOKUP(G223,'RoC2'!$B$1:$C$160,2,0),0)</f>
        <v>0</v>
      </c>
      <c r="AC223" s="97">
        <f>IFERROR(VLOOKUP(I223,'RoC3'!$B$1:$C$160,2,0),0)</f>
        <v>0</v>
      </c>
      <c r="AD223" s="97">
        <f>IFERROR(VLOOKUP(K223,'RoC4'!$B$1:$C$160,2,0),0)</f>
        <v>0</v>
      </c>
      <c r="AE223" s="97">
        <f>IFERROR(VLOOKUP(M223,'RoC5'!$B$1:$C$160,2,0),0)</f>
        <v>0</v>
      </c>
      <c r="AF223" s="97">
        <f>IFERROR(VLOOKUP(O223,'RoC6'!$B$1:$C$160,2,0),0)</f>
        <v>0</v>
      </c>
      <c r="AG223" s="97">
        <f>IFERROR(VLOOKUP(Q223,'RoC7'!$B$1:$C$160,2,0),0)</f>
        <v>0</v>
      </c>
      <c r="AH223" s="97">
        <f>IFERROR(VLOOKUP(S223,'RoC8'!$B$1:$C$160,2,0),0)</f>
        <v>0</v>
      </c>
      <c r="AI223" s="97">
        <f>IFERROR(VLOOKUP(U223,'RoC9'!$B$1:$C$160,2,0),0)</f>
        <v>0</v>
      </c>
      <c r="AJ223" s="97">
        <f>IFERROR(VLOOKUP(W223,'RoC10'!$B$1:$C$160,2,0),0)</f>
        <v>0</v>
      </c>
      <c r="AK223" s="97">
        <f>IFERROR(VLOOKUP(Y223,'RoC11'!$B$1:$C$160,2,0),0)</f>
        <v>0</v>
      </c>
    </row>
    <row r="224" ht="15.75" customHeight="1">
      <c r="A224" s="92">
        <v>223.0</v>
      </c>
      <c r="B224" s="124"/>
      <c r="C224" s="93">
        <f t="shared" si="4"/>
        <v>0</v>
      </c>
      <c r="D224" s="136"/>
      <c r="E224" s="137" t="str">
        <f>IFERROR(VLOOKUP($B224,'RoC1'!$A$1:$B$160,2,0),"0")</f>
        <v>0</v>
      </c>
      <c r="F224" s="97">
        <f>IFERROR(VLOOKUP(E224,'RoC1'!$B$1:$C$160,2,0),0)</f>
        <v>0</v>
      </c>
      <c r="G224" s="137" t="str">
        <f>IFERROR(VLOOKUP($B224,'RoC2'!$A$1:$B$161,2,0),"0")</f>
        <v>0</v>
      </c>
      <c r="H224" s="97">
        <f>IFERROR(VLOOKUP(G224,'RoC2'!$B$1:$C$161,2,0),0)</f>
        <v>0</v>
      </c>
      <c r="I224" s="137">
        <f>IFERROR(VLOOKUP($B224,'RoC3'!$A$1:$B$161,2,0),0)</f>
        <v>0</v>
      </c>
      <c r="J224" s="97">
        <f>IFERROR(VLOOKUP(I224,'RoC3'!$B$1:$C$161,2,0),0)</f>
        <v>0</v>
      </c>
      <c r="K224" s="137">
        <f>IFERROR(VLOOKUP($B224,'RoC4'!$A$1:$B$161,2,0),0)</f>
        <v>0</v>
      </c>
      <c r="L224" s="97">
        <f>IFERROR(VLOOKUP(K224,'RoC4'!$B$1:$C$161,2,0),0)</f>
        <v>0</v>
      </c>
      <c r="M224" s="137">
        <f>IFERROR(VLOOKUP($B224,'RoC5'!$A$1:$B$161,2,0),0)</f>
        <v>0</v>
      </c>
      <c r="N224" s="97">
        <f>IFERROR(VLOOKUP(M224,'RoC5'!$B$1:$C$161,2,0),0)</f>
        <v>0</v>
      </c>
      <c r="O224" s="137">
        <f>IFERROR(VLOOKUP($B224,'RoC6'!$A$1:$B$161,2,0),0)</f>
        <v>0</v>
      </c>
      <c r="P224" s="97">
        <f>IFERROR(VLOOKUP(O224,'RoC6'!$B$1:$C$161,2,0),0)</f>
        <v>0</v>
      </c>
      <c r="Q224" s="137">
        <f>IFERROR(VLOOKUP($B224,'RoC7'!$A$1:$B$161,2,0),0)</f>
        <v>0</v>
      </c>
      <c r="R224" s="97">
        <f>IFERROR(VLOOKUP(Q224,'RoC7'!$B$1:$C$161,2,0),0)</f>
        <v>0</v>
      </c>
      <c r="S224" s="137">
        <f>IFERROR(VLOOKUP($B224,'RoC8'!$A$1:$B$161,2,0),0)</f>
        <v>0</v>
      </c>
      <c r="T224" s="97">
        <f>IFERROR(VLOOKUP(S224,'RoC8'!$B$1:$C$161,2,0),0)</f>
        <v>0</v>
      </c>
      <c r="U224" s="137">
        <f>IFERROR(VLOOKUP($B224,'RoC9'!$A$1:$B$161,2,0),0)</f>
        <v>0</v>
      </c>
      <c r="V224" s="97">
        <f>IFERROR(VLOOKUP(U224,'RoC9'!$B$1:$C$161,2,0),0)</f>
        <v>0</v>
      </c>
      <c r="W224" s="137">
        <f>IFERROR(VLOOKUP($B224,'RoC10'!$A$1:$B$161,2,0),0)</f>
        <v>0</v>
      </c>
      <c r="X224" s="97">
        <f>IFERROR(VLOOKUP(W224,'RoC10'!$B$1:$C$161,2,0),0)</f>
        <v>0</v>
      </c>
      <c r="Y224" s="137">
        <f>IFERROR(VLOOKUP($B224,'RoC11'!$A$1:$B$161,2,0),0)</f>
        <v>0</v>
      </c>
      <c r="Z224" s="97">
        <f>IFERROR(VLOOKUP(Y224,'RoC11'!$B$1:$C$161,2,0),0)</f>
        <v>0</v>
      </c>
      <c r="AA224" s="97">
        <f>IFERROR(VLOOKUP(E224,'RoC1'!$B$1:$C$160,2,0),0)</f>
        <v>0</v>
      </c>
      <c r="AB224" s="97">
        <f>IFERROR(VLOOKUP(G224,'RoC2'!$B$1:$C$160,2,0),0)</f>
        <v>0</v>
      </c>
      <c r="AC224" s="97">
        <f>IFERROR(VLOOKUP(I224,'RoC3'!$B$1:$C$160,2,0),0)</f>
        <v>0</v>
      </c>
      <c r="AD224" s="97">
        <f>IFERROR(VLOOKUP(K224,'RoC4'!$B$1:$C$160,2,0),0)</f>
        <v>0</v>
      </c>
      <c r="AE224" s="97">
        <f>IFERROR(VLOOKUP(M224,'RoC5'!$B$1:$C$160,2,0),0)</f>
        <v>0</v>
      </c>
      <c r="AF224" s="97">
        <f>IFERROR(VLOOKUP(O224,'RoC6'!$B$1:$C$160,2,0),0)</f>
        <v>0</v>
      </c>
      <c r="AG224" s="97">
        <f>IFERROR(VLOOKUP(Q224,'RoC7'!$B$1:$C$160,2,0),0)</f>
        <v>0</v>
      </c>
      <c r="AH224" s="97">
        <f>IFERROR(VLOOKUP(S224,'RoC8'!$B$1:$C$160,2,0),0)</f>
        <v>0</v>
      </c>
      <c r="AI224" s="97">
        <f>IFERROR(VLOOKUP(U224,'RoC9'!$B$1:$C$160,2,0),0)</f>
        <v>0</v>
      </c>
      <c r="AJ224" s="97">
        <f>IFERROR(VLOOKUP(W224,'RoC10'!$B$1:$C$160,2,0),0)</f>
        <v>0</v>
      </c>
      <c r="AK224" s="97">
        <f>IFERROR(VLOOKUP(Y224,'RoC11'!$B$1:$C$160,2,0),0)</f>
        <v>0</v>
      </c>
    </row>
    <row r="225" ht="15.75" customHeight="1">
      <c r="A225" s="135">
        <v>224.0</v>
      </c>
      <c r="B225" s="124"/>
      <c r="C225" s="93">
        <f t="shared" si="4"/>
        <v>0</v>
      </c>
      <c r="D225" s="136"/>
      <c r="E225" s="137" t="str">
        <f>IFERROR(VLOOKUP($B225,'RoC1'!$A$1:$B$160,2,0),"0")</f>
        <v>0</v>
      </c>
      <c r="F225" s="97">
        <f>IFERROR(VLOOKUP(E225,'RoC1'!$B$1:$C$160,2,0),0)</f>
        <v>0</v>
      </c>
      <c r="G225" s="137" t="str">
        <f>IFERROR(VLOOKUP($B225,'RoC2'!$A$1:$B$161,2,0),"0")</f>
        <v>0</v>
      </c>
      <c r="H225" s="97">
        <f>IFERROR(VLOOKUP(G225,'RoC2'!$B$1:$C$161,2,0),0)</f>
        <v>0</v>
      </c>
      <c r="I225" s="137">
        <f>IFERROR(VLOOKUP($B225,'RoC3'!$A$1:$B$161,2,0),0)</f>
        <v>0</v>
      </c>
      <c r="J225" s="97">
        <f>IFERROR(VLOOKUP(I225,'RoC3'!$B$1:$C$161,2,0),0)</f>
        <v>0</v>
      </c>
      <c r="K225" s="137">
        <f>IFERROR(VLOOKUP($B225,'RoC4'!$A$1:$B$161,2,0),0)</f>
        <v>0</v>
      </c>
      <c r="L225" s="97">
        <f>IFERROR(VLOOKUP(K225,'RoC4'!$B$1:$C$161,2,0),0)</f>
        <v>0</v>
      </c>
      <c r="M225" s="137">
        <f>IFERROR(VLOOKUP($B225,'RoC5'!$A$1:$B$161,2,0),0)</f>
        <v>0</v>
      </c>
      <c r="N225" s="97">
        <f>IFERROR(VLOOKUP(M225,'RoC5'!$B$1:$C$161,2,0),0)</f>
        <v>0</v>
      </c>
      <c r="O225" s="137">
        <f>IFERROR(VLOOKUP($B225,'RoC6'!$A$1:$B$161,2,0),0)</f>
        <v>0</v>
      </c>
      <c r="P225" s="97">
        <f>IFERROR(VLOOKUP(O225,'RoC6'!$B$1:$C$161,2,0),0)</f>
        <v>0</v>
      </c>
      <c r="Q225" s="137">
        <f>IFERROR(VLOOKUP($B225,'RoC7'!$A$1:$B$161,2,0),0)</f>
        <v>0</v>
      </c>
      <c r="R225" s="97">
        <f>IFERROR(VLOOKUP(Q225,'RoC7'!$B$1:$C$161,2,0),0)</f>
        <v>0</v>
      </c>
      <c r="S225" s="137">
        <f>IFERROR(VLOOKUP($B225,'RoC8'!$A$1:$B$161,2,0),0)</f>
        <v>0</v>
      </c>
      <c r="T225" s="97">
        <f>IFERROR(VLOOKUP(S225,'RoC8'!$B$1:$C$161,2,0),0)</f>
        <v>0</v>
      </c>
      <c r="U225" s="137">
        <f>IFERROR(VLOOKUP($B225,'RoC9'!$A$1:$B$161,2,0),0)</f>
        <v>0</v>
      </c>
      <c r="V225" s="97">
        <f>IFERROR(VLOOKUP(U225,'RoC9'!$B$1:$C$161,2,0),0)</f>
        <v>0</v>
      </c>
      <c r="W225" s="137">
        <f>IFERROR(VLOOKUP($B225,'RoC10'!$A$1:$B$161,2,0),0)</f>
        <v>0</v>
      </c>
      <c r="X225" s="97">
        <f>IFERROR(VLOOKUP(W225,'RoC10'!$B$1:$C$161,2,0),0)</f>
        <v>0</v>
      </c>
      <c r="Y225" s="137">
        <f>IFERROR(VLOOKUP($B225,'RoC11'!$A$1:$B$161,2,0),0)</f>
        <v>0</v>
      </c>
      <c r="Z225" s="97">
        <f>IFERROR(VLOOKUP(Y225,'RoC11'!$B$1:$C$161,2,0),0)</f>
        <v>0</v>
      </c>
      <c r="AA225" s="97">
        <f>IFERROR(VLOOKUP(E225,'RoC1'!$B$1:$C$160,2,0),0)</f>
        <v>0</v>
      </c>
      <c r="AB225" s="97">
        <f>IFERROR(VLOOKUP(G225,'RoC2'!$B$1:$C$160,2,0),0)</f>
        <v>0</v>
      </c>
      <c r="AC225" s="97">
        <f>IFERROR(VLOOKUP(I225,'RoC3'!$B$1:$C$160,2,0),0)</f>
        <v>0</v>
      </c>
      <c r="AD225" s="97">
        <f>IFERROR(VLOOKUP(K225,'RoC4'!$B$1:$C$160,2,0),0)</f>
        <v>0</v>
      </c>
      <c r="AE225" s="97">
        <f>IFERROR(VLOOKUP(M225,'RoC5'!$B$1:$C$160,2,0),0)</f>
        <v>0</v>
      </c>
      <c r="AF225" s="97">
        <f>IFERROR(VLOOKUP(O225,'RoC6'!$B$1:$C$160,2,0),0)</f>
        <v>0</v>
      </c>
      <c r="AG225" s="97">
        <f>IFERROR(VLOOKUP(Q225,'RoC7'!$B$1:$C$160,2,0),0)</f>
        <v>0</v>
      </c>
      <c r="AH225" s="97">
        <f>IFERROR(VLOOKUP(S225,'RoC8'!$B$1:$C$160,2,0),0)</f>
        <v>0</v>
      </c>
      <c r="AI225" s="97">
        <f>IFERROR(VLOOKUP(U225,'RoC9'!$B$1:$C$160,2,0),0)</f>
        <v>0</v>
      </c>
      <c r="AJ225" s="97">
        <f>IFERROR(VLOOKUP(W225,'RoC10'!$B$1:$C$160,2,0),0)</f>
        <v>0</v>
      </c>
      <c r="AK225" s="97">
        <f>IFERROR(VLOOKUP(Y225,'RoC11'!$B$1:$C$160,2,0),0)</f>
        <v>0</v>
      </c>
    </row>
    <row r="226" ht="15.75" customHeight="1">
      <c r="A226" s="92">
        <v>225.0</v>
      </c>
      <c r="B226" s="124"/>
      <c r="C226" s="93">
        <f t="shared" si="4"/>
        <v>0</v>
      </c>
      <c r="D226" s="136"/>
      <c r="E226" s="137" t="str">
        <f>IFERROR(VLOOKUP($B226,'RoC1'!$A$1:$B$160,2,0),"0")</f>
        <v>0</v>
      </c>
      <c r="F226" s="97">
        <f>IFERROR(VLOOKUP(E226,'RoC1'!$B$1:$C$160,2,0),0)</f>
        <v>0</v>
      </c>
      <c r="G226" s="137" t="str">
        <f>IFERROR(VLOOKUP($B226,'RoC2'!$A$1:$B$161,2,0),"0")</f>
        <v>0</v>
      </c>
      <c r="H226" s="97">
        <f>IFERROR(VLOOKUP(G226,'RoC2'!$B$1:$C$161,2,0),0)</f>
        <v>0</v>
      </c>
      <c r="I226" s="137">
        <f>IFERROR(VLOOKUP($B226,'RoC3'!$A$1:$B$161,2,0),0)</f>
        <v>0</v>
      </c>
      <c r="J226" s="97">
        <f>IFERROR(VLOOKUP(I226,'RoC3'!$B$1:$C$161,2,0),0)</f>
        <v>0</v>
      </c>
      <c r="K226" s="137">
        <f>IFERROR(VLOOKUP($B226,'RoC4'!$A$1:$B$161,2,0),0)</f>
        <v>0</v>
      </c>
      <c r="L226" s="97">
        <f>IFERROR(VLOOKUP(K226,'RoC4'!$B$1:$C$161,2,0),0)</f>
        <v>0</v>
      </c>
      <c r="M226" s="137">
        <f>IFERROR(VLOOKUP($B226,'RoC5'!$A$1:$B$161,2,0),0)</f>
        <v>0</v>
      </c>
      <c r="N226" s="97">
        <f>IFERROR(VLOOKUP(M226,'RoC5'!$B$1:$C$161,2,0),0)</f>
        <v>0</v>
      </c>
      <c r="O226" s="137">
        <f>IFERROR(VLOOKUP($B226,'RoC6'!$A$1:$B$161,2,0),0)</f>
        <v>0</v>
      </c>
      <c r="P226" s="97">
        <f>IFERROR(VLOOKUP(O226,'RoC6'!$B$1:$C$161,2,0),0)</f>
        <v>0</v>
      </c>
      <c r="Q226" s="137">
        <f>IFERROR(VLOOKUP($B226,'RoC7'!$A$1:$B$161,2,0),0)</f>
        <v>0</v>
      </c>
      <c r="R226" s="97">
        <f>IFERROR(VLOOKUP(Q226,'RoC7'!$B$1:$C$161,2,0),0)</f>
        <v>0</v>
      </c>
      <c r="S226" s="137">
        <f>IFERROR(VLOOKUP($B226,'RoC8'!$A$1:$B$161,2,0),0)</f>
        <v>0</v>
      </c>
      <c r="T226" s="97">
        <f>IFERROR(VLOOKUP(S226,'RoC8'!$B$1:$C$161,2,0),0)</f>
        <v>0</v>
      </c>
      <c r="U226" s="137">
        <f>IFERROR(VLOOKUP($B226,'RoC9'!$A$1:$B$161,2,0),0)</f>
        <v>0</v>
      </c>
      <c r="V226" s="97">
        <f>IFERROR(VLOOKUP(U226,'RoC9'!$B$1:$C$161,2,0),0)</f>
        <v>0</v>
      </c>
      <c r="W226" s="137">
        <f>IFERROR(VLOOKUP($B226,'RoC10'!$A$1:$B$161,2,0),0)</f>
        <v>0</v>
      </c>
      <c r="X226" s="97">
        <f>IFERROR(VLOOKUP(W226,'RoC10'!$B$1:$C$161,2,0),0)</f>
        <v>0</v>
      </c>
      <c r="Y226" s="137">
        <f>IFERROR(VLOOKUP($B226,'RoC11'!$A$1:$B$161,2,0),0)</f>
        <v>0</v>
      </c>
      <c r="Z226" s="97">
        <f>IFERROR(VLOOKUP(Y226,'RoC11'!$B$1:$C$161,2,0),0)</f>
        <v>0</v>
      </c>
      <c r="AA226" s="97">
        <f>IFERROR(VLOOKUP(E226,'RoC1'!$B$1:$C$160,2,0),0)</f>
        <v>0</v>
      </c>
      <c r="AB226" s="97">
        <f>IFERROR(VLOOKUP(G226,'RoC2'!$B$1:$C$160,2,0),0)</f>
        <v>0</v>
      </c>
      <c r="AC226" s="97">
        <f>IFERROR(VLOOKUP(I226,'RoC3'!$B$1:$C$160,2,0),0)</f>
        <v>0</v>
      </c>
      <c r="AD226" s="97">
        <f>IFERROR(VLOOKUP(K226,'RoC4'!$B$1:$C$160,2,0),0)</f>
        <v>0</v>
      </c>
      <c r="AE226" s="97">
        <f>IFERROR(VLOOKUP(M226,'RoC5'!$B$1:$C$160,2,0),0)</f>
        <v>0</v>
      </c>
      <c r="AF226" s="97">
        <f>IFERROR(VLOOKUP(O226,'RoC6'!$B$1:$C$160,2,0),0)</f>
        <v>0</v>
      </c>
      <c r="AG226" s="97">
        <f>IFERROR(VLOOKUP(Q226,'RoC7'!$B$1:$C$160,2,0),0)</f>
        <v>0</v>
      </c>
      <c r="AH226" s="97">
        <f>IFERROR(VLOOKUP(S226,'RoC8'!$B$1:$C$160,2,0),0)</f>
        <v>0</v>
      </c>
      <c r="AI226" s="97">
        <f>IFERROR(VLOOKUP(U226,'RoC9'!$B$1:$C$160,2,0),0)</f>
        <v>0</v>
      </c>
      <c r="AJ226" s="97">
        <f>IFERROR(VLOOKUP(W226,'RoC10'!$B$1:$C$160,2,0),0)</f>
        <v>0</v>
      </c>
      <c r="AK226" s="97">
        <f>IFERROR(VLOOKUP(Y226,'RoC11'!$B$1:$C$160,2,0),0)</f>
        <v>0</v>
      </c>
    </row>
    <row r="227" ht="15.75" customHeight="1">
      <c r="A227" s="135">
        <v>226.0</v>
      </c>
      <c r="B227" s="124"/>
      <c r="C227" s="93">
        <f t="shared" si="4"/>
        <v>0</v>
      </c>
      <c r="D227" s="136"/>
      <c r="E227" s="137" t="str">
        <f>IFERROR(VLOOKUP($B227,'RoC1'!$A$1:$B$160,2,0),"0")</f>
        <v>0</v>
      </c>
      <c r="F227" s="97">
        <f>IFERROR(VLOOKUP(E227,'RoC1'!$B$1:$C$160,2,0),0)</f>
        <v>0</v>
      </c>
      <c r="G227" s="137" t="str">
        <f>IFERROR(VLOOKUP($B227,'RoC2'!$A$1:$B$161,2,0),"0")</f>
        <v>0</v>
      </c>
      <c r="H227" s="97">
        <f>IFERROR(VLOOKUP(G227,'RoC2'!$B$1:$C$161,2,0),0)</f>
        <v>0</v>
      </c>
      <c r="I227" s="137">
        <f>IFERROR(VLOOKUP($B227,'RoC3'!$A$1:$B$161,2,0),0)</f>
        <v>0</v>
      </c>
      <c r="J227" s="97">
        <f>IFERROR(VLOOKUP(I227,'RoC3'!$B$1:$C$161,2,0),0)</f>
        <v>0</v>
      </c>
      <c r="K227" s="137">
        <f>IFERROR(VLOOKUP($B227,'RoC4'!$A$1:$B$161,2,0),0)</f>
        <v>0</v>
      </c>
      <c r="L227" s="97">
        <f>IFERROR(VLOOKUP(K227,'RoC4'!$B$1:$C$161,2,0),0)</f>
        <v>0</v>
      </c>
      <c r="M227" s="137">
        <f>IFERROR(VLOOKUP($B227,'RoC5'!$A$1:$B$161,2,0),0)</f>
        <v>0</v>
      </c>
      <c r="N227" s="97">
        <f>IFERROR(VLOOKUP(M227,'RoC5'!$B$1:$C$161,2,0),0)</f>
        <v>0</v>
      </c>
      <c r="O227" s="137">
        <f>IFERROR(VLOOKUP($B227,'RoC6'!$A$1:$B$161,2,0),0)</f>
        <v>0</v>
      </c>
      <c r="P227" s="97">
        <f>IFERROR(VLOOKUP(O227,'RoC6'!$B$1:$C$161,2,0),0)</f>
        <v>0</v>
      </c>
      <c r="Q227" s="137">
        <f>IFERROR(VLOOKUP($B227,'RoC7'!$A$1:$B$161,2,0),0)</f>
        <v>0</v>
      </c>
      <c r="R227" s="97">
        <f>IFERROR(VLOOKUP(Q227,'RoC7'!$B$1:$C$161,2,0),0)</f>
        <v>0</v>
      </c>
      <c r="S227" s="137">
        <f>IFERROR(VLOOKUP($B227,'RoC8'!$A$1:$B$161,2,0),0)</f>
        <v>0</v>
      </c>
      <c r="T227" s="97">
        <f>IFERROR(VLOOKUP(S227,'RoC8'!$B$1:$C$161,2,0),0)</f>
        <v>0</v>
      </c>
      <c r="U227" s="137">
        <f>IFERROR(VLOOKUP($B227,'RoC9'!$A$1:$B$161,2,0),0)</f>
        <v>0</v>
      </c>
      <c r="V227" s="97">
        <f>IFERROR(VLOOKUP(U227,'RoC9'!$B$1:$C$161,2,0),0)</f>
        <v>0</v>
      </c>
      <c r="W227" s="137">
        <f>IFERROR(VLOOKUP($B227,'RoC10'!$A$1:$B$161,2,0),0)</f>
        <v>0</v>
      </c>
      <c r="X227" s="97">
        <f>IFERROR(VLOOKUP(W227,'RoC10'!$B$1:$C$161,2,0),0)</f>
        <v>0</v>
      </c>
      <c r="Y227" s="137">
        <f>IFERROR(VLOOKUP($B227,'RoC11'!$A$1:$B$161,2,0),0)</f>
        <v>0</v>
      </c>
      <c r="Z227" s="97">
        <f>IFERROR(VLOOKUP(Y227,'RoC11'!$B$1:$C$161,2,0),0)</f>
        <v>0</v>
      </c>
      <c r="AA227" s="97">
        <f>IFERROR(VLOOKUP(E227,'RoC1'!$B$1:$C$160,2,0),0)</f>
        <v>0</v>
      </c>
      <c r="AB227" s="97">
        <f>IFERROR(VLOOKUP(G227,'RoC2'!$B$1:$C$160,2,0),0)</f>
        <v>0</v>
      </c>
      <c r="AC227" s="97">
        <f>IFERROR(VLOOKUP(I227,'RoC3'!$B$1:$C$160,2,0),0)</f>
        <v>0</v>
      </c>
      <c r="AD227" s="97">
        <f>IFERROR(VLOOKUP(K227,'RoC4'!$B$1:$C$160,2,0),0)</f>
        <v>0</v>
      </c>
      <c r="AE227" s="97">
        <f>IFERROR(VLOOKUP(M227,'RoC5'!$B$1:$C$160,2,0),0)</f>
        <v>0</v>
      </c>
      <c r="AF227" s="97">
        <f>IFERROR(VLOOKUP(O227,'RoC6'!$B$1:$C$160,2,0),0)</f>
        <v>0</v>
      </c>
      <c r="AG227" s="97">
        <f>IFERROR(VLOOKUP(Q227,'RoC7'!$B$1:$C$160,2,0),0)</f>
        <v>0</v>
      </c>
      <c r="AH227" s="97">
        <f>IFERROR(VLOOKUP(S227,'RoC8'!$B$1:$C$160,2,0),0)</f>
        <v>0</v>
      </c>
      <c r="AI227" s="97">
        <f>IFERROR(VLOOKUP(U227,'RoC9'!$B$1:$C$160,2,0),0)</f>
        <v>0</v>
      </c>
      <c r="AJ227" s="97">
        <f>IFERROR(VLOOKUP(W227,'RoC10'!$B$1:$C$160,2,0),0)</f>
        <v>0</v>
      </c>
      <c r="AK227" s="97">
        <f>IFERROR(VLOOKUP(Y227,'RoC11'!$B$1:$C$160,2,0),0)</f>
        <v>0</v>
      </c>
    </row>
    <row r="228" ht="15.75" customHeight="1">
      <c r="A228" s="92">
        <v>227.0</v>
      </c>
      <c r="B228" s="124"/>
      <c r="C228" s="93">
        <f t="shared" si="4"/>
        <v>0</v>
      </c>
      <c r="D228" s="136"/>
      <c r="E228" s="137" t="str">
        <f>IFERROR(VLOOKUP($B228,'RoC1'!$A$1:$B$160,2,0),"0")</f>
        <v>0</v>
      </c>
      <c r="F228" s="97">
        <f>IFERROR(VLOOKUP(E228,'RoC1'!$B$1:$C$160,2,0),0)</f>
        <v>0</v>
      </c>
      <c r="G228" s="137" t="str">
        <f>IFERROR(VLOOKUP($B228,'RoC2'!$A$1:$B$161,2,0),"0")</f>
        <v>0</v>
      </c>
      <c r="H228" s="97">
        <f>IFERROR(VLOOKUP(G228,'RoC2'!$B$1:$C$161,2,0),0)</f>
        <v>0</v>
      </c>
      <c r="I228" s="137">
        <f>IFERROR(VLOOKUP($B228,'RoC3'!$A$1:$B$161,2,0),0)</f>
        <v>0</v>
      </c>
      <c r="J228" s="97">
        <f>IFERROR(VLOOKUP(I228,'RoC3'!$B$1:$C$161,2,0),0)</f>
        <v>0</v>
      </c>
      <c r="K228" s="137">
        <f>IFERROR(VLOOKUP($B228,'RoC4'!$A$1:$B$161,2,0),0)</f>
        <v>0</v>
      </c>
      <c r="L228" s="97">
        <f>IFERROR(VLOOKUP(K228,'RoC4'!$B$1:$C$161,2,0),0)</f>
        <v>0</v>
      </c>
      <c r="M228" s="137">
        <f>IFERROR(VLOOKUP($B228,'RoC5'!$A$1:$B$161,2,0),0)</f>
        <v>0</v>
      </c>
      <c r="N228" s="97">
        <f>IFERROR(VLOOKUP(M228,'RoC5'!$B$1:$C$161,2,0),0)</f>
        <v>0</v>
      </c>
      <c r="O228" s="137">
        <f>IFERROR(VLOOKUP($B228,'RoC6'!$A$1:$B$161,2,0),0)</f>
        <v>0</v>
      </c>
      <c r="P228" s="97">
        <f>IFERROR(VLOOKUP(O228,'RoC6'!$B$1:$C$161,2,0),0)</f>
        <v>0</v>
      </c>
      <c r="Q228" s="137">
        <f>IFERROR(VLOOKUP($B228,'RoC7'!$A$1:$B$161,2,0),0)</f>
        <v>0</v>
      </c>
      <c r="R228" s="97">
        <f>IFERROR(VLOOKUP(Q228,'RoC7'!$B$1:$C$161,2,0),0)</f>
        <v>0</v>
      </c>
      <c r="S228" s="137">
        <f>IFERROR(VLOOKUP($B228,'RoC8'!$A$1:$B$161,2,0),0)</f>
        <v>0</v>
      </c>
      <c r="T228" s="97">
        <f>IFERROR(VLOOKUP(S228,'RoC8'!$B$1:$C$161,2,0),0)</f>
        <v>0</v>
      </c>
      <c r="U228" s="137">
        <f>IFERROR(VLOOKUP($B228,'RoC9'!$A$1:$B$161,2,0),0)</f>
        <v>0</v>
      </c>
      <c r="V228" s="97">
        <f>IFERROR(VLOOKUP(U228,'RoC9'!$B$1:$C$161,2,0),0)</f>
        <v>0</v>
      </c>
      <c r="W228" s="137">
        <f>IFERROR(VLOOKUP($B228,'RoC10'!$A$1:$B$161,2,0),0)</f>
        <v>0</v>
      </c>
      <c r="X228" s="97">
        <f>IFERROR(VLOOKUP(W228,'RoC10'!$B$1:$C$161,2,0),0)</f>
        <v>0</v>
      </c>
      <c r="Y228" s="137">
        <f>IFERROR(VLOOKUP($B228,'RoC11'!$A$1:$B$161,2,0),0)</f>
        <v>0</v>
      </c>
      <c r="Z228" s="97">
        <f>IFERROR(VLOOKUP(Y228,'RoC11'!$B$1:$C$161,2,0),0)</f>
        <v>0</v>
      </c>
      <c r="AA228" s="97">
        <f>IFERROR(VLOOKUP(E228,'RoC1'!$B$1:$C$160,2,0),0)</f>
        <v>0</v>
      </c>
      <c r="AB228" s="97">
        <f>IFERROR(VLOOKUP(G228,'RoC2'!$B$1:$C$160,2,0),0)</f>
        <v>0</v>
      </c>
      <c r="AC228" s="97">
        <f>IFERROR(VLOOKUP(I228,'RoC3'!$B$1:$C$160,2,0),0)</f>
        <v>0</v>
      </c>
      <c r="AD228" s="97">
        <f>IFERROR(VLOOKUP(K228,'RoC4'!$B$1:$C$160,2,0),0)</f>
        <v>0</v>
      </c>
      <c r="AE228" s="97">
        <f>IFERROR(VLOOKUP(M228,'RoC5'!$B$1:$C$160,2,0),0)</f>
        <v>0</v>
      </c>
      <c r="AF228" s="97">
        <f>IFERROR(VLOOKUP(O228,'RoC6'!$B$1:$C$160,2,0),0)</f>
        <v>0</v>
      </c>
      <c r="AG228" s="97">
        <f>IFERROR(VLOOKUP(Q228,'RoC7'!$B$1:$C$160,2,0),0)</f>
        <v>0</v>
      </c>
      <c r="AH228" s="97">
        <f>IFERROR(VLOOKUP(S228,'RoC8'!$B$1:$C$160,2,0),0)</f>
        <v>0</v>
      </c>
      <c r="AI228" s="97">
        <f>IFERROR(VLOOKUP(U228,'RoC9'!$B$1:$C$160,2,0),0)</f>
        <v>0</v>
      </c>
      <c r="AJ228" s="97">
        <f>IFERROR(VLOOKUP(W228,'RoC10'!$B$1:$C$160,2,0),0)</f>
        <v>0</v>
      </c>
      <c r="AK228" s="97">
        <f>IFERROR(VLOOKUP(Y228,'RoC11'!$B$1:$C$160,2,0),0)</f>
        <v>0</v>
      </c>
    </row>
    <row r="229" ht="15.75" customHeight="1">
      <c r="A229" s="135">
        <v>228.0</v>
      </c>
      <c r="B229" s="124"/>
      <c r="C229" s="93">
        <f t="shared" si="4"/>
        <v>0</v>
      </c>
      <c r="D229" s="136"/>
      <c r="E229" s="137" t="str">
        <f>IFERROR(VLOOKUP($B229,'RoC1'!$A$1:$B$160,2,0),"0")</f>
        <v>0</v>
      </c>
      <c r="F229" s="97">
        <f>IFERROR(VLOOKUP(E229,'RoC1'!$B$1:$C$160,2,0),0)</f>
        <v>0</v>
      </c>
      <c r="G229" s="137" t="str">
        <f>IFERROR(VLOOKUP($B229,'RoC2'!$A$1:$B$161,2,0),"0")</f>
        <v>0</v>
      </c>
      <c r="H229" s="97">
        <f>IFERROR(VLOOKUP(G229,'RoC2'!$B$1:$C$161,2,0),0)</f>
        <v>0</v>
      </c>
      <c r="I229" s="137">
        <f>IFERROR(VLOOKUP($B229,'RoC3'!$A$1:$B$161,2,0),0)</f>
        <v>0</v>
      </c>
      <c r="J229" s="97">
        <f>IFERROR(VLOOKUP(I229,'RoC3'!$B$1:$C$161,2,0),0)</f>
        <v>0</v>
      </c>
      <c r="K229" s="137">
        <f>IFERROR(VLOOKUP($B229,'RoC4'!$A$1:$B$161,2,0),0)</f>
        <v>0</v>
      </c>
      <c r="L229" s="97">
        <f>IFERROR(VLOOKUP(K229,'RoC4'!$B$1:$C$161,2,0),0)</f>
        <v>0</v>
      </c>
      <c r="M229" s="137">
        <f>IFERROR(VLOOKUP($B229,'RoC5'!$A$1:$B$161,2,0),0)</f>
        <v>0</v>
      </c>
      <c r="N229" s="97">
        <f>IFERROR(VLOOKUP(M229,'RoC5'!$B$1:$C$161,2,0),0)</f>
        <v>0</v>
      </c>
      <c r="O229" s="137">
        <f>IFERROR(VLOOKUP($B229,'RoC6'!$A$1:$B$161,2,0),0)</f>
        <v>0</v>
      </c>
      <c r="P229" s="97">
        <f>IFERROR(VLOOKUP(O229,'RoC6'!$B$1:$C$161,2,0),0)</f>
        <v>0</v>
      </c>
      <c r="Q229" s="137">
        <f>IFERROR(VLOOKUP($B229,'RoC7'!$A$1:$B$161,2,0),0)</f>
        <v>0</v>
      </c>
      <c r="R229" s="97">
        <f>IFERROR(VLOOKUP(Q229,'RoC7'!$B$1:$C$161,2,0),0)</f>
        <v>0</v>
      </c>
      <c r="S229" s="137">
        <f>IFERROR(VLOOKUP($B229,'RoC8'!$A$1:$B$161,2,0),0)</f>
        <v>0</v>
      </c>
      <c r="T229" s="97">
        <f>IFERROR(VLOOKUP(S229,'RoC8'!$B$1:$C$161,2,0),0)</f>
        <v>0</v>
      </c>
      <c r="U229" s="137">
        <f>IFERROR(VLOOKUP($B229,'RoC9'!$A$1:$B$161,2,0),0)</f>
        <v>0</v>
      </c>
      <c r="V229" s="97">
        <f>IFERROR(VLOOKUP(U229,'RoC9'!$B$1:$C$161,2,0),0)</f>
        <v>0</v>
      </c>
      <c r="W229" s="137">
        <f>IFERROR(VLOOKUP($B229,'RoC10'!$A$1:$B$161,2,0),0)</f>
        <v>0</v>
      </c>
      <c r="X229" s="97">
        <f>IFERROR(VLOOKUP(W229,'RoC10'!$B$1:$C$161,2,0),0)</f>
        <v>0</v>
      </c>
      <c r="Y229" s="137">
        <f>IFERROR(VLOOKUP($B229,'RoC11'!$A$1:$B$161,2,0),0)</f>
        <v>0</v>
      </c>
      <c r="Z229" s="97">
        <f>IFERROR(VLOOKUP(Y229,'RoC11'!$B$1:$C$161,2,0),0)</f>
        <v>0</v>
      </c>
      <c r="AA229" s="97">
        <f>IFERROR(VLOOKUP(E229,'RoC1'!$B$1:$C$160,2,0),0)</f>
        <v>0</v>
      </c>
      <c r="AB229" s="97">
        <f>IFERROR(VLOOKUP(G229,'RoC2'!$B$1:$C$160,2,0),0)</f>
        <v>0</v>
      </c>
      <c r="AC229" s="97">
        <f>IFERROR(VLOOKUP(I229,'RoC3'!$B$1:$C$160,2,0),0)</f>
        <v>0</v>
      </c>
      <c r="AD229" s="97">
        <f>IFERROR(VLOOKUP(K229,'RoC4'!$B$1:$C$160,2,0),0)</f>
        <v>0</v>
      </c>
      <c r="AE229" s="97">
        <f>IFERROR(VLOOKUP(M229,'RoC5'!$B$1:$C$160,2,0),0)</f>
        <v>0</v>
      </c>
      <c r="AF229" s="97">
        <f>IFERROR(VLOOKUP(O229,'RoC6'!$B$1:$C$160,2,0),0)</f>
        <v>0</v>
      </c>
      <c r="AG229" s="97">
        <f>IFERROR(VLOOKUP(Q229,'RoC7'!$B$1:$C$160,2,0),0)</f>
        <v>0</v>
      </c>
      <c r="AH229" s="97">
        <f>IFERROR(VLOOKUP(S229,'RoC8'!$B$1:$C$160,2,0),0)</f>
        <v>0</v>
      </c>
      <c r="AI229" s="97">
        <f>IFERROR(VLOOKUP(U229,'RoC9'!$B$1:$C$160,2,0),0)</f>
        <v>0</v>
      </c>
      <c r="AJ229" s="97">
        <f>IFERROR(VLOOKUP(W229,'RoC10'!$B$1:$C$160,2,0),0)</f>
        <v>0</v>
      </c>
      <c r="AK229" s="97">
        <f>IFERROR(VLOOKUP(Y229,'RoC11'!$B$1:$C$160,2,0),0)</f>
        <v>0</v>
      </c>
    </row>
    <row r="230" ht="15.75" customHeight="1">
      <c r="A230" s="92">
        <v>229.0</v>
      </c>
      <c r="B230" s="124"/>
      <c r="C230" s="93">
        <f t="shared" si="4"/>
        <v>0</v>
      </c>
      <c r="D230" s="136"/>
      <c r="E230" s="137" t="str">
        <f>IFERROR(VLOOKUP($B230,'RoC1'!$A$1:$B$160,2,0),"0")</f>
        <v>0</v>
      </c>
      <c r="F230" s="97">
        <f>IFERROR(VLOOKUP(E230,'RoC1'!$B$1:$C$160,2,0),0)</f>
        <v>0</v>
      </c>
      <c r="G230" s="137" t="str">
        <f>IFERROR(VLOOKUP($B230,'RoC2'!$A$1:$B$161,2,0),"0")</f>
        <v>0</v>
      </c>
      <c r="H230" s="97">
        <f>IFERROR(VLOOKUP(G230,'RoC2'!$B$1:$C$161,2,0),0)</f>
        <v>0</v>
      </c>
      <c r="I230" s="137">
        <f>IFERROR(VLOOKUP($B230,'RoC3'!$A$1:$B$161,2,0),0)</f>
        <v>0</v>
      </c>
      <c r="J230" s="97">
        <f>IFERROR(VLOOKUP(I230,'RoC3'!$B$1:$C$161,2,0),0)</f>
        <v>0</v>
      </c>
      <c r="K230" s="137">
        <f>IFERROR(VLOOKUP($B230,'RoC4'!$A$1:$B$161,2,0),0)</f>
        <v>0</v>
      </c>
      <c r="L230" s="97">
        <f>IFERROR(VLOOKUP(K230,'RoC4'!$B$1:$C$161,2,0),0)</f>
        <v>0</v>
      </c>
      <c r="M230" s="137">
        <f>IFERROR(VLOOKUP($B230,'RoC5'!$A$1:$B$161,2,0),0)</f>
        <v>0</v>
      </c>
      <c r="N230" s="97">
        <f>IFERROR(VLOOKUP(M230,'RoC5'!$B$1:$C$161,2,0),0)</f>
        <v>0</v>
      </c>
      <c r="O230" s="137">
        <f>IFERROR(VLOOKUP($B230,'RoC6'!$A$1:$B$161,2,0),0)</f>
        <v>0</v>
      </c>
      <c r="P230" s="97">
        <f>IFERROR(VLOOKUP(O230,'RoC6'!$B$1:$C$161,2,0),0)</f>
        <v>0</v>
      </c>
      <c r="Q230" s="137">
        <f>IFERROR(VLOOKUP($B230,'RoC7'!$A$1:$B$161,2,0),0)</f>
        <v>0</v>
      </c>
      <c r="R230" s="97">
        <f>IFERROR(VLOOKUP(Q230,'RoC7'!$B$1:$C$161,2,0),0)</f>
        <v>0</v>
      </c>
      <c r="S230" s="137">
        <f>IFERROR(VLOOKUP($B230,'RoC8'!$A$1:$B$161,2,0),0)</f>
        <v>0</v>
      </c>
      <c r="T230" s="97">
        <f>IFERROR(VLOOKUP(S230,'RoC8'!$B$1:$C$161,2,0),0)</f>
        <v>0</v>
      </c>
      <c r="U230" s="137">
        <f>IFERROR(VLOOKUP($B230,'RoC9'!$A$1:$B$161,2,0),0)</f>
        <v>0</v>
      </c>
      <c r="V230" s="97">
        <f>IFERROR(VLOOKUP(U230,'RoC9'!$B$1:$C$161,2,0),0)</f>
        <v>0</v>
      </c>
      <c r="W230" s="137">
        <f>IFERROR(VLOOKUP($B230,'RoC10'!$A$1:$B$161,2,0),0)</f>
        <v>0</v>
      </c>
      <c r="X230" s="97">
        <f>IFERROR(VLOOKUP(W230,'RoC10'!$B$1:$C$161,2,0),0)</f>
        <v>0</v>
      </c>
      <c r="Y230" s="137">
        <f>IFERROR(VLOOKUP($B230,'RoC11'!$A$1:$B$161,2,0),0)</f>
        <v>0</v>
      </c>
      <c r="Z230" s="97">
        <f>IFERROR(VLOOKUP(Y230,'RoC11'!$B$1:$C$161,2,0),0)</f>
        <v>0</v>
      </c>
      <c r="AA230" s="97">
        <f>IFERROR(VLOOKUP(E230,'RoC1'!$B$1:$C$160,2,0),0)</f>
        <v>0</v>
      </c>
      <c r="AB230" s="97">
        <f>IFERROR(VLOOKUP(G230,'RoC2'!$B$1:$C$160,2,0),0)</f>
        <v>0</v>
      </c>
      <c r="AC230" s="97">
        <f>IFERROR(VLOOKUP(I230,'RoC3'!$B$1:$C$160,2,0),0)</f>
        <v>0</v>
      </c>
      <c r="AD230" s="97">
        <f>IFERROR(VLOOKUP(K230,'RoC4'!$B$1:$C$160,2,0),0)</f>
        <v>0</v>
      </c>
      <c r="AE230" s="97">
        <f>IFERROR(VLOOKUP(M230,'RoC5'!$B$1:$C$160,2,0),0)</f>
        <v>0</v>
      </c>
      <c r="AF230" s="97">
        <f>IFERROR(VLOOKUP(O230,'RoC6'!$B$1:$C$160,2,0),0)</f>
        <v>0</v>
      </c>
      <c r="AG230" s="97">
        <f>IFERROR(VLOOKUP(Q230,'RoC7'!$B$1:$C$160,2,0),0)</f>
        <v>0</v>
      </c>
      <c r="AH230" s="97">
        <f>IFERROR(VLOOKUP(S230,'RoC8'!$B$1:$C$160,2,0),0)</f>
        <v>0</v>
      </c>
      <c r="AI230" s="97">
        <f>IFERROR(VLOOKUP(U230,'RoC9'!$B$1:$C$160,2,0),0)</f>
        <v>0</v>
      </c>
      <c r="AJ230" s="97">
        <f>IFERROR(VLOOKUP(W230,'RoC10'!$B$1:$C$160,2,0),0)</f>
        <v>0</v>
      </c>
      <c r="AK230" s="97">
        <f>IFERROR(VLOOKUP(Y230,'RoC11'!$B$1:$C$160,2,0),0)</f>
        <v>0</v>
      </c>
    </row>
    <row r="231" ht="15.75" customHeight="1">
      <c r="A231" s="135">
        <v>230.0</v>
      </c>
      <c r="B231" s="124"/>
      <c r="C231" s="93">
        <f t="shared" si="4"/>
        <v>0</v>
      </c>
      <c r="D231" s="136"/>
      <c r="E231" s="137" t="str">
        <f>IFERROR(VLOOKUP($B231,'RoC1'!$A$1:$B$160,2,0),"0")</f>
        <v>0</v>
      </c>
      <c r="F231" s="97">
        <f>IFERROR(VLOOKUP(E231,'RoC1'!$B$1:$C$160,2,0),0)</f>
        <v>0</v>
      </c>
      <c r="G231" s="137" t="str">
        <f>IFERROR(VLOOKUP($B231,'RoC2'!$A$1:$B$161,2,0),"0")</f>
        <v>0</v>
      </c>
      <c r="H231" s="97">
        <f>IFERROR(VLOOKUP(G231,'RoC2'!$B$1:$C$161,2,0),0)</f>
        <v>0</v>
      </c>
      <c r="I231" s="137">
        <f>IFERROR(VLOOKUP($B231,'RoC3'!$A$1:$B$161,2,0),0)</f>
        <v>0</v>
      </c>
      <c r="J231" s="97">
        <f>IFERROR(VLOOKUP(I231,'RoC3'!$B$1:$C$161,2,0),0)</f>
        <v>0</v>
      </c>
      <c r="K231" s="137">
        <f>IFERROR(VLOOKUP($B231,'RoC4'!$A$1:$B$161,2,0),0)</f>
        <v>0</v>
      </c>
      <c r="L231" s="97">
        <f>IFERROR(VLOOKUP(K231,'RoC4'!$B$1:$C$161,2,0),0)</f>
        <v>0</v>
      </c>
      <c r="M231" s="137">
        <f>IFERROR(VLOOKUP($B231,'RoC5'!$A$1:$B$161,2,0),0)</f>
        <v>0</v>
      </c>
      <c r="N231" s="97">
        <f>IFERROR(VLOOKUP(M231,'RoC5'!$B$1:$C$161,2,0),0)</f>
        <v>0</v>
      </c>
      <c r="O231" s="137">
        <f>IFERROR(VLOOKUP($B231,'RoC6'!$A$1:$B$161,2,0),0)</f>
        <v>0</v>
      </c>
      <c r="P231" s="97">
        <f>IFERROR(VLOOKUP(O231,'RoC6'!$B$1:$C$161,2,0),0)</f>
        <v>0</v>
      </c>
      <c r="Q231" s="137">
        <f>IFERROR(VLOOKUP($B231,'RoC7'!$A$1:$B$161,2,0),0)</f>
        <v>0</v>
      </c>
      <c r="R231" s="97">
        <f>IFERROR(VLOOKUP(Q231,'RoC7'!$B$1:$C$161,2,0),0)</f>
        <v>0</v>
      </c>
      <c r="S231" s="137">
        <f>IFERROR(VLOOKUP($B231,'RoC8'!$A$1:$B$161,2,0),0)</f>
        <v>0</v>
      </c>
      <c r="T231" s="97">
        <f>IFERROR(VLOOKUP(S231,'RoC8'!$B$1:$C$161,2,0),0)</f>
        <v>0</v>
      </c>
      <c r="U231" s="137">
        <f>IFERROR(VLOOKUP($B231,'RoC9'!$A$1:$B$161,2,0),0)</f>
        <v>0</v>
      </c>
      <c r="V231" s="97">
        <f>IFERROR(VLOOKUP(U231,'RoC9'!$B$1:$C$161,2,0),0)</f>
        <v>0</v>
      </c>
      <c r="W231" s="137">
        <f>IFERROR(VLOOKUP($B231,'RoC10'!$A$1:$B$161,2,0),0)</f>
        <v>0</v>
      </c>
      <c r="X231" s="97">
        <f>IFERROR(VLOOKUP(W231,'RoC10'!$B$1:$C$161,2,0),0)</f>
        <v>0</v>
      </c>
      <c r="Y231" s="137">
        <f>IFERROR(VLOOKUP($B231,'RoC11'!$A$1:$B$161,2,0),0)</f>
        <v>0</v>
      </c>
      <c r="Z231" s="97">
        <f>IFERROR(VLOOKUP(Y231,'RoC11'!$B$1:$C$161,2,0),0)</f>
        <v>0</v>
      </c>
      <c r="AA231" s="97">
        <f>IFERROR(VLOOKUP(E231,'RoC1'!$B$1:$C$160,2,0),0)</f>
        <v>0</v>
      </c>
      <c r="AB231" s="97">
        <f>IFERROR(VLOOKUP(G231,'RoC2'!$B$1:$C$160,2,0),0)</f>
        <v>0</v>
      </c>
      <c r="AC231" s="97">
        <f>IFERROR(VLOOKUP(I231,'RoC3'!$B$1:$C$160,2,0),0)</f>
        <v>0</v>
      </c>
      <c r="AD231" s="97">
        <f>IFERROR(VLOOKUP(K231,'RoC4'!$B$1:$C$160,2,0),0)</f>
        <v>0</v>
      </c>
      <c r="AE231" s="97">
        <f>IFERROR(VLOOKUP(M231,'RoC5'!$B$1:$C$160,2,0),0)</f>
        <v>0</v>
      </c>
      <c r="AF231" s="97">
        <f>IFERROR(VLOOKUP(O231,'RoC6'!$B$1:$C$160,2,0),0)</f>
        <v>0</v>
      </c>
      <c r="AG231" s="97">
        <f>IFERROR(VLOOKUP(Q231,'RoC7'!$B$1:$C$160,2,0),0)</f>
        <v>0</v>
      </c>
      <c r="AH231" s="97">
        <f>IFERROR(VLOOKUP(S231,'RoC8'!$B$1:$C$160,2,0),0)</f>
        <v>0</v>
      </c>
      <c r="AI231" s="97">
        <f>IFERROR(VLOOKUP(U231,'RoC9'!$B$1:$C$160,2,0),0)</f>
        <v>0</v>
      </c>
      <c r="AJ231" s="97">
        <f>IFERROR(VLOOKUP(W231,'RoC10'!$B$1:$C$160,2,0),0)</f>
        <v>0</v>
      </c>
      <c r="AK231" s="97">
        <f>IFERROR(VLOOKUP(Y231,'RoC11'!$B$1:$C$160,2,0),0)</f>
        <v>0</v>
      </c>
    </row>
    <row r="232" ht="15.75" customHeight="1">
      <c r="A232" s="92">
        <v>231.0</v>
      </c>
      <c r="B232" s="124"/>
      <c r="C232" s="93">
        <f t="shared" si="4"/>
        <v>0</v>
      </c>
      <c r="D232" s="136"/>
      <c r="E232" s="137" t="str">
        <f>IFERROR(VLOOKUP($B232,'RoC1'!$A$1:$B$160,2,0),"0")</f>
        <v>0</v>
      </c>
      <c r="F232" s="97">
        <f>IFERROR(VLOOKUP(E232,'RoC1'!$B$1:$C$160,2,0),0)</f>
        <v>0</v>
      </c>
      <c r="G232" s="137" t="str">
        <f>IFERROR(VLOOKUP($B232,'RoC2'!$A$1:$B$161,2,0),"0")</f>
        <v>0</v>
      </c>
      <c r="H232" s="97">
        <f>IFERROR(VLOOKUP(G232,'RoC2'!$B$1:$C$161,2,0),0)</f>
        <v>0</v>
      </c>
      <c r="I232" s="137">
        <f>IFERROR(VLOOKUP($B232,'RoC3'!$A$1:$B$161,2,0),0)</f>
        <v>0</v>
      </c>
      <c r="J232" s="97">
        <f>IFERROR(VLOOKUP(I232,'RoC3'!$B$1:$C$161,2,0),0)</f>
        <v>0</v>
      </c>
      <c r="K232" s="137">
        <f>IFERROR(VLOOKUP($B232,'RoC4'!$A$1:$B$161,2,0),0)</f>
        <v>0</v>
      </c>
      <c r="L232" s="97">
        <f>IFERROR(VLOOKUP(K232,'RoC4'!$B$1:$C$161,2,0),0)</f>
        <v>0</v>
      </c>
      <c r="M232" s="137">
        <f>IFERROR(VLOOKUP($B232,'RoC5'!$A$1:$B$161,2,0),0)</f>
        <v>0</v>
      </c>
      <c r="N232" s="97">
        <f>IFERROR(VLOOKUP(M232,'RoC5'!$B$1:$C$161,2,0),0)</f>
        <v>0</v>
      </c>
      <c r="O232" s="137">
        <f>IFERROR(VLOOKUP($B232,'RoC6'!$A$1:$B$161,2,0),0)</f>
        <v>0</v>
      </c>
      <c r="P232" s="97">
        <f>IFERROR(VLOOKUP(O232,'RoC6'!$B$1:$C$161,2,0),0)</f>
        <v>0</v>
      </c>
      <c r="Q232" s="137">
        <f>IFERROR(VLOOKUP($B232,'RoC7'!$A$1:$B$161,2,0),0)</f>
        <v>0</v>
      </c>
      <c r="R232" s="97">
        <f>IFERROR(VLOOKUP(Q232,'RoC7'!$B$1:$C$161,2,0),0)</f>
        <v>0</v>
      </c>
      <c r="S232" s="137">
        <f>IFERROR(VLOOKUP($B232,'RoC8'!$A$1:$B$161,2,0),0)</f>
        <v>0</v>
      </c>
      <c r="T232" s="97">
        <f>IFERROR(VLOOKUP(S232,'RoC8'!$B$1:$C$161,2,0),0)</f>
        <v>0</v>
      </c>
      <c r="U232" s="137">
        <f>IFERROR(VLOOKUP($B232,'RoC9'!$A$1:$B$161,2,0),0)</f>
        <v>0</v>
      </c>
      <c r="V232" s="97">
        <f>IFERROR(VLOOKUP(U232,'RoC9'!$B$1:$C$161,2,0),0)</f>
        <v>0</v>
      </c>
      <c r="W232" s="137">
        <f>IFERROR(VLOOKUP($B232,'RoC10'!$A$1:$B$161,2,0),0)</f>
        <v>0</v>
      </c>
      <c r="X232" s="97">
        <f>IFERROR(VLOOKUP(W232,'RoC10'!$B$1:$C$161,2,0),0)</f>
        <v>0</v>
      </c>
      <c r="Y232" s="137">
        <f>IFERROR(VLOOKUP($B232,'RoC11'!$A$1:$B$161,2,0),0)</f>
        <v>0</v>
      </c>
      <c r="Z232" s="97">
        <f>IFERROR(VLOOKUP(Y232,'RoC11'!$B$1:$C$161,2,0),0)</f>
        <v>0</v>
      </c>
      <c r="AA232" s="97">
        <f>IFERROR(VLOOKUP(E232,'RoC1'!$B$1:$C$160,2,0),0)</f>
        <v>0</v>
      </c>
      <c r="AB232" s="97">
        <f>IFERROR(VLOOKUP(G232,'RoC2'!$B$1:$C$160,2,0),0)</f>
        <v>0</v>
      </c>
      <c r="AC232" s="97">
        <f>IFERROR(VLOOKUP(I232,'RoC3'!$B$1:$C$160,2,0),0)</f>
        <v>0</v>
      </c>
      <c r="AD232" s="97">
        <f>IFERROR(VLOOKUP(K232,'RoC4'!$B$1:$C$160,2,0),0)</f>
        <v>0</v>
      </c>
      <c r="AE232" s="97">
        <f>IFERROR(VLOOKUP(M232,'RoC5'!$B$1:$C$160,2,0),0)</f>
        <v>0</v>
      </c>
      <c r="AF232" s="97">
        <f>IFERROR(VLOOKUP(O232,'RoC6'!$B$1:$C$160,2,0),0)</f>
        <v>0</v>
      </c>
      <c r="AG232" s="97">
        <f>IFERROR(VLOOKUP(Q232,'RoC7'!$B$1:$C$160,2,0),0)</f>
        <v>0</v>
      </c>
      <c r="AH232" s="97">
        <f>IFERROR(VLOOKUP(S232,'RoC8'!$B$1:$C$160,2,0),0)</f>
        <v>0</v>
      </c>
      <c r="AI232" s="97">
        <f>IFERROR(VLOOKUP(U232,'RoC9'!$B$1:$C$160,2,0),0)</f>
        <v>0</v>
      </c>
      <c r="AJ232" s="97">
        <f>IFERROR(VLOOKUP(W232,'RoC10'!$B$1:$C$160,2,0),0)</f>
        <v>0</v>
      </c>
      <c r="AK232" s="97">
        <f>IFERROR(VLOOKUP(Y232,'RoC11'!$B$1:$C$160,2,0),0)</f>
        <v>0</v>
      </c>
    </row>
    <row r="233" ht="15.75" customHeight="1">
      <c r="A233" s="135">
        <v>232.0</v>
      </c>
      <c r="B233" s="124"/>
      <c r="C233" s="93">
        <f t="shared" si="4"/>
        <v>0</v>
      </c>
      <c r="D233" s="136"/>
      <c r="E233" s="137" t="str">
        <f>IFERROR(VLOOKUP($B233,'RoC1'!$A$1:$B$160,2,0),"0")</f>
        <v>0</v>
      </c>
      <c r="F233" s="97">
        <f>IFERROR(VLOOKUP(E233,'RoC1'!$B$1:$C$160,2,0),0)</f>
        <v>0</v>
      </c>
      <c r="G233" s="137" t="str">
        <f>IFERROR(VLOOKUP($B233,'RoC2'!$A$1:$B$161,2,0),"0")</f>
        <v>0</v>
      </c>
      <c r="H233" s="97">
        <f>IFERROR(VLOOKUP(G233,'RoC2'!$B$1:$C$161,2,0),0)</f>
        <v>0</v>
      </c>
      <c r="I233" s="137">
        <f>IFERROR(VLOOKUP($B233,'RoC3'!$A$1:$B$161,2,0),0)</f>
        <v>0</v>
      </c>
      <c r="J233" s="97">
        <f>IFERROR(VLOOKUP(I233,'RoC3'!$B$1:$C$161,2,0),0)</f>
        <v>0</v>
      </c>
      <c r="K233" s="137">
        <f>IFERROR(VLOOKUP($B233,'RoC4'!$A$1:$B$161,2,0),0)</f>
        <v>0</v>
      </c>
      <c r="L233" s="97">
        <f>IFERROR(VLOOKUP(K233,'RoC4'!$B$1:$C$161,2,0),0)</f>
        <v>0</v>
      </c>
      <c r="M233" s="137">
        <f>IFERROR(VLOOKUP($B233,'RoC5'!$A$1:$B$161,2,0),0)</f>
        <v>0</v>
      </c>
      <c r="N233" s="97">
        <f>IFERROR(VLOOKUP(M233,'RoC5'!$B$1:$C$161,2,0),0)</f>
        <v>0</v>
      </c>
      <c r="O233" s="137">
        <f>IFERROR(VLOOKUP($B233,'RoC6'!$A$1:$B$161,2,0),0)</f>
        <v>0</v>
      </c>
      <c r="P233" s="97">
        <f>IFERROR(VLOOKUP(O233,'RoC6'!$B$1:$C$161,2,0),0)</f>
        <v>0</v>
      </c>
      <c r="Q233" s="137">
        <f>IFERROR(VLOOKUP($B233,'RoC7'!$A$1:$B$161,2,0),0)</f>
        <v>0</v>
      </c>
      <c r="R233" s="97">
        <f>IFERROR(VLOOKUP(Q233,'RoC7'!$B$1:$C$161,2,0),0)</f>
        <v>0</v>
      </c>
      <c r="S233" s="137">
        <f>IFERROR(VLOOKUP($B233,'RoC8'!$A$1:$B$161,2,0),0)</f>
        <v>0</v>
      </c>
      <c r="T233" s="97">
        <f>IFERROR(VLOOKUP(S233,'RoC8'!$B$1:$C$161,2,0),0)</f>
        <v>0</v>
      </c>
      <c r="U233" s="137">
        <f>IFERROR(VLOOKUP($B233,'RoC9'!$A$1:$B$161,2,0),0)</f>
        <v>0</v>
      </c>
      <c r="V233" s="97">
        <f>IFERROR(VLOOKUP(U233,'RoC9'!$B$1:$C$161,2,0),0)</f>
        <v>0</v>
      </c>
      <c r="W233" s="137">
        <f>IFERROR(VLOOKUP($B233,'RoC10'!$A$1:$B$161,2,0),0)</f>
        <v>0</v>
      </c>
      <c r="X233" s="97">
        <f>IFERROR(VLOOKUP(W233,'RoC10'!$B$1:$C$161,2,0),0)</f>
        <v>0</v>
      </c>
      <c r="Y233" s="137">
        <f>IFERROR(VLOOKUP($B233,'RoC11'!$A$1:$B$161,2,0),0)</f>
        <v>0</v>
      </c>
      <c r="Z233" s="97">
        <f>IFERROR(VLOOKUP(Y233,'RoC11'!$B$1:$C$161,2,0),0)</f>
        <v>0</v>
      </c>
      <c r="AA233" s="97">
        <f>IFERROR(VLOOKUP(E233,'RoC1'!$B$1:$C$160,2,0),0)</f>
        <v>0</v>
      </c>
      <c r="AB233" s="97">
        <f>IFERROR(VLOOKUP(G233,'RoC2'!$B$1:$C$160,2,0),0)</f>
        <v>0</v>
      </c>
      <c r="AC233" s="97">
        <f>IFERROR(VLOOKUP(I233,'RoC3'!$B$1:$C$160,2,0),0)</f>
        <v>0</v>
      </c>
      <c r="AD233" s="97">
        <f>IFERROR(VLOOKUP(K233,'RoC4'!$B$1:$C$160,2,0),0)</f>
        <v>0</v>
      </c>
      <c r="AE233" s="97">
        <f>IFERROR(VLOOKUP(M233,'RoC5'!$B$1:$C$160,2,0),0)</f>
        <v>0</v>
      </c>
      <c r="AF233" s="97">
        <f>IFERROR(VLOOKUP(O233,'RoC6'!$B$1:$C$160,2,0),0)</f>
        <v>0</v>
      </c>
      <c r="AG233" s="97">
        <f>IFERROR(VLOOKUP(Q233,'RoC7'!$B$1:$C$160,2,0),0)</f>
        <v>0</v>
      </c>
      <c r="AH233" s="97">
        <f>IFERROR(VLOOKUP(S233,'RoC8'!$B$1:$C$160,2,0),0)</f>
        <v>0</v>
      </c>
      <c r="AI233" s="97">
        <f>IFERROR(VLOOKUP(U233,'RoC9'!$B$1:$C$160,2,0),0)</f>
        <v>0</v>
      </c>
      <c r="AJ233" s="97">
        <f>IFERROR(VLOOKUP(W233,'RoC10'!$B$1:$C$160,2,0),0)</f>
        <v>0</v>
      </c>
      <c r="AK233" s="97">
        <f>IFERROR(VLOOKUP(Y233,'RoC11'!$B$1:$C$160,2,0),0)</f>
        <v>0</v>
      </c>
    </row>
    <row r="234" ht="15.75" customHeight="1">
      <c r="A234" s="92">
        <v>233.0</v>
      </c>
      <c r="B234" s="124"/>
      <c r="C234" s="93">
        <f t="shared" si="4"/>
        <v>0</v>
      </c>
      <c r="D234" s="136"/>
      <c r="E234" s="137" t="str">
        <f>IFERROR(VLOOKUP($B234,'RoC1'!$A$1:$B$160,2,0),"0")</f>
        <v>0</v>
      </c>
      <c r="F234" s="97">
        <f>IFERROR(VLOOKUP(E234,'RoC1'!$B$1:$C$160,2,0),0)</f>
        <v>0</v>
      </c>
      <c r="G234" s="137" t="str">
        <f>IFERROR(VLOOKUP($B234,'RoC2'!$A$1:$B$161,2,0),"0")</f>
        <v>0</v>
      </c>
      <c r="H234" s="97">
        <f>IFERROR(VLOOKUP(G234,'RoC2'!$B$1:$C$161,2,0),0)</f>
        <v>0</v>
      </c>
      <c r="I234" s="137">
        <f>IFERROR(VLOOKUP($B234,'RoC3'!$A$1:$B$161,2,0),0)</f>
        <v>0</v>
      </c>
      <c r="J234" s="97">
        <f>IFERROR(VLOOKUP(I234,'RoC3'!$B$1:$C$161,2,0),0)</f>
        <v>0</v>
      </c>
      <c r="K234" s="137">
        <f>IFERROR(VLOOKUP($B234,'RoC4'!$A$1:$B$161,2,0),0)</f>
        <v>0</v>
      </c>
      <c r="L234" s="97">
        <f>IFERROR(VLOOKUP(K234,'RoC4'!$B$1:$C$161,2,0),0)</f>
        <v>0</v>
      </c>
      <c r="M234" s="137">
        <f>IFERROR(VLOOKUP($B234,'RoC5'!$A$1:$B$161,2,0),0)</f>
        <v>0</v>
      </c>
      <c r="N234" s="97">
        <f>IFERROR(VLOOKUP(M234,'RoC5'!$B$1:$C$161,2,0),0)</f>
        <v>0</v>
      </c>
      <c r="O234" s="137">
        <f>IFERROR(VLOOKUP($B234,'RoC6'!$A$1:$B$161,2,0),0)</f>
        <v>0</v>
      </c>
      <c r="P234" s="97">
        <f>IFERROR(VLOOKUP(O234,'RoC6'!$B$1:$C$161,2,0),0)</f>
        <v>0</v>
      </c>
      <c r="Q234" s="137">
        <f>IFERROR(VLOOKUP($B234,'RoC7'!$A$1:$B$161,2,0),0)</f>
        <v>0</v>
      </c>
      <c r="R234" s="97">
        <f>IFERROR(VLOOKUP(Q234,'RoC7'!$B$1:$C$161,2,0),0)</f>
        <v>0</v>
      </c>
      <c r="S234" s="137">
        <f>IFERROR(VLOOKUP($B234,'RoC8'!$A$1:$B$161,2,0),0)</f>
        <v>0</v>
      </c>
      <c r="T234" s="97">
        <f>IFERROR(VLOOKUP(S234,'RoC8'!$B$1:$C$161,2,0),0)</f>
        <v>0</v>
      </c>
      <c r="U234" s="137">
        <f>IFERROR(VLOOKUP($B234,'RoC9'!$A$1:$B$161,2,0),0)</f>
        <v>0</v>
      </c>
      <c r="V234" s="97">
        <f>IFERROR(VLOOKUP(U234,'RoC9'!$B$1:$C$161,2,0),0)</f>
        <v>0</v>
      </c>
      <c r="W234" s="137">
        <f>IFERROR(VLOOKUP($B234,'RoC10'!$A$1:$B$161,2,0),0)</f>
        <v>0</v>
      </c>
      <c r="X234" s="97">
        <f>IFERROR(VLOOKUP(W234,'RoC10'!$B$1:$C$161,2,0),0)</f>
        <v>0</v>
      </c>
      <c r="Y234" s="137">
        <f>IFERROR(VLOOKUP($B234,'RoC11'!$A$1:$B$161,2,0),0)</f>
        <v>0</v>
      </c>
      <c r="Z234" s="97">
        <f>IFERROR(VLOOKUP(Y234,'RoC11'!$B$1:$C$161,2,0),0)</f>
        <v>0</v>
      </c>
      <c r="AA234" s="97">
        <f>IFERROR(VLOOKUP(E234,'RoC1'!$B$1:$C$160,2,0),0)</f>
        <v>0</v>
      </c>
      <c r="AB234" s="97">
        <f>IFERROR(VLOOKUP(G234,'RoC2'!$B$1:$C$160,2,0),0)</f>
        <v>0</v>
      </c>
      <c r="AC234" s="97">
        <f>IFERROR(VLOOKUP(I234,'RoC3'!$B$1:$C$160,2,0),0)</f>
        <v>0</v>
      </c>
      <c r="AD234" s="97">
        <f>IFERROR(VLOOKUP(K234,'RoC4'!$B$1:$C$160,2,0),0)</f>
        <v>0</v>
      </c>
      <c r="AE234" s="97">
        <f>IFERROR(VLOOKUP(M234,'RoC5'!$B$1:$C$160,2,0),0)</f>
        <v>0</v>
      </c>
      <c r="AF234" s="97">
        <f>IFERROR(VLOOKUP(O234,'RoC6'!$B$1:$C$160,2,0),0)</f>
        <v>0</v>
      </c>
      <c r="AG234" s="97">
        <f>IFERROR(VLOOKUP(Q234,'RoC7'!$B$1:$C$160,2,0),0)</f>
        <v>0</v>
      </c>
      <c r="AH234" s="97">
        <f>IFERROR(VLOOKUP(S234,'RoC8'!$B$1:$C$160,2,0),0)</f>
        <v>0</v>
      </c>
      <c r="AI234" s="97">
        <f>IFERROR(VLOOKUP(U234,'RoC9'!$B$1:$C$160,2,0),0)</f>
        <v>0</v>
      </c>
      <c r="AJ234" s="97">
        <f>IFERROR(VLOOKUP(W234,'RoC10'!$B$1:$C$160,2,0),0)</f>
        <v>0</v>
      </c>
      <c r="AK234" s="97">
        <f>IFERROR(VLOOKUP(Y234,'RoC11'!$B$1:$C$160,2,0),0)</f>
        <v>0</v>
      </c>
    </row>
    <row r="235" ht="15.75" customHeight="1">
      <c r="A235" s="135">
        <v>234.0</v>
      </c>
      <c r="B235" s="124"/>
      <c r="C235" s="93">
        <f t="shared" si="4"/>
        <v>0</v>
      </c>
      <c r="D235" s="136"/>
      <c r="E235" s="137" t="str">
        <f>IFERROR(VLOOKUP($B235,'RoC1'!$A$1:$B$160,2,0),"0")</f>
        <v>0</v>
      </c>
      <c r="F235" s="97">
        <f>IFERROR(VLOOKUP(E235,'RoC1'!$B$1:$C$160,2,0),0)</f>
        <v>0</v>
      </c>
      <c r="G235" s="137" t="str">
        <f>IFERROR(VLOOKUP($B235,'RoC2'!$A$1:$B$161,2,0),"0")</f>
        <v>0</v>
      </c>
      <c r="H235" s="97">
        <f>IFERROR(VLOOKUP(G235,'RoC2'!$B$1:$C$161,2,0),0)</f>
        <v>0</v>
      </c>
      <c r="I235" s="137">
        <f>IFERROR(VLOOKUP($B235,'RoC3'!$A$1:$B$161,2,0),0)</f>
        <v>0</v>
      </c>
      <c r="J235" s="97">
        <f>IFERROR(VLOOKUP(I235,'RoC3'!$B$1:$C$161,2,0),0)</f>
        <v>0</v>
      </c>
      <c r="K235" s="137">
        <f>IFERROR(VLOOKUP($B235,'RoC4'!$A$1:$B$161,2,0),0)</f>
        <v>0</v>
      </c>
      <c r="L235" s="97">
        <f>IFERROR(VLOOKUP(K235,'RoC4'!$B$1:$C$161,2,0),0)</f>
        <v>0</v>
      </c>
      <c r="M235" s="137">
        <f>IFERROR(VLOOKUP($B235,'RoC5'!$A$1:$B$161,2,0),0)</f>
        <v>0</v>
      </c>
      <c r="N235" s="97">
        <f>IFERROR(VLOOKUP(M235,'RoC5'!$B$1:$C$161,2,0),0)</f>
        <v>0</v>
      </c>
      <c r="O235" s="137">
        <f>IFERROR(VLOOKUP($B235,'RoC6'!$A$1:$B$161,2,0),0)</f>
        <v>0</v>
      </c>
      <c r="P235" s="97">
        <f>IFERROR(VLOOKUP(O235,'RoC6'!$B$1:$C$161,2,0),0)</f>
        <v>0</v>
      </c>
      <c r="Q235" s="137">
        <f>IFERROR(VLOOKUP($B235,'RoC7'!$A$1:$B$161,2,0),0)</f>
        <v>0</v>
      </c>
      <c r="R235" s="97">
        <f>IFERROR(VLOOKUP(Q235,'RoC7'!$B$1:$C$161,2,0),0)</f>
        <v>0</v>
      </c>
      <c r="S235" s="137">
        <f>IFERROR(VLOOKUP($B235,'RoC8'!$A$1:$B$161,2,0),0)</f>
        <v>0</v>
      </c>
      <c r="T235" s="97">
        <f>IFERROR(VLOOKUP(S235,'RoC8'!$B$1:$C$161,2,0),0)</f>
        <v>0</v>
      </c>
      <c r="U235" s="137">
        <f>IFERROR(VLOOKUP($B235,'RoC9'!$A$1:$B$161,2,0),0)</f>
        <v>0</v>
      </c>
      <c r="V235" s="97">
        <f>IFERROR(VLOOKUP(U235,'RoC9'!$B$1:$C$161,2,0),0)</f>
        <v>0</v>
      </c>
      <c r="W235" s="137">
        <f>IFERROR(VLOOKUP($B235,'RoC10'!$A$1:$B$161,2,0),0)</f>
        <v>0</v>
      </c>
      <c r="X235" s="97">
        <f>IFERROR(VLOOKUP(W235,'RoC10'!$B$1:$C$161,2,0),0)</f>
        <v>0</v>
      </c>
      <c r="Y235" s="137">
        <f>IFERROR(VLOOKUP($B235,'RoC11'!$A$1:$B$161,2,0),0)</f>
        <v>0</v>
      </c>
      <c r="Z235" s="97">
        <f>IFERROR(VLOOKUP(Y235,'RoC11'!$B$1:$C$161,2,0),0)</f>
        <v>0</v>
      </c>
      <c r="AA235" s="97">
        <f>IFERROR(VLOOKUP(E235,'RoC1'!$B$1:$C$160,2,0),0)</f>
        <v>0</v>
      </c>
      <c r="AB235" s="97">
        <f>IFERROR(VLOOKUP(G235,'RoC2'!$B$1:$C$160,2,0),0)</f>
        <v>0</v>
      </c>
      <c r="AC235" s="97">
        <f>IFERROR(VLOOKUP(I235,'RoC3'!$B$1:$C$160,2,0),0)</f>
        <v>0</v>
      </c>
      <c r="AD235" s="97">
        <f>IFERROR(VLOOKUP(K235,'RoC4'!$B$1:$C$160,2,0),0)</f>
        <v>0</v>
      </c>
      <c r="AE235" s="97">
        <f>IFERROR(VLOOKUP(M235,'RoC5'!$B$1:$C$160,2,0),0)</f>
        <v>0</v>
      </c>
      <c r="AF235" s="97">
        <f>IFERROR(VLOOKUP(O235,'RoC6'!$B$1:$C$160,2,0),0)</f>
        <v>0</v>
      </c>
      <c r="AG235" s="97">
        <f>IFERROR(VLOOKUP(Q235,'RoC7'!$B$1:$C$160,2,0),0)</f>
        <v>0</v>
      </c>
      <c r="AH235" s="97">
        <f>IFERROR(VLOOKUP(S235,'RoC8'!$B$1:$C$160,2,0),0)</f>
        <v>0</v>
      </c>
      <c r="AI235" s="97">
        <f>IFERROR(VLOOKUP(U235,'RoC9'!$B$1:$C$160,2,0),0)</f>
        <v>0</v>
      </c>
      <c r="AJ235" s="97">
        <f>IFERROR(VLOOKUP(W235,'RoC10'!$B$1:$C$160,2,0),0)</f>
        <v>0</v>
      </c>
      <c r="AK235" s="97">
        <f>IFERROR(VLOOKUP(Y235,'RoC11'!$B$1:$C$160,2,0),0)</f>
        <v>0</v>
      </c>
    </row>
    <row r="236" ht="15.75" customHeight="1">
      <c r="A236" s="92">
        <v>235.0</v>
      </c>
      <c r="B236" s="124"/>
      <c r="C236" s="93">
        <f t="shared" si="4"/>
        <v>0</v>
      </c>
      <c r="D236" s="136"/>
      <c r="E236" s="137" t="str">
        <f>IFERROR(VLOOKUP($B236,'RoC1'!$A$1:$B$160,2,0),"0")</f>
        <v>0</v>
      </c>
      <c r="F236" s="97">
        <f>IFERROR(VLOOKUP(E236,'RoC1'!$B$1:$C$160,2,0),0)</f>
        <v>0</v>
      </c>
      <c r="G236" s="137" t="str">
        <f>IFERROR(VLOOKUP($B236,'RoC2'!$A$1:$B$161,2,0),"0")</f>
        <v>0</v>
      </c>
      <c r="H236" s="97">
        <f>IFERROR(VLOOKUP(G236,'RoC2'!$B$1:$C$161,2,0),0)</f>
        <v>0</v>
      </c>
      <c r="I236" s="137">
        <f>IFERROR(VLOOKUP($B236,'RoC3'!$A$1:$B$161,2,0),0)</f>
        <v>0</v>
      </c>
      <c r="J236" s="97">
        <f>IFERROR(VLOOKUP(I236,'RoC3'!$B$1:$C$161,2,0),0)</f>
        <v>0</v>
      </c>
      <c r="K236" s="137">
        <f>IFERROR(VLOOKUP($B236,'RoC4'!$A$1:$B$161,2,0),0)</f>
        <v>0</v>
      </c>
      <c r="L236" s="97">
        <f>IFERROR(VLOOKUP(K236,'RoC4'!$B$1:$C$161,2,0),0)</f>
        <v>0</v>
      </c>
      <c r="M236" s="137">
        <f>IFERROR(VLOOKUP($B236,'RoC5'!$A$1:$B$161,2,0),0)</f>
        <v>0</v>
      </c>
      <c r="N236" s="97">
        <f>IFERROR(VLOOKUP(M236,'RoC5'!$B$1:$C$161,2,0),0)</f>
        <v>0</v>
      </c>
      <c r="O236" s="137">
        <f>IFERROR(VLOOKUP($B236,'RoC6'!$A$1:$B$161,2,0),0)</f>
        <v>0</v>
      </c>
      <c r="P236" s="97">
        <f>IFERROR(VLOOKUP(O236,'RoC6'!$B$1:$C$161,2,0),0)</f>
        <v>0</v>
      </c>
      <c r="Q236" s="137">
        <f>IFERROR(VLOOKUP($B236,'RoC7'!$A$1:$B$161,2,0),0)</f>
        <v>0</v>
      </c>
      <c r="R236" s="97">
        <f>IFERROR(VLOOKUP(Q236,'RoC7'!$B$1:$C$161,2,0),0)</f>
        <v>0</v>
      </c>
      <c r="S236" s="137">
        <f>IFERROR(VLOOKUP($B236,'RoC8'!$A$1:$B$161,2,0),0)</f>
        <v>0</v>
      </c>
      <c r="T236" s="97">
        <f>IFERROR(VLOOKUP(S236,'RoC8'!$B$1:$C$161,2,0),0)</f>
        <v>0</v>
      </c>
      <c r="U236" s="137">
        <f>IFERROR(VLOOKUP($B236,'RoC9'!$A$1:$B$161,2,0),0)</f>
        <v>0</v>
      </c>
      <c r="V236" s="97">
        <f>IFERROR(VLOOKUP(U236,'RoC9'!$B$1:$C$161,2,0),0)</f>
        <v>0</v>
      </c>
      <c r="W236" s="137">
        <f>IFERROR(VLOOKUP($B236,'RoC10'!$A$1:$B$161,2,0),0)</f>
        <v>0</v>
      </c>
      <c r="X236" s="97">
        <f>IFERROR(VLOOKUP(W236,'RoC10'!$B$1:$C$161,2,0),0)</f>
        <v>0</v>
      </c>
      <c r="Y236" s="137">
        <f>IFERROR(VLOOKUP($B236,'RoC11'!$A$1:$B$161,2,0),0)</f>
        <v>0</v>
      </c>
      <c r="Z236" s="97">
        <f>IFERROR(VLOOKUP(Y236,'RoC11'!$B$1:$C$161,2,0),0)</f>
        <v>0</v>
      </c>
      <c r="AA236" s="97">
        <f>IFERROR(VLOOKUP(E236,'RoC1'!$B$1:$C$160,2,0),0)</f>
        <v>0</v>
      </c>
      <c r="AB236" s="97">
        <f>IFERROR(VLOOKUP(G236,'RoC2'!$B$1:$C$160,2,0),0)</f>
        <v>0</v>
      </c>
      <c r="AC236" s="97">
        <f>IFERROR(VLOOKUP(I236,'RoC3'!$B$1:$C$160,2,0),0)</f>
        <v>0</v>
      </c>
      <c r="AD236" s="97">
        <f>IFERROR(VLOOKUP(K236,'RoC4'!$B$1:$C$160,2,0),0)</f>
        <v>0</v>
      </c>
      <c r="AE236" s="97">
        <f>IFERROR(VLOOKUP(M236,'RoC5'!$B$1:$C$160,2,0),0)</f>
        <v>0</v>
      </c>
      <c r="AF236" s="97">
        <f>IFERROR(VLOOKUP(O236,'RoC6'!$B$1:$C$160,2,0),0)</f>
        <v>0</v>
      </c>
      <c r="AG236" s="97">
        <f>IFERROR(VLOOKUP(Q236,'RoC7'!$B$1:$C$160,2,0),0)</f>
        <v>0</v>
      </c>
      <c r="AH236" s="97">
        <f>IFERROR(VLOOKUP(S236,'RoC8'!$B$1:$C$160,2,0),0)</f>
        <v>0</v>
      </c>
      <c r="AI236" s="97">
        <f>IFERROR(VLOOKUP(U236,'RoC9'!$B$1:$C$160,2,0),0)</f>
        <v>0</v>
      </c>
      <c r="AJ236" s="97">
        <f>IFERROR(VLOOKUP(W236,'RoC10'!$B$1:$C$160,2,0),0)</f>
        <v>0</v>
      </c>
      <c r="AK236" s="97">
        <f>IFERROR(VLOOKUP(Y236,'RoC11'!$B$1:$C$160,2,0),0)</f>
        <v>0</v>
      </c>
    </row>
    <row r="237" ht="15.75" customHeight="1">
      <c r="A237" s="135">
        <v>236.0</v>
      </c>
      <c r="B237" s="124"/>
      <c r="C237" s="93">
        <f t="shared" si="4"/>
        <v>0</v>
      </c>
      <c r="D237" s="136"/>
      <c r="E237" s="137" t="str">
        <f>IFERROR(VLOOKUP($B237,'RoC1'!$A$1:$B$160,2,0),"0")</f>
        <v>0</v>
      </c>
      <c r="F237" s="97">
        <f>IFERROR(VLOOKUP(E237,'RoC1'!$B$1:$C$160,2,0),0)</f>
        <v>0</v>
      </c>
      <c r="G237" s="137" t="str">
        <f>IFERROR(VLOOKUP($B237,'RoC2'!$A$1:$B$161,2,0),"0")</f>
        <v>0</v>
      </c>
      <c r="H237" s="97">
        <f>IFERROR(VLOOKUP(G237,'RoC2'!$B$1:$C$161,2,0),0)</f>
        <v>0</v>
      </c>
      <c r="I237" s="137">
        <f>IFERROR(VLOOKUP($B237,'RoC3'!$A$1:$B$161,2,0),0)</f>
        <v>0</v>
      </c>
      <c r="J237" s="97">
        <f>IFERROR(VLOOKUP(I237,'RoC3'!$B$1:$C$161,2,0),0)</f>
        <v>0</v>
      </c>
      <c r="K237" s="137">
        <f>IFERROR(VLOOKUP($B237,'RoC4'!$A$1:$B$161,2,0),0)</f>
        <v>0</v>
      </c>
      <c r="L237" s="97">
        <f>IFERROR(VLOOKUP(K237,'RoC4'!$B$1:$C$161,2,0),0)</f>
        <v>0</v>
      </c>
      <c r="M237" s="137">
        <f>IFERROR(VLOOKUP($B237,'RoC5'!$A$1:$B$161,2,0),0)</f>
        <v>0</v>
      </c>
      <c r="N237" s="97">
        <f>IFERROR(VLOOKUP(M237,'RoC5'!$B$1:$C$161,2,0),0)</f>
        <v>0</v>
      </c>
      <c r="O237" s="137">
        <f>IFERROR(VLOOKUP($B237,'RoC6'!$A$1:$B$161,2,0),0)</f>
        <v>0</v>
      </c>
      <c r="P237" s="97">
        <f>IFERROR(VLOOKUP(O237,'RoC6'!$B$1:$C$161,2,0),0)</f>
        <v>0</v>
      </c>
      <c r="Q237" s="137">
        <f>IFERROR(VLOOKUP($B237,'RoC7'!$A$1:$B$161,2,0),0)</f>
        <v>0</v>
      </c>
      <c r="R237" s="97">
        <f>IFERROR(VLOOKUP(Q237,'RoC7'!$B$1:$C$161,2,0),0)</f>
        <v>0</v>
      </c>
      <c r="S237" s="137">
        <f>IFERROR(VLOOKUP($B237,'RoC8'!$A$1:$B$161,2,0),0)</f>
        <v>0</v>
      </c>
      <c r="T237" s="97">
        <f>IFERROR(VLOOKUP(S237,'RoC8'!$B$1:$C$161,2,0),0)</f>
        <v>0</v>
      </c>
      <c r="U237" s="137">
        <f>IFERROR(VLOOKUP($B237,'RoC9'!$A$1:$B$161,2,0),0)</f>
        <v>0</v>
      </c>
      <c r="V237" s="97">
        <f>IFERROR(VLOOKUP(U237,'RoC9'!$B$1:$C$161,2,0),0)</f>
        <v>0</v>
      </c>
      <c r="W237" s="137">
        <f>IFERROR(VLOOKUP($B237,'RoC10'!$A$1:$B$161,2,0),0)</f>
        <v>0</v>
      </c>
      <c r="X237" s="97">
        <f>IFERROR(VLOOKUP(W237,'RoC10'!$B$1:$C$161,2,0),0)</f>
        <v>0</v>
      </c>
      <c r="Y237" s="137">
        <f>IFERROR(VLOOKUP($B237,'RoC11'!$A$1:$B$161,2,0),0)</f>
        <v>0</v>
      </c>
      <c r="Z237" s="97">
        <f>IFERROR(VLOOKUP(Y237,'RoC11'!$B$1:$C$161,2,0),0)</f>
        <v>0</v>
      </c>
      <c r="AA237" s="97">
        <f>IFERROR(VLOOKUP(E237,'RoC1'!$B$1:$C$160,2,0),0)</f>
        <v>0</v>
      </c>
      <c r="AB237" s="97">
        <f>IFERROR(VLOOKUP(G237,'RoC2'!$B$1:$C$160,2,0),0)</f>
        <v>0</v>
      </c>
      <c r="AC237" s="97">
        <f>IFERROR(VLOOKUP(I237,'RoC3'!$B$1:$C$160,2,0),0)</f>
        <v>0</v>
      </c>
      <c r="AD237" s="97">
        <f>IFERROR(VLOOKUP(K237,'RoC4'!$B$1:$C$160,2,0),0)</f>
        <v>0</v>
      </c>
      <c r="AE237" s="97">
        <f>IFERROR(VLOOKUP(M237,'RoC5'!$B$1:$C$160,2,0),0)</f>
        <v>0</v>
      </c>
      <c r="AF237" s="97">
        <f>IFERROR(VLOOKUP(O237,'RoC6'!$B$1:$C$160,2,0),0)</f>
        <v>0</v>
      </c>
      <c r="AG237" s="97">
        <f>IFERROR(VLOOKUP(Q237,'RoC7'!$B$1:$C$160,2,0),0)</f>
        <v>0</v>
      </c>
      <c r="AH237" s="97">
        <f>IFERROR(VLOOKUP(S237,'RoC8'!$B$1:$C$160,2,0),0)</f>
        <v>0</v>
      </c>
      <c r="AI237" s="97">
        <f>IFERROR(VLOOKUP(U237,'RoC9'!$B$1:$C$160,2,0),0)</f>
        <v>0</v>
      </c>
      <c r="AJ237" s="97">
        <f>IFERROR(VLOOKUP(W237,'RoC10'!$B$1:$C$160,2,0),0)</f>
        <v>0</v>
      </c>
      <c r="AK237" s="97">
        <f>IFERROR(VLOOKUP(Y237,'RoC11'!$B$1:$C$160,2,0),0)</f>
        <v>0</v>
      </c>
    </row>
    <row r="238" ht="15.75" customHeight="1">
      <c r="A238" s="92">
        <v>237.0</v>
      </c>
      <c r="B238" s="124"/>
      <c r="C238" s="93">
        <f t="shared" si="4"/>
        <v>0</v>
      </c>
      <c r="D238" s="136"/>
      <c r="E238" s="137" t="str">
        <f>IFERROR(VLOOKUP($B238,'RoC1'!$A$1:$B$160,2,0),"0")</f>
        <v>0</v>
      </c>
      <c r="F238" s="97">
        <f>IFERROR(VLOOKUP(E238,'RoC1'!$B$1:$C$160,2,0),0)</f>
        <v>0</v>
      </c>
      <c r="G238" s="137" t="str">
        <f>IFERROR(VLOOKUP($B238,'RoC2'!$A$1:$B$161,2,0),"0")</f>
        <v>0</v>
      </c>
      <c r="H238" s="97">
        <f>IFERROR(VLOOKUP(G238,'RoC2'!$B$1:$C$161,2,0),0)</f>
        <v>0</v>
      </c>
      <c r="I238" s="137">
        <f>IFERROR(VLOOKUP($B238,'RoC3'!$A$1:$B$161,2,0),0)</f>
        <v>0</v>
      </c>
      <c r="J238" s="97">
        <f>IFERROR(VLOOKUP(I238,'RoC3'!$B$1:$C$161,2,0),0)</f>
        <v>0</v>
      </c>
      <c r="K238" s="137">
        <f>IFERROR(VLOOKUP($B238,'RoC4'!$A$1:$B$161,2,0),0)</f>
        <v>0</v>
      </c>
      <c r="L238" s="97">
        <f>IFERROR(VLOOKUP(K238,'RoC4'!$B$1:$C$161,2,0),0)</f>
        <v>0</v>
      </c>
      <c r="M238" s="137">
        <f>IFERROR(VLOOKUP($B238,'RoC5'!$A$1:$B$161,2,0),0)</f>
        <v>0</v>
      </c>
      <c r="N238" s="97">
        <f>IFERROR(VLOOKUP(M238,'RoC5'!$B$1:$C$161,2,0),0)</f>
        <v>0</v>
      </c>
      <c r="O238" s="137">
        <f>IFERROR(VLOOKUP($B238,'RoC6'!$A$1:$B$161,2,0),0)</f>
        <v>0</v>
      </c>
      <c r="P238" s="97">
        <f>IFERROR(VLOOKUP(O238,'RoC6'!$B$1:$C$161,2,0),0)</f>
        <v>0</v>
      </c>
      <c r="Q238" s="137">
        <f>IFERROR(VLOOKUP($B238,'RoC7'!$A$1:$B$161,2,0),0)</f>
        <v>0</v>
      </c>
      <c r="R238" s="97">
        <f>IFERROR(VLOOKUP(Q238,'RoC7'!$B$1:$C$161,2,0),0)</f>
        <v>0</v>
      </c>
      <c r="S238" s="137">
        <f>IFERROR(VLOOKUP($B238,'RoC8'!$A$1:$B$161,2,0),0)</f>
        <v>0</v>
      </c>
      <c r="T238" s="97">
        <f>IFERROR(VLOOKUP(S238,'RoC8'!$B$1:$C$161,2,0),0)</f>
        <v>0</v>
      </c>
      <c r="U238" s="137">
        <f>IFERROR(VLOOKUP($B238,'RoC9'!$A$1:$B$161,2,0),0)</f>
        <v>0</v>
      </c>
      <c r="V238" s="97">
        <f>IFERROR(VLOOKUP(U238,'RoC9'!$B$1:$C$161,2,0),0)</f>
        <v>0</v>
      </c>
      <c r="W238" s="137">
        <f>IFERROR(VLOOKUP($B238,'RoC10'!$A$1:$B$161,2,0),0)</f>
        <v>0</v>
      </c>
      <c r="X238" s="97">
        <f>IFERROR(VLOOKUP(W238,'RoC10'!$B$1:$C$161,2,0),0)</f>
        <v>0</v>
      </c>
      <c r="Y238" s="137">
        <f>IFERROR(VLOOKUP($B238,'RoC11'!$A$1:$B$161,2,0),0)</f>
        <v>0</v>
      </c>
      <c r="Z238" s="97">
        <f>IFERROR(VLOOKUP(Y238,'RoC11'!$B$1:$C$161,2,0),0)</f>
        <v>0</v>
      </c>
      <c r="AA238" s="97">
        <f>IFERROR(VLOOKUP(E238,'RoC1'!$B$1:$C$160,2,0),0)</f>
        <v>0</v>
      </c>
      <c r="AB238" s="97">
        <f>IFERROR(VLOOKUP(G238,'RoC2'!$B$1:$C$160,2,0),0)</f>
        <v>0</v>
      </c>
      <c r="AC238" s="97">
        <f>IFERROR(VLOOKUP(I238,'RoC3'!$B$1:$C$160,2,0),0)</f>
        <v>0</v>
      </c>
      <c r="AD238" s="97">
        <f>IFERROR(VLOOKUP(K238,'RoC4'!$B$1:$C$160,2,0),0)</f>
        <v>0</v>
      </c>
      <c r="AE238" s="97">
        <f>IFERROR(VLOOKUP(M238,'RoC5'!$B$1:$C$160,2,0),0)</f>
        <v>0</v>
      </c>
      <c r="AF238" s="97">
        <f>IFERROR(VLOOKUP(O238,'RoC6'!$B$1:$C$160,2,0),0)</f>
        <v>0</v>
      </c>
      <c r="AG238" s="97">
        <f>IFERROR(VLOOKUP(Q238,'RoC7'!$B$1:$C$160,2,0),0)</f>
        <v>0</v>
      </c>
      <c r="AH238" s="97">
        <f>IFERROR(VLOOKUP(S238,'RoC8'!$B$1:$C$160,2,0),0)</f>
        <v>0</v>
      </c>
      <c r="AI238" s="97">
        <f>IFERROR(VLOOKUP(U238,'RoC9'!$B$1:$C$160,2,0),0)</f>
        <v>0</v>
      </c>
      <c r="AJ238" s="97">
        <f>IFERROR(VLOOKUP(W238,'RoC10'!$B$1:$C$160,2,0),0)</f>
        <v>0</v>
      </c>
      <c r="AK238" s="97">
        <f>IFERROR(VLOOKUP(Y238,'RoC11'!$B$1:$C$160,2,0),0)</f>
        <v>0</v>
      </c>
    </row>
    <row r="239" ht="15.75" customHeight="1">
      <c r="A239" s="135">
        <v>238.0</v>
      </c>
      <c r="B239" s="124"/>
      <c r="C239" s="93">
        <f t="shared" si="4"/>
        <v>0</v>
      </c>
      <c r="D239" s="136"/>
      <c r="E239" s="137" t="str">
        <f>IFERROR(VLOOKUP($B239,'RoC1'!$A$1:$B$160,2,0),"0")</f>
        <v>0</v>
      </c>
      <c r="F239" s="97">
        <f>IFERROR(VLOOKUP(E239,'RoC1'!$B$1:$C$160,2,0),0)</f>
        <v>0</v>
      </c>
      <c r="G239" s="137" t="str">
        <f>IFERROR(VLOOKUP($B239,'RoC2'!$A$1:$B$161,2,0),"0")</f>
        <v>0</v>
      </c>
      <c r="H239" s="97">
        <f>IFERROR(VLOOKUP(G239,'RoC2'!$B$1:$C$161,2,0),0)</f>
        <v>0</v>
      </c>
      <c r="I239" s="137">
        <f>IFERROR(VLOOKUP($B239,'RoC3'!$A$1:$B$161,2,0),0)</f>
        <v>0</v>
      </c>
      <c r="J239" s="97">
        <f>IFERROR(VLOOKUP(I239,'RoC3'!$B$1:$C$161,2,0),0)</f>
        <v>0</v>
      </c>
      <c r="K239" s="137">
        <f>IFERROR(VLOOKUP($B239,'RoC4'!$A$1:$B$161,2,0),0)</f>
        <v>0</v>
      </c>
      <c r="L239" s="97">
        <f>IFERROR(VLOOKUP(K239,'RoC4'!$B$1:$C$161,2,0),0)</f>
        <v>0</v>
      </c>
      <c r="M239" s="137">
        <f>IFERROR(VLOOKUP($B239,'RoC5'!$A$1:$B$161,2,0),0)</f>
        <v>0</v>
      </c>
      <c r="N239" s="97">
        <f>IFERROR(VLOOKUP(M239,'RoC5'!$B$1:$C$161,2,0),0)</f>
        <v>0</v>
      </c>
      <c r="O239" s="137">
        <f>IFERROR(VLOOKUP($B239,'RoC6'!$A$1:$B$161,2,0),0)</f>
        <v>0</v>
      </c>
      <c r="P239" s="97">
        <f>IFERROR(VLOOKUP(O239,'RoC6'!$B$1:$C$161,2,0),0)</f>
        <v>0</v>
      </c>
      <c r="Q239" s="137">
        <f>IFERROR(VLOOKUP($B239,'RoC7'!$A$1:$B$161,2,0),0)</f>
        <v>0</v>
      </c>
      <c r="R239" s="97">
        <f>IFERROR(VLOOKUP(Q239,'RoC7'!$B$1:$C$161,2,0),0)</f>
        <v>0</v>
      </c>
      <c r="S239" s="137">
        <f>IFERROR(VLOOKUP($B239,'RoC8'!$A$1:$B$161,2,0),0)</f>
        <v>0</v>
      </c>
      <c r="T239" s="97">
        <f>IFERROR(VLOOKUP(S239,'RoC8'!$B$1:$C$161,2,0),0)</f>
        <v>0</v>
      </c>
      <c r="U239" s="137">
        <f>IFERROR(VLOOKUP($B239,'RoC9'!$A$1:$B$161,2,0),0)</f>
        <v>0</v>
      </c>
      <c r="V239" s="97">
        <f>IFERROR(VLOOKUP(U239,'RoC9'!$B$1:$C$161,2,0),0)</f>
        <v>0</v>
      </c>
      <c r="W239" s="137">
        <f>IFERROR(VLOOKUP($B239,'RoC10'!$A$1:$B$161,2,0),0)</f>
        <v>0</v>
      </c>
      <c r="X239" s="97">
        <f>IFERROR(VLOOKUP(W239,'RoC10'!$B$1:$C$161,2,0),0)</f>
        <v>0</v>
      </c>
      <c r="Y239" s="137">
        <f>IFERROR(VLOOKUP($B239,'RoC11'!$A$1:$B$161,2,0),0)</f>
        <v>0</v>
      </c>
      <c r="Z239" s="97">
        <f>IFERROR(VLOOKUP(Y239,'RoC11'!$B$1:$C$161,2,0),0)</f>
        <v>0</v>
      </c>
      <c r="AA239" s="97">
        <f>IFERROR(VLOOKUP(E239,'RoC1'!$B$1:$C$160,2,0),0)</f>
        <v>0</v>
      </c>
      <c r="AB239" s="97">
        <f>IFERROR(VLOOKUP(G239,'RoC2'!$B$1:$C$160,2,0),0)</f>
        <v>0</v>
      </c>
      <c r="AC239" s="97">
        <f>IFERROR(VLOOKUP(I239,'RoC3'!$B$1:$C$160,2,0),0)</f>
        <v>0</v>
      </c>
      <c r="AD239" s="97">
        <f>IFERROR(VLOOKUP(K239,'RoC4'!$B$1:$C$160,2,0),0)</f>
        <v>0</v>
      </c>
      <c r="AE239" s="97">
        <f>IFERROR(VLOOKUP(M239,'RoC5'!$B$1:$C$160,2,0),0)</f>
        <v>0</v>
      </c>
      <c r="AF239" s="97">
        <f>IFERROR(VLOOKUP(O239,'RoC6'!$B$1:$C$160,2,0),0)</f>
        <v>0</v>
      </c>
      <c r="AG239" s="97">
        <f>IFERROR(VLOOKUP(Q239,'RoC7'!$B$1:$C$160,2,0),0)</f>
        <v>0</v>
      </c>
      <c r="AH239" s="97">
        <f>IFERROR(VLOOKUP(S239,'RoC8'!$B$1:$C$160,2,0),0)</f>
        <v>0</v>
      </c>
      <c r="AI239" s="97">
        <f>IFERROR(VLOOKUP(U239,'RoC9'!$B$1:$C$160,2,0),0)</f>
        <v>0</v>
      </c>
      <c r="AJ239" s="97">
        <f>IFERROR(VLOOKUP(W239,'RoC10'!$B$1:$C$160,2,0),0)</f>
        <v>0</v>
      </c>
      <c r="AK239" s="97">
        <f>IFERROR(VLOOKUP(Y239,'RoC11'!$B$1:$C$160,2,0),0)</f>
        <v>0</v>
      </c>
    </row>
    <row r="240" ht="15.75" customHeight="1">
      <c r="A240" s="92">
        <v>239.0</v>
      </c>
      <c r="B240" s="124"/>
      <c r="C240" s="93">
        <f t="shared" si="4"/>
        <v>0</v>
      </c>
      <c r="D240" s="136"/>
      <c r="E240" s="137" t="str">
        <f>IFERROR(VLOOKUP($B240,'RoC1'!$A$1:$B$160,2,0),"0")</f>
        <v>0</v>
      </c>
      <c r="F240" s="97">
        <f>IFERROR(VLOOKUP(E240,'RoC1'!$B$1:$C$160,2,0),0)</f>
        <v>0</v>
      </c>
      <c r="G240" s="137" t="str">
        <f>IFERROR(VLOOKUP($B240,'RoC2'!$A$1:$B$161,2,0),"0")</f>
        <v>0</v>
      </c>
      <c r="H240" s="97">
        <f>IFERROR(VLOOKUP(G240,'RoC2'!$B$1:$C$161,2,0),0)</f>
        <v>0</v>
      </c>
      <c r="I240" s="137">
        <f>IFERROR(VLOOKUP($B240,'RoC3'!$A$1:$B$161,2,0),0)</f>
        <v>0</v>
      </c>
      <c r="J240" s="97">
        <f>IFERROR(VLOOKUP(I240,'RoC3'!$B$1:$C$161,2,0),0)</f>
        <v>0</v>
      </c>
      <c r="K240" s="137">
        <f>IFERROR(VLOOKUP($B240,'RoC4'!$A$1:$B$161,2,0),0)</f>
        <v>0</v>
      </c>
      <c r="L240" s="97">
        <f>IFERROR(VLOOKUP(K240,'RoC4'!$B$1:$C$161,2,0),0)</f>
        <v>0</v>
      </c>
      <c r="M240" s="137">
        <f>IFERROR(VLOOKUP($B240,'RoC5'!$A$1:$B$161,2,0),0)</f>
        <v>0</v>
      </c>
      <c r="N240" s="97">
        <f>IFERROR(VLOOKUP(M240,'RoC5'!$B$1:$C$161,2,0),0)</f>
        <v>0</v>
      </c>
      <c r="O240" s="137">
        <f>IFERROR(VLOOKUP($B240,'RoC6'!$A$1:$B$161,2,0),0)</f>
        <v>0</v>
      </c>
      <c r="P240" s="97">
        <f>IFERROR(VLOOKUP(O240,'RoC6'!$B$1:$C$161,2,0),0)</f>
        <v>0</v>
      </c>
      <c r="Q240" s="137">
        <f>IFERROR(VLOOKUP($B240,'RoC7'!$A$1:$B$161,2,0),0)</f>
        <v>0</v>
      </c>
      <c r="R240" s="97">
        <f>IFERROR(VLOOKUP(Q240,'RoC7'!$B$1:$C$161,2,0),0)</f>
        <v>0</v>
      </c>
      <c r="S240" s="137">
        <f>IFERROR(VLOOKUP($B240,'RoC8'!$A$1:$B$161,2,0),0)</f>
        <v>0</v>
      </c>
      <c r="T240" s="97">
        <f>IFERROR(VLOOKUP(S240,'RoC8'!$B$1:$C$161,2,0),0)</f>
        <v>0</v>
      </c>
      <c r="U240" s="137">
        <f>IFERROR(VLOOKUP($B240,'RoC9'!$A$1:$B$161,2,0),0)</f>
        <v>0</v>
      </c>
      <c r="V240" s="97">
        <f>IFERROR(VLOOKUP(U240,'RoC9'!$B$1:$C$161,2,0),0)</f>
        <v>0</v>
      </c>
      <c r="W240" s="137">
        <f>IFERROR(VLOOKUP($B240,'RoC10'!$A$1:$B$161,2,0),0)</f>
        <v>0</v>
      </c>
      <c r="X240" s="97">
        <f>IFERROR(VLOOKUP(W240,'RoC10'!$B$1:$C$161,2,0),0)</f>
        <v>0</v>
      </c>
      <c r="Y240" s="137">
        <f>IFERROR(VLOOKUP($B240,'RoC11'!$A$1:$B$161,2,0),0)</f>
        <v>0</v>
      </c>
      <c r="Z240" s="97">
        <f>IFERROR(VLOOKUP(Y240,'RoC11'!$B$1:$C$161,2,0),0)</f>
        <v>0</v>
      </c>
      <c r="AA240" s="97">
        <f>IFERROR(VLOOKUP(E240,'RoC1'!$B$1:$C$160,2,0),0)</f>
        <v>0</v>
      </c>
      <c r="AB240" s="97">
        <f>IFERROR(VLOOKUP(G240,'RoC2'!$B$1:$C$160,2,0),0)</f>
        <v>0</v>
      </c>
      <c r="AC240" s="97">
        <f>IFERROR(VLOOKUP(I240,'RoC3'!$B$1:$C$160,2,0),0)</f>
        <v>0</v>
      </c>
      <c r="AD240" s="97">
        <f>IFERROR(VLOOKUP(K240,'RoC4'!$B$1:$C$160,2,0),0)</f>
        <v>0</v>
      </c>
      <c r="AE240" s="97">
        <f>IFERROR(VLOOKUP(M240,'RoC5'!$B$1:$C$160,2,0),0)</f>
        <v>0</v>
      </c>
      <c r="AF240" s="97">
        <f>IFERROR(VLOOKUP(O240,'RoC6'!$B$1:$C$160,2,0),0)</f>
        <v>0</v>
      </c>
      <c r="AG240" s="97">
        <f>IFERROR(VLOOKUP(Q240,'RoC7'!$B$1:$C$160,2,0),0)</f>
        <v>0</v>
      </c>
      <c r="AH240" s="97">
        <f>IFERROR(VLOOKUP(S240,'RoC8'!$B$1:$C$160,2,0),0)</f>
        <v>0</v>
      </c>
      <c r="AI240" s="97">
        <f>IFERROR(VLOOKUP(U240,'RoC9'!$B$1:$C$160,2,0),0)</f>
        <v>0</v>
      </c>
      <c r="AJ240" s="97">
        <f>IFERROR(VLOOKUP(W240,'RoC10'!$B$1:$C$160,2,0),0)</f>
        <v>0</v>
      </c>
      <c r="AK240" s="97">
        <f>IFERROR(VLOOKUP(Y240,'RoC11'!$B$1:$C$160,2,0),0)</f>
        <v>0</v>
      </c>
    </row>
    <row r="241" ht="15.75" customHeight="1">
      <c r="A241" s="135">
        <v>240.0</v>
      </c>
      <c r="B241" s="124"/>
      <c r="C241" s="93">
        <f t="shared" si="4"/>
        <v>0</v>
      </c>
      <c r="D241" s="136"/>
      <c r="E241" s="137" t="str">
        <f>IFERROR(VLOOKUP($B241,'RoC1'!$A$1:$B$160,2,0),"0")</f>
        <v>0</v>
      </c>
      <c r="F241" s="97">
        <f>IFERROR(VLOOKUP(E241,'RoC1'!$B$1:$C$160,2,0),0)</f>
        <v>0</v>
      </c>
      <c r="G241" s="137" t="str">
        <f>IFERROR(VLOOKUP($B241,'RoC2'!$A$1:$B$161,2,0),"0")</f>
        <v>0</v>
      </c>
      <c r="H241" s="97">
        <f>IFERROR(VLOOKUP(G241,'RoC2'!$B$1:$C$161,2,0),0)</f>
        <v>0</v>
      </c>
      <c r="I241" s="137">
        <f>IFERROR(VLOOKUP($B241,'RoC3'!$A$1:$B$161,2,0),0)</f>
        <v>0</v>
      </c>
      <c r="J241" s="97">
        <f>IFERROR(VLOOKUP(I241,'RoC3'!$B$1:$C$161,2,0),0)</f>
        <v>0</v>
      </c>
      <c r="K241" s="137">
        <f>IFERROR(VLOOKUP($B241,'RoC4'!$A$1:$B$161,2,0),0)</f>
        <v>0</v>
      </c>
      <c r="L241" s="97">
        <f>IFERROR(VLOOKUP(K241,'RoC4'!$B$1:$C$161,2,0),0)</f>
        <v>0</v>
      </c>
      <c r="M241" s="137">
        <f>IFERROR(VLOOKUP($B241,'RoC5'!$A$1:$B$161,2,0),0)</f>
        <v>0</v>
      </c>
      <c r="N241" s="97">
        <f>IFERROR(VLOOKUP(M241,'RoC5'!$B$1:$C$161,2,0),0)</f>
        <v>0</v>
      </c>
      <c r="O241" s="137">
        <f>IFERROR(VLOOKUP($B241,'RoC6'!$A$1:$B$161,2,0),0)</f>
        <v>0</v>
      </c>
      <c r="P241" s="97">
        <f>IFERROR(VLOOKUP(O241,'RoC6'!$B$1:$C$161,2,0),0)</f>
        <v>0</v>
      </c>
      <c r="Q241" s="137">
        <f>IFERROR(VLOOKUP($B241,'RoC7'!$A$1:$B$161,2,0),0)</f>
        <v>0</v>
      </c>
      <c r="R241" s="97">
        <f>IFERROR(VLOOKUP(Q241,'RoC7'!$B$1:$C$161,2,0),0)</f>
        <v>0</v>
      </c>
      <c r="S241" s="137">
        <f>IFERROR(VLOOKUP($B241,'RoC8'!$A$1:$B$161,2,0),0)</f>
        <v>0</v>
      </c>
      <c r="T241" s="97">
        <f>IFERROR(VLOOKUP(S241,'RoC8'!$B$1:$C$161,2,0),0)</f>
        <v>0</v>
      </c>
      <c r="U241" s="137">
        <f>IFERROR(VLOOKUP($B241,'RoC9'!$A$1:$B$161,2,0),0)</f>
        <v>0</v>
      </c>
      <c r="V241" s="97">
        <f>IFERROR(VLOOKUP(U241,'RoC9'!$B$1:$C$161,2,0),0)</f>
        <v>0</v>
      </c>
      <c r="W241" s="137">
        <f>IFERROR(VLOOKUP($B241,'RoC10'!$A$1:$B$161,2,0),0)</f>
        <v>0</v>
      </c>
      <c r="X241" s="97">
        <f>IFERROR(VLOOKUP(W241,'RoC10'!$B$1:$C$161,2,0),0)</f>
        <v>0</v>
      </c>
      <c r="Y241" s="137">
        <f>IFERROR(VLOOKUP($B241,'RoC11'!$A$1:$B$161,2,0),0)</f>
        <v>0</v>
      </c>
      <c r="Z241" s="97">
        <f>IFERROR(VLOOKUP(Y241,'RoC11'!$B$1:$C$161,2,0),0)</f>
        <v>0</v>
      </c>
      <c r="AA241" s="97">
        <f>IFERROR(VLOOKUP(E241,'RoC1'!$B$1:$C$160,2,0),0)</f>
        <v>0</v>
      </c>
      <c r="AB241" s="97">
        <f>IFERROR(VLOOKUP(G241,'RoC2'!$B$1:$C$160,2,0),0)</f>
        <v>0</v>
      </c>
      <c r="AC241" s="97">
        <f>IFERROR(VLOOKUP(I241,'RoC3'!$B$1:$C$160,2,0),0)</f>
        <v>0</v>
      </c>
      <c r="AD241" s="97">
        <f>IFERROR(VLOOKUP(K241,'RoC4'!$B$1:$C$160,2,0),0)</f>
        <v>0</v>
      </c>
      <c r="AE241" s="97">
        <f>IFERROR(VLOOKUP(M241,'RoC5'!$B$1:$C$160,2,0),0)</f>
        <v>0</v>
      </c>
      <c r="AF241" s="97">
        <f>IFERROR(VLOOKUP(O241,'RoC6'!$B$1:$C$160,2,0),0)</f>
        <v>0</v>
      </c>
      <c r="AG241" s="97">
        <f>IFERROR(VLOOKUP(Q241,'RoC7'!$B$1:$C$160,2,0),0)</f>
        <v>0</v>
      </c>
      <c r="AH241" s="97">
        <f>IFERROR(VLOOKUP(S241,'RoC8'!$B$1:$C$160,2,0),0)</f>
        <v>0</v>
      </c>
      <c r="AI241" s="97">
        <f>IFERROR(VLOOKUP(U241,'RoC9'!$B$1:$C$160,2,0),0)</f>
        <v>0</v>
      </c>
      <c r="AJ241" s="97">
        <f>IFERROR(VLOOKUP(W241,'RoC10'!$B$1:$C$160,2,0),0)</f>
        <v>0</v>
      </c>
      <c r="AK241" s="97">
        <f>IFERROR(VLOOKUP(Y241,'RoC11'!$B$1:$C$160,2,0),0)</f>
        <v>0</v>
      </c>
    </row>
    <row r="242" ht="15.75" customHeight="1">
      <c r="A242" s="92">
        <v>241.0</v>
      </c>
      <c r="B242" s="124"/>
      <c r="C242" s="93">
        <f t="shared" si="4"/>
        <v>0</v>
      </c>
      <c r="D242" s="136"/>
      <c r="E242" s="137" t="str">
        <f>IFERROR(VLOOKUP($B242,'RoC1'!$A$1:$B$160,2,0),"0")</f>
        <v>0</v>
      </c>
      <c r="F242" s="97">
        <f>IFERROR(VLOOKUP(E242,'RoC1'!$B$1:$C$160,2,0),0)</f>
        <v>0</v>
      </c>
      <c r="G242" s="137" t="str">
        <f>IFERROR(VLOOKUP($B242,'RoC2'!$A$1:$B$161,2,0),"0")</f>
        <v>0</v>
      </c>
      <c r="H242" s="97">
        <f>IFERROR(VLOOKUP(G242,'RoC2'!$B$1:$C$161,2,0),0)</f>
        <v>0</v>
      </c>
      <c r="I242" s="137">
        <f>IFERROR(VLOOKUP($B242,'RoC3'!$A$1:$B$161,2,0),0)</f>
        <v>0</v>
      </c>
      <c r="J242" s="97">
        <f>IFERROR(VLOOKUP(I242,'RoC3'!$B$1:$C$161,2,0),0)</f>
        <v>0</v>
      </c>
      <c r="K242" s="137">
        <f>IFERROR(VLOOKUP($B242,'RoC4'!$A$1:$B$161,2,0),0)</f>
        <v>0</v>
      </c>
      <c r="L242" s="97">
        <f>IFERROR(VLOOKUP(K242,'RoC4'!$B$1:$C$161,2,0),0)</f>
        <v>0</v>
      </c>
      <c r="M242" s="137">
        <f>IFERROR(VLOOKUP($B242,'RoC5'!$A$1:$B$161,2,0),0)</f>
        <v>0</v>
      </c>
      <c r="N242" s="97">
        <f>IFERROR(VLOOKUP(M242,'RoC5'!$B$1:$C$161,2,0),0)</f>
        <v>0</v>
      </c>
      <c r="O242" s="137">
        <f>IFERROR(VLOOKUP($B242,'RoC6'!$A$1:$B$161,2,0),0)</f>
        <v>0</v>
      </c>
      <c r="P242" s="97">
        <f>IFERROR(VLOOKUP(O242,'RoC6'!$B$1:$C$161,2,0),0)</f>
        <v>0</v>
      </c>
      <c r="Q242" s="137">
        <f>IFERROR(VLOOKUP($B242,'RoC7'!$A$1:$B$161,2,0),0)</f>
        <v>0</v>
      </c>
      <c r="R242" s="97">
        <f>IFERROR(VLOOKUP(Q242,'RoC7'!$B$1:$C$161,2,0),0)</f>
        <v>0</v>
      </c>
      <c r="S242" s="137">
        <f>IFERROR(VLOOKUP($B242,'RoC8'!$A$1:$B$161,2,0),0)</f>
        <v>0</v>
      </c>
      <c r="T242" s="97">
        <f>IFERROR(VLOOKUP(S242,'RoC8'!$B$1:$C$161,2,0),0)</f>
        <v>0</v>
      </c>
      <c r="U242" s="137">
        <f>IFERROR(VLOOKUP($B242,'RoC9'!$A$1:$B$161,2,0),0)</f>
        <v>0</v>
      </c>
      <c r="V242" s="97">
        <f>IFERROR(VLOOKUP(U242,'RoC9'!$B$1:$C$161,2,0),0)</f>
        <v>0</v>
      </c>
      <c r="W242" s="137">
        <f>IFERROR(VLOOKUP($B242,'RoC10'!$A$1:$B$161,2,0),0)</f>
        <v>0</v>
      </c>
      <c r="X242" s="97">
        <f>IFERROR(VLOOKUP(W242,'RoC10'!$B$1:$C$161,2,0),0)</f>
        <v>0</v>
      </c>
      <c r="Y242" s="137">
        <f>IFERROR(VLOOKUP($B242,'RoC11'!$A$1:$B$161,2,0),0)</f>
        <v>0</v>
      </c>
      <c r="Z242" s="97">
        <f>IFERROR(VLOOKUP(Y242,'RoC11'!$B$1:$C$161,2,0),0)</f>
        <v>0</v>
      </c>
      <c r="AA242" s="97">
        <f>IFERROR(VLOOKUP(E242,'RoC1'!$B$1:$C$160,2,0),0)</f>
        <v>0</v>
      </c>
      <c r="AB242" s="97">
        <f>IFERROR(VLOOKUP(G242,'RoC2'!$B$1:$C$160,2,0),0)</f>
        <v>0</v>
      </c>
      <c r="AC242" s="97">
        <f>IFERROR(VLOOKUP(I242,'RoC3'!$B$1:$C$160,2,0),0)</f>
        <v>0</v>
      </c>
      <c r="AD242" s="97">
        <f>IFERROR(VLOOKUP(K242,'RoC4'!$B$1:$C$160,2,0),0)</f>
        <v>0</v>
      </c>
      <c r="AE242" s="97">
        <f>IFERROR(VLOOKUP(M242,'RoC5'!$B$1:$C$160,2,0),0)</f>
        <v>0</v>
      </c>
      <c r="AF242" s="97">
        <f>IFERROR(VLOOKUP(O242,'RoC6'!$B$1:$C$160,2,0),0)</f>
        <v>0</v>
      </c>
      <c r="AG242" s="97">
        <f>IFERROR(VLOOKUP(Q242,'RoC7'!$B$1:$C$160,2,0),0)</f>
        <v>0</v>
      </c>
      <c r="AH242" s="97">
        <f>IFERROR(VLOOKUP(S242,'RoC8'!$B$1:$C$160,2,0),0)</f>
        <v>0</v>
      </c>
      <c r="AI242" s="97">
        <f>IFERROR(VLOOKUP(U242,'RoC9'!$B$1:$C$160,2,0),0)</f>
        <v>0</v>
      </c>
      <c r="AJ242" s="97">
        <f>IFERROR(VLOOKUP(W242,'RoC10'!$B$1:$C$160,2,0),0)</f>
        <v>0</v>
      </c>
      <c r="AK242" s="97">
        <f>IFERROR(VLOOKUP(Y242,'RoC11'!$B$1:$C$160,2,0),0)</f>
        <v>0</v>
      </c>
    </row>
    <row r="243" ht="15.75" customHeight="1">
      <c r="A243" s="135">
        <v>242.0</v>
      </c>
      <c r="B243" s="124"/>
      <c r="C243" s="93">
        <f t="shared" si="4"/>
        <v>0</v>
      </c>
      <c r="D243" s="136"/>
      <c r="E243" s="137" t="str">
        <f>IFERROR(VLOOKUP($B243,'RoC1'!$A$1:$B$160,2,0),"0")</f>
        <v>0</v>
      </c>
      <c r="F243" s="97">
        <f>IFERROR(VLOOKUP(E243,'RoC1'!$B$1:$C$160,2,0),0)</f>
        <v>0</v>
      </c>
      <c r="G243" s="137" t="str">
        <f>IFERROR(VLOOKUP($B243,'RoC2'!$A$1:$B$161,2,0),"0")</f>
        <v>0</v>
      </c>
      <c r="H243" s="97">
        <f>IFERROR(VLOOKUP(G243,'RoC2'!$B$1:$C$161,2,0),0)</f>
        <v>0</v>
      </c>
      <c r="I243" s="137">
        <f>IFERROR(VLOOKUP($B243,'RoC3'!$A$1:$B$161,2,0),0)</f>
        <v>0</v>
      </c>
      <c r="J243" s="97">
        <f>IFERROR(VLOOKUP(I243,'RoC3'!$B$1:$C$161,2,0),0)</f>
        <v>0</v>
      </c>
      <c r="K243" s="137">
        <f>IFERROR(VLOOKUP($B243,'RoC4'!$A$1:$B$161,2,0),0)</f>
        <v>0</v>
      </c>
      <c r="L243" s="97">
        <f>IFERROR(VLOOKUP(K243,'RoC4'!$B$1:$C$161,2,0),0)</f>
        <v>0</v>
      </c>
      <c r="M243" s="137">
        <f>IFERROR(VLOOKUP($B243,'RoC5'!$A$1:$B$161,2,0),0)</f>
        <v>0</v>
      </c>
      <c r="N243" s="97">
        <f>IFERROR(VLOOKUP(M243,'RoC5'!$B$1:$C$161,2,0),0)</f>
        <v>0</v>
      </c>
      <c r="O243" s="137">
        <f>IFERROR(VLOOKUP($B243,'RoC6'!$A$1:$B$161,2,0),0)</f>
        <v>0</v>
      </c>
      <c r="P243" s="97">
        <f>IFERROR(VLOOKUP(O243,'RoC6'!$B$1:$C$161,2,0),0)</f>
        <v>0</v>
      </c>
      <c r="Q243" s="137">
        <f>IFERROR(VLOOKUP($B243,'RoC7'!$A$1:$B$161,2,0),0)</f>
        <v>0</v>
      </c>
      <c r="R243" s="97">
        <f>IFERROR(VLOOKUP(Q243,'RoC7'!$B$1:$C$161,2,0),0)</f>
        <v>0</v>
      </c>
      <c r="S243" s="137">
        <f>IFERROR(VLOOKUP($B243,'RoC8'!$A$1:$B$161,2,0),0)</f>
        <v>0</v>
      </c>
      <c r="T243" s="97">
        <f>IFERROR(VLOOKUP(S243,'RoC8'!$B$1:$C$161,2,0),0)</f>
        <v>0</v>
      </c>
      <c r="U243" s="137">
        <f>IFERROR(VLOOKUP($B243,'RoC9'!$A$1:$B$161,2,0),0)</f>
        <v>0</v>
      </c>
      <c r="V243" s="97">
        <f>IFERROR(VLOOKUP(U243,'RoC9'!$B$1:$C$161,2,0),0)</f>
        <v>0</v>
      </c>
      <c r="W243" s="137">
        <f>IFERROR(VLOOKUP($B243,'RoC10'!$A$1:$B$161,2,0),0)</f>
        <v>0</v>
      </c>
      <c r="X243" s="97">
        <f>IFERROR(VLOOKUP(W243,'RoC10'!$B$1:$C$161,2,0),0)</f>
        <v>0</v>
      </c>
      <c r="Y243" s="137">
        <f>IFERROR(VLOOKUP($B243,'RoC11'!$A$1:$B$161,2,0),0)</f>
        <v>0</v>
      </c>
      <c r="Z243" s="97">
        <f>IFERROR(VLOOKUP(Y243,'RoC11'!$B$1:$C$161,2,0),0)</f>
        <v>0</v>
      </c>
      <c r="AA243" s="97">
        <f>IFERROR(VLOOKUP(E243,'RoC1'!$B$1:$C$160,2,0),0)</f>
        <v>0</v>
      </c>
      <c r="AB243" s="97">
        <f>IFERROR(VLOOKUP(G243,'RoC2'!$B$1:$C$160,2,0),0)</f>
        <v>0</v>
      </c>
      <c r="AC243" s="97">
        <f>IFERROR(VLOOKUP(I243,'RoC3'!$B$1:$C$160,2,0),0)</f>
        <v>0</v>
      </c>
      <c r="AD243" s="97">
        <f>IFERROR(VLOOKUP(K243,'RoC4'!$B$1:$C$160,2,0),0)</f>
        <v>0</v>
      </c>
      <c r="AE243" s="97">
        <f>IFERROR(VLOOKUP(M243,'RoC5'!$B$1:$C$160,2,0),0)</f>
        <v>0</v>
      </c>
      <c r="AF243" s="97">
        <f>IFERROR(VLOOKUP(O243,'RoC6'!$B$1:$C$160,2,0),0)</f>
        <v>0</v>
      </c>
      <c r="AG243" s="97">
        <f>IFERROR(VLOOKUP(Q243,'RoC7'!$B$1:$C$160,2,0),0)</f>
        <v>0</v>
      </c>
      <c r="AH243" s="97">
        <f>IFERROR(VLOOKUP(S243,'RoC8'!$B$1:$C$160,2,0),0)</f>
        <v>0</v>
      </c>
      <c r="AI243" s="97">
        <f>IFERROR(VLOOKUP(U243,'RoC9'!$B$1:$C$160,2,0),0)</f>
        <v>0</v>
      </c>
      <c r="AJ243" s="97">
        <f>IFERROR(VLOOKUP(W243,'RoC10'!$B$1:$C$160,2,0),0)</f>
        <v>0</v>
      </c>
      <c r="AK243" s="97">
        <f>IFERROR(VLOOKUP(Y243,'RoC11'!$B$1:$C$160,2,0),0)</f>
        <v>0</v>
      </c>
    </row>
    <row r="244" ht="15.75" customHeight="1">
      <c r="A244" s="92">
        <v>243.0</v>
      </c>
      <c r="B244" s="124"/>
      <c r="C244" s="93">
        <f t="shared" si="4"/>
        <v>0</v>
      </c>
      <c r="D244" s="136"/>
      <c r="E244" s="137" t="str">
        <f>IFERROR(VLOOKUP($B244,'RoC1'!$A$1:$B$160,2,0),"0")</f>
        <v>0</v>
      </c>
      <c r="F244" s="97">
        <f>IFERROR(VLOOKUP(E244,'RoC1'!$B$1:$C$160,2,0),0)</f>
        <v>0</v>
      </c>
      <c r="G244" s="137" t="str">
        <f>IFERROR(VLOOKUP($B244,'RoC2'!$A$1:$B$161,2,0),"0")</f>
        <v>0</v>
      </c>
      <c r="H244" s="97">
        <f>IFERROR(VLOOKUP(G244,'RoC2'!$B$1:$C$161,2,0),0)</f>
        <v>0</v>
      </c>
      <c r="I244" s="137">
        <f>IFERROR(VLOOKUP($B244,'RoC3'!$A$1:$B$161,2,0),0)</f>
        <v>0</v>
      </c>
      <c r="J244" s="97">
        <f>IFERROR(VLOOKUP(I244,'RoC3'!$B$1:$C$161,2,0),0)</f>
        <v>0</v>
      </c>
      <c r="K244" s="137">
        <f>IFERROR(VLOOKUP($B244,'RoC4'!$A$1:$B$161,2,0),0)</f>
        <v>0</v>
      </c>
      <c r="L244" s="97">
        <f>IFERROR(VLOOKUP(K244,'RoC4'!$B$1:$C$161,2,0),0)</f>
        <v>0</v>
      </c>
      <c r="M244" s="137">
        <f>IFERROR(VLOOKUP($B244,'RoC5'!$A$1:$B$161,2,0),0)</f>
        <v>0</v>
      </c>
      <c r="N244" s="97">
        <f>IFERROR(VLOOKUP(M244,'RoC5'!$B$1:$C$161,2,0),0)</f>
        <v>0</v>
      </c>
      <c r="O244" s="137">
        <f>IFERROR(VLOOKUP($B244,'RoC6'!$A$1:$B$161,2,0),0)</f>
        <v>0</v>
      </c>
      <c r="P244" s="97">
        <f>IFERROR(VLOOKUP(O244,'RoC6'!$B$1:$C$161,2,0),0)</f>
        <v>0</v>
      </c>
      <c r="Q244" s="137">
        <f>IFERROR(VLOOKUP($B244,'RoC7'!$A$1:$B$161,2,0),0)</f>
        <v>0</v>
      </c>
      <c r="R244" s="97">
        <f>IFERROR(VLOOKUP(Q244,'RoC7'!$B$1:$C$161,2,0),0)</f>
        <v>0</v>
      </c>
      <c r="S244" s="137">
        <f>IFERROR(VLOOKUP($B244,'RoC8'!$A$1:$B$161,2,0),0)</f>
        <v>0</v>
      </c>
      <c r="T244" s="97">
        <f>IFERROR(VLOOKUP(S244,'RoC8'!$B$1:$C$161,2,0),0)</f>
        <v>0</v>
      </c>
      <c r="U244" s="137">
        <f>IFERROR(VLOOKUP($B244,'RoC9'!$A$1:$B$161,2,0),0)</f>
        <v>0</v>
      </c>
      <c r="V244" s="97">
        <f>IFERROR(VLOOKUP(U244,'RoC9'!$B$1:$C$161,2,0),0)</f>
        <v>0</v>
      </c>
      <c r="W244" s="137">
        <f>IFERROR(VLOOKUP($B244,'RoC10'!$A$1:$B$161,2,0),0)</f>
        <v>0</v>
      </c>
      <c r="X244" s="97">
        <f>IFERROR(VLOOKUP(W244,'RoC10'!$B$1:$C$161,2,0),0)</f>
        <v>0</v>
      </c>
      <c r="Y244" s="137">
        <f>IFERROR(VLOOKUP($B244,'RoC11'!$A$1:$B$161,2,0),0)</f>
        <v>0</v>
      </c>
      <c r="Z244" s="97">
        <f>IFERROR(VLOOKUP(Y244,'RoC11'!$B$1:$C$161,2,0),0)</f>
        <v>0</v>
      </c>
      <c r="AA244" s="97">
        <f>IFERROR(VLOOKUP(E244,'RoC1'!$B$1:$C$160,2,0),0)</f>
        <v>0</v>
      </c>
      <c r="AB244" s="97">
        <f>IFERROR(VLOOKUP(G244,'RoC2'!$B$1:$C$160,2,0),0)</f>
        <v>0</v>
      </c>
      <c r="AC244" s="97">
        <f>IFERROR(VLOOKUP(I244,'RoC3'!$B$1:$C$160,2,0),0)</f>
        <v>0</v>
      </c>
      <c r="AD244" s="97">
        <f>IFERROR(VLOOKUP(K244,'RoC4'!$B$1:$C$160,2,0),0)</f>
        <v>0</v>
      </c>
      <c r="AE244" s="97">
        <f>IFERROR(VLOOKUP(M244,'RoC5'!$B$1:$C$160,2,0),0)</f>
        <v>0</v>
      </c>
      <c r="AF244" s="97">
        <f>IFERROR(VLOOKUP(O244,'RoC6'!$B$1:$C$160,2,0),0)</f>
        <v>0</v>
      </c>
      <c r="AG244" s="97">
        <f>IFERROR(VLOOKUP(Q244,'RoC7'!$B$1:$C$160,2,0),0)</f>
        <v>0</v>
      </c>
      <c r="AH244" s="97">
        <f>IFERROR(VLOOKUP(S244,'RoC8'!$B$1:$C$160,2,0),0)</f>
        <v>0</v>
      </c>
      <c r="AI244" s="97">
        <f>IFERROR(VLOOKUP(U244,'RoC9'!$B$1:$C$160,2,0),0)</f>
        <v>0</v>
      </c>
      <c r="AJ244" s="97">
        <f>IFERROR(VLOOKUP(W244,'RoC10'!$B$1:$C$160,2,0),0)</f>
        <v>0</v>
      </c>
      <c r="AK244" s="97">
        <f>IFERROR(VLOOKUP(Y244,'RoC11'!$B$1:$C$160,2,0),0)</f>
        <v>0</v>
      </c>
    </row>
    <row r="245" ht="15.75" customHeight="1">
      <c r="A245" s="135">
        <v>244.0</v>
      </c>
      <c r="B245" s="124"/>
      <c r="C245" s="93">
        <f t="shared" si="4"/>
        <v>0</v>
      </c>
      <c r="D245" s="136"/>
      <c r="E245" s="137" t="str">
        <f>IFERROR(VLOOKUP($B245,'RoC1'!$A$1:$B$160,2,0),"0")</f>
        <v>0</v>
      </c>
      <c r="F245" s="97">
        <f>IFERROR(VLOOKUP(E245,'RoC1'!$B$1:$C$160,2,0),0)</f>
        <v>0</v>
      </c>
      <c r="G245" s="137" t="str">
        <f>IFERROR(VLOOKUP($B245,'RoC2'!$A$1:$B$161,2,0),"0")</f>
        <v>0</v>
      </c>
      <c r="H245" s="97">
        <f>IFERROR(VLOOKUP(G245,'RoC2'!$B$1:$C$161,2,0),0)</f>
        <v>0</v>
      </c>
      <c r="I245" s="137">
        <f>IFERROR(VLOOKUP($B245,'RoC3'!$A$1:$B$161,2,0),0)</f>
        <v>0</v>
      </c>
      <c r="J245" s="97">
        <f>IFERROR(VLOOKUP(I245,'RoC3'!$B$1:$C$161,2,0),0)</f>
        <v>0</v>
      </c>
      <c r="K245" s="137">
        <f>IFERROR(VLOOKUP($B245,'RoC4'!$A$1:$B$161,2,0),0)</f>
        <v>0</v>
      </c>
      <c r="L245" s="97">
        <f>IFERROR(VLOOKUP(K245,'RoC4'!$B$1:$C$161,2,0),0)</f>
        <v>0</v>
      </c>
      <c r="M245" s="137">
        <f>IFERROR(VLOOKUP($B245,'RoC5'!$A$1:$B$161,2,0),0)</f>
        <v>0</v>
      </c>
      <c r="N245" s="97">
        <f>IFERROR(VLOOKUP(M245,'RoC5'!$B$1:$C$161,2,0),0)</f>
        <v>0</v>
      </c>
      <c r="O245" s="137">
        <f>IFERROR(VLOOKUP($B245,'RoC6'!$A$1:$B$161,2,0),0)</f>
        <v>0</v>
      </c>
      <c r="P245" s="97">
        <f>IFERROR(VLOOKUP(O245,'RoC6'!$B$1:$C$161,2,0),0)</f>
        <v>0</v>
      </c>
      <c r="Q245" s="137">
        <f>IFERROR(VLOOKUP($B245,'RoC7'!$A$1:$B$161,2,0),0)</f>
        <v>0</v>
      </c>
      <c r="R245" s="97">
        <f>IFERROR(VLOOKUP(Q245,'RoC7'!$B$1:$C$161,2,0),0)</f>
        <v>0</v>
      </c>
      <c r="S245" s="137">
        <f>IFERROR(VLOOKUP($B245,'RoC8'!$A$1:$B$161,2,0),0)</f>
        <v>0</v>
      </c>
      <c r="T245" s="97">
        <f>IFERROR(VLOOKUP(S245,'RoC8'!$B$1:$C$161,2,0),0)</f>
        <v>0</v>
      </c>
      <c r="U245" s="137">
        <f>IFERROR(VLOOKUP($B245,'RoC9'!$A$1:$B$161,2,0),0)</f>
        <v>0</v>
      </c>
      <c r="V245" s="97">
        <f>IFERROR(VLOOKUP(U245,'RoC9'!$B$1:$C$161,2,0),0)</f>
        <v>0</v>
      </c>
      <c r="W245" s="137">
        <f>IFERROR(VLOOKUP($B245,'RoC10'!$A$1:$B$161,2,0),0)</f>
        <v>0</v>
      </c>
      <c r="X245" s="97">
        <f>IFERROR(VLOOKUP(W245,'RoC10'!$B$1:$C$161,2,0),0)</f>
        <v>0</v>
      </c>
      <c r="Y245" s="137">
        <f>IFERROR(VLOOKUP($B245,'RoC11'!$A$1:$B$161,2,0),0)</f>
        <v>0</v>
      </c>
      <c r="Z245" s="97">
        <f>IFERROR(VLOOKUP(Y245,'RoC11'!$B$1:$C$161,2,0),0)</f>
        <v>0</v>
      </c>
      <c r="AA245" s="97">
        <f>IFERROR(VLOOKUP(E245,'RoC1'!$B$1:$C$160,2,0),0)</f>
        <v>0</v>
      </c>
      <c r="AB245" s="97">
        <f>IFERROR(VLOOKUP(G245,'RoC2'!$B$1:$C$160,2,0),0)</f>
        <v>0</v>
      </c>
      <c r="AC245" s="97">
        <f>IFERROR(VLOOKUP(I245,'RoC3'!$B$1:$C$160,2,0),0)</f>
        <v>0</v>
      </c>
      <c r="AD245" s="97">
        <f>IFERROR(VLOOKUP(K245,'RoC4'!$B$1:$C$160,2,0),0)</f>
        <v>0</v>
      </c>
      <c r="AE245" s="97">
        <f>IFERROR(VLOOKUP(M245,'RoC5'!$B$1:$C$160,2,0),0)</f>
        <v>0</v>
      </c>
      <c r="AF245" s="97">
        <f>IFERROR(VLOOKUP(O245,'RoC6'!$B$1:$C$160,2,0),0)</f>
        <v>0</v>
      </c>
      <c r="AG245" s="97">
        <f>IFERROR(VLOOKUP(Q245,'RoC7'!$B$1:$C$160,2,0),0)</f>
        <v>0</v>
      </c>
      <c r="AH245" s="97">
        <f>IFERROR(VLOOKUP(S245,'RoC8'!$B$1:$C$160,2,0),0)</f>
        <v>0</v>
      </c>
      <c r="AI245" s="97">
        <f>IFERROR(VLOOKUP(U245,'RoC9'!$B$1:$C$160,2,0),0)</f>
        <v>0</v>
      </c>
      <c r="AJ245" s="97">
        <f>IFERROR(VLOOKUP(W245,'RoC10'!$B$1:$C$160,2,0),0)</f>
        <v>0</v>
      </c>
      <c r="AK245" s="97">
        <f>IFERROR(VLOOKUP(Y245,'RoC11'!$B$1:$C$160,2,0),0)</f>
        <v>0</v>
      </c>
    </row>
    <row r="246" ht="15.75" customHeight="1">
      <c r="A246" s="92">
        <v>245.0</v>
      </c>
      <c r="B246" s="124"/>
      <c r="C246" s="93">
        <f t="shared" si="4"/>
        <v>0</v>
      </c>
      <c r="D246" s="136"/>
      <c r="E246" s="137" t="str">
        <f>IFERROR(VLOOKUP($B246,'RoC1'!$A$1:$B$160,2,0),"0")</f>
        <v>0</v>
      </c>
      <c r="F246" s="97">
        <f>IFERROR(VLOOKUP(E246,'RoC1'!$B$1:$C$160,2,0),0)</f>
        <v>0</v>
      </c>
      <c r="G246" s="137" t="str">
        <f>IFERROR(VLOOKUP($B246,'RoC2'!$A$1:$B$161,2,0),"0")</f>
        <v>0</v>
      </c>
      <c r="H246" s="97">
        <f>IFERROR(VLOOKUP(G246,'RoC2'!$B$1:$C$161,2,0),0)</f>
        <v>0</v>
      </c>
      <c r="I246" s="137">
        <f>IFERROR(VLOOKUP($B246,'RoC3'!$A$1:$B$161,2,0),0)</f>
        <v>0</v>
      </c>
      <c r="J246" s="97">
        <f>IFERROR(VLOOKUP(I246,'RoC3'!$B$1:$C$161,2,0),0)</f>
        <v>0</v>
      </c>
      <c r="K246" s="137">
        <f>IFERROR(VLOOKUP($B246,'RoC4'!$A$1:$B$161,2,0),0)</f>
        <v>0</v>
      </c>
      <c r="L246" s="97">
        <f>IFERROR(VLOOKUP(K246,'RoC4'!$B$1:$C$161,2,0),0)</f>
        <v>0</v>
      </c>
      <c r="M246" s="137">
        <f>IFERROR(VLOOKUP($B246,'RoC5'!$A$1:$B$161,2,0),0)</f>
        <v>0</v>
      </c>
      <c r="N246" s="97">
        <f>IFERROR(VLOOKUP(M246,'RoC5'!$B$1:$C$161,2,0),0)</f>
        <v>0</v>
      </c>
      <c r="O246" s="137">
        <f>IFERROR(VLOOKUP($B246,'RoC6'!$A$1:$B$161,2,0),0)</f>
        <v>0</v>
      </c>
      <c r="P246" s="97">
        <f>IFERROR(VLOOKUP(O246,'RoC6'!$B$1:$C$161,2,0),0)</f>
        <v>0</v>
      </c>
      <c r="Q246" s="137">
        <f>IFERROR(VLOOKUP($B246,'RoC7'!$A$1:$B$161,2,0),0)</f>
        <v>0</v>
      </c>
      <c r="R246" s="97">
        <f>IFERROR(VLOOKUP(Q246,'RoC7'!$B$1:$C$161,2,0),0)</f>
        <v>0</v>
      </c>
      <c r="S246" s="137">
        <f>IFERROR(VLOOKUP($B246,'RoC8'!$A$1:$B$161,2,0),0)</f>
        <v>0</v>
      </c>
      <c r="T246" s="97">
        <f>IFERROR(VLOOKUP(S246,'RoC8'!$B$1:$C$161,2,0),0)</f>
        <v>0</v>
      </c>
      <c r="U246" s="137">
        <f>IFERROR(VLOOKUP($B246,'RoC9'!$A$1:$B$161,2,0),0)</f>
        <v>0</v>
      </c>
      <c r="V246" s="97">
        <f>IFERROR(VLOOKUP(U246,'RoC9'!$B$1:$C$161,2,0),0)</f>
        <v>0</v>
      </c>
      <c r="W246" s="137">
        <f>IFERROR(VLOOKUP($B246,'RoC10'!$A$1:$B$161,2,0),0)</f>
        <v>0</v>
      </c>
      <c r="X246" s="97">
        <f>IFERROR(VLOOKUP(W246,'RoC10'!$B$1:$C$161,2,0),0)</f>
        <v>0</v>
      </c>
      <c r="Y246" s="137">
        <f>IFERROR(VLOOKUP($B246,'RoC11'!$A$1:$B$161,2,0),0)</f>
        <v>0</v>
      </c>
      <c r="Z246" s="97">
        <f>IFERROR(VLOOKUP(Y246,'RoC11'!$B$1:$C$161,2,0),0)</f>
        <v>0</v>
      </c>
      <c r="AA246" s="97">
        <f>IFERROR(VLOOKUP(E246,'RoC1'!$B$1:$C$160,2,0),0)</f>
        <v>0</v>
      </c>
      <c r="AB246" s="97">
        <f>IFERROR(VLOOKUP(G246,'RoC2'!$B$1:$C$160,2,0),0)</f>
        <v>0</v>
      </c>
      <c r="AC246" s="97">
        <f>IFERROR(VLOOKUP(I246,'RoC3'!$B$1:$C$160,2,0),0)</f>
        <v>0</v>
      </c>
      <c r="AD246" s="97">
        <f>IFERROR(VLOOKUP(K246,'RoC4'!$B$1:$C$160,2,0),0)</f>
        <v>0</v>
      </c>
      <c r="AE246" s="97">
        <f>IFERROR(VLOOKUP(M246,'RoC5'!$B$1:$C$160,2,0),0)</f>
        <v>0</v>
      </c>
      <c r="AF246" s="97">
        <f>IFERROR(VLOOKUP(O246,'RoC6'!$B$1:$C$160,2,0),0)</f>
        <v>0</v>
      </c>
      <c r="AG246" s="97">
        <f>IFERROR(VLOOKUP(Q246,'RoC7'!$B$1:$C$160,2,0),0)</f>
        <v>0</v>
      </c>
      <c r="AH246" s="97">
        <f>IFERROR(VLOOKUP(S246,'RoC8'!$B$1:$C$160,2,0),0)</f>
        <v>0</v>
      </c>
      <c r="AI246" s="97">
        <f>IFERROR(VLOOKUP(U246,'RoC9'!$B$1:$C$160,2,0),0)</f>
        <v>0</v>
      </c>
      <c r="AJ246" s="97">
        <f>IFERROR(VLOOKUP(W246,'RoC10'!$B$1:$C$160,2,0),0)</f>
        <v>0</v>
      </c>
      <c r="AK246" s="97">
        <f>IFERROR(VLOOKUP(Y246,'RoC11'!$B$1:$C$160,2,0),0)</f>
        <v>0</v>
      </c>
    </row>
    <row r="247" ht="15.75" customHeight="1">
      <c r="A247" s="135">
        <v>246.0</v>
      </c>
      <c r="B247" s="124"/>
      <c r="C247" s="93">
        <f t="shared" si="4"/>
        <v>0</v>
      </c>
      <c r="D247" s="136"/>
      <c r="E247" s="137" t="str">
        <f>IFERROR(VLOOKUP($B247,'RoC1'!$A$1:$B$160,2,0),"0")</f>
        <v>0</v>
      </c>
      <c r="F247" s="97">
        <f>IFERROR(VLOOKUP(E247,'RoC1'!$B$1:$C$160,2,0),0)</f>
        <v>0</v>
      </c>
      <c r="G247" s="137" t="str">
        <f>IFERROR(VLOOKUP($B247,'RoC2'!$A$1:$B$161,2,0),"0")</f>
        <v>0</v>
      </c>
      <c r="H247" s="97">
        <f>IFERROR(VLOOKUP(G247,'RoC2'!$B$1:$C$161,2,0),0)</f>
        <v>0</v>
      </c>
      <c r="I247" s="137">
        <f>IFERROR(VLOOKUP($B247,'RoC3'!$A$1:$B$161,2,0),0)</f>
        <v>0</v>
      </c>
      <c r="J247" s="97">
        <f>IFERROR(VLOOKUP(I247,'RoC3'!$B$1:$C$161,2,0),0)</f>
        <v>0</v>
      </c>
      <c r="K247" s="137">
        <f>IFERROR(VLOOKUP($B247,'RoC4'!$A$1:$B$161,2,0),0)</f>
        <v>0</v>
      </c>
      <c r="L247" s="97">
        <f>IFERROR(VLOOKUP(K247,'RoC4'!$B$1:$C$161,2,0),0)</f>
        <v>0</v>
      </c>
      <c r="M247" s="137">
        <f>IFERROR(VLOOKUP($B247,'RoC5'!$A$1:$B$161,2,0),0)</f>
        <v>0</v>
      </c>
      <c r="N247" s="97">
        <f>IFERROR(VLOOKUP(M247,'RoC5'!$B$1:$C$161,2,0),0)</f>
        <v>0</v>
      </c>
      <c r="O247" s="137">
        <f>IFERROR(VLOOKUP($B247,'RoC6'!$A$1:$B$161,2,0),0)</f>
        <v>0</v>
      </c>
      <c r="P247" s="97">
        <f>IFERROR(VLOOKUP(O247,'RoC6'!$B$1:$C$161,2,0),0)</f>
        <v>0</v>
      </c>
      <c r="Q247" s="137">
        <f>IFERROR(VLOOKUP($B247,'RoC7'!$A$1:$B$161,2,0),0)</f>
        <v>0</v>
      </c>
      <c r="R247" s="97">
        <f>IFERROR(VLOOKUP(Q247,'RoC7'!$B$1:$C$161,2,0),0)</f>
        <v>0</v>
      </c>
      <c r="S247" s="137">
        <f>IFERROR(VLOOKUP($B247,'RoC8'!$A$1:$B$161,2,0),0)</f>
        <v>0</v>
      </c>
      <c r="T247" s="97">
        <f>IFERROR(VLOOKUP(S247,'RoC8'!$B$1:$C$161,2,0),0)</f>
        <v>0</v>
      </c>
      <c r="U247" s="137">
        <f>IFERROR(VLOOKUP($B247,'RoC9'!$A$1:$B$161,2,0),0)</f>
        <v>0</v>
      </c>
      <c r="V247" s="97">
        <f>IFERROR(VLOOKUP(U247,'RoC9'!$B$1:$C$161,2,0),0)</f>
        <v>0</v>
      </c>
      <c r="W247" s="137">
        <f>IFERROR(VLOOKUP($B247,'RoC10'!$A$1:$B$161,2,0),0)</f>
        <v>0</v>
      </c>
      <c r="X247" s="97">
        <f>IFERROR(VLOOKUP(W247,'RoC10'!$B$1:$C$161,2,0),0)</f>
        <v>0</v>
      </c>
      <c r="Y247" s="137">
        <f>IFERROR(VLOOKUP($B247,'RoC11'!$A$1:$B$161,2,0),0)</f>
        <v>0</v>
      </c>
      <c r="Z247" s="97">
        <f>IFERROR(VLOOKUP(Y247,'RoC11'!$B$1:$C$161,2,0),0)</f>
        <v>0</v>
      </c>
      <c r="AA247" s="97">
        <f>IFERROR(VLOOKUP(E247,'RoC1'!$B$1:$C$160,2,0),0)</f>
        <v>0</v>
      </c>
      <c r="AB247" s="97">
        <f>IFERROR(VLOOKUP(G247,'RoC2'!$B$1:$C$160,2,0),0)</f>
        <v>0</v>
      </c>
      <c r="AC247" s="97">
        <f>IFERROR(VLOOKUP(I247,'RoC3'!$B$1:$C$160,2,0),0)</f>
        <v>0</v>
      </c>
      <c r="AD247" s="97">
        <f>IFERROR(VLOOKUP(K247,'RoC4'!$B$1:$C$160,2,0),0)</f>
        <v>0</v>
      </c>
      <c r="AE247" s="97">
        <f>IFERROR(VLOOKUP(M247,'RoC5'!$B$1:$C$160,2,0),0)</f>
        <v>0</v>
      </c>
      <c r="AF247" s="97">
        <f>IFERROR(VLOOKUP(O247,'RoC6'!$B$1:$C$160,2,0),0)</f>
        <v>0</v>
      </c>
      <c r="AG247" s="97">
        <f>IFERROR(VLOOKUP(Q247,'RoC7'!$B$1:$C$160,2,0),0)</f>
        <v>0</v>
      </c>
      <c r="AH247" s="97">
        <f>IFERROR(VLOOKUP(S247,'RoC8'!$B$1:$C$160,2,0),0)</f>
        <v>0</v>
      </c>
      <c r="AI247" s="97">
        <f>IFERROR(VLOOKUP(U247,'RoC9'!$B$1:$C$160,2,0),0)</f>
        <v>0</v>
      </c>
      <c r="AJ247" s="97">
        <f>IFERROR(VLOOKUP(W247,'RoC10'!$B$1:$C$160,2,0),0)</f>
        <v>0</v>
      </c>
      <c r="AK247" s="97">
        <f>IFERROR(VLOOKUP(Y247,'RoC11'!$B$1:$C$160,2,0),0)</f>
        <v>0</v>
      </c>
    </row>
    <row r="248" ht="15.75" customHeight="1">
      <c r="A248" s="92">
        <v>247.0</v>
      </c>
      <c r="B248" s="124"/>
      <c r="C248" s="93">
        <f t="shared" si="4"/>
        <v>0</v>
      </c>
      <c r="D248" s="136"/>
      <c r="E248" s="137" t="str">
        <f>IFERROR(VLOOKUP($B248,'RoC1'!$A$1:$B$160,2,0),"0")</f>
        <v>0</v>
      </c>
      <c r="F248" s="97">
        <f>IFERROR(VLOOKUP(E248,'RoC1'!$B$1:$C$160,2,0),0)</f>
        <v>0</v>
      </c>
      <c r="G248" s="137" t="str">
        <f>IFERROR(VLOOKUP($B248,'RoC2'!$A$1:$B$161,2,0),"0")</f>
        <v>0</v>
      </c>
      <c r="H248" s="97">
        <f>IFERROR(VLOOKUP(G248,'RoC2'!$B$1:$C$161,2,0),0)</f>
        <v>0</v>
      </c>
      <c r="I248" s="137">
        <f>IFERROR(VLOOKUP($B248,'RoC3'!$A$1:$B$161,2,0),0)</f>
        <v>0</v>
      </c>
      <c r="J248" s="97">
        <f>IFERROR(VLOOKUP(I248,'RoC3'!$B$1:$C$161,2,0),0)</f>
        <v>0</v>
      </c>
      <c r="K248" s="137">
        <f>IFERROR(VLOOKUP($B248,'RoC4'!$A$1:$B$161,2,0),0)</f>
        <v>0</v>
      </c>
      <c r="L248" s="97">
        <f>IFERROR(VLOOKUP(K248,'RoC4'!$B$1:$C$161,2,0),0)</f>
        <v>0</v>
      </c>
      <c r="M248" s="137">
        <f>IFERROR(VLOOKUP($B248,'RoC5'!$A$1:$B$161,2,0),0)</f>
        <v>0</v>
      </c>
      <c r="N248" s="97">
        <f>IFERROR(VLOOKUP(M248,'RoC5'!$B$1:$C$161,2,0),0)</f>
        <v>0</v>
      </c>
      <c r="O248" s="137">
        <f>IFERROR(VLOOKUP($B248,'RoC6'!$A$1:$B$161,2,0),0)</f>
        <v>0</v>
      </c>
      <c r="P248" s="97">
        <f>IFERROR(VLOOKUP(O248,'RoC6'!$B$1:$C$161,2,0),0)</f>
        <v>0</v>
      </c>
      <c r="Q248" s="137">
        <f>IFERROR(VLOOKUP($B248,'RoC7'!$A$1:$B$161,2,0),0)</f>
        <v>0</v>
      </c>
      <c r="R248" s="97">
        <f>IFERROR(VLOOKUP(Q248,'RoC7'!$B$1:$C$161,2,0),0)</f>
        <v>0</v>
      </c>
      <c r="S248" s="137">
        <f>IFERROR(VLOOKUP($B248,'RoC8'!$A$1:$B$161,2,0),0)</f>
        <v>0</v>
      </c>
      <c r="T248" s="97">
        <f>IFERROR(VLOOKUP(S248,'RoC8'!$B$1:$C$161,2,0),0)</f>
        <v>0</v>
      </c>
      <c r="U248" s="137">
        <f>IFERROR(VLOOKUP($B248,'RoC9'!$A$1:$B$161,2,0),0)</f>
        <v>0</v>
      </c>
      <c r="V248" s="97">
        <f>IFERROR(VLOOKUP(U248,'RoC9'!$B$1:$C$161,2,0),0)</f>
        <v>0</v>
      </c>
      <c r="W248" s="137">
        <f>IFERROR(VLOOKUP($B248,'RoC10'!$A$1:$B$161,2,0),0)</f>
        <v>0</v>
      </c>
      <c r="X248" s="97">
        <f>IFERROR(VLOOKUP(W248,'RoC10'!$B$1:$C$161,2,0),0)</f>
        <v>0</v>
      </c>
      <c r="Y248" s="137">
        <f>IFERROR(VLOOKUP($B248,'RoC11'!$A$1:$B$161,2,0),0)</f>
        <v>0</v>
      </c>
      <c r="Z248" s="97">
        <f>IFERROR(VLOOKUP(Y248,'RoC11'!$B$1:$C$161,2,0),0)</f>
        <v>0</v>
      </c>
      <c r="AA248" s="97">
        <f>IFERROR(VLOOKUP(E248,'RoC1'!$B$1:$C$160,2,0),0)</f>
        <v>0</v>
      </c>
      <c r="AB248" s="97">
        <f>IFERROR(VLOOKUP(G248,'RoC2'!$B$1:$C$160,2,0),0)</f>
        <v>0</v>
      </c>
      <c r="AC248" s="97">
        <f>IFERROR(VLOOKUP(I248,'RoC3'!$B$1:$C$160,2,0),0)</f>
        <v>0</v>
      </c>
      <c r="AD248" s="97">
        <f>IFERROR(VLOOKUP(K248,'RoC4'!$B$1:$C$160,2,0),0)</f>
        <v>0</v>
      </c>
      <c r="AE248" s="97">
        <f>IFERROR(VLOOKUP(M248,'RoC5'!$B$1:$C$160,2,0),0)</f>
        <v>0</v>
      </c>
      <c r="AF248" s="97">
        <f>IFERROR(VLOOKUP(O248,'RoC6'!$B$1:$C$160,2,0),0)</f>
        <v>0</v>
      </c>
      <c r="AG248" s="97">
        <f>IFERROR(VLOOKUP(Q248,'RoC7'!$B$1:$C$160,2,0),0)</f>
        <v>0</v>
      </c>
      <c r="AH248" s="97">
        <f>IFERROR(VLOOKUP(S248,'RoC8'!$B$1:$C$160,2,0),0)</f>
        <v>0</v>
      </c>
      <c r="AI248" s="97">
        <f>IFERROR(VLOOKUP(U248,'RoC9'!$B$1:$C$160,2,0),0)</f>
        <v>0</v>
      </c>
      <c r="AJ248" s="97">
        <f>IFERROR(VLOOKUP(W248,'RoC10'!$B$1:$C$160,2,0),0)</f>
        <v>0</v>
      </c>
      <c r="AK248" s="97">
        <f>IFERROR(VLOOKUP(Y248,'RoC11'!$B$1:$C$160,2,0),0)</f>
        <v>0</v>
      </c>
    </row>
    <row r="249" ht="15.75" customHeight="1">
      <c r="A249" s="135">
        <v>248.0</v>
      </c>
      <c r="B249" s="124"/>
      <c r="C249" s="93">
        <f t="shared" si="4"/>
        <v>0</v>
      </c>
      <c r="D249" s="136"/>
      <c r="E249" s="137" t="str">
        <f>IFERROR(VLOOKUP($B249,'RoC1'!$A$1:$B$160,2,0),"0")</f>
        <v>0</v>
      </c>
      <c r="F249" s="97">
        <f>IFERROR(VLOOKUP(E249,'RoC1'!$B$1:$C$160,2,0),0)</f>
        <v>0</v>
      </c>
      <c r="G249" s="137" t="str">
        <f>IFERROR(VLOOKUP($B249,'RoC2'!$A$1:$B$161,2,0),"0")</f>
        <v>0</v>
      </c>
      <c r="H249" s="97">
        <f>IFERROR(VLOOKUP(G249,'RoC2'!$B$1:$C$161,2,0),0)</f>
        <v>0</v>
      </c>
      <c r="I249" s="137">
        <f>IFERROR(VLOOKUP($B249,'RoC3'!$A$1:$B$161,2,0),0)</f>
        <v>0</v>
      </c>
      <c r="J249" s="97">
        <f>IFERROR(VLOOKUP(I249,'RoC3'!$B$1:$C$161,2,0),0)</f>
        <v>0</v>
      </c>
      <c r="K249" s="137">
        <f>IFERROR(VLOOKUP($B249,'RoC4'!$A$1:$B$161,2,0),0)</f>
        <v>0</v>
      </c>
      <c r="L249" s="97">
        <f>IFERROR(VLOOKUP(K249,'RoC4'!$B$1:$C$161,2,0),0)</f>
        <v>0</v>
      </c>
      <c r="M249" s="137">
        <f>IFERROR(VLOOKUP($B249,'RoC5'!$A$1:$B$161,2,0),0)</f>
        <v>0</v>
      </c>
      <c r="N249" s="97">
        <f>IFERROR(VLOOKUP(M249,'RoC5'!$B$1:$C$161,2,0),0)</f>
        <v>0</v>
      </c>
      <c r="O249" s="137">
        <f>IFERROR(VLOOKUP($B249,'RoC6'!$A$1:$B$161,2,0),0)</f>
        <v>0</v>
      </c>
      <c r="P249" s="97">
        <f>IFERROR(VLOOKUP(O249,'RoC6'!$B$1:$C$161,2,0),0)</f>
        <v>0</v>
      </c>
      <c r="Q249" s="137">
        <f>IFERROR(VLOOKUP($B249,'RoC7'!$A$1:$B$161,2,0),0)</f>
        <v>0</v>
      </c>
      <c r="R249" s="97">
        <f>IFERROR(VLOOKUP(Q249,'RoC7'!$B$1:$C$161,2,0),0)</f>
        <v>0</v>
      </c>
      <c r="S249" s="137">
        <f>IFERROR(VLOOKUP($B249,'RoC8'!$A$1:$B$161,2,0),0)</f>
        <v>0</v>
      </c>
      <c r="T249" s="97">
        <f>IFERROR(VLOOKUP(S249,'RoC8'!$B$1:$C$161,2,0),0)</f>
        <v>0</v>
      </c>
      <c r="U249" s="137">
        <f>IFERROR(VLOOKUP($B249,'RoC9'!$A$1:$B$161,2,0),0)</f>
        <v>0</v>
      </c>
      <c r="V249" s="97">
        <f>IFERROR(VLOOKUP(U249,'RoC9'!$B$1:$C$161,2,0),0)</f>
        <v>0</v>
      </c>
      <c r="W249" s="137">
        <f>IFERROR(VLOOKUP($B249,'RoC10'!$A$1:$B$161,2,0),0)</f>
        <v>0</v>
      </c>
      <c r="X249" s="97">
        <f>IFERROR(VLOOKUP(W249,'RoC10'!$B$1:$C$161,2,0),0)</f>
        <v>0</v>
      </c>
      <c r="Y249" s="137">
        <f>IFERROR(VLOOKUP($B249,'RoC11'!$A$1:$B$161,2,0),0)</f>
        <v>0</v>
      </c>
      <c r="Z249" s="97">
        <f>IFERROR(VLOOKUP(Y249,'RoC11'!$B$1:$C$161,2,0),0)</f>
        <v>0</v>
      </c>
      <c r="AA249" s="97">
        <f>IFERROR(VLOOKUP(E249,'RoC1'!$B$1:$C$160,2,0),0)</f>
        <v>0</v>
      </c>
      <c r="AB249" s="97">
        <f>IFERROR(VLOOKUP(G249,'RoC2'!$B$1:$C$160,2,0),0)</f>
        <v>0</v>
      </c>
      <c r="AC249" s="97">
        <f>IFERROR(VLOOKUP(I249,'RoC3'!$B$1:$C$160,2,0),0)</f>
        <v>0</v>
      </c>
      <c r="AD249" s="97">
        <f>IFERROR(VLOOKUP(K249,'RoC4'!$B$1:$C$160,2,0),0)</f>
        <v>0</v>
      </c>
      <c r="AE249" s="97">
        <f>IFERROR(VLOOKUP(M249,'RoC5'!$B$1:$C$160,2,0),0)</f>
        <v>0</v>
      </c>
      <c r="AF249" s="97">
        <f>IFERROR(VLOOKUP(O249,'RoC6'!$B$1:$C$160,2,0),0)</f>
        <v>0</v>
      </c>
      <c r="AG249" s="97">
        <f>IFERROR(VLOOKUP(Q249,'RoC7'!$B$1:$C$160,2,0),0)</f>
        <v>0</v>
      </c>
      <c r="AH249" s="97">
        <f>IFERROR(VLOOKUP(S249,'RoC8'!$B$1:$C$160,2,0),0)</f>
        <v>0</v>
      </c>
      <c r="AI249" s="97">
        <f>IFERROR(VLOOKUP(U249,'RoC9'!$B$1:$C$160,2,0),0)</f>
        <v>0</v>
      </c>
      <c r="AJ249" s="97">
        <f>IFERROR(VLOOKUP(W249,'RoC10'!$B$1:$C$160,2,0),0)</f>
        <v>0</v>
      </c>
      <c r="AK249" s="97">
        <f>IFERROR(VLOOKUP(Y249,'RoC11'!$B$1:$C$160,2,0),0)</f>
        <v>0</v>
      </c>
    </row>
    <row r="250" ht="15.75" customHeight="1">
      <c r="A250" s="92">
        <v>249.0</v>
      </c>
      <c r="B250" s="124"/>
      <c r="C250" s="93">
        <f t="shared" si="4"/>
        <v>0</v>
      </c>
      <c r="D250" s="136"/>
      <c r="E250" s="137" t="str">
        <f>IFERROR(VLOOKUP($B250,'RoC1'!$A$1:$B$160,2,0),"0")</f>
        <v>0</v>
      </c>
      <c r="F250" s="97">
        <f>IFERROR(VLOOKUP(E250,'RoC1'!$B$1:$C$160,2,0),0)</f>
        <v>0</v>
      </c>
      <c r="G250" s="137" t="str">
        <f>IFERROR(VLOOKUP($B250,'RoC2'!$A$1:$B$161,2,0),"0")</f>
        <v>0</v>
      </c>
      <c r="H250" s="97">
        <f>IFERROR(VLOOKUP(G250,'RoC2'!$B$1:$C$161,2,0),0)</f>
        <v>0</v>
      </c>
      <c r="I250" s="137">
        <f>IFERROR(VLOOKUP($B250,'RoC3'!$A$1:$B$161,2,0),0)</f>
        <v>0</v>
      </c>
      <c r="J250" s="97">
        <f>IFERROR(VLOOKUP(I250,'RoC3'!$B$1:$C$161,2,0),0)</f>
        <v>0</v>
      </c>
      <c r="K250" s="137">
        <f>IFERROR(VLOOKUP($B250,'RoC4'!$A$1:$B$161,2,0),0)</f>
        <v>0</v>
      </c>
      <c r="L250" s="97">
        <f>IFERROR(VLOOKUP(K250,'RoC4'!$B$1:$C$161,2,0),0)</f>
        <v>0</v>
      </c>
      <c r="M250" s="137">
        <f>IFERROR(VLOOKUP($B250,'RoC5'!$A$1:$B$161,2,0),0)</f>
        <v>0</v>
      </c>
      <c r="N250" s="97">
        <f>IFERROR(VLOOKUP(M250,'RoC5'!$B$1:$C$161,2,0),0)</f>
        <v>0</v>
      </c>
      <c r="O250" s="137">
        <f>IFERROR(VLOOKUP($B250,'RoC6'!$A$1:$B$161,2,0),0)</f>
        <v>0</v>
      </c>
      <c r="P250" s="97">
        <f>IFERROR(VLOOKUP(O250,'RoC6'!$B$1:$C$161,2,0),0)</f>
        <v>0</v>
      </c>
      <c r="Q250" s="137">
        <f>IFERROR(VLOOKUP($B250,'RoC7'!$A$1:$B$161,2,0),0)</f>
        <v>0</v>
      </c>
      <c r="R250" s="97">
        <f>IFERROR(VLOOKUP(Q250,'RoC7'!$B$1:$C$161,2,0),0)</f>
        <v>0</v>
      </c>
      <c r="S250" s="137">
        <f>IFERROR(VLOOKUP($B250,'RoC8'!$A$1:$B$161,2,0),0)</f>
        <v>0</v>
      </c>
      <c r="T250" s="97">
        <f>IFERROR(VLOOKUP(S250,'RoC8'!$B$1:$C$161,2,0),0)</f>
        <v>0</v>
      </c>
      <c r="U250" s="137">
        <f>IFERROR(VLOOKUP($B250,'RoC9'!$A$1:$B$161,2,0),0)</f>
        <v>0</v>
      </c>
      <c r="V250" s="97">
        <f>IFERROR(VLOOKUP(U250,'RoC9'!$B$1:$C$161,2,0),0)</f>
        <v>0</v>
      </c>
      <c r="W250" s="137">
        <f>IFERROR(VLOOKUP($B250,'RoC10'!$A$1:$B$161,2,0),0)</f>
        <v>0</v>
      </c>
      <c r="X250" s="97">
        <f>IFERROR(VLOOKUP(W250,'RoC10'!$B$1:$C$161,2,0),0)</f>
        <v>0</v>
      </c>
      <c r="Y250" s="137">
        <f>IFERROR(VLOOKUP($B250,'RoC11'!$A$1:$B$161,2,0),0)</f>
        <v>0</v>
      </c>
      <c r="Z250" s="97">
        <f>IFERROR(VLOOKUP(Y250,'RoC11'!$B$1:$C$161,2,0),0)</f>
        <v>0</v>
      </c>
      <c r="AA250" s="97">
        <f>IFERROR(VLOOKUP(E250,'RoC1'!$B$1:$C$160,2,0),0)</f>
        <v>0</v>
      </c>
      <c r="AB250" s="97">
        <f>IFERROR(VLOOKUP(G250,'RoC2'!$B$1:$C$160,2,0),0)</f>
        <v>0</v>
      </c>
      <c r="AC250" s="97">
        <f>IFERROR(VLOOKUP(I250,'RoC3'!$B$1:$C$160,2,0),0)</f>
        <v>0</v>
      </c>
      <c r="AD250" s="97">
        <f>IFERROR(VLOOKUP(K250,'RoC4'!$B$1:$C$160,2,0),0)</f>
        <v>0</v>
      </c>
      <c r="AE250" s="97">
        <f>IFERROR(VLOOKUP(M250,'RoC5'!$B$1:$C$160,2,0),0)</f>
        <v>0</v>
      </c>
      <c r="AF250" s="97">
        <f>IFERROR(VLOOKUP(O250,'RoC6'!$B$1:$C$160,2,0),0)</f>
        <v>0</v>
      </c>
      <c r="AG250" s="97">
        <f>IFERROR(VLOOKUP(Q250,'RoC7'!$B$1:$C$160,2,0),0)</f>
        <v>0</v>
      </c>
      <c r="AH250" s="97">
        <f>IFERROR(VLOOKUP(S250,'RoC8'!$B$1:$C$160,2,0),0)</f>
        <v>0</v>
      </c>
      <c r="AI250" s="97">
        <f>IFERROR(VLOOKUP(U250,'RoC9'!$B$1:$C$160,2,0),0)</f>
        <v>0</v>
      </c>
      <c r="AJ250" s="97">
        <f>IFERROR(VLOOKUP(W250,'RoC10'!$B$1:$C$160,2,0),0)</f>
        <v>0</v>
      </c>
      <c r="AK250" s="97">
        <f>IFERROR(VLOOKUP(Y250,'RoC11'!$B$1:$C$160,2,0),0)</f>
        <v>0</v>
      </c>
    </row>
    <row r="251" ht="15.75" customHeight="1">
      <c r="A251" s="144"/>
      <c r="B251" s="144"/>
      <c r="C251" s="145"/>
      <c r="D251" s="145"/>
      <c r="E251" s="145"/>
      <c r="F251" s="146"/>
      <c r="G251" s="145"/>
      <c r="H251" s="146"/>
      <c r="I251" s="145"/>
      <c r="J251" s="146"/>
      <c r="K251" s="147"/>
      <c r="L251" s="147"/>
      <c r="M251" s="147"/>
      <c r="N251" s="147"/>
      <c r="O251" s="147"/>
      <c r="P251" s="147"/>
      <c r="Q251" s="147"/>
      <c r="R251" s="147"/>
      <c r="S251" s="147"/>
      <c r="T251" s="147"/>
      <c r="U251" s="147"/>
      <c r="V251" s="147"/>
      <c r="W251" s="147"/>
      <c r="X251" s="147"/>
      <c r="Y251" s="147"/>
      <c r="Z251" s="147"/>
      <c r="AA251" s="147"/>
      <c r="AB251" s="147"/>
      <c r="AC251" s="147"/>
      <c r="AD251" s="147"/>
      <c r="AE251" s="147"/>
      <c r="AF251" s="147"/>
      <c r="AG251" s="147"/>
      <c r="AH251" s="147"/>
      <c r="AI251" s="147"/>
      <c r="AJ251" s="147"/>
      <c r="AK251" s="147"/>
    </row>
    <row r="252" ht="15.75" customHeight="1">
      <c r="A252" s="144"/>
      <c r="B252" s="144"/>
      <c r="C252" s="145"/>
      <c r="D252" s="145"/>
      <c r="E252" s="145"/>
      <c r="F252" s="146"/>
      <c r="G252" s="145"/>
      <c r="H252" s="146"/>
      <c r="I252" s="145"/>
      <c r="J252" s="146"/>
      <c r="K252" s="147"/>
      <c r="L252" s="147"/>
      <c r="M252" s="147"/>
      <c r="N252" s="147"/>
      <c r="O252" s="147"/>
      <c r="P252" s="147"/>
      <c r="Q252" s="147"/>
      <c r="R252" s="147"/>
      <c r="S252" s="147"/>
      <c r="T252" s="147"/>
      <c r="U252" s="147"/>
      <c r="V252" s="147"/>
      <c r="W252" s="147"/>
      <c r="X252" s="147"/>
      <c r="Y252" s="147"/>
      <c r="Z252" s="147"/>
      <c r="AA252" s="147"/>
      <c r="AB252" s="147"/>
      <c r="AC252" s="147"/>
      <c r="AD252" s="147"/>
      <c r="AE252" s="147"/>
      <c r="AF252" s="147"/>
      <c r="AG252" s="147"/>
      <c r="AH252" s="147"/>
      <c r="AI252" s="147"/>
      <c r="AJ252" s="147"/>
      <c r="AK252" s="147"/>
    </row>
    <row r="253" ht="15.75" customHeight="1">
      <c r="A253" s="144"/>
      <c r="B253" s="144"/>
      <c r="C253" s="145"/>
      <c r="D253" s="145"/>
      <c r="E253" s="145"/>
      <c r="F253" s="146"/>
      <c r="G253" s="145"/>
      <c r="H253" s="146"/>
      <c r="I253" s="145"/>
      <c r="J253" s="146"/>
      <c r="K253" s="147"/>
      <c r="L253" s="147"/>
      <c r="M253" s="147"/>
      <c r="N253" s="147"/>
      <c r="O253" s="147"/>
      <c r="P253" s="147"/>
      <c r="Q253" s="147"/>
      <c r="R253" s="147"/>
      <c r="S253" s="147"/>
      <c r="T253" s="147"/>
      <c r="U253" s="147"/>
      <c r="V253" s="147"/>
      <c r="W253" s="147"/>
      <c r="X253" s="147"/>
      <c r="Y253" s="147"/>
      <c r="Z253" s="147"/>
      <c r="AA253" s="147"/>
      <c r="AB253" s="147"/>
      <c r="AC253" s="147"/>
      <c r="AD253" s="147"/>
      <c r="AE253" s="147"/>
      <c r="AF253" s="147"/>
      <c r="AG253" s="147"/>
      <c r="AH253" s="147"/>
      <c r="AI253" s="147"/>
      <c r="AJ253" s="147"/>
      <c r="AK253" s="147"/>
    </row>
    <row r="254" ht="15.75" customHeight="1">
      <c r="A254" s="144"/>
      <c r="B254" s="144"/>
      <c r="C254" s="145"/>
      <c r="D254" s="145"/>
      <c r="E254" s="145"/>
      <c r="F254" s="146"/>
      <c r="G254" s="145"/>
      <c r="H254" s="146"/>
      <c r="I254" s="145"/>
      <c r="J254" s="146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7"/>
      <c r="AF254" s="147"/>
      <c r="AG254" s="147"/>
      <c r="AH254" s="147"/>
      <c r="AI254" s="147"/>
      <c r="AJ254" s="147"/>
      <c r="AK254" s="147"/>
    </row>
    <row r="255" ht="15.75" customHeight="1">
      <c r="A255" s="144"/>
      <c r="B255" s="144"/>
      <c r="C255" s="145"/>
      <c r="D255" s="145"/>
      <c r="E255" s="145"/>
      <c r="F255" s="146"/>
      <c r="G255" s="145"/>
      <c r="H255" s="146"/>
      <c r="I255" s="145"/>
      <c r="J255" s="146"/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  <c r="AA255" s="147"/>
      <c r="AB255" s="147"/>
      <c r="AC255" s="147"/>
      <c r="AD255" s="147"/>
      <c r="AE255" s="147"/>
      <c r="AF255" s="147"/>
      <c r="AG255" s="147"/>
      <c r="AH255" s="147"/>
      <c r="AI255" s="147"/>
      <c r="AJ255" s="147"/>
      <c r="AK255" s="147"/>
    </row>
    <row r="256" ht="15.75" customHeight="1">
      <c r="A256" s="144"/>
      <c r="B256" s="144"/>
      <c r="C256" s="145"/>
      <c r="D256" s="145"/>
      <c r="E256" s="145"/>
      <c r="F256" s="146"/>
      <c r="G256" s="145"/>
      <c r="H256" s="146"/>
      <c r="I256" s="145"/>
      <c r="J256" s="146"/>
      <c r="K256" s="147"/>
      <c r="L256" s="147"/>
      <c r="M256" s="147"/>
      <c r="N256" s="147"/>
      <c r="O256" s="147"/>
      <c r="P256" s="147"/>
      <c r="Q256" s="147"/>
      <c r="R256" s="147"/>
      <c r="S256" s="147"/>
      <c r="T256" s="147"/>
      <c r="U256" s="147"/>
      <c r="V256" s="147"/>
      <c r="W256" s="147"/>
      <c r="X256" s="147"/>
      <c r="Y256" s="147"/>
      <c r="Z256" s="147"/>
      <c r="AA256" s="147"/>
      <c r="AB256" s="147"/>
      <c r="AC256" s="147"/>
      <c r="AD256" s="147"/>
      <c r="AE256" s="147"/>
      <c r="AF256" s="147"/>
      <c r="AG256" s="147"/>
      <c r="AH256" s="147"/>
      <c r="AI256" s="147"/>
      <c r="AJ256" s="147"/>
      <c r="AK256" s="147"/>
    </row>
    <row r="257" ht="15.75" customHeight="1">
      <c r="A257" s="144"/>
      <c r="B257" s="144"/>
      <c r="C257" s="145"/>
      <c r="D257" s="145"/>
      <c r="E257" s="145"/>
      <c r="F257" s="146"/>
      <c r="G257" s="145"/>
      <c r="H257" s="146"/>
      <c r="I257" s="145"/>
      <c r="J257" s="146"/>
      <c r="K257" s="147"/>
      <c r="L257" s="147"/>
      <c r="M257" s="147"/>
      <c r="N257" s="147"/>
      <c r="O257" s="147"/>
      <c r="P257" s="147"/>
      <c r="Q257" s="147"/>
      <c r="R257" s="147"/>
      <c r="S257" s="147"/>
      <c r="T257" s="147"/>
      <c r="U257" s="147"/>
      <c r="V257" s="147"/>
      <c r="W257" s="147"/>
      <c r="X257" s="147"/>
      <c r="Y257" s="147"/>
      <c r="Z257" s="147"/>
      <c r="AA257" s="147"/>
      <c r="AB257" s="147"/>
      <c r="AC257" s="147"/>
      <c r="AD257" s="147"/>
      <c r="AE257" s="147"/>
      <c r="AF257" s="147"/>
      <c r="AG257" s="147"/>
      <c r="AH257" s="147"/>
      <c r="AI257" s="147"/>
      <c r="AJ257" s="147"/>
      <c r="AK257" s="147"/>
    </row>
    <row r="258" ht="15.75" customHeight="1">
      <c r="A258" s="144"/>
      <c r="B258" s="144"/>
      <c r="C258" s="145"/>
      <c r="D258" s="145"/>
      <c r="E258" s="145"/>
      <c r="F258" s="146"/>
      <c r="G258" s="145"/>
      <c r="H258" s="146"/>
      <c r="I258" s="145"/>
      <c r="J258" s="146"/>
      <c r="K258" s="147"/>
      <c r="L258" s="147"/>
      <c r="M258" s="147"/>
      <c r="N258" s="147"/>
      <c r="O258" s="147"/>
      <c r="P258" s="147"/>
      <c r="Q258" s="147"/>
      <c r="R258" s="147"/>
      <c r="S258" s="147"/>
      <c r="T258" s="147"/>
      <c r="U258" s="147"/>
      <c r="V258" s="147"/>
      <c r="W258" s="147"/>
      <c r="X258" s="147"/>
      <c r="Y258" s="147"/>
      <c r="Z258" s="147"/>
      <c r="AA258" s="147"/>
      <c r="AB258" s="147"/>
      <c r="AC258" s="147"/>
      <c r="AD258" s="147"/>
      <c r="AE258" s="147"/>
      <c r="AF258" s="147"/>
      <c r="AG258" s="147"/>
      <c r="AH258" s="147"/>
      <c r="AI258" s="147"/>
      <c r="AJ258" s="147"/>
      <c r="AK258" s="147"/>
    </row>
    <row r="259" ht="15.75" customHeight="1">
      <c r="A259" s="144"/>
      <c r="B259" s="144"/>
      <c r="C259" s="145"/>
      <c r="D259" s="145"/>
      <c r="E259" s="145"/>
      <c r="F259" s="146"/>
      <c r="G259" s="145"/>
      <c r="H259" s="146"/>
      <c r="I259" s="145"/>
      <c r="J259" s="146"/>
      <c r="K259" s="147"/>
      <c r="L259" s="147"/>
      <c r="M259" s="147"/>
      <c r="N259" s="147"/>
      <c r="O259" s="147"/>
      <c r="P259" s="147"/>
      <c r="Q259" s="147"/>
      <c r="R259" s="147"/>
      <c r="S259" s="147"/>
      <c r="T259" s="147"/>
      <c r="U259" s="147"/>
      <c r="V259" s="147"/>
      <c r="W259" s="147"/>
      <c r="X259" s="147"/>
      <c r="Y259" s="147"/>
      <c r="Z259" s="147"/>
      <c r="AA259" s="147"/>
      <c r="AB259" s="147"/>
      <c r="AC259" s="147"/>
      <c r="AD259" s="147"/>
      <c r="AE259" s="147"/>
      <c r="AF259" s="147"/>
      <c r="AG259" s="147"/>
      <c r="AH259" s="147"/>
      <c r="AI259" s="147"/>
      <c r="AJ259" s="147"/>
      <c r="AK259" s="147"/>
    </row>
    <row r="260" ht="15.75" customHeight="1">
      <c r="A260" s="144"/>
      <c r="B260" s="144"/>
      <c r="C260" s="145"/>
      <c r="D260" s="145"/>
      <c r="E260" s="145"/>
      <c r="F260" s="146"/>
      <c r="G260" s="145"/>
      <c r="H260" s="146"/>
      <c r="I260" s="145"/>
      <c r="J260" s="146"/>
      <c r="K260" s="147"/>
      <c r="L260" s="147"/>
      <c r="M260" s="147"/>
      <c r="N260" s="147"/>
      <c r="O260" s="147"/>
      <c r="P260" s="147"/>
      <c r="Q260" s="147"/>
      <c r="R260" s="147"/>
      <c r="S260" s="147"/>
      <c r="T260" s="147"/>
      <c r="U260" s="147"/>
      <c r="V260" s="147"/>
      <c r="W260" s="147"/>
      <c r="X260" s="147"/>
      <c r="Y260" s="147"/>
      <c r="Z260" s="147"/>
      <c r="AA260" s="147"/>
      <c r="AB260" s="147"/>
      <c r="AC260" s="147"/>
      <c r="AD260" s="147"/>
      <c r="AE260" s="147"/>
      <c r="AF260" s="147"/>
      <c r="AG260" s="147"/>
      <c r="AH260" s="147"/>
      <c r="AI260" s="147"/>
      <c r="AJ260" s="147"/>
      <c r="AK260" s="147"/>
    </row>
    <row r="261" ht="15.75" customHeight="1">
      <c r="A261" s="144"/>
      <c r="B261" s="144"/>
      <c r="C261" s="145"/>
      <c r="D261" s="145"/>
      <c r="E261" s="145"/>
      <c r="F261" s="146"/>
      <c r="G261" s="145"/>
      <c r="H261" s="146"/>
      <c r="I261" s="145"/>
      <c r="J261" s="146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47"/>
      <c r="Y261" s="147"/>
      <c r="Z261" s="147"/>
      <c r="AA261" s="147"/>
      <c r="AB261" s="147"/>
      <c r="AC261" s="147"/>
      <c r="AD261" s="147"/>
      <c r="AE261" s="147"/>
      <c r="AF261" s="147"/>
      <c r="AG261" s="147"/>
      <c r="AH261" s="147"/>
      <c r="AI261" s="147"/>
      <c r="AJ261" s="147"/>
      <c r="AK261" s="147"/>
    </row>
    <row r="262" ht="15.75" customHeight="1">
      <c r="A262" s="144"/>
      <c r="B262" s="144"/>
      <c r="C262" s="145"/>
      <c r="D262" s="145"/>
      <c r="E262" s="145"/>
      <c r="F262" s="146"/>
      <c r="G262" s="145"/>
      <c r="H262" s="146"/>
      <c r="I262" s="145"/>
      <c r="J262" s="146"/>
      <c r="K262" s="147"/>
      <c r="L262" s="147"/>
      <c r="M262" s="147"/>
      <c r="N262" s="147"/>
      <c r="O262" s="147"/>
      <c r="P262" s="147"/>
      <c r="Q262" s="147"/>
      <c r="R262" s="147"/>
      <c r="S262" s="147"/>
      <c r="T262" s="147"/>
      <c r="U262" s="147"/>
      <c r="V262" s="147"/>
      <c r="W262" s="147"/>
      <c r="X262" s="147"/>
      <c r="Y262" s="147"/>
      <c r="Z262" s="147"/>
      <c r="AA262" s="147"/>
      <c r="AB262" s="147"/>
      <c r="AC262" s="147"/>
      <c r="AD262" s="147"/>
      <c r="AE262" s="147"/>
      <c r="AF262" s="147"/>
      <c r="AG262" s="147"/>
      <c r="AH262" s="147"/>
      <c r="AI262" s="147"/>
      <c r="AJ262" s="147"/>
      <c r="AK262" s="147"/>
    </row>
    <row r="263" ht="15.75" customHeight="1">
      <c r="A263" s="144"/>
      <c r="B263" s="144"/>
      <c r="C263" s="145"/>
      <c r="D263" s="145"/>
      <c r="E263" s="145"/>
      <c r="F263" s="146"/>
      <c r="G263" s="145"/>
      <c r="H263" s="146"/>
      <c r="I263" s="145"/>
      <c r="J263" s="146"/>
      <c r="K263" s="147"/>
      <c r="L263" s="147"/>
      <c r="M263" s="147"/>
      <c r="N263" s="147"/>
      <c r="O263" s="147"/>
      <c r="P263" s="147"/>
      <c r="Q263" s="147"/>
      <c r="R263" s="147"/>
      <c r="S263" s="147"/>
      <c r="T263" s="147"/>
      <c r="U263" s="147"/>
      <c r="V263" s="147"/>
      <c r="W263" s="147"/>
      <c r="X263" s="147"/>
      <c r="Y263" s="147"/>
      <c r="Z263" s="147"/>
      <c r="AA263" s="147"/>
      <c r="AB263" s="147"/>
      <c r="AC263" s="147"/>
      <c r="AD263" s="147"/>
      <c r="AE263" s="147"/>
      <c r="AF263" s="147"/>
      <c r="AG263" s="147"/>
      <c r="AH263" s="147"/>
      <c r="AI263" s="147"/>
      <c r="AJ263" s="147"/>
      <c r="AK263" s="147"/>
    </row>
    <row r="264" ht="15.75" customHeight="1">
      <c r="A264" s="144"/>
      <c r="B264" s="144"/>
      <c r="C264" s="145"/>
      <c r="D264" s="145"/>
      <c r="E264" s="145"/>
      <c r="F264" s="146"/>
      <c r="G264" s="145"/>
      <c r="H264" s="146"/>
      <c r="I264" s="145"/>
      <c r="J264" s="146"/>
      <c r="K264" s="147"/>
      <c r="L264" s="147"/>
      <c r="M264" s="147"/>
      <c r="N264" s="147"/>
      <c r="O264" s="147"/>
      <c r="P264" s="147"/>
      <c r="Q264" s="147"/>
      <c r="R264" s="147"/>
      <c r="S264" s="147"/>
      <c r="T264" s="147"/>
      <c r="U264" s="147"/>
      <c r="V264" s="147"/>
      <c r="W264" s="147"/>
      <c r="X264" s="147"/>
      <c r="Y264" s="147"/>
      <c r="Z264" s="147"/>
      <c r="AA264" s="147"/>
      <c r="AB264" s="147"/>
      <c r="AC264" s="147"/>
      <c r="AD264" s="147"/>
      <c r="AE264" s="147"/>
      <c r="AF264" s="147"/>
      <c r="AG264" s="147"/>
      <c r="AH264" s="147"/>
      <c r="AI264" s="147"/>
      <c r="AJ264" s="147"/>
      <c r="AK264" s="147"/>
    </row>
    <row r="265" ht="15.75" customHeight="1">
      <c r="A265" s="144"/>
      <c r="B265" s="144"/>
      <c r="C265" s="145"/>
      <c r="D265" s="145"/>
      <c r="E265" s="145"/>
      <c r="F265" s="146"/>
      <c r="G265" s="145"/>
      <c r="H265" s="146"/>
      <c r="I265" s="145"/>
      <c r="J265" s="146"/>
      <c r="K265" s="147"/>
      <c r="L265" s="147"/>
      <c r="M265" s="147"/>
      <c r="N265" s="147"/>
      <c r="O265" s="147"/>
      <c r="P265" s="147"/>
      <c r="Q265" s="147"/>
      <c r="R265" s="147"/>
      <c r="S265" s="147"/>
      <c r="T265" s="147"/>
      <c r="U265" s="147"/>
      <c r="V265" s="147"/>
      <c r="W265" s="147"/>
      <c r="X265" s="147"/>
      <c r="Y265" s="147"/>
      <c r="Z265" s="147"/>
      <c r="AA265" s="147"/>
      <c r="AB265" s="147"/>
      <c r="AC265" s="147"/>
      <c r="AD265" s="147"/>
      <c r="AE265" s="147"/>
      <c r="AF265" s="147"/>
      <c r="AG265" s="147"/>
      <c r="AH265" s="147"/>
      <c r="AI265" s="147"/>
      <c r="AJ265" s="147"/>
      <c r="AK265" s="147"/>
    </row>
    <row r="266" ht="15.75" customHeight="1">
      <c r="A266" s="144"/>
      <c r="B266" s="144"/>
      <c r="C266" s="145"/>
      <c r="D266" s="145"/>
      <c r="E266" s="145"/>
      <c r="F266" s="146"/>
      <c r="G266" s="145"/>
      <c r="H266" s="146"/>
      <c r="I266" s="145"/>
      <c r="J266" s="146"/>
      <c r="K266" s="147"/>
      <c r="L266" s="147"/>
      <c r="M266" s="147"/>
      <c r="N266" s="147"/>
      <c r="O266" s="147"/>
      <c r="P266" s="147"/>
      <c r="Q266" s="147"/>
      <c r="R266" s="147"/>
      <c r="S266" s="147"/>
      <c r="T266" s="147"/>
      <c r="U266" s="147"/>
      <c r="V266" s="147"/>
      <c r="W266" s="147"/>
      <c r="X266" s="147"/>
      <c r="Y266" s="147"/>
      <c r="Z266" s="147"/>
      <c r="AA266" s="147"/>
      <c r="AB266" s="147"/>
      <c r="AC266" s="147"/>
      <c r="AD266" s="147"/>
      <c r="AE266" s="147"/>
      <c r="AF266" s="147"/>
      <c r="AG266" s="147"/>
      <c r="AH266" s="147"/>
      <c r="AI266" s="147"/>
      <c r="AJ266" s="147"/>
      <c r="AK266" s="147"/>
    </row>
    <row r="267" ht="15.75" customHeight="1">
      <c r="A267" s="144"/>
      <c r="B267" s="144"/>
      <c r="C267" s="145"/>
      <c r="D267" s="145"/>
      <c r="E267" s="145"/>
      <c r="F267" s="146"/>
      <c r="G267" s="145"/>
      <c r="H267" s="146"/>
      <c r="I267" s="145"/>
      <c r="J267" s="146"/>
      <c r="K267" s="147"/>
      <c r="L267" s="147"/>
      <c r="M267" s="147"/>
      <c r="N267" s="147"/>
      <c r="O267" s="147"/>
      <c r="P267" s="147"/>
      <c r="Q267" s="147"/>
      <c r="R267" s="147"/>
      <c r="S267" s="147"/>
      <c r="T267" s="147"/>
      <c r="U267" s="147"/>
      <c r="V267" s="147"/>
      <c r="W267" s="147"/>
      <c r="X267" s="147"/>
      <c r="Y267" s="147"/>
      <c r="Z267" s="147"/>
      <c r="AA267" s="147"/>
      <c r="AB267" s="147"/>
      <c r="AC267" s="147"/>
      <c r="AD267" s="147"/>
      <c r="AE267" s="147"/>
      <c r="AF267" s="147"/>
      <c r="AG267" s="147"/>
      <c r="AH267" s="147"/>
      <c r="AI267" s="147"/>
      <c r="AJ267" s="147"/>
      <c r="AK267" s="147"/>
    </row>
    <row r="268" ht="15.75" customHeight="1">
      <c r="A268" s="144"/>
      <c r="B268" s="144"/>
      <c r="C268" s="145"/>
      <c r="D268" s="145"/>
      <c r="E268" s="145"/>
      <c r="F268" s="146"/>
      <c r="G268" s="145"/>
      <c r="H268" s="146"/>
      <c r="I268" s="145"/>
      <c r="J268" s="146"/>
      <c r="K268" s="147"/>
      <c r="L268" s="147"/>
      <c r="M268" s="147"/>
      <c r="N268" s="147"/>
      <c r="O268" s="147"/>
      <c r="P268" s="147"/>
      <c r="Q268" s="147"/>
      <c r="R268" s="147"/>
      <c r="S268" s="147"/>
      <c r="T268" s="147"/>
      <c r="U268" s="147"/>
      <c r="V268" s="147"/>
      <c r="W268" s="147"/>
      <c r="X268" s="147"/>
      <c r="Y268" s="147"/>
      <c r="Z268" s="147"/>
      <c r="AA268" s="147"/>
      <c r="AB268" s="147"/>
      <c r="AC268" s="147"/>
      <c r="AD268" s="147"/>
      <c r="AE268" s="147"/>
      <c r="AF268" s="147"/>
      <c r="AG268" s="147"/>
      <c r="AH268" s="147"/>
      <c r="AI268" s="147"/>
      <c r="AJ268" s="147"/>
      <c r="AK268" s="147"/>
    </row>
    <row r="269" ht="15.75" customHeight="1">
      <c r="A269" s="144"/>
      <c r="B269" s="144"/>
      <c r="C269" s="145"/>
      <c r="D269" s="145"/>
      <c r="E269" s="145"/>
      <c r="F269" s="146"/>
      <c r="G269" s="145"/>
      <c r="H269" s="146"/>
      <c r="I269" s="145"/>
      <c r="J269" s="146"/>
      <c r="K269" s="147"/>
      <c r="L269" s="147"/>
      <c r="M269" s="147"/>
      <c r="N269" s="147"/>
      <c r="O269" s="147"/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  <c r="AA269" s="147"/>
      <c r="AB269" s="147"/>
      <c r="AC269" s="147"/>
      <c r="AD269" s="147"/>
      <c r="AE269" s="147"/>
      <c r="AF269" s="147"/>
      <c r="AG269" s="147"/>
      <c r="AH269" s="147"/>
      <c r="AI269" s="147"/>
      <c r="AJ269" s="147"/>
      <c r="AK269" s="147"/>
    </row>
    <row r="270" ht="15.75" customHeight="1">
      <c r="A270" s="144"/>
      <c r="B270" s="144"/>
      <c r="C270" s="145"/>
      <c r="D270" s="145"/>
      <c r="E270" s="145"/>
      <c r="F270" s="146"/>
      <c r="G270" s="145"/>
      <c r="H270" s="146"/>
      <c r="I270" s="145"/>
      <c r="J270" s="146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7"/>
      <c r="AF270" s="147"/>
      <c r="AG270" s="147"/>
      <c r="AH270" s="147"/>
      <c r="AI270" s="147"/>
      <c r="AJ270" s="147"/>
      <c r="AK270" s="147"/>
    </row>
    <row r="271" ht="15.75" customHeight="1">
      <c r="A271" s="144"/>
      <c r="B271" s="144"/>
      <c r="C271" s="145"/>
      <c r="D271" s="145"/>
      <c r="E271" s="145"/>
      <c r="F271" s="146"/>
      <c r="G271" s="145"/>
      <c r="H271" s="146"/>
      <c r="I271" s="145"/>
      <c r="J271" s="146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  <c r="AA271" s="147"/>
      <c r="AB271" s="147"/>
      <c r="AC271" s="147"/>
      <c r="AD271" s="147"/>
      <c r="AE271" s="147"/>
      <c r="AF271" s="147"/>
      <c r="AG271" s="147"/>
      <c r="AH271" s="147"/>
      <c r="AI271" s="147"/>
      <c r="AJ271" s="147"/>
      <c r="AK271" s="147"/>
    </row>
    <row r="272" ht="15.75" customHeight="1">
      <c r="A272" s="144"/>
      <c r="B272" s="144"/>
      <c r="C272" s="145"/>
      <c r="D272" s="145"/>
      <c r="E272" s="145"/>
      <c r="F272" s="146"/>
      <c r="G272" s="145"/>
      <c r="H272" s="146"/>
      <c r="I272" s="145"/>
      <c r="J272" s="146"/>
      <c r="K272" s="147"/>
      <c r="L272" s="147"/>
      <c r="M272" s="147"/>
      <c r="N272" s="147"/>
      <c r="O272" s="147"/>
      <c r="P272" s="147"/>
      <c r="Q272" s="147"/>
      <c r="R272" s="147"/>
      <c r="S272" s="147"/>
      <c r="T272" s="147"/>
      <c r="U272" s="147"/>
      <c r="V272" s="147"/>
      <c r="W272" s="147"/>
      <c r="X272" s="147"/>
      <c r="Y272" s="147"/>
      <c r="Z272" s="147"/>
      <c r="AA272" s="147"/>
      <c r="AB272" s="147"/>
      <c r="AC272" s="147"/>
      <c r="AD272" s="147"/>
      <c r="AE272" s="147"/>
      <c r="AF272" s="147"/>
      <c r="AG272" s="147"/>
      <c r="AH272" s="147"/>
      <c r="AI272" s="147"/>
      <c r="AJ272" s="147"/>
      <c r="AK272" s="147"/>
    </row>
    <row r="273" ht="15.75" customHeight="1">
      <c r="A273" s="144"/>
      <c r="B273" s="144"/>
      <c r="C273" s="145"/>
      <c r="D273" s="145"/>
      <c r="E273" s="145"/>
      <c r="F273" s="146"/>
      <c r="G273" s="145"/>
      <c r="H273" s="146"/>
      <c r="I273" s="145"/>
      <c r="J273" s="146"/>
      <c r="K273" s="147"/>
      <c r="L273" s="147"/>
      <c r="M273" s="147"/>
      <c r="N273" s="147"/>
      <c r="O273" s="147"/>
      <c r="P273" s="147"/>
      <c r="Q273" s="147"/>
      <c r="R273" s="147"/>
      <c r="S273" s="147"/>
      <c r="T273" s="147"/>
      <c r="U273" s="147"/>
      <c r="V273" s="147"/>
      <c r="W273" s="147"/>
      <c r="X273" s="147"/>
      <c r="Y273" s="147"/>
      <c r="Z273" s="147"/>
      <c r="AA273" s="147"/>
      <c r="AB273" s="147"/>
      <c r="AC273" s="147"/>
      <c r="AD273" s="147"/>
      <c r="AE273" s="147"/>
      <c r="AF273" s="147"/>
      <c r="AG273" s="147"/>
      <c r="AH273" s="147"/>
      <c r="AI273" s="147"/>
      <c r="AJ273" s="147"/>
      <c r="AK273" s="147"/>
    </row>
    <row r="274" ht="15.75" customHeight="1">
      <c r="A274" s="144"/>
      <c r="B274" s="144"/>
      <c r="C274" s="145"/>
      <c r="D274" s="145"/>
      <c r="E274" s="145"/>
      <c r="F274" s="146"/>
      <c r="G274" s="145"/>
      <c r="H274" s="146"/>
      <c r="I274" s="145"/>
      <c r="J274" s="146"/>
      <c r="K274" s="147"/>
      <c r="L274" s="147"/>
      <c r="M274" s="147"/>
      <c r="N274" s="147"/>
      <c r="O274" s="147"/>
      <c r="P274" s="147"/>
      <c r="Q274" s="147"/>
      <c r="R274" s="147"/>
      <c r="S274" s="147"/>
      <c r="T274" s="147"/>
      <c r="U274" s="147"/>
      <c r="V274" s="147"/>
      <c r="W274" s="147"/>
      <c r="X274" s="147"/>
      <c r="Y274" s="147"/>
      <c r="Z274" s="147"/>
      <c r="AA274" s="147"/>
      <c r="AB274" s="147"/>
      <c r="AC274" s="147"/>
      <c r="AD274" s="147"/>
      <c r="AE274" s="147"/>
      <c r="AF274" s="147"/>
      <c r="AG274" s="147"/>
      <c r="AH274" s="147"/>
      <c r="AI274" s="147"/>
      <c r="AJ274" s="147"/>
      <c r="AK274" s="147"/>
    </row>
    <row r="275" ht="15.75" customHeight="1">
      <c r="A275" s="144"/>
      <c r="B275" s="144"/>
      <c r="C275" s="145"/>
      <c r="D275" s="145"/>
      <c r="E275" s="145"/>
      <c r="F275" s="146"/>
      <c r="G275" s="145"/>
      <c r="H275" s="146"/>
      <c r="I275" s="145"/>
      <c r="J275" s="146"/>
      <c r="K275" s="147"/>
      <c r="L275" s="147"/>
      <c r="M275" s="147"/>
      <c r="N275" s="147"/>
      <c r="O275" s="147"/>
      <c r="P275" s="147"/>
      <c r="Q275" s="147"/>
      <c r="R275" s="147"/>
      <c r="S275" s="147"/>
      <c r="T275" s="147"/>
      <c r="U275" s="147"/>
      <c r="V275" s="147"/>
      <c r="W275" s="147"/>
      <c r="X275" s="147"/>
      <c r="Y275" s="147"/>
      <c r="Z275" s="147"/>
      <c r="AA275" s="147"/>
      <c r="AB275" s="147"/>
      <c r="AC275" s="147"/>
      <c r="AD275" s="147"/>
      <c r="AE275" s="147"/>
      <c r="AF275" s="147"/>
      <c r="AG275" s="147"/>
      <c r="AH275" s="147"/>
      <c r="AI275" s="147"/>
      <c r="AJ275" s="147"/>
      <c r="AK275" s="147"/>
    </row>
    <row r="276" ht="15.75" customHeight="1">
      <c r="A276" s="144"/>
      <c r="B276" s="144"/>
      <c r="C276" s="145"/>
      <c r="D276" s="145"/>
      <c r="E276" s="145"/>
      <c r="F276" s="146"/>
      <c r="G276" s="145"/>
      <c r="H276" s="146"/>
      <c r="I276" s="145"/>
      <c r="J276" s="146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  <c r="AJ276" s="147"/>
      <c r="AK276" s="147"/>
    </row>
    <row r="277" ht="15.75" customHeight="1">
      <c r="A277" s="144"/>
      <c r="B277" s="144"/>
      <c r="C277" s="145"/>
      <c r="D277" s="145"/>
      <c r="E277" s="145"/>
      <c r="F277" s="146"/>
      <c r="G277" s="145"/>
      <c r="H277" s="146"/>
      <c r="I277" s="145"/>
      <c r="J277" s="146"/>
      <c r="K277" s="147"/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F277" s="147"/>
      <c r="AG277" s="147"/>
      <c r="AH277" s="147"/>
      <c r="AI277" s="147"/>
      <c r="AJ277" s="147"/>
      <c r="AK277" s="147"/>
    </row>
    <row r="278" ht="15.75" customHeight="1">
      <c r="A278" s="144"/>
      <c r="B278" s="144"/>
      <c r="C278" s="145"/>
      <c r="D278" s="145"/>
      <c r="E278" s="145"/>
      <c r="F278" s="146"/>
      <c r="G278" s="145"/>
      <c r="H278" s="146"/>
      <c r="I278" s="145"/>
      <c r="J278" s="146"/>
      <c r="K278" s="147"/>
      <c r="L278" s="147"/>
      <c r="M278" s="147"/>
      <c r="N278" s="147"/>
      <c r="O278" s="147"/>
      <c r="P278" s="147"/>
      <c r="Q278" s="147"/>
      <c r="R278" s="147"/>
      <c r="S278" s="147"/>
      <c r="T278" s="147"/>
      <c r="U278" s="147"/>
      <c r="V278" s="147"/>
      <c r="W278" s="147"/>
      <c r="X278" s="147"/>
      <c r="Y278" s="147"/>
      <c r="Z278" s="147"/>
      <c r="AA278" s="147"/>
      <c r="AB278" s="147"/>
      <c r="AC278" s="147"/>
      <c r="AD278" s="147"/>
      <c r="AE278" s="147"/>
      <c r="AF278" s="147"/>
      <c r="AG278" s="147"/>
      <c r="AH278" s="147"/>
      <c r="AI278" s="147"/>
      <c r="AJ278" s="147"/>
      <c r="AK278" s="147"/>
    </row>
    <row r="279" ht="15.75" customHeight="1">
      <c r="A279" s="144"/>
      <c r="B279" s="144"/>
      <c r="C279" s="145"/>
      <c r="D279" s="145"/>
      <c r="E279" s="145"/>
      <c r="F279" s="146"/>
      <c r="G279" s="145"/>
      <c r="H279" s="146"/>
      <c r="I279" s="145"/>
      <c r="J279" s="146"/>
      <c r="K279" s="147"/>
      <c r="L279" s="147"/>
      <c r="M279" s="147"/>
      <c r="N279" s="147"/>
      <c r="O279" s="147"/>
      <c r="P279" s="147"/>
      <c r="Q279" s="147"/>
      <c r="R279" s="147"/>
      <c r="S279" s="147"/>
      <c r="T279" s="147"/>
      <c r="U279" s="147"/>
      <c r="V279" s="147"/>
      <c r="W279" s="147"/>
      <c r="X279" s="147"/>
      <c r="Y279" s="147"/>
      <c r="Z279" s="147"/>
      <c r="AA279" s="147"/>
      <c r="AB279" s="147"/>
      <c r="AC279" s="147"/>
      <c r="AD279" s="147"/>
      <c r="AE279" s="147"/>
      <c r="AF279" s="147"/>
      <c r="AG279" s="147"/>
      <c r="AH279" s="147"/>
      <c r="AI279" s="147"/>
      <c r="AJ279" s="147"/>
      <c r="AK279" s="147"/>
    </row>
    <row r="280" ht="15.75" customHeight="1">
      <c r="A280" s="144"/>
      <c r="B280" s="144"/>
      <c r="C280" s="145"/>
      <c r="D280" s="145"/>
      <c r="E280" s="145"/>
      <c r="F280" s="146"/>
      <c r="G280" s="145"/>
      <c r="H280" s="146"/>
      <c r="I280" s="145"/>
      <c r="J280" s="146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147"/>
      <c r="AG280" s="147"/>
      <c r="AH280" s="147"/>
      <c r="AI280" s="147"/>
      <c r="AJ280" s="147"/>
      <c r="AK280" s="147"/>
    </row>
    <row r="281" ht="15.75" customHeight="1">
      <c r="A281" s="144"/>
      <c r="B281" s="144"/>
      <c r="C281" s="145"/>
      <c r="D281" s="145"/>
      <c r="E281" s="145"/>
      <c r="F281" s="146"/>
      <c r="G281" s="145"/>
      <c r="H281" s="146"/>
      <c r="I281" s="145"/>
      <c r="J281" s="146"/>
      <c r="K281" s="147"/>
      <c r="L281" s="147"/>
      <c r="M281" s="147"/>
      <c r="N281" s="147"/>
      <c r="O281" s="147"/>
      <c r="P281" s="147"/>
      <c r="Q281" s="147"/>
      <c r="R281" s="147"/>
      <c r="S281" s="147"/>
      <c r="T281" s="147"/>
      <c r="U281" s="147"/>
      <c r="V281" s="147"/>
      <c r="W281" s="147"/>
      <c r="X281" s="147"/>
      <c r="Y281" s="147"/>
      <c r="Z281" s="147"/>
      <c r="AA281" s="147"/>
      <c r="AB281" s="147"/>
      <c r="AC281" s="147"/>
      <c r="AD281" s="147"/>
      <c r="AE281" s="147"/>
      <c r="AF281" s="147"/>
      <c r="AG281" s="147"/>
      <c r="AH281" s="147"/>
      <c r="AI281" s="147"/>
      <c r="AJ281" s="147"/>
      <c r="AK281" s="147"/>
    </row>
    <row r="282" ht="15.75" customHeight="1">
      <c r="A282" s="144"/>
      <c r="B282" s="144"/>
      <c r="C282" s="145"/>
      <c r="D282" s="145"/>
      <c r="E282" s="145"/>
      <c r="F282" s="146"/>
      <c r="G282" s="145"/>
      <c r="H282" s="146"/>
      <c r="I282" s="145"/>
      <c r="J282" s="146"/>
      <c r="K282" s="147"/>
      <c r="L282" s="147"/>
      <c r="M282" s="147"/>
      <c r="N282" s="147"/>
      <c r="O282" s="147"/>
      <c r="P282" s="147"/>
      <c r="Q282" s="147"/>
      <c r="R282" s="147"/>
      <c r="S282" s="147"/>
      <c r="T282" s="147"/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F282" s="147"/>
      <c r="AG282" s="147"/>
      <c r="AH282" s="147"/>
      <c r="AI282" s="147"/>
      <c r="AJ282" s="147"/>
      <c r="AK282" s="147"/>
    </row>
    <row r="283" ht="15.75" customHeight="1">
      <c r="A283" s="144"/>
      <c r="B283" s="144"/>
      <c r="C283" s="145"/>
      <c r="D283" s="145"/>
      <c r="E283" s="145"/>
      <c r="F283" s="146"/>
      <c r="G283" s="145"/>
      <c r="H283" s="146"/>
      <c r="I283" s="145"/>
      <c r="J283" s="146"/>
      <c r="K283" s="147"/>
      <c r="L283" s="147"/>
      <c r="M283" s="147"/>
      <c r="N283" s="147"/>
      <c r="O283" s="147"/>
      <c r="P283" s="147"/>
      <c r="Q283" s="147"/>
      <c r="R283" s="147"/>
      <c r="S283" s="147"/>
      <c r="T283" s="147"/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F283" s="147"/>
      <c r="AG283" s="147"/>
      <c r="AH283" s="147"/>
      <c r="AI283" s="147"/>
      <c r="AJ283" s="147"/>
      <c r="AK283" s="147"/>
    </row>
    <row r="284" ht="15.75" customHeight="1">
      <c r="A284" s="144"/>
      <c r="B284" s="144"/>
      <c r="C284" s="145"/>
      <c r="D284" s="145"/>
      <c r="E284" s="145"/>
      <c r="F284" s="146"/>
      <c r="G284" s="145"/>
      <c r="H284" s="146"/>
      <c r="I284" s="145"/>
      <c r="J284" s="146"/>
      <c r="K284" s="147"/>
      <c r="L284" s="147"/>
      <c r="M284" s="147"/>
      <c r="N284" s="147"/>
      <c r="O284" s="147"/>
      <c r="P284" s="147"/>
      <c r="Q284" s="147"/>
      <c r="R284" s="147"/>
      <c r="S284" s="147"/>
      <c r="T284" s="147"/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F284" s="147"/>
      <c r="AG284" s="147"/>
      <c r="AH284" s="147"/>
      <c r="AI284" s="147"/>
      <c r="AJ284" s="147"/>
      <c r="AK284" s="147"/>
    </row>
    <row r="285" ht="15.75" customHeight="1">
      <c r="A285" s="144"/>
      <c r="B285" s="144"/>
      <c r="C285" s="145"/>
      <c r="D285" s="145"/>
      <c r="E285" s="145"/>
      <c r="F285" s="146"/>
      <c r="G285" s="145"/>
      <c r="H285" s="146"/>
      <c r="I285" s="145"/>
      <c r="J285" s="146"/>
      <c r="K285" s="147"/>
      <c r="L285" s="147"/>
      <c r="M285" s="147"/>
      <c r="N285" s="147"/>
      <c r="O285" s="147"/>
      <c r="P285" s="147"/>
      <c r="Q285" s="147"/>
      <c r="R285" s="147"/>
      <c r="S285" s="147"/>
      <c r="T285" s="147"/>
      <c r="U285" s="147"/>
      <c r="V285" s="147"/>
      <c r="W285" s="147"/>
      <c r="X285" s="147"/>
      <c r="Y285" s="147"/>
      <c r="Z285" s="147"/>
      <c r="AA285" s="147"/>
      <c r="AB285" s="147"/>
      <c r="AC285" s="147"/>
      <c r="AD285" s="147"/>
      <c r="AE285" s="147"/>
      <c r="AF285" s="147"/>
      <c r="AG285" s="147"/>
      <c r="AH285" s="147"/>
      <c r="AI285" s="147"/>
      <c r="AJ285" s="147"/>
      <c r="AK285" s="147"/>
    </row>
    <row r="286" ht="15.75" customHeight="1">
      <c r="A286" s="144"/>
      <c r="B286" s="144"/>
      <c r="C286" s="145"/>
      <c r="D286" s="145"/>
      <c r="E286" s="145"/>
      <c r="F286" s="146"/>
      <c r="G286" s="145"/>
      <c r="H286" s="146"/>
      <c r="I286" s="145"/>
      <c r="J286" s="146"/>
      <c r="K286" s="147"/>
      <c r="L286" s="147"/>
      <c r="M286" s="147"/>
      <c r="N286" s="147"/>
      <c r="O286" s="147"/>
      <c r="P286" s="147"/>
      <c r="Q286" s="147"/>
      <c r="R286" s="147"/>
      <c r="S286" s="147"/>
      <c r="T286" s="147"/>
      <c r="U286" s="147"/>
      <c r="V286" s="147"/>
      <c r="W286" s="147"/>
      <c r="X286" s="147"/>
      <c r="Y286" s="147"/>
      <c r="Z286" s="147"/>
      <c r="AA286" s="147"/>
      <c r="AB286" s="147"/>
      <c r="AC286" s="147"/>
      <c r="AD286" s="147"/>
      <c r="AE286" s="147"/>
      <c r="AF286" s="147"/>
      <c r="AG286" s="147"/>
      <c r="AH286" s="147"/>
      <c r="AI286" s="147"/>
      <c r="AJ286" s="147"/>
      <c r="AK286" s="147"/>
    </row>
    <row r="287" ht="15.75" customHeight="1">
      <c r="A287" s="144"/>
      <c r="B287" s="144"/>
      <c r="C287" s="145"/>
      <c r="D287" s="145"/>
      <c r="E287" s="145"/>
      <c r="F287" s="146"/>
      <c r="G287" s="145"/>
      <c r="H287" s="146"/>
      <c r="I287" s="145"/>
      <c r="J287" s="146"/>
      <c r="K287" s="147"/>
      <c r="L287" s="147"/>
      <c r="M287" s="147"/>
      <c r="N287" s="147"/>
      <c r="O287" s="147"/>
      <c r="P287" s="147"/>
      <c r="Q287" s="147"/>
      <c r="R287" s="147"/>
      <c r="S287" s="147"/>
      <c r="T287" s="147"/>
      <c r="U287" s="147"/>
      <c r="V287" s="147"/>
      <c r="W287" s="147"/>
      <c r="X287" s="147"/>
      <c r="Y287" s="147"/>
      <c r="Z287" s="147"/>
      <c r="AA287" s="147"/>
      <c r="AB287" s="147"/>
      <c r="AC287" s="147"/>
      <c r="AD287" s="147"/>
      <c r="AE287" s="147"/>
      <c r="AF287" s="147"/>
      <c r="AG287" s="147"/>
      <c r="AH287" s="147"/>
      <c r="AI287" s="147"/>
      <c r="AJ287" s="147"/>
      <c r="AK287" s="147"/>
    </row>
    <row r="288" ht="15.75" customHeight="1">
      <c r="A288" s="144"/>
      <c r="B288" s="144"/>
      <c r="C288" s="145"/>
      <c r="D288" s="145"/>
      <c r="E288" s="145"/>
      <c r="F288" s="146"/>
      <c r="G288" s="145"/>
      <c r="H288" s="146"/>
      <c r="I288" s="145"/>
      <c r="J288" s="146"/>
      <c r="K288" s="147"/>
      <c r="L288" s="147"/>
      <c r="M288" s="147"/>
      <c r="N288" s="147"/>
      <c r="O288" s="147"/>
      <c r="P288" s="147"/>
      <c r="Q288" s="147"/>
      <c r="R288" s="147"/>
      <c r="S288" s="147"/>
      <c r="T288" s="147"/>
      <c r="U288" s="147"/>
      <c r="V288" s="147"/>
      <c r="W288" s="147"/>
      <c r="X288" s="147"/>
      <c r="Y288" s="147"/>
      <c r="Z288" s="147"/>
      <c r="AA288" s="147"/>
      <c r="AB288" s="147"/>
      <c r="AC288" s="147"/>
      <c r="AD288" s="147"/>
      <c r="AE288" s="147"/>
      <c r="AF288" s="147"/>
      <c r="AG288" s="147"/>
      <c r="AH288" s="147"/>
      <c r="AI288" s="147"/>
      <c r="AJ288" s="147"/>
      <c r="AK288" s="147"/>
    </row>
    <row r="289" ht="15.75" customHeight="1">
      <c r="A289" s="144"/>
      <c r="B289" s="144"/>
      <c r="C289" s="145"/>
      <c r="D289" s="145"/>
      <c r="E289" s="145"/>
      <c r="F289" s="146"/>
      <c r="G289" s="145"/>
      <c r="H289" s="146"/>
      <c r="I289" s="145"/>
      <c r="J289" s="146"/>
      <c r="K289" s="147"/>
      <c r="L289" s="147"/>
      <c r="M289" s="147"/>
      <c r="N289" s="147"/>
      <c r="O289" s="147"/>
      <c r="P289" s="147"/>
      <c r="Q289" s="147"/>
      <c r="R289" s="147"/>
      <c r="S289" s="147"/>
      <c r="T289" s="147"/>
      <c r="U289" s="147"/>
      <c r="V289" s="147"/>
      <c r="W289" s="147"/>
      <c r="X289" s="147"/>
      <c r="Y289" s="147"/>
      <c r="Z289" s="147"/>
      <c r="AA289" s="147"/>
      <c r="AB289" s="147"/>
      <c r="AC289" s="147"/>
      <c r="AD289" s="147"/>
      <c r="AE289" s="147"/>
      <c r="AF289" s="147"/>
      <c r="AG289" s="147"/>
      <c r="AH289" s="147"/>
      <c r="AI289" s="147"/>
      <c r="AJ289" s="147"/>
      <c r="AK289" s="147"/>
    </row>
    <row r="290" ht="15.75" customHeight="1">
      <c r="A290" s="144"/>
      <c r="B290" s="144"/>
      <c r="C290" s="145"/>
      <c r="D290" s="145"/>
      <c r="E290" s="145"/>
      <c r="F290" s="146"/>
      <c r="G290" s="145"/>
      <c r="H290" s="146"/>
      <c r="I290" s="145"/>
      <c r="J290" s="146"/>
      <c r="K290" s="147"/>
      <c r="L290" s="147"/>
      <c r="M290" s="147"/>
      <c r="N290" s="147"/>
      <c r="O290" s="147"/>
      <c r="P290" s="147"/>
      <c r="Q290" s="147"/>
      <c r="R290" s="147"/>
      <c r="S290" s="147"/>
      <c r="T290" s="147"/>
      <c r="U290" s="147"/>
      <c r="V290" s="147"/>
      <c r="W290" s="147"/>
      <c r="X290" s="147"/>
      <c r="Y290" s="147"/>
      <c r="Z290" s="147"/>
      <c r="AA290" s="147"/>
      <c r="AB290" s="147"/>
      <c r="AC290" s="147"/>
      <c r="AD290" s="147"/>
      <c r="AE290" s="147"/>
      <c r="AF290" s="147"/>
      <c r="AG290" s="147"/>
      <c r="AH290" s="147"/>
      <c r="AI290" s="147"/>
      <c r="AJ290" s="147"/>
      <c r="AK290" s="147"/>
    </row>
    <row r="291" ht="15.75" customHeight="1">
      <c r="A291" s="144"/>
      <c r="B291" s="144"/>
      <c r="C291" s="145"/>
      <c r="D291" s="145"/>
      <c r="E291" s="145"/>
      <c r="F291" s="146"/>
      <c r="G291" s="145"/>
      <c r="H291" s="146"/>
      <c r="I291" s="145"/>
      <c r="J291" s="146"/>
      <c r="K291" s="147"/>
      <c r="L291" s="147"/>
      <c r="M291" s="147"/>
      <c r="N291" s="147"/>
      <c r="O291" s="147"/>
      <c r="P291" s="147"/>
      <c r="Q291" s="147"/>
      <c r="R291" s="147"/>
      <c r="S291" s="147"/>
      <c r="T291" s="147"/>
      <c r="U291" s="147"/>
      <c r="V291" s="147"/>
      <c r="W291" s="147"/>
      <c r="X291" s="147"/>
      <c r="Y291" s="147"/>
      <c r="Z291" s="147"/>
      <c r="AA291" s="147"/>
      <c r="AB291" s="147"/>
      <c r="AC291" s="147"/>
      <c r="AD291" s="147"/>
      <c r="AE291" s="147"/>
      <c r="AF291" s="147"/>
      <c r="AG291" s="147"/>
      <c r="AH291" s="147"/>
      <c r="AI291" s="147"/>
      <c r="AJ291" s="147"/>
      <c r="AK291" s="147"/>
    </row>
    <row r="292" ht="15.75" customHeight="1">
      <c r="A292" s="144"/>
      <c r="B292" s="144"/>
      <c r="C292" s="145"/>
      <c r="D292" s="145"/>
      <c r="E292" s="145"/>
      <c r="F292" s="146"/>
      <c r="G292" s="145"/>
      <c r="H292" s="146"/>
      <c r="I292" s="145"/>
      <c r="J292" s="146"/>
      <c r="K292" s="147"/>
      <c r="L292" s="147"/>
      <c r="M292" s="147"/>
      <c r="N292" s="147"/>
      <c r="O292" s="147"/>
      <c r="P292" s="147"/>
      <c r="Q292" s="147"/>
      <c r="R292" s="147"/>
      <c r="S292" s="147"/>
      <c r="T292" s="147"/>
      <c r="U292" s="147"/>
      <c r="V292" s="147"/>
      <c r="W292" s="147"/>
      <c r="X292" s="147"/>
      <c r="Y292" s="147"/>
      <c r="Z292" s="147"/>
      <c r="AA292" s="147"/>
      <c r="AB292" s="147"/>
      <c r="AC292" s="147"/>
      <c r="AD292" s="147"/>
      <c r="AE292" s="147"/>
      <c r="AF292" s="147"/>
      <c r="AG292" s="147"/>
      <c r="AH292" s="147"/>
      <c r="AI292" s="147"/>
      <c r="AJ292" s="147"/>
      <c r="AK292" s="147"/>
    </row>
    <row r="293" ht="15.75" customHeight="1">
      <c r="A293" s="144"/>
      <c r="B293" s="144"/>
      <c r="C293" s="145"/>
      <c r="D293" s="145"/>
      <c r="E293" s="145"/>
      <c r="F293" s="146"/>
      <c r="G293" s="145"/>
      <c r="H293" s="146"/>
      <c r="I293" s="145"/>
      <c r="J293" s="146"/>
      <c r="K293" s="147"/>
      <c r="L293" s="147"/>
      <c r="M293" s="147"/>
      <c r="N293" s="147"/>
      <c r="O293" s="147"/>
      <c r="P293" s="147"/>
      <c r="Q293" s="147"/>
      <c r="R293" s="147"/>
      <c r="S293" s="147"/>
      <c r="T293" s="147"/>
      <c r="U293" s="147"/>
      <c r="V293" s="147"/>
      <c r="W293" s="147"/>
      <c r="X293" s="147"/>
      <c r="Y293" s="147"/>
      <c r="Z293" s="147"/>
      <c r="AA293" s="147"/>
      <c r="AB293" s="147"/>
      <c r="AC293" s="147"/>
      <c r="AD293" s="147"/>
      <c r="AE293" s="147"/>
      <c r="AF293" s="147"/>
      <c r="AG293" s="147"/>
      <c r="AH293" s="147"/>
      <c r="AI293" s="147"/>
      <c r="AJ293" s="147"/>
      <c r="AK293" s="147"/>
    </row>
    <row r="294" ht="15.75" customHeight="1">
      <c r="A294" s="144"/>
      <c r="B294" s="144"/>
      <c r="C294" s="145"/>
      <c r="D294" s="145"/>
      <c r="E294" s="145"/>
      <c r="F294" s="146"/>
      <c r="G294" s="145"/>
      <c r="H294" s="146"/>
      <c r="I294" s="145"/>
      <c r="J294" s="146"/>
      <c r="K294" s="147"/>
      <c r="L294" s="147"/>
      <c r="M294" s="147"/>
      <c r="N294" s="147"/>
      <c r="O294" s="147"/>
      <c r="P294" s="147"/>
      <c r="Q294" s="147"/>
      <c r="R294" s="147"/>
      <c r="S294" s="147"/>
      <c r="T294" s="147"/>
      <c r="U294" s="147"/>
      <c r="V294" s="147"/>
      <c r="W294" s="147"/>
      <c r="X294" s="147"/>
      <c r="Y294" s="147"/>
      <c r="Z294" s="147"/>
      <c r="AA294" s="147"/>
      <c r="AB294" s="147"/>
      <c r="AC294" s="147"/>
      <c r="AD294" s="147"/>
      <c r="AE294" s="147"/>
      <c r="AF294" s="147"/>
      <c r="AG294" s="147"/>
      <c r="AH294" s="147"/>
      <c r="AI294" s="147"/>
      <c r="AJ294" s="147"/>
      <c r="AK294" s="147"/>
    </row>
    <row r="295" ht="15.75" customHeight="1">
      <c r="A295" s="144"/>
      <c r="B295" s="144"/>
      <c r="C295" s="145"/>
      <c r="D295" s="145"/>
      <c r="E295" s="145"/>
      <c r="F295" s="146"/>
      <c r="G295" s="145"/>
      <c r="H295" s="146"/>
      <c r="I295" s="145"/>
      <c r="J295" s="146"/>
      <c r="K295" s="147"/>
      <c r="L295" s="147"/>
      <c r="M295" s="147"/>
      <c r="N295" s="147"/>
      <c r="O295" s="147"/>
      <c r="P295" s="147"/>
      <c r="Q295" s="147"/>
      <c r="R295" s="147"/>
      <c r="S295" s="147"/>
      <c r="T295" s="147"/>
      <c r="U295" s="147"/>
      <c r="V295" s="147"/>
      <c r="W295" s="147"/>
      <c r="X295" s="147"/>
      <c r="Y295" s="147"/>
      <c r="Z295" s="147"/>
      <c r="AA295" s="147"/>
      <c r="AB295" s="147"/>
      <c r="AC295" s="147"/>
      <c r="AD295" s="147"/>
      <c r="AE295" s="147"/>
      <c r="AF295" s="147"/>
      <c r="AG295" s="147"/>
      <c r="AH295" s="147"/>
      <c r="AI295" s="147"/>
      <c r="AJ295" s="147"/>
      <c r="AK295" s="147"/>
    </row>
    <row r="296" ht="15.75" customHeight="1">
      <c r="A296" s="144"/>
      <c r="B296" s="144"/>
      <c r="C296" s="145"/>
      <c r="D296" s="145"/>
      <c r="E296" s="145"/>
      <c r="F296" s="146"/>
      <c r="G296" s="145"/>
      <c r="H296" s="146"/>
      <c r="I296" s="145"/>
      <c r="J296" s="146"/>
      <c r="K296" s="147"/>
      <c r="L296" s="147"/>
      <c r="M296" s="147"/>
      <c r="N296" s="147"/>
      <c r="O296" s="147"/>
      <c r="P296" s="147"/>
      <c r="Q296" s="147"/>
      <c r="R296" s="147"/>
      <c r="S296" s="147"/>
      <c r="T296" s="147"/>
      <c r="U296" s="147"/>
      <c r="V296" s="147"/>
      <c r="W296" s="147"/>
      <c r="X296" s="147"/>
      <c r="Y296" s="147"/>
      <c r="Z296" s="147"/>
      <c r="AA296" s="147"/>
      <c r="AB296" s="147"/>
      <c r="AC296" s="147"/>
      <c r="AD296" s="147"/>
      <c r="AE296" s="147"/>
      <c r="AF296" s="147"/>
      <c r="AG296" s="147"/>
      <c r="AH296" s="147"/>
      <c r="AI296" s="147"/>
      <c r="AJ296" s="147"/>
      <c r="AK296" s="147"/>
    </row>
    <row r="297" ht="15.75" customHeight="1">
      <c r="A297" s="144"/>
      <c r="B297" s="144"/>
      <c r="C297" s="145"/>
      <c r="D297" s="145"/>
      <c r="E297" s="145"/>
      <c r="F297" s="146"/>
      <c r="G297" s="145"/>
      <c r="H297" s="146"/>
      <c r="I297" s="145"/>
      <c r="J297" s="146"/>
      <c r="K297" s="147"/>
      <c r="L297" s="147"/>
      <c r="M297" s="147"/>
      <c r="N297" s="147"/>
      <c r="O297" s="147"/>
      <c r="P297" s="147"/>
      <c r="Q297" s="147"/>
      <c r="R297" s="147"/>
      <c r="S297" s="147"/>
      <c r="T297" s="147"/>
      <c r="U297" s="147"/>
      <c r="V297" s="147"/>
      <c r="W297" s="147"/>
      <c r="X297" s="147"/>
      <c r="Y297" s="147"/>
      <c r="Z297" s="147"/>
      <c r="AA297" s="147"/>
      <c r="AB297" s="147"/>
      <c r="AC297" s="147"/>
      <c r="AD297" s="147"/>
      <c r="AE297" s="147"/>
      <c r="AF297" s="147"/>
      <c r="AG297" s="147"/>
      <c r="AH297" s="147"/>
      <c r="AI297" s="147"/>
      <c r="AJ297" s="147"/>
      <c r="AK297" s="147"/>
    </row>
    <row r="298" ht="15.75" customHeight="1">
      <c r="A298" s="144"/>
      <c r="B298" s="144"/>
      <c r="C298" s="145"/>
      <c r="D298" s="145"/>
      <c r="E298" s="145"/>
      <c r="F298" s="146"/>
      <c r="G298" s="145"/>
      <c r="H298" s="146"/>
      <c r="I298" s="145"/>
      <c r="J298" s="146"/>
      <c r="K298" s="147"/>
      <c r="L298" s="147"/>
      <c r="M298" s="147"/>
      <c r="N298" s="147"/>
      <c r="O298" s="147"/>
      <c r="P298" s="147"/>
      <c r="Q298" s="147"/>
      <c r="R298" s="147"/>
      <c r="S298" s="147"/>
      <c r="T298" s="147"/>
      <c r="U298" s="147"/>
      <c r="V298" s="147"/>
      <c r="W298" s="147"/>
      <c r="X298" s="147"/>
      <c r="Y298" s="147"/>
      <c r="Z298" s="147"/>
      <c r="AA298" s="147"/>
      <c r="AB298" s="147"/>
      <c r="AC298" s="147"/>
      <c r="AD298" s="147"/>
      <c r="AE298" s="147"/>
      <c r="AF298" s="147"/>
      <c r="AG298" s="147"/>
      <c r="AH298" s="147"/>
      <c r="AI298" s="147"/>
      <c r="AJ298" s="147"/>
      <c r="AK298" s="147"/>
    </row>
    <row r="299" ht="15.75" customHeight="1">
      <c r="A299" s="144"/>
      <c r="B299" s="144"/>
      <c r="C299" s="145"/>
      <c r="D299" s="145"/>
      <c r="E299" s="145"/>
      <c r="F299" s="146"/>
      <c r="G299" s="145"/>
      <c r="H299" s="146"/>
      <c r="I299" s="145"/>
      <c r="J299" s="146"/>
      <c r="K299" s="147"/>
      <c r="L299" s="147"/>
      <c r="M299" s="147"/>
      <c r="N299" s="147"/>
      <c r="O299" s="147"/>
      <c r="P299" s="147"/>
      <c r="Q299" s="147"/>
      <c r="R299" s="147"/>
      <c r="S299" s="147"/>
      <c r="T299" s="147"/>
      <c r="U299" s="147"/>
      <c r="V299" s="147"/>
      <c r="W299" s="147"/>
      <c r="X299" s="147"/>
      <c r="Y299" s="147"/>
      <c r="Z299" s="147"/>
      <c r="AA299" s="147"/>
      <c r="AB299" s="147"/>
      <c r="AC299" s="147"/>
      <c r="AD299" s="147"/>
      <c r="AE299" s="147"/>
      <c r="AF299" s="147"/>
      <c r="AG299" s="147"/>
      <c r="AH299" s="147"/>
      <c r="AI299" s="147"/>
      <c r="AJ299" s="147"/>
      <c r="AK299" s="147"/>
    </row>
    <row r="300" ht="15.75" customHeight="1">
      <c r="A300" s="144"/>
      <c r="B300" s="144"/>
      <c r="C300" s="145"/>
      <c r="D300" s="145"/>
      <c r="E300" s="145"/>
      <c r="F300" s="146"/>
      <c r="G300" s="145"/>
      <c r="H300" s="146"/>
      <c r="I300" s="145"/>
      <c r="J300" s="146"/>
      <c r="K300" s="147"/>
      <c r="L300" s="147"/>
      <c r="M300" s="147"/>
      <c r="N300" s="147"/>
      <c r="O300" s="147"/>
      <c r="P300" s="147"/>
      <c r="Q300" s="147"/>
      <c r="R300" s="147"/>
      <c r="S300" s="147"/>
      <c r="T300" s="147"/>
      <c r="U300" s="147"/>
      <c r="V300" s="147"/>
      <c r="W300" s="147"/>
      <c r="X300" s="147"/>
      <c r="Y300" s="147"/>
      <c r="Z300" s="147"/>
      <c r="AA300" s="147"/>
      <c r="AB300" s="147"/>
      <c r="AC300" s="147"/>
      <c r="AD300" s="147"/>
      <c r="AE300" s="147"/>
      <c r="AF300" s="147"/>
      <c r="AG300" s="147"/>
      <c r="AH300" s="147"/>
      <c r="AI300" s="147"/>
      <c r="AJ300" s="147"/>
      <c r="AK300" s="147"/>
    </row>
    <row r="301" ht="15.75" customHeight="1">
      <c r="A301" s="144"/>
      <c r="B301" s="144"/>
      <c r="C301" s="145"/>
      <c r="D301" s="145"/>
      <c r="E301" s="145"/>
      <c r="F301" s="146"/>
      <c r="G301" s="145"/>
      <c r="H301" s="146"/>
      <c r="I301" s="145"/>
      <c r="J301" s="146"/>
      <c r="K301" s="147"/>
      <c r="L301" s="147"/>
      <c r="M301" s="147"/>
      <c r="N301" s="147"/>
      <c r="O301" s="147"/>
      <c r="P301" s="147"/>
      <c r="Q301" s="147"/>
      <c r="R301" s="147"/>
      <c r="S301" s="147"/>
      <c r="T301" s="147"/>
      <c r="U301" s="147"/>
      <c r="V301" s="147"/>
      <c r="W301" s="147"/>
      <c r="X301" s="147"/>
      <c r="Y301" s="147"/>
      <c r="Z301" s="147"/>
      <c r="AA301" s="147"/>
      <c r="AB301" s="147"/>
      <c r="AC301" s="147"/>
      <c r="AD301" s="147"/>
      <c r="AE301" s="147"/>
      <c r="AF301" s="147"/>
      <c r="AG301" s="147"/>
      <c r="AH301" s="147"/>
      <c r="AI301" s="147"/>
      <c r="AJ301" s="147"/>
      <c r="AK301" s="147"/>
    </row>
    <row r="302" ht="15.75" customHeight="1">
      <c r="A302" s="144"/>
      <c r="B302" s="144"/>
      <c r="C302" s="145"/>
      <c r="D302" s="145"/>
      <c r="E302" s="145"/>
      <c r="F302" s="146"/>
      <c r="G302" s="145"/>
      <c r="H302" s="146"/>
      <c r="I302" s="145"/>
      <c r="J302" s="146"/>
      <c r="K302" s="147"/>
      <c r="L302" s="147"/>
      <c r="M302" s="147"/>
      <c r="N302" s="147"/>
      <c r="O302" s="147"/>
      <c r="P302" s="147"/>
      <c r="Q302" s="147"/>
      <c r="R302" s="147"/>
      <c r="S302" s="147"/>
      <c r="T302" s="147"/>
      <c r="U302" s="147"/>
      <c r="V302" s="147"/>
      <c r="W302" s="147"/>
      <c r="X302" s="147"/>
      <c r="Y302" s="147"/>
      <c r="Z302" s="147"/>
      <c r="AA302" s="147"/>
      <c r="AB302" s="147"/>
      <c r="AC302" s="147"/>
      <c r="AD302" s="147"/>
      <c r="AE302" s="147"/>
      <c r="AF302" s="147"/>
      <c r="AG302" s="147"/>
      <c r="AH302" s="147"/>
      <c r="AI302" s="147"/>
      <c r="AJ302" s="147"/>
      <c r="AK302" s="147"/>
    </row>
    <row r="303" ht="15.75" customHeight="1">
      <c r="A303" s="144"/>
      <c r="B303" s="144"/>
      <c r="C303" s="145"/>
      <c r="D303" s="145"/>
      <c r="E303" s="145"/>
      <c r="F303" s="146"/>
      <c r="G303" s="145"/>
      <c r="H303" s="146"/>
      <c r="I303" s="145"/>
      <c r="J303" s="146"/>
      <c r="K303" s="147"/>
      <c r="L303" s="147"/>
      <c r="M303" s="147"/>
      <c r="N303" s="147"/>
      <c r="O303" s="147"/>
      <c r="P303" s="147"/>
      <c r="Q303" s="147"/>
      <c r="R303" s="147"/>
      <c r="S303" s="147"/>
      <c r="T303" s="147"/>
      <c r="U303" s="147"/>
      <c r="V303" s="147"/>
      <c r="W303" s="147"/>
      <c r="X303" s="147"/>
      <c r="Y303" s="147"/>
      <c r="Z303" s="147"/>
      <c r="AA303" s="147"/>
      <c r="AB303" s="147"/>
      <c r="AC303" s="147"/>
      <c r="AD303" s="147"/>
      <c r="AE303" s="147"/>
      <c r="AF303" s="147"/>
      <c r="AG303" s="147"/>
      <c r="AH303" s="147"/>
      <c r="AI303" s="147"/>
      <c r="AJ303" s="147"/>
      <c r="AK303" s="147"/>
    </row>
    <row r="304" ht="15.75" customHeight="1">
      <c r="A304" s="144"/>
      <c r="B304" s="144"/>
      <c r="C304" s="145"/>
      <c r="D304" s="145"/>
      <c r="E304" s="145"/>
      <c r="F304" s="146"/>
      <c r="G304" s="145"/>
      <c r="H304" s="146"/>
      <c r="I304" s="145"/>
      <c r="J304" s="146"/>
      <c r="K304" s="147"/>
      <c r="L304" s="147"/>
      <c r="M304" s="147"/>
      <c r="N304" s="147"/>
      <c r="O304" s="147"/>
      <c r="P304" s="147"/>
      <c r="Q304" s="147"/>
      <c r="R304" s="147"/>
      <c r="S304" s="147"/>
      <c r="T304" s="147"/>
      <c r="U304" s="147"/>
      <c r="V304" s="147"/>
      <c r="W304" s="147"/>
      <c r="X304" s="147"/>
      <c r="Y304" s="147"/>
      <c r="Z304" s="147"/>
      <c r="AA304" s="147"/>
      <c r="AB304" s="147"/>
      <c r="AC304" s="147"/>
      <c r="AD304" s="147"/>
      <c r="AE304" s="147"/>
      <c r="AF304" s="147"/>
      <c r="AG304" s="147"/>
      <c r="AH304" s="147"/>
      <c r="AI304" s="147"/>
      <c r="AJ304" s="147"/>
      <c r="AK304" s="147"/>
    </row>
    <row r="305" ht="15.75" customHeight="1">
      <c r="A305" s="144"/>
      <c r="B305" s="144"/>
      <c r="C305" s="145"/>
      <c r="D305" s="145"/>
      <c r="E305" s="145"/>
      <c r="F305" s="146"/>
      <c r="G305" s="145"/>
      <c r="H305" s="146"/>
      <c r="I305" s="145"/>
      <c r="J305" s="146"/>
      <c r="K305" s="147"/>
      <c r="L305" s="147"/>
      <c r="M305" s="147"/>
      <c r="N305" s="147"/>
      <c r="O305" s="147"/>
      <c r="P305" s="147"/>
      <c r="Q305" s="147"/>
      <c r="R305" s="147"/>
      <c r="S305" s="147"/>
      <c r="T305" s="147"/>
      <c r="U305" s="147"/>
      <c r="V305" s="147"/>
      <c r="W305" s="147"/>
      <c r="X305" s="147"/>
      <c r="Y305" s="147"/>
      <c r="Z305" s="147"/>
      <c r="AA305" s="147"/>
      <c r="AB305" s="147"/>
      <c r="AC305" s="147"/>
      <c r="AD305" s="147"/>
      <c r="AE305" s="147"/>
      <c r="AF305" s="147"/>
      <c r="AG305" s="147"/>
      <c r="AH305" s="147"/>
      <c r="AI305" s="147"/>
      <c r="AJ305" s="147"/>
      <c r="AK305" s="147"/>
    </row>
    <row r="306" ht="15.75" customHeight="1">
      <c r="A306" s="144"/>
      <c r="B306" s="144"/>
      <c r="C306" s="145"/>
      <c r="D306" s="145"/>
      <c r="E306" s="145"/>
      <c r="F306" s="146"/>
      <c r="G306" s="145"/>
      <c r="H306" s="146"/>
      <c r="I306" s="145"/>
      <c r="J306" s="146"/>
      <c r="K306" s="147"/>
      <c r="L306" s="147"/>
      <c r="M306" s="147"/>
      <c r="N306" s="147"/>
      <c r="O306" s="147"/>
      <c r="P306" s="147"/>
      <c r="Q306" s="147"/>
      <c r="R306" s="147"/>
      <c r="S306" s="147"/>
      <c r="T306" s="147"/>
      <c r="U306" s="147"/>
      <c r="V306" s="147"/>
      <c r="W306" s="147"/>
      <c r="X306" s="147"/>
      <c r="Y306" s="147"/>
      <c r="Z306" s="147"/>
      <c r="AA306" s="147"/>
      <c r="AB306" s="147"/>
      <c r="AC306" s="147"/>
      <c r="AD306" s="147"/>
      <c r="AE306" s="147"/>
      <c r="AF306" s="147"/>
      <c r="AG306" s="147"/>
      <c r="AH306" s="147"/>
      <c r="AI306" s="147"/>
      <c r="AJ306" s="147"/>
      <c r="AK306" s="147"/>
    </row>
    <row r="307" ht="15.75" customHeight="1">
      <c r="A307" s="144"/>
      <c r="B307" s="144"/>
      <c r="C307" s="145"/>
      <c r="D307" s="145"/>
      <c r="E307" s="145"/>
      <c r="F307" s="146"/>
      <c r="G307" s="145"/>
      <c r="H307" s="146"/>
      <c r="I307" s="145"/>
      <c r="J307" s="146"/>
      <c r="K307" s="147"/>
      <c r="L307" s="147"/>
      <c r="M307" s="147"/>
      <c r="N307" s="147"/>
      <c r="O307" s="147"/>
      <c r="P307" s="147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F307" s="147"/>
      <c r="AG307" s="147"/>
      <c r="AH307" s="147"/>
      <c r="AI307" s="147"/>
      <c r="AJ307" s="147"/>
      <c r="AK307" s="147"/>
    </row>
    <row r="308" ht="15.75" customHeight="1">
      <c r="A308" s="144"/>
      <c r="B308" s="144"/>
      <c r="C308" s="145"/>
      <c r="D308" s="145"/>
      <c r="E308" s="145"/>
      <c r="F308" s="146"/>
      <c r="G308" s="145"/>
      <c r="H308" s="146"/>
      <c r="I308" s="145"/>
      <c r="J308" s="146"/>
      <c r="K308" s="147"/>
      <c r="L308" s="147"/>
      <c r="M308" s="147"/>
      <c r="N308" s="147"/>
      <c r="O308" s="147"/>
      <c r="P308" s="147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  <c r="AA308" s="147"/>
      <c r="AB308" s="147"/>
      <c r="AC308" s="147"/>
      <c r="AD308" s="147"/>
      <c r="AE308" s="147"/>
      <c r="AF308" s="147"/>
      <c r="AG308" s="147"/>
      <c r="AH308" s="147"/>
      <c r="AI308" s="147"/>
      <c r="AJ308" s="147"/>
      <c r="AK308" s="147"/>
    </row>
    <row r="309" ht="15.75" customHeight="1">
      <c r="A309" s="144"/>
      <c r="B309" s="144"/>
      <c r="C309" s="145"/>
      <c r="D309" s="145"/>
      <c r="E309" s="145"/>
      <c r="F309" s="146"/>
      <c r="G309" s="145"/>
      <c r="H309" s="146"/>
      <c r="I309" s="145"/>
      <c r="J309" s="146"/>
      <c r="K309" s="147"/>
      <c r="L309" s="147"/>
      <c r="M309" s="147"/>
      <c r="N309" s="147"/>
      <c r="O309" s="147"/>
      <c r="P309" s="147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F309" s="147"/>
      <c r="AG309" s="147"/>
      <c r="AH309" s="147"/>
      <c r="AI309" s="147"/>
      <c r="AJ309" s="147"/>
      <c r="AK309" s="147"/>
    </row>
    <row r="310" ht="15.75" customHeight="1">
      <c r="A310" s="144"/>
      <c r="B310" s="144"/>
      <c r="C310" s="145"/>
      <c r="D310" s="145"/>
      <c r="E310" s="145"/>
      <c r="F310" s="146"/>
      <c r="G310" s="145"/>
      <c r="H310" s="146"/>
      <c r="I310" s="145"/>
      <c r="J310" s="146"/>
      <c r="K310" s="147"/>
      <c r="L310" s="147"/>
      <c r="M310" s="147"/>
      <c r="N310" s="147"/>
      <c r="O310" s="147"/>
      <c r="P310" s="147"/>
      <c r="Q310" s="147"/>
      <c r="R310" s="147"/>
      <c r="S310" s="147"/>
      <c r="T310" s="147"/>
      <c r="U310" s="147"/>
      <c r="V310" s="147"/>
      <c r="W310" s="147"/>
      <c r="X310" s="147"/>
      <c r="Y310" s="147"/>
      <c r="Z310" s="147"/>
      <c r="AA310" s="147"/>
      <c r="AB310" s="147"/>
      <c r="AC310" s="147"/>
      <c r="AD310" s="147"/>
      <c r="AE310" s="147"/>
      <c r="AF310" s="147"/>
      <c r="AG310" s="147"/>
      <c r="AH310" s="147"/>
      <c r="AI310" s="147"/>
      <c r="AJ310" s="147"/>
      <c r="AK310" s="147"/>
    </row>
    <row r="311" ht="15.75" customHeight="1">
      <c r="A311" s="144"/>
      <c r="B311" s="144"/>
      <c r="C311" s="145"/>
      <c r="D311" s="145"/>
      <c r="E311" s="145"/>
      <c r="F311" s="146"/>
      <c r="G311" s="145"/>
      <c r="H311" s="146"/>
      <c r="I311" s="145"/>
      <c r="J311" s="146"/>
      <c r="K311" s="147"/>
      <c r="L311" s="147"/>
      <c r="M311" s="147"/>
      <c r="N311" s="147"/>
      <c r="O311" s="147"/>
      <c r="P311" s="147"/>
      <c r="Q311" s="147"/>
      <c r="R311" s="147"/>
      <c r="S311" s="147"/>
      <c r="T311" s="147"/>
      <c r="U311" s="147"/>
      <c r="V311" s="147"/>
      <c r="W311" s="147"/>
      <c r="X311" s="147"/>
      <c r="Y311" s="147"/>
      <c r="Z311" s="147"/>
      <c r="AA311" s="147"/>
      <c r="AB311" s="147"/>
      <c r="AC311" s="147"/>
      <c r="AD311" s="147"/>
      <c r="AE311" s="147"/>
      <c r="AF311" s="147"/>
      <c r="AG311" s="147"/>
      <c r="AH311" s="147"/>
      <c r="AI311" s="147"/>
      <c r="AJ311" s="147"/>
      <c r="AK311" s="147"/>
    </row>
    <row r="312" ht="15.75" customHeight="1">
      <c r="A312" s="144"/>
      <c r="B312" s="144"/>
      <c r="C312" s="145"/>
      <c r="D312" s="145"/>
      <c r="E312" s="145"/>
      <c r="F312" s="146"/>
      <c r="G312" s="145"/>
      <c r="H312" s="146"/>
      <c r="I312" s="145"/>
      <c r="J312" s="146"/>
      <c r="K312" s="147"/>
      <c r="L312" s="147"/>
      <c r="M312" s="147"/>
      <c r="N312" s="147"/>
      <c r="O312" s="147"/>
      <c r="P312" s="147"/>
      <c r="Q312" s="147"/>
      <c r="R312" s="147"/>
      <c r="S312" s="147"/>
      <c r="T312" s="147"/>
      <c r="U312" s="147"/>
      <c r="V312" s="147"/>
      <c r="W312" s="147"/>
      <c r="X312" s="147"/>
      <c r="Y312" s="147"/>
      <c r="Z312" s="147"/>
      <c r="AA312" s="147"/>
      <c r="AB312" s="147"/>
      <c r="AC312" s="147"/>
      <c r="AD312" s="147"/>
      <c r="AE312" s="147"/>
      <c r="AF312" s="147"/>
      <c r="AG312" s="147"/>
      <c r="AH312" s="147"/>
      <c r="AI312" s="147"/>
      <c r="AJ312" s="147"/>
      <c r="AK312" s="147"/>
    </row>
    <row r="313" ht="15.75" customHeight="1">
      <c r="A313" s="144"/>
      <c r="B313" s="144"/>
      <c r="C313" s="145"/>
      <c r="D313" s="145"/>
      <c r="E313" s="145"/>
      <c r="F313" s="146"/>
      <c r="G313" s="145"/>
      <c r="H313" s="146"/>
      <c r="I313" s="145"/>
      <c r="J313" s="146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47"/>
      <c r="Y313" s="147"/>
      <c r="Z313" s="147"/>
      <c r="AA313" s="147"/>
      <c r="AB313" s="147"/>
      <c r="AC313" s="147"/>
      <c r="AD313" s="147"/>
      <c r="AE313" s="147"/>
      <c r="AF313" s="147"/>
      <c r="AG313" s="147"/>
      <c r="AH313" s="147"/>
      <c r="AI313" s="147"/>
      <c r="AJ313" s="147"/>
      <c r="AK313" s="147"/>
    </row>
    <row r="314" ht="15.75" customHeight="1">
      <c r="A314" s="144"/>
      <c r="B314" s="144"/>
      <c r="C314" s="145"/>
      <c r="D314" s="145"/>
      <c r="E314" s="145"/>
      <c r="F314" s="146"/>
      <c r="G314" s="145"/>
      <c r="H314" s="146"/>
      <c r="I314" s="145"/>
      <c r="J314" s="146"/>
      <c r="K314" s="147"/>
      <c r="L314" s="147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F314" s="147"/>
      <c r="AG314" s="147"/>
      <c r="AH314" s="147"/>
      <c r="AI314" s="147"/>
      <c r="AJ314" s="147"/>
      <c r="AK314" s="147"/>
    </row>
    <row r="315" ht="15.75" customHeight="1">
      <c r="A315" s="144"/>
      <c r="B315" s="144"/>
      <c r="C315" s="145"/>
      <c r="D315" s="145"/>
      <c r="E315" s="145"/>
      <c r="F315" s="146"/>
      <c r="G315" s="145"/>
      <c r="H315" s="146"/>
      <c r="I315" s="145"/>
      <c r="J315" s="146"/>
      <c r="K315" s="147"/>
      <c r="L315" s="147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F315" s="147"/>
      <c r="AG315" s="147"/>
      <c r="AH315" s="147"/>
      <c r="AI315" s="147"/>
      <c r="AJ315" s="147"/>
      <c r="AK315" s="147"/>
    </row>
    <row r="316" ht="15.75" customHeight="1">
      <c r="A316" s="144"/>
      <c r="B316" s="144"/>
      <c r="C316" s="145"/>
      <c r="D316" s="145"/>
      <c r="E316" s="145"/>
      <c r="F316" s="146"/>
      <c r="G316" s="145"/>
      <c r="H316" s="146"/>
      <c r="I316" s="145"/>
      <c r="J316" s="146"/>
      <c r="K316" s="147"/>
      <c r="L316" s="147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F316" s="147"/>
      <c r="AG316" s="147"/>
      <c r="AH316" s="147"/>
      <c r="AI316" s="147"/>
      <c r="AJ316" s="147"/>
      <c r="AK316" s="147"/>
    </row>
    <row r="317" ht="15.75" customHeight="1">
      <c r="A317" s="144"/>
      <c r="B317" s="144"/>
      <c r="C317" s="145"/>
      <c r="D317" s="145"/>
      <c r="E317" s="145"/>
      <c r="F317" s="146"/>
      <c r="G317" s="145"/>
      <c r="H317" s="146"/>
      <c r="I317" s="145"/>
      <c r="J317" s="146"/>
      <c r="K317" s="147"/>
      <c r="L317" s="147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  <c r="AJ317" s="147"/>
      <c r="AK317" s="147"/>
    </row>
    <row r="318" ht="15.75" customHeight="1">
      <c r="A318" s="144"/>
      <c r="B318" s="144"/>
      <c r="C318" s="145"/>
      <c r="D318" s="145"/>
      <c r="E318" s="145"/>
      <c r="F318" s="146"/>
      <c r="G318" s="145"/>
      <c r="H318" s="146"/>
      <c r="I318" s="145"/>
      <c r="J318" s="146"/>
      <c r="K318" s="147"/>
      <c r="L318" s="147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F318" s="147"/>
      <c r="AG318" s="147"/>
      <c r="AH318" s="147"/>
      <c r="AI318" s="147"/>
      <c r="AJ318" s="147"/>
      <c r="AK318" s="147"/>
    </row>
    <row r="319" ht="15.75" customHeight="1">
      <c r="A319" s="144"/>
      <c r="B319" s="144"/>
      <c r="C319" s="145"/>
      <c r="D319" s="145"/>
      <c r="E319" s="145"/>
      <c r="F319" s="146"/>
      <c r="G319" s="145"/>
      <c r="H319" s="146"/>
      <c r="I319" s="145"/>
      <c r="J319" s="146"/>
      <c r="K319" s="147"/>
      <c r="L319" s="147"/>
      <c r="M319" s="147"/>
      <c r="N319" s="147"/>
      <c r="O319" s="147"/>
      <c r="P319" s="147"/>
      <c r="Q319" s="147"/>
      <c r="R319" s="147"/>
      <c r="S319" s="147"/>
      <c r="T319" s="147"/>
      <c r="U319" s="147"/>
      <c r="V319" s="147"/>
      <c r="W319" s="147"/>
      <c r="X319" s="147"/>
      <c r="Y319" s="147"/>
      <c r="Z319" s="147"/>
      <c r="AA319" s="147"/>
      <c r="AB319" s="147"/>
      <c r="AC319" s="147"/>
      <c r="AD319" s="147"/>
      <c r="AE319" s="147"/>
      <c r="AF319" s="147"/>
      <c r="AG319" s="147"/>
      <c r="AH319" s="147"/>
      <c r="AI319" s="147"/>
      <c r="AJ319" s="147"/>
      <c r="AK319" s="147"/>
    </row>
    <row r="320" ht="15.75" customHeight="1">
      <c r="A320" s="144"/>
      <c r="B320" s="144"/>
      <c r="C320" s="145"/>
      <c r="D320" s="145"/>
      <c r="E320" s="145"/>
      <c r="F320" s="146"/>
      <c r="G320" s="145"/>
      <c r="H320" s="146"/>
      <c r="I320" s="145"/>
      <c r="J320" s="146"/>
      <c r="K320" s="147"/>
      <c r="L320" s="147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F320" s="147"/>
      <c r="AG320" s="147"/>
      <c r="AH320" s="147"/>
      <c r="AI320" s="147"/>
      <c r="AJ320" s="147"/>
      <c r="AK320" s="147"/>
    </row>
    <row r="321" ht="15.75" customHeight="1">
      <c r="A321" s="144"/>
      <c r="B321" s="144"/>
      <c r="C321" s="145"/>
      <c r="D321" s="145"/>
      <c r="E321" s="145"/>
      <c r="F321" s="146"/>
      <c r="G321" s="145"/>
      <c r="H321" s="146"/>
      <c r="I321" s="145"/>
      <c r="J321" s="146"/>
      <c r="K321" s="147"/>
      <c r="L321" s="147"/>
      <c r="M321" s="147"/>
      <c r="N321" s="147"/>
      <c r="O321" s="147"/>
      <c r="P321" s="147"/>
      <c r="Q321" s="147"/>
      <c r="R321" s="147"/>
      <c r="S321" s="147"/>
      <c r="T321" s="147"/>
      <c r="U321" s="147"/>
      <c r="V321" s="147"/>
      <c r="W321" s="147"/>
      <c r="X321" s="147"/>
      <c r="Y321" s="147"/>
      <c r="Z321" s="147"/>
      <c r="AA321" s="147"/>
      <c r="AB321" s="147"/>
      <c r="AC321" s="147"/>
      <c r="AD321" s="147"/>
      <c r="AE321" s="147"/>
      <c r="AF321" s="147"/>
      <c r="AG321" s="147"/>
      <c r="AH321" s="147"/>
      <c r="AI321" s="147"/>
      <c r="AJ321" s="147"/>
      <c r="AK321" s="147"/>
    </row>
    <row r="322" ht="15.75" customHeight="1">
      <c r="A322" s="144"/>
      <c r="B322" s="144"/>
      <c r="C322" s="145"/>
      <c r="D322" s="145"/>
      <c r="E322" s="145"/>
      <c r="F322" s="146"/>
      <c r="G322" s="145"/>
      <c r="H322" s="146"/>
      <c r="I322" s="145"/>
      <c r="J322" s="146"/>
      <c r="K322" s="147"/>
      <c r="L322" s="147"/>
      <c r="M322" s="147"/>
      <c r="N322" s="147"/>
      <c r="O322" s="147"/>
      <c r="P322" s="147"/>
      <c r="Q322" s="147"/>
      <c r="R322" s="147"/>
      <c r="S322" s="147"/>
      <c r="T322" s="147"/>
      <c r="U322" s="147"/>
      <c r="V322" s="147"/>
      <c r="W322" s="147"/>
      <c r="X322" s="147"/>
      <c r="Y322" s="147"/>
      <c r="Z322" s="147"/>
      <c r="AA322" s="147"/>
      <c r="AB322" s="147"/>
      <c r="AC322" s="147"/>
      <c r="AD322" s="147"/>
      <c r="AE322" s="147"/>
      <c r="AF322" s="147"/>
      <c r="AG322" s="147"/>
      <c r="AH322" s="147"/>
      <c r="AI322" s="147"/>
      <c r="AJ322" s="147"/>
      <c r="AK322" s="147"/>
    </row>
    <row r="323" ht="15.75" customHeight="1">
      <c r="A323" s="144"/>
      <c r="B323" s="144"/>
      <c r="C323" s="145"/>
      <c r="D323" s="145"/>
      <c r="E323" s="145"/>
      <c r="F323" s="146"/>
      <c r="G323" s="145"/>
      <c r="H323" s="146"/>
      <c r="I323" s="145"/>
      <c r="J323" s="146"/>
      <c r="K323" s="147"/>
      <c r="L323" s="147"/>
      <c r="M323" s="147"/>
      <c r="N323" s="147"/>
      <c r="O323" s="147"/>
      <c r="P323" s="147"/>
      <c r="Q323" s="147"/>
      <c r="R323" s="147"/>
      <c r="S323" s="147"/>
      <c r="T323" s="147"/>
      <c r="U323" s="147"/>
      <c r="V323" s="147"/>
      <c r="W323" s="147"/>
      <c r="X323" s="147"/>
      <c r="Y323" s="147"/>
      <c r="Z323" s="147"/>
      <c r="AA323" s="147"/>
      <c r="AB323" s="147"/>
      <c r="AC323" s="147"/>
      <c r="AD323" s="147"/>
      <c r="AE323" s="147"/>
      <c r="AF323" s="147"/>
      <c r="AG323" s="147"/>
      <c r="AH323" s="147"/>
      <c r="AI323" s="147"/>
      <c r="AJ323" s="147"/>
      <c r="AK323" s="147"/>
    </row>
    <row r="324" ht="15.75" customHeight="1">
      <c r="A324" s="144"/>
      <c r="B324" s="144"/>
      <c r="C324" s="145"/>
      <c r="D324" s="145"/>
      <c r="E324" s="145"/>
      <c r="F324" s="146"/>
      <c r="G324" s="145"/>
      <c r="H324" s="146"/>
      <c r="I324" s="145"/>
      <c r="J324" s="146"/>
      <c r="K324" s="147"/>
      <c r="L324" s="147"/>
      <c r="M324" s="147"/>
      <c r="N324" s="147"/>
      <c r="O324" s="147"/>
      <c r="P324" s="147"/>
      <c r="Q324" s="147"/>
      <c r="R324" s="147"/>
      <c r="S324" s="147"/>
      <c r="T324" s="147"/>
      <c r="U324" s="147"/>
      <c r="V324" s="147"/>
      <c r="W324" s="147"/>
      <c r="X324" s="147"/>
      <c r="Y324" s="147"/>
      <c r="Z324" s="147"/>
      <c r="AA324" s="147"/>
      <c r="AB324" s="147"/>
      <c r="AC324" s="147"/>
      <c r="AD324" s="147"/>
      <c r="AE324" s="147"/>
      <c r="AF324" s="147"/>
      <c r="AG324" s="147"/>
      <c r="AH324" s="147"/>
      <c r="AI324" s="147"/>
      <c r="AJ324" s="147"/>
      <c r="AK324" s="147"/>
    </row>
    <row r="325" ht="15.75" customHeight="1">
      <c r="A325" s="144"/>
      <c r="B325" s="144"/>
      <c r="C325" s="145"/>
      <c r="D325" s="145"/>
      <c r="E325" s="145"/>
      <c r="F325" s="146"/>
      <c r="G325" s="145"/>
      <c r="H325" s="146"/>
      <c r="I325" s="145"/>
      <c r="J325" s="146"/>
      <c r="K325" s="147"/>
      <c r="L325" s="147"/>
      <c r="M325" s="147"/>
      <c r="N325" s="147"/>
      <c r="O325" s="147"/>
      <c r="P325" s="147"/>
      <c r="Q325" s="147"/>
      <c r="R325" s="147"/>
      <c r="S325" s="147"/>
      <c r="T325" s="147"/>
      <c r="U325" s="147"/>
      <c r="V325" s="147"/>
      <c r="W325" s="147"/>
      <c r="X325" s="147"/>
      <c r="Y325" s="147"/>
      <c r="Z325" s="147"/>
      <c r="AA325" s="147"/>
      <c r="AB325" s="147"/>
      <c r="AC325" s="147"/>
      <c r="AD325" s="147"/>
      <c r="AE325" s="147"/>
      <c r="AF325" s="147"/>
      <c r="AG325" s="147"/>
      <c r="AH325" s="147"/>
      <c r="AI325" s="147"/>
      <c r="AJ325" s="147"/>
      <c r="AK325" s="147"/>
    </row>
    <row r="326" ht="15.75" customHeight="1">
      <c r="A326" s="144"/>
      <c r="B326" s="144"/>
      <c r="C326" s="145"/>
      <c r="D326" s="145"/>
      <c r="E326" s="145"/>
      <c r="F326" s="146"/>
      <c r="G326" s="145"/>
      <c r="H326" s="146"/>
      <c r="I326" s="145"/>
      <c r="J326" s="146"/>
      <c r="K326" s="147"/>
      <c r="L326" s="147"/>
      <c r="M326" s="147"/>
      <c r="N326" s="147"/>
      <c r="O326" s="147"/>
      <c r="P326" s="147"/>
      <c r="Q326" s="147"/>
      <c r="R326" s="147"/>
      <c r="S326" s="147"/>
      <c r="T326" s="147"/>
      <c r="U326" s="147"/>
      <c r="V326" s="147"/>
      <c r="W326" s="147"/>
      <c r="X326" s="147"/>
      <c r="Y326" s="147"/>
      <c r="Z326" s="147"/>
      <c r="AA326" s="147"/>
      <c r="AB326" s="147"/>
      <c r="AC326" s="147"/>
      <c r="AD326" s="147"/>
      <c r="AE326" s="147"/>
      <c r="AF326" s="147"/>
      <c r="AG326" s="147"/>
      <c r="AH326" s="147"/>
      <c r="AI326" s="147"/>
      <c r="AJ326" s="147"/>
      <c r="AK326" s="147"/>
    </row>
    <row r="327" ht="15.75" customHeight="1">
      <c r="A327" s="144"/>
      <c r="B327" s="144"/>
      <c r="C327" s="145"/>
      <c r="D327" s="145"/>
      <c r="E327" s="145"/>
      <c r="F327" s="146"/>
      <c r="G327" s="145"/>
      <c r="H327" s="146"/>
      <c r="I327" s="145"/>
      <c r="J327" s="146"/>
      <c r="K327" s="147"/>
      <c r="L327" s="147"/>
      <c r="M327" s="147"/>
      <c r="N327" s="147"/>
      <c r="O327" s="147"/>
      <c r="P327" s="147"/>
      <c r="Q327" s="147"/>
      <c r="R327" s="147"/>
      <c r="S327" s="147"/>
      <c r="T327" s="147"/>
      <c r="U327" s="147"/>
      <c r="V327" s="147"/>
      <c r="W327" s="147"/>
      <c r="X327" s="147"/>
      <c r="Y327" s="147"/>
      <c r="Z327" s="147"/>
      <c r="AA327" s="147"/>
      <c r="AB327" s="147"/>
      <c r="AC327" s="147"/>
      <c r="AD327" s="147"/>
      <c r="AE327" s="147"/>
      <c r="AF327" s="147"/>
      <c r="AG327" s="147"/>
      <c r="AH327" s="147"/>
      <c r="AI327" s="147"/>
      <c r="AJ327" s="147"/>
      <c r="AK327" s="147"/>
    </row>
    <row r="328" ht="15.75" customHeight="1">
      <c r="A328" s="144"/>
      <c r="B328" s="144"/>
      <c r="C328" s="145"/>
      <c r="D328" s="145"/>
      <c r="E328" s="145"/>
      <c r="F328" s="146"/>
      <c r="G328" s="145"/>
      <c r="H328" s="146"/>
      <c r="I328" s="145"/>
      <c r="J328" s="146"/>
      <c r="K328" s="147"/>
      <c r="L328" s="147"/>
      <c r="M328" s="147"/>
      <c r="N328" s="147"/>
      <c r="O328" s="147"/>
      <c r="P328" s="147"/>
      <c r="Q328" s="147"/>
      <c r="R328" s="147"/>
      <c r="S328" s="147"/>
      <c r="T328" s="147"/>
      <c r="U328" s="147"/>
      <c r="V328" s="147"/>
      <c r="W328" s="147"/>
      <c r="X328" s="147"/>
      <c r="Y328" s="147"/>
      <c r="Z328" s="147"/>
      <c r="AA328" s="147"/>
      <c r="AB328" s="147"/>
      <c r="AC328" s="147"/>
      <c r="AD328" s="147"/>
      <c r="AE328" s="147"/>
      <c r="AF328" s="147"/>
      <c r="AG328" s="147"/>
      <c r="AH328" s="147"/>
      <c r="AI328" s="147"/>
      <c r="AJ328" s="147"/>
      <c r="AK328" s="147"/>
    </row>
    <row r="329" ht="15.75" customHeight="1">
      <c r="A329" s="144"/>
      <c r="B329" s="144"/>
      <c r="C329" s="145"/>
      <c r="D329" s="145"/>
      <c r="E329" s="145"/>
      <c r="F329" s="146"/>
      <c r="G329" s="145"/>
      <c r="H329" s="146"/>
      <c r="I329" s="145"/>
      <c r="J329" s="146"/>
      <c r="K329" s="147"/>
      <c r="L329" s="147"/>
      <c r="M329" s="147"/>
      <c r="N329" s="147"/>
      <c r="O329" s="147"/>
      <c r="P329" s="147"/>
      <c r="Q329" s="147"/>
      <c r="R329" s="147"/>
      <c r="S329" s="147"/>
      <c r="T329" s="147"/>
      <c r="U329" s="147"/>
      <c r="V329" s="147"/>
      <c r="W329" s="147"/>
      <c r="X329" s="147"/>
      <c r="Y329" s="147"/>
      <c r="Z329" s="147"/>
      <c r="AA329" s="147"/>
      <c r="AB329" s="147"/>
      <c r="AC329" s="147"/>
      <c r="AD329" s="147"/>
      <c r="AE329" s="147"/>
      <c r="AF329" s="147"/>
      <c r="AG329" s="147"/>
      <c r="AH329" s="147"/>
      <c r="AI329" s="147"/>
      <c r="AJ329" s="147"/>
      <c r="AK329" s="147"/>
    </row>
    <row r="330" ht="15.75" customHeight="1">
      <c r="A330" s="144"/>
      <c r="B330" s="144"/>
      <c r="C330" s="145"/>
      <c r="D330" s="145"/>
      <c r="E330" s="145"/>
      <c r="F330" s="146"/>
      <c r="G330" s="145"/>
      <c r="H330" s="146"/>
      <c r="I330" s="145"/>
      <c r="J330" s="146"/>
      <c r="K330" s="147"/>
      <c r="L330" s="147"/>
      <c r="M330" s="147"/>
      <c r="N330" s="147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F330" s="147"/>
      <c r="AG330" s="147"/>
      <c r="AH330" s="147"/>
      <c r="AI330" s="147"/>
      <c r="AJ330" s="147"/>
      <c r="AK330" s="147"/>
    </row>
    <row r="331" ht="15.75" customHeight="1">
      <c r="A331" s="144"/>
      <c r="B331" s="144"/>
      <c r="C331" s="145"/>
      <c r="D331" s="145"/>
      <c r="E331" s="145"/>
      <c r="F331" s="146"/>
      <c r="G331" s="145"/>
      <c r="H331" s="146"/>
      <c r="I331" s="145"/>
      <c r="J331" s="146"/>
      <c r="K331" s="147"/>
      <c r="L331" s="147"/>
      <c r="M331" s="147"/>
      <c r="N331" s="147"/>
      <c r="O331" s="147"/>
      <c r="P331" s="147"/>
      <c r="Q331" s="147"/>
      <c r="R331" s="147"/>
      <c r="S331" s="147"/>
      <c r="T331" s="147"/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  <c r="AJ331" s="147"/>
      <c r="AK331" s="147"/>
    </row>
    <row r="332" ht="15.75" customHeight="1">
      <c r="A332" s="144"/>
      <c r="B332" s="144"/>
      <c r="C332" s="145"/>
      <c r="D332" s="145"/>
      <c r="E332" s="145"/>
      <c r="F332" s="146"/>
      <c r="G332" s="145"/>
      <c r="H332" s="146"/>
      <c r="I332" s="145"/>
      <c r="J332" s="146"/>
      <c r="K332" s="147"/>
      <c r="L332" s="147"/>
      <c r="M332" s="147"/>
      <c r="N332" s="147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</row>
    <row r="333" ht="15.75" customHeight="1">
      <c r="A333" s="144"/>
      <c r="B333" s="144"/>
      <c r="C333" s="145"/>
      <c r="D333" s="145"/>
      <c r="E333" s="145"/>
      <c r="F333" s="146"/>
      <c r="G333" s="145"/>
      <c r="H333" s="146"/>
      <c r="I333" s="145"/>
      <c r="J333" s="146"/>
      <c r="K333" s="147"/>
      <c r="L333" s="147"/>
      <c r="M333" s="147"/>
      <c r="N333" s="147"/>
      <c r="O333" s="147"/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</row>
    <row r="334" ht="15.75" customHeight="1">
      <c r="A334" s="144"/>
      <c r="B334" s="144"/>
      <c r="C334" s="145"/>
      <c r="D334" s="145"/>
      <c r="E334" s="145"/>
      <c r="F334" s="146"/>
      <c r="G334" s="145"/>
      <c r="H334" s="146"/>
      <c r="I334" s="145"/>
      <c r="J334" s="146"/>
      <c r="K334" s="147"/>
      <c r="L334" s="147"/>
      <c r="M334" s="147"/>
      <c r="N334" s="147"/>
      <c r="O334" s="147"/>
      <c r="P334" s="147"/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</row>
    <row r="335" ht="15.75" customHeight="1">
      <c r="A335" s="144"/>
      <c r="B335" s="144"/>
      <c r="C335" s="145"/>
      <c r="D335" s="145"/>
      <c r="E335" s="145"/>
      <c r="F335" s="146"/>
      <c r="G335" s="145"/>
      <c r="H335" s="146"/>
      <c r="I335" s="145"/>
      <c r="J335" s="146"/>
      <c r="K335" s="147"/>
      <c r="L335" s="147"/>
      <c r="M335" s="147"/>
      <c r="N335" s="147"/>
      <c r="O335" s="147"/>
      <c r="P335" s="147"/>
      <c r="Q335" s="147"/>
      <c r="R335" s="147"/>
      <c r="S335" s="147"/>
      <c r="T335" s="147"/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</row>
    <row r="336" ht="15.75" customHeight="1">
      <c r="A336" s="144"/>
      <c r="B336" s="144"/>
      <c r="C336" s="145"/>
      <c r="D336" s="145"/>
      <c r="E336" s="145"/>
      <c r="F336" s="146"/>
      <c r="G336" s="145"/>
      <c r="H336" s="146"/>
      <c r="I336" s="145"/>
      <c r="J336" s="146"/>
      <c r="K336" s="147"/>
      <c r="L336" s="147"/>
      <c r="M336" s="147"/>
      <c r="N336" s="147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</row>
    <row r="337" ht="15.75" customHeight="1">
      <c r="A337" s="144"/>
      <c r="B337" s="144"/>
      <c r="C337" s="145"/>
      <c r="D337" s="145"/>
      <c r="E337" s="145"/>
      <c r="F337" s="146"/>
      <c r="G337" s="145"/>
      <c r="H337" s="146"/>
      <c r="I337" s="145"/>
      <c r="J337" s="146"/>
      <c r="K337" s="147"/>
      <c r="L337" s="147"/>
      <c r="M337" s="147"/>
      <c r="N337" s="147"/>
      <c r="O337" s="147"/>
      <c r="P337" s="147"/>
      <c r="Q337" s="147"/>
      <c r="R337" s="147"/>
      <c r="S337" s="147"/>
      <c r="T337" s="147"/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</row>
    <row r="338" ht="15.75" customHeight="1">
      <c r="A338" s="144"/>
      <c r="B338" s="144"/>
      <c r="C338" s="145"/>
      <c r="D338" s="145"/>
      <c r="E338" s="145"/>
      <c r="F338" s="146"/>
      <c r="G338" s="145"/>
      <c r="H338" s="146"/>
      <c r="I338" s="145"/>
      <c r="J338" s="146"/>
      <c r="K338" s="147"/>
      <c r="L338" s="147"/>
      <c r="M338" s="147"/>
      <c r="N338" s="147"/>
      <c r="O338" s="147"/>
      <c r="P338" s="147"/>
      <c r="Q338" s="147"/>
      <c r="R338" s="147"/>
      <c r="S338" s="147"/>
      <c r="T338" s="147"/>
      <c r="U338" s="147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</row>
    <row r="339" ht="15.75" customHeight="1">
      <c r="A339" s="144"/>
      <c r="B339" s="144"/>
      <c r="C339" s="145"/>
      <c r="D339" s="145"/>
      <c r="E339" s="145"/>
      <c r="F339" s="146"/>
      <c r="G339" s="145"/>
      <c r="H339" s="146"/>
      <c r="I339" s="145"/>
      <c r="J339" s="146"/>
      <c r="K339" s="147"/>
      <c r="L339" s="147"/>
      <c r="M339" s="147"/>
      <c r="N339" s="147"/>
      <c r="O339" s="147"/>
      <c r="P339" s="147"/>
      <c r="Q339" s="147"/>
      <c r="R339" s="147"/>
      <c r="S339" s="147"/>
      <c r="T339" s="147"/>
      <c r="U339" s="147"/>
      <c r="V339" s="147"/>
      <c r="W339" s="147"/>
      <c r="X339" s="147"/>
      <c r="Y339" s="147"/>
      <c r="Z339" s="147"/>
      <c r="AA339" s="147"/>
      <c r="AB339" s="147"/>
      <c r="AC339" s="147"/>
      <c r="AD339" s="147"/>
      <c r="AE339" s="147"/>
      <c r="AF339" s="147"/>
      <c r="AG339" s="147"/>
      <c r="AH339" s="147"/>
      <c r="AI339" s="147"/>
      <c r="AJ339" s="147"/>
      <c r="AK339" s="147"/>
    </row>
    <row r="340" ht="15.75" customHeight="1">
      <c r="A340" s="144"/>
      <c r="B340" s="144"/>
      <c r="C340" s="145"/>
      <c r="D340" s="145"/>
      <c r="E340" s="145"/>
      <c r="F340" s="146"/>
      <c r="G340" s="145"/>
      <c r="H340" s="146"/>
      <c r="I340" s="145"/>
      <c r="J340" s="146"/>
      <c r="K340" s="147"/>
      <c r="L340" s="147"/>
      <c r="M340" s="147"/>
      <c r="N340" s="147"/>
      <c r="O340" s="147"/>
      <c r="P340" s="147"/>
      <c r="Q340" s="147"/>
      <c r="R340" s="147"/>
      <c r="S340" s="147"/>
      <c r="T340" s="147"/>
      <c r="U340" s="147"/>
      <c r="V340" s="147"/>
      <c r="W340" s="147"/>
      <c r="X340" s="147"/>
      <c r="Y340" s="147"/>
      <c r="Z340" s="147"/>
      <c r="AA340" s="147"/>
      <c r="AB340" s="147"/>
      <c r="AC340" s="147"/>
      <c r="AD340" s="147"/>
      <c r="AE340" s="147"/>
      <c r="AF340" s="147"/>
      <c r="AG340" s="147"/>
      <c r="AH340" s="147"/>
      <c r="AI340" s="147"/>
      <c r="AJ340" s="147"/>
      <c r="AK340" s="147"/>
    </row>
    <row r="341" ht="15.75" customHeight="1">
      <c r="A341" s="144"/>
      <c r="B341" s="144"/>
      <c r="C341" s="145"/>
      <c r="D341" s="145"/>
      <c r="E341" s="145"/>
      <c r="F341" s="146"/>
      <c r="G341" s="145"/>
      <c r="H341" s="146"/>
      <c r="I341" s="145"/>
      <c r="J341" s="146"/>
      <c r="K341" s="147"/>
      <c r="L341" s="147"/>
      <c r="M341" s="147"/>
      <c r="N341" s="147"/>
      <c r="O341" s="147"/>
      <c r="P341" s="147"/>
      <c r="Q341" s="147"/>
      <c r="R341" s="147"/>
      <c r="S341" s="147"/>
      <c r="T341" s="147"/>
      <c r="U341" s="147"/>
      <c r="V341" s="147"/>
      <c r="W341" s="147"/>
      <c r="X341" s="147"/>
      <c r="Y341" s="147"/>
      <c r="Z341" s="147"/>
      <c r="AA341" s="147"/>
      <c r="AB341" s="147"/>
      <c r="AC341" s="147"/>
      <c r="AD341" s="147"/>
      <c r="AE341" s="147"/>
      <c r="AF341" s="147"/>
      <c r="AG341" s="147"/>
      <c r="AH341" s="147"/>
      <c r="AI341" s="147"/>
      <c r="AJ341" s="147"/>
      <c r="AK341" s="147"/>
    </row>
    <row r="342" ht="15.75" customHeight="1">
      <c r="A342" s="144"/>
      <c r="B342" s="144"/>
      <c r="C342" s="145"/>
      <c r="D342" s="145"/>
      <c r="E342" s="145"/>
      <c r="F342" s="146"/>
      <c r="G342" s="145"/>
      <c r="H342" s="146"/>
      <c r="I342" s="145"/>
      <c r="J342" s="146"/>
      <c r="K342" s="147"/>
      <c r="L342" s="147"/>
      <c r="M342" s="147"/>
      <c r="N342" s="147"/>
      <c r="O342" s="147"/>
      <c r="P342" s="147"/>
      <c r="Q342" s="147"/>
      <c r="R342" s="147"/>
      <c r="S342" s="147"/>
      <c r="T342" s="147"/>
      <c r="U342" s="147"/>
      <c r="V342" s="147"/>
      <c r="W342" s="147"/>
      <c r="X342" s="147"/>
      <c r="Y342" s="147"/>
      <c r="Z342" s="147"/>
      <c r="AA342" s="147"/>
      <c r="AB342" s="147"/>
      <c r="AC342" s="147"/>
      <c r="AD342" s="147"/>
      <c r="AE342" s="147"/>
      <c r="AF342" s="147"/>
      <c r="AG342" s="147"/>
      <c r="AH342" s="147"/>
      <c r="AI342" s="147"/>
      <c r="AJ342" s="147"/>
      <c r="AK342" s="147"/>
    </row>
    <row r="343" ht="15.75" customHeight="1">
      <c r="A343" s="144"/>
      <c r="B343" s="144"/>
      <c r="C343" s="145"/>
      <c r="D343" s="145"/>
      <c r="E343" s="145"/>
      <c r="F343" s="146"/>
      <c r="G343" s="145"/>
      <c r="H343" s="146"/>
      <c r="I343" s="145"/>
      <c r="J343" s="146"/>
      <c r="K343" s="147"/>
      <c r="L343" s="147"/>
      <c r="M343" s="147"/>
      <c r="N343" s="147"/>
      <c r="O343" s="147"/>
      <c r="P343" s="147"/>
      <c r="Q343" s="147"/>
      <c r="R343" s="147"/>
      <c r="S343" s="147"/>
      <c r="T343" s="147"/>
      <c r="U343" s="147"/>
      <c r="V343" s="147"/>
      <c r="W343" s="147"/>
      <c r="X343" s="147"/>
      <c r="Y343" s="147"/>
      <c r="Z343" s="147"/>
      <c r="AA343" s="147"/>
      <c r="AB343" s="147"/>
      <c r="AC343" s="147"/>
      <c r="AD343" s="147"/>
      <c r="AE343" s="147"/>
      <c r="AF343" s="147"/>
      <c r="AG343" s="147"/>
      <c r="AH343" s="147"/>
      <c r="AI343" s="147"/>
      <c r="AJ343" s="147"/>
      <c r="AK343" s="147"/>
    </row>
    <row r="344" ht="15.75" customHeight="1">
      <c r="A344" s="144"/>
      <c r="B344" s="144"/>
      <c r="C344" s="145"/>
      <c r="D344" s="145"/>
      <c r="E344" s="145"/>
      <c r="F344" s="146"/>
      <c r="G344" s="145"/>
      <c r="H344" s="146"/>
      <c r="I344" s="145"/>
      <c r="J344" s="146"/>
      <c r="K344" s="147"/>
      <c r="L344" s="147"/>
      <c r="M344" s="147"/>
      <c r="N344" s="147"/>
      <c r="O344" s="147"/>
      <c r="P344" s="147"/>
      <c r="Q344" s="147"/>
      <c r="R344" s="147"/>
      <c r="S344" s="147"/>
      <c r="T344" s="147"/>
      <c r="U344" s="147"/>
      <c r="V344" s="147"/>
      <c r="W344" s="147"/>
      <c r="X344" s="147"/>
      <c r="Y344" s="147"/>
      <c r="Z344" s="147"/>
      <c r="AA344" s="147"/>
      <c r="AB344" s="147"/>
      <c r="AC344" s="147"/>
      <c r="AD344" s="147"/>
      <c r="AE344" s="147"/>
      <c r="AF344" s="147"/>
      <c r="AG344" s="147"/>
      <c r="AH344" s="147"/>
      <c r="AI344" s="147"/>
      <c r="AJ344" s="147"/>
      <c r="AK344" s="147"/>
    </row>
    <row r="345" ht="15.75" customHeight="1">
      <c r="A345" s="144"/>
      <c r="B345" s="144"/>
      <c r="C345" s="145"/>
      <c r="D345" s="145"/>
      <c r="E345" s="145"/>
      <c r="F345" s="146"/>
      <c r="G345" s="145"/>
      <c r="H345" s="146"/>
      <c r="I345" s="145"/>
      <c r="J345" s="146"/>
      <c r="K345" s="147"/>
      <c r="L345" s="147"/>
      <c r="M345" s="147"/>
      <c r="N345" s="147"/>
      <c r="O345" s="147"/>
      <c r="P345" s="147"/>
      <c r="Q345" s="147"/>
      <c r="R345" s="147"/>
      <c r="S345" s="147"/>
      <c r="T345" s="147"/>
      <c r="U345" s="147"/>
      <c r="V345" s="147"/>
      <c r="W345" s="147"/>
      <c r="X345" s="147"/>
      <c r="Y345" s="147"/>
      <c r="Z345" s="147"/>
      <c r="AA345" s="147"/>
      <c r="AB345" s="147"/>
      <c r="AC345" s="147"/>
      <c r="AD345" s="147"/>
      <c r="AE345" s="147"/>
      <c r="AF345" s="147"/>
      <c r="AG345" s="147"/>
      <c r="AH345" s="147"/>
      <c r="AI345" s="147"/>
      <c r="AJ345" s="147"/>
      <c r="AK345" s="147"/>
    </row>
    <row r="346" ht="15.75" customHeight="1">
      <c r="A346" s="144"/>
      <c r="B346" s="144"/>
      <c r="C346" s="145"/>
      <c r="D346" s="145"/>
      <c r="E346" s="145"/>
      <c r="F346" s="146"/>
      <c r="G346" s="145"/>
      <c r="H346" s="146"/>
      <c r="I346" s="145"/>
      <c r="J346" s="146"/>
      <c r="K346" s="147"/>
      <c r="L346" s="147"/>
      <c r="M346" s="147"/>
      <c r="N346" s="147"/>
      <c r="O346" s="147"/>
      <c r="P346" s="147"/>
      <c r="Q346" s="147"/>
      <c r="R346" s="147"/>
      <c r="S346" s="147"/>
      <c r="T346" s="147"/>
      <c r="U346" s="147"/>
      <c r="V346" s="147"/>
      <c r="W346" s="147"/>
      <c r="X346" s="147"/>
      <c r="Y346" s="147"/>
      <c r="Z346" s="147"/>
      <c r="AA346" s="147"/>
      <c r="AB346" s="147"/>
      <c r="AC346" s="147"/>
      <c r="AD346" s="147"/>
      <c r="AE346" s="147"/>
      <c r="AF346" s="147"/>
      <c r="AG346" s="147"/>
      <c r="AH346" s="147"/>
      <c r="AI346" s="147"/>
      <c r="AJ346" s="147"/>
      <c r="AK346" s="147"/>
    </row>
    <row r="347" ht="15.75" customHeight="1">
      <c r="A347" s="144"/>
      <c r="B347" s="144"/>
      <c r="C347" s="145"/>
      <c r="D347" s="145"/>
      <c r="E347" s="145"/>
      <c r="F347" s="146"/>
      <c r="G347" s="145"/>
      <c r="H347" s="146"/>
      <c r="I347" s="145"/>
      <c r="J347" s="146"/>
      <c r="K347" s="147"/>
      <c r="L347" s="147"/>
      <c r="M347" s="147"/>
      <c r="N347" s="147"/>
      <c r="O347" s="147"/>
      <c r="P347" s="147"/>
      <c r="Q347" s="147"/>
      <c r="R347" s="147"/>
      <c r="S347" s="147"/>
      <c r="T347" s="147"/>
      <c r="U347" s="147"/>
      <c r="V347" s="147"/>
      <c r="W347" s="147"/>
      <c r="X347" s="147"/>
      <c r="Y347" s="147"/>
      <c r="Z347" s="147"/>
      <c r="AA347" s="147"/>
      <c r="AB347" s="147"/>
      <c r="AC347" s="147"/>
      <c r="AD347" s="147"/>
      <c r="AE347" s="147"/>
      <c r="AF347" s="147"/>
      <c r="AG347" s="147"/>
      <c r="AH347" s="147"/>
      <c r="AI347" s="147"/>
      <c r="AJ347" s="147"/>
      <c r="AK347" s="147"/>
    </row>
    <row r="348" ht="15.75" customHeight="1">
      <c r="A348" s="144"/>
      <c r="B348" s="144"/>
      <c r="C348" s="145"/>
      <c r="D348" s="145"/>
      <c r="E348" s="145"/>
      <c r="F348" s="146"/>
      <c r="G348" s="145"/>
      <c r="H348" s="146"/>
      <c r="I348" s="145"/>
      <c r="J348" s="146"/>
      <c r="K348" s="147"/>
      <c r="L348" s="147"/>
      <c r="M348" s="147"/>
      <c r="N348" s="147"/>
      <c r="O348" s="147"/>
      <c r="P348" s="147"/>
      <c r="Q348" s="147"/>
      <c r="R348" s="147"/>
      <c r="S348" s="147"/>
      <c r="T348" s="147"/>
      <c r="U348" s="147"/>
      <c r="V348" s="147"/>
      <c r="W348" s="147"/>
      <c r="X348" s="147"/>
      <c r="Y348" s="147"/>
      <c r="Z348" s="147"/>
      <c r="AA348" s="147"/>
      <c r="AB348" s="147"/>
      <c r="AC348" s="147"/>
      <c r="AD348" s="147"/>
      <c r="AE348" s="147"/>
      <c r="AF348" s="147"/>
      <c r="AG348" s="147"/>
      <c r="AH348" s="147"/>
      <c r="AI348" s="147"/>
      <c r="AJ348" s="147"/>
      <c r="AK348" s="147"/>
    </row>
    <row r="349" ht="15.75" customHeight="1">
      <c r="A349" s="144"/>
      <c r="B349" s="144"/>
      <c r="C349" s="145"/>
      <c r="D349" s="145"/>
      <c r="E349" s="145"/>
      <c r="F349" s="146"/>
      <c r="G349" s="145"/>
      <c r="H349" s="146"/>
      <c r="I349" s="145"/>
      <c r="J349" s="146"/>
      <c r="K349" s="147"/>
      <c r="L349" s="147"/>
      <c r="M349" s="147"/>
      <c r="N349" s="147"/>
      <c r="O349" s="147"/>
      <c r="P349" s="147"/>
      <c r="Q349" s="147"/>
      <c r="R349" s="147"/>
      <c r="S349" s="147"/>
      <c r="T349" s="147"/>
      <c r="U349" s="147"/>
      <c r="V349" s="147"/>
      <c r="W349" s="147"/>
      <c r="X349" s="147"/>
      <c r="Y349" s="147"/>
      <c r="Z349" s="147"/>
      <c r="AA349" s="147"/>
      <c r="AB349" s="147"/>
      <c r="AC349" s="147"/>
      <c r="AD349" s="147"/>
      <c r="AE349" s="147"/>
      <c r="AF349" s="147"/>
      <c r="AG349" s="147"/>
      <c r="AH349" s="147"/>
      <c r="AI349" s="147"/>
      <c r="AJ349" s="147"/>
      <c r="AK349" s="147"/>
    </row>
    <row r="350" ht="15.75" customHeight="1">
      <c r="A350" s="144"/>
      <c r="B350" s="144"/>
      <c r="C350" s="145"/>
      <c r="D350" s="145"/>
      <c r="E350" s="145"/>
      <c r="F350" s="146"/>
      <c r="G350" s="145"/>
      <c r="H350" s="146"/>
      <c r="I350" s="145"/>
      <c r="J350" s="146"/>
      <c r="K350" s="147"/>
      <c r="L350" s="147"/>
      <c r="M350" s="147"/>
      <c r="N350" s="147"/>
      <c r="O350" s="147"/>
      <c r="P350" s="147"/>
      <c r="Q350" s="147"/>
      <c r="R350" s="147"/>
      <c r="S350" s="147"/>
      <c r="T350" s="147"/>
      <c r="U350" s="147"/>
      <c r="V350" s="147"/>
      <c r="W350" s="147"/>
      <c r="X350" s="147"/>
      <c r="Y350" s="147"/>
      <c r="Z350" s="147"/>
      <c r="AA350" s="147"/>
      <c r="AB350" s="147"/>
      <c r="AC350" s="147"/>
      <c r="AD350" s="147"/>
      <c r="AE350" s="147"/>
      <c r="AF350" s="147"/>
      <c r="AG350" s="147"/>
      <c r="AH350" s="147"/>
      <c r="AI350" s="147"/>
      <c r="AJ350" s="147"/>
      <c r="AK350" s="147"/>
    </row>
    <row r="351" ht="15.75" customHeight="1">
      <c r="A351" s="144"/>
      <c r="B351" s="144"/>
      <c r="C351" s="145"/>
      <c r="D351" s="145"/>
      <c r="E351" s="145"/>
      <c r="F351" s="146"/>
      <c r="G351" s="145"/>
      <c r="H351" s="146"/>
      <c r="I351" s="145"/>
      <c r="J351" s="146"/>
      <c r="K351" s="147"/>
      <c r="L351" s="147"/>
      <c r="M351" s="147"/>
      <c r="N351" s="147"/>
      <c r="O351" s="147"/>
      <c r="P351" s="147"/>
      <c r="Q351" s="147"/>
      <c r="R351" s="147"/>
      <c r="S351" s="147"/>
      <c r="T351" s="147"/>
      <c r="U351" s="147"/>
      <c r="V351" s="147"/>
      <c r="W351" s="147"/>
      <c r="X351" s="147"/>
      <c r="Y351" s="147"/>
      <c r="Z351" s="147"/>
      <c r="AA351" s="147"/>
      <c r="AB351" s="147"/>
      <c r="AC351" s="147"/>
      <c r="AD351" s="147"/>
      <c r="AE351" s="147"/>
      <c r="AF351" s="147"/>
      <c r="AG351" s="147"/>
      <c r="AH351" s="147"/>
      <c r="AI351" s="147"/>
      <c r="AJ351" s="147"/>
      <c r="AK351" s="147"/>
    </row>
    <row r="352" ht="15.75" customHeight="1">
      <c r="A352" s="144"/>
      <c r="B352" s="144"/>
      <c r="C352" s="145"/>
      <c r="D352" s="145"/>
      <c r="E352" s="145"/>
      <c r="F352" s="146"/>
      <c r="G352" s="145"/>
      <c r="H352" s="146"/>
      <c r="I352" s="145"/>
      <c r="J352" s="146"/>
      <c r="K352" s="147"/>
      <c r="L352" s="147"/>
      <c r="M352" s="147"/>
      <c r="N352" s="147"/>
      <c r="O352" s="147"/>
      <c r="P352" s="147"/>
      <c r="Q352" s="147"/>
      <c r="R352" s="147"/>
      <c r="S352" s="147"/>
      <c r="T352" s="147"/>
      <c r="U352" s="147"/>
      <c r="V352" s="147"/>
      <c r="W352" s="147"/>
      <c r="X352" s="147"/>
      <c r="Y352" s="147"/>
      <c r="Z352" s="147"/>
      <c r="AA352" s="147"/>
      <c r="AB352" s="147"/>
      <c r="AC352" s="147"/>
      <c r="AD352" s="147"/>
      <c r="AE352" s="147"/>
      <c r="AF352" s="147"/>
      <c r="AG352" s="147"/>
      <c r="AH352" s="147"/>
      <c r="AI352" s="147"/>
      <c r="AJ352" s="147"/>
      <c r="AK352" s="147"/>
    </row>
    <row r="353" ht="15.75" customHeight="1">
      <c r="A353" s="144"/>
      <c r="B353" s="144"/>
      <c r="C353" s="145"/>
      <c r="D353" s="145"/>
      <c r="E353" s="145"/>
      <c r="F353" s="146"/>
      <c r="G353" s="145"/>
      <c r="H353" s="146"/>
      <c r="I353" s="145"/>
      <c r="J353" s="146"/>
      <c r="K353" s="147"/>
      <c r="L353" s="147"/>
      <c r="M353" s="147"/>
      <c r="N353" s="147"/>
      <c r="O353" s="147"/>
      <c r="P353" s="147"/>
      <c r="Q353" s="147"/>
      <c r="R353" s="147"/>
      <c r="S353" s="147"/>
      <c r="T353" s="147"/>
      <c r="U353" s="147"/>
      <c r="V353" s="147"/>
      <c r="W353" s="147"/>
      <c r="X353" s="147"/>
      <c r="Y353" s="147"/>
      <c r="Z353" s="147"/>
      <c r="AA353" s="147"/>
      <c r="AB353" s="147"/>
      <c r="AC353" s="147"/>
      <c r="AD353" s="147"/>
      <c r="AE353" s="147"/>
      <c r="AF353" s="147"/>
      <c r="AG353" s="147"/>
      <c r="AH353" s="147"/>
      <c r="AI353" s="147"/>
      <c r="AJ353" s="147"/>
      <c r="AK353" s="147"/>
    </row>
    <row r="354" ht="15.75" customHeight="1">
      <c r="A354" s="144"/>
      <c r="B354" s="144"/>
      <c r="C354" s="145"/>
      <c r="D354" s="145"/>
      <c r="E354" s="145"/>
      <c r="F354" s="146"/>
      <c r="G354" s="145"/>
      <c r="H354" s="146"/>
      <c r="I354" s="145"/>
      <c r="J354" s="146"/>
      <c r="K354" s="147"/>
      <c r="L354" s="147"/>
      <c r="M354" s="147"/>
      <c r="N354" s="147"/>
      <c r="O354" s="147"/>
      <c r="P354" s="147"/>
      <c r="Q354" s="147"/>
      <c r="R354" s="147"/>
      <c r="S354" s="147"/>
      <c r="T354" s="147"/>
      <c r="U354" s="147"/>
      <c r="V354" s="147"/>
      <c r="W354" s="147"/>
      <c r="X354" s="147"/>
      <c r="Y354" s="147"/>
      <c r="Z354" s="147"/>
      <c r="AA354" s="147"/>
      <c r="AB354" s="147"/>
      <c r="AC354" s="147"/>
      <c r="AD354" s="147"/>
      <c r="AE354" s="147"/>
      <c r="AF354" s="147"/>
      <c r="AG354" s="147"/>
      <c r="AH354" s="147"/>
      <c r="AI354" s="147"/>
      <c r="AJ354" s="147"/>
      <c r="AK354" s="147"/>
    </row>
    <row r="355" ht="15.75" customHeight="1">
      <c r="A355" s="144"/>
      <c r="B355" s="144"/>
      <c r="C355" s="145"/>
      <c r="D355" s="145"/>
      <c r="E355" s="145"/>
      <c r="F355" s="146"/>
      <c r="G355" s="145"/>
      <c r="H355" s="146"/>
      <c r="I355" s="145"/>
      <c r="J355" s="146"/>
      <c r="K355" s="147"/>
      <c r="L355" s="147"/>
      <c r="M355" s="147"/>
      <c r="N355" s="147"/>
      <c r="O355" s="147"/>
      <c r="P355" s="147"/>
      <c r="Q355" s="147"/>
      <c r="R355" s="147"/>
      <c r="S355" s="147"/>
      <c r="T355" s="147"/>
      <c r="U355" s="147"/>
      <c r="V355" s="147"/>
      <c r="W355" s="147"/>
      <c r="X355" s="147"/>
      <c r="Y355" s="147"/>
      <c r="Z355" s="147"/>
      <c r="AA355" s="147"/>
      <c r="AB355" s="147"/>
      <c r="AC355" s="147"/>
      <c r="AD355" s="147"/>
      <c r="AE355" s="147"/>
      <c r="AF355" s="147"/>
      <c r="AG355" s="147"/>
      <c r="AH355" s="147"/>
      <c r="AI355" s="147"/>
      <c r="AJ355" s="147"/>
      <c r="AK355" s="147"/>
    </row>
    <row r="356" ht="15.75" customHeight="1">
      <c r="A356" s="144"/>
      <c r="B356" s="144"/>
      <c r="C356" s="145"/>
      <c r="D356" s="145"/>
      <c r="E356" s="145"/>
      <c r="F356" s="146"/>
      <c r="G356" s="145"/>
      <c r="H356" s="146"/>
      <c r="I356" s="145"/>
      <c r="J356" s="146"/>
      <c r="K356" s="147"/>
      <c r="L356" s="147"/>
      <c r="M356" s="147"/>
      <c r="N356" s="147"/>
      <c r="O356" s="147"/>
      <c r="P356" s="147"/>
      <c r="Q356" s="147"/>
      <c r="R356" s="147"/>
      <c r="S356" s="147"/>
      <c r="T356" s="147"/>
      <c r="U356" s="147"/>
      <c r="V356" s="147"/>
      <c r="W356" s="147"/>
      <c r="X356" s="147"/>
      <c r="Y356" s="147"/>
      <c r="Z356" s="147"/>
      <c r="AA356" s="147"/>
      <c r="AB356" s="147"/>
      <c r="AC356" s="147"/>
      <c r="AD356" s="147"/>
      <c r="AE356" s="147"/>
      <c r="AF356" s="147"/>
      <c r="AG356" s="147"/>
      <c r="AH356" s="147"/>
      <c r="AI356" s="147"/>
      <c r="AJ356" s="147"/>
      <c r="AK356" s="147"/>
    </row>
    <row r="357" ht="15.75" customHeight="1">
      <c r="A357" s="144"/>
      <c r="B357" s="144"/>
      <c r="C357" s="145"/>
      <c r="D357" s="145"/>
      <c r="E357" s="145"/>
      <c r="F357" s="146"/>
      <c r="G357" s="145"/>
      <c r="H357" s="146"/>
      <c r="I357" s="145"/>
      <c r="J357" s="146"/>
      <c r="K357" s="147"/>
      <c r="L357" s="147"/>
      <c r="M357" s="147"/>
      <c r="N357" s="147"/>
      <c r="O357" s="147"/>
      <c r="P357" s="147"/>
      <c r="Q357" s="147"/>
      <c r="R357" s="147"/>
      <c r="S357" s="147"/>
      <c r="T357" s="147"/>
      <c r="U357" s="147"/>
      <c r="V357" s="147"/>
      <c r="W357" s="147"/>
      <c r="X357" s="147"/>
      <c r="Y357" s="147"/>
      <c r="Z357" s="147"/>
      <c r="AA357" s="147"/>
      <c r="AB357" s="147"/>
      <c r="AC357" s="147"/>
      <c r="AD357" s="147"/>
      <c r="AE357" s="147"/>
      <c r="AF357" s="147"/>
      <c r="AG357" s="147"/>
      <c r="AH357" s="147"/>
      <c r="AI357" s="147"/>
      <c r="AJ357" s="147"/>
      <c r="AK357" s="147"/>
    </row>
    <row r="358" ht="15.75" customHeight="1">
      <c r="A358" s="144"/>
      <c r="B358" s="144"/>
      <c r="C358" s="145"/>
      <c r="D358" s="145"/>
      <c r="E358" s="145"/>
      <c r="F358" s="146"/>
      <c r="G358" s="145"/>
      <c r="H358" s="146"/>
      <c r="I358" s="145"/>
      <c r="J358" s="146"/>
      <c r="K358" s="147"/>
      <c r="L358" s="147"/>
      <c r="M358" s="147"/>
      <c r="N358" s="147"/>
      <c r="O358" s="147"/>
      <c r="P358" s="147"/>
      <c r="Q358" s="147"/>
      <c r="R358" s="147"/>
      <c r="S358" s="147"/>
      <c r="T358" s="147"/>
      <c r="U358" s="147"/>
      <c r="V358" s="147"/>
      <c r="W358" s="147"/>
      <c r="X358" s="147"/>
      <c r="Y358" s="147"/>
      <c r="Z358" s="147"/>
      <c r="AA358" s="147"/>
      <c r="AB358" s="147"/>
      <c r="AC358" s="147"/>
      <c r="AD358" s="147"/>
      <c r="AE358" s="147"/>
      <c r="AF358" s="147"/>
      <c r="AG358" s="147"/>
      <c r="AH358" s="147"/>
      <c r="AI358" s="147"/>
      <c r="AJ358" s="147"/>
      <c r="AK358" s="147"/>
    </row>
    <row r="359" ht="15.75" customHeight="1">
      <c r="A359" s="144"/>
      <c r="B359" s="144"/>
      <c r="C359" s="145"/>
      <c r="D359" s="145"/>
      <c r="E359" s="145"/>
      <c r="F359" s="146"/>
      <c r="G359" s="145"/>
      <c r="H359" s="146"/>
      <c r="I359" s="145"/>
      <c r="J359" s="146"/>
      <c r="K359" s="147"/>
      <c r="L359" s="147"/>
      <c r="M359" s="147"/>
      <c r="N359" s="147"/>
      <c r="O359" s="147"/>
      <c r="P359" s="147"/>
      <c r="Q359" s="147"/>
      <c r="R359" s="147"/>
      <c r="S359" s="147"/>
      <c r="T359" s="147"/>
      <c r="U359" s="147"/>
      <c r="V359" s="147"/>
      <c r="W359" s="147"/>
      <c r="X359" s="147"/>
      <c r="Y359" s="147"/>
      <c r="Z359" s="147"/>
      <c r="AA359" s="147"/>
      <c r="AB359" s="147"/>
      <c r="AC359" s="147"/>
      <c r="AD359" s="147"/>
      <c r="AE359" s="147"/>
      <c r="AF359" s="147"/>
      <c r="AG359" s="147"/>
      <c r="AH359" s="147"/>
      <c r="AI359" s="147"/>
      <c r="AJ359" s="147"/>
      <c r="AK359" s="147"/>
    </row>
    <row r="360" ht="15.75" customHeight="1">
      <c r="A360" s="144"/>
      <c r="B360" s="144"/>
      <c r="C360" s="145"/>
      <c r="D360" s="145"/>
      <c r="E360" s="145"/>
      <c r="F360" s="146"/>
      <c r="G360" s="145"/>
      <c r="H360" s="146"/>
      <c r="I360" s="145"/>
      <c r="J360" s="146"/>
      <c r="K360" s="147"/>
      <c r="L360" s="147"/>
      <c r="M360" s="147"/>
      <c r="N360" s="147"/>
      <c r="O360" s="147"/>
      <c r="P360" s="147"/>
      <c r="Q360" s="147"/>
      <c r="R360" s="147"/>
      <c r="S360" s="147"/>
      <c r="T360" s="147"/>
      <c r="U360" s="147"/>
      <c r="V360" s="147"/>
      <c r="W360" s="147"/>
      <c r="X360" s="147"/>
      <c r="Y360" s="147"/>
      <c r="Z360" s="147"/>
      <c r="AA360" s="147"/>
      <c r="AB360" s="147"/>
      <c r="AC360" s="147"/>
      <c r="AD360" s="147"/>
      <c r="AE360" s="147"/>
      <c r="AF360" s="147"/>
      <c r="AG360" s="147"/>
      <c r="AH360" s="147"/>
      <c r="AI360" s="147"/>
      <c r="AJ360" s="147"/>
      <c r="AK360" s="147"/>
    </row>
    <row r="361" ht="15.75" customHeight="1">
      <c r="A361" s="144"/>
      <c r="B361" s="144"/>
      <c r="C361" s="145"/>
      <c r="D361" s="145"/>
      <c r="E361" s="145"/>
      <c r="F361" s="146"/>
      <c r="G361" s="145"/>
      <c r="H361" s="146"/>
      <c r="I361" s="145"/>
      <c r="J361" s="146"/>
      <c r="K361" s="147"/>
      <c r="L361" s="147"/>
      <c r="M361" s="147"/>
      <c r="N361" s="147"/>
      <c r="O361" s="147"/>
      <c r="P361" s="147"/>
      <c r="Q361" s="147"/>
      <c r="R361" s="147"/>
      <c r="S361" s="147"/>
      <c r="T361" s="147"/>
      <c r="U361" s="147"/>
      <c r="V361" s="147"/>
      <c r="W361" s="147"/>
      <c r="X361" s="147"/>
      <c r="Y361" s="147"/>
      <c r="Z361" s="147"/>
      <c r="AA361" s="147"/>
      <c r="AB361" s="147"/>
      <c r="AC361" s="147"/>
      <c r="AD361" s="147"/>
      <c r="AE361" s="147"/>
      <c r="AF361" s="147"/>
      <c r="AG361" s="147"/>
      <c r="AH361" s="147"/>
      <c r="AI361" s="147"/>
      <c r="AJ361" s="147"/>
      <c r="AK361" s="147"/>
    </row>
    <row r="362" ht="15.75" customHeight="1">
      <c r="A362" s="144"/>
      <c r="B362" s="144"/>
      <c r="C362" s="145"/>
      <c r="D362" s="145"/>
      <c r="E362" s="145"/>
      <c r="F362" s="146"/>
      <c r="G362" s="145"/>
      <c r="H362" s="146"/>
      <c r="I362" s="145"/>
      <c r="J362" s="146"/>
      <c r="K362" s="147"/>
      <c r="L362" s="147"/>
      <c r="M362" s="147"/>
      <c r="N362" s="147"/>
      <c r="O362" s="147"/>
      <c r="P362" s="147"/>
      <c r="Q362" s="147"/>
      <c r="R362" s="147"/>
      <c r="S362" s="147"/>
      <c r="T362" s="147"/>
      <c r="U362" s="147"/>
      <c r="V362" s="147"/>
      <c r="W362" s="147"/>
      <c r="X362" s="147"/>
      <c r="Y362" s="147"/>
      <c r="Z362" s="147"/>
      <c r="AA362" s="147"/>
      <c r="AB362" s="147"/>
      <c r="AC362" s="147"/>
      <c r="AD362" s="147"/>
      <c r="AE362" s="147"/>
      <c r="AF362" s="147"/>
      <c r="AG362" s="147"/>
      <c r="AH362" s="147"/>
      <c r="AI362" s="147"/>
      <c r="AJ362" s="147"/>
      <c r="AK362" s="147"/>
    </row>
    <row r="363" ht="15.75" customHeight="1">
      <c r="A363" s="144"/>
      <c r="B363" s="144"/>
      <c r="C363" s="145"/>
      <c r="D363" s="145"/>
      <c r="E363" s="145"/>
      <c r="F363" s="146"/>
      <c r="G363" s="145"/>
      <c r="H363" s="146"/>
      <c r="I363" s="145"/>
      <c r="J363" s="146"/>
      <c r="K363" s="147"/>
      <c r="L363" s="147"/>
      <c r="M363" s="147"/>
      <c r="N363" s="147"/>
      <c r="O363" s="147"/>
      <c r="P363" s="147"/>
      <c r="Q363" s="147"/>
      <c r="R363" s="147"/>
      <c r="S363" s="147"/>
      <c r="T363" s="147"/>
      <c r="U363" s="147"/>
      <c r="V363" s="147"/>
      <c r="W363" s="147"/>
      <c r="X363" s="147"/>
      <c r="Y363" s="147"/>
      <c r="Z363" s="147"/>
      <c r="AA363" s="147"/>
      <c r="AB363" s="147"/>
      <c r="AC363" s="147"/>
      <c r="AD363" s="147"/>
      <c r="AE363" s="147"/>
      <c r="AF363" s="147"/>
      <c r="AG363" s="147"/>
      <c r="AH363" s="147"/>
      <c r="AI363" s="147"/>
      <c r="AJ363" s="147"/>
      <c r="AK363" s="147"/>
    </row>
    <row r="364" ht="15.75" customHeight="1">
      <c r="A364" s="144"/>
      <c r="B364" s="144"/>
      <c r="C364" s="145"/>
      <c r="D364" s="145"/>
      <c r="E364" s="145"/>
      <c r="F364" s="146"/>
      <c r="G364" s="145"/>
      <c r="H364" s="146"/>
      <c r="I364" s="145"/>
      <c r="J364" s="146"/>
      <c r="K364" s="147"/>
      <c r="L364" s="147"/>
      <c r="M364" s="147"/>
      <c r="N364" s="147"/>
      <c r="O364" s="147"/>
      <c r="P364" s="147"/>
      <c r="Q364" s="147"/>
      <c r="R364" s="147"/>
      <c r="S364" s="147"/>
      <c r="T364" s="147"/>
      <c r="U364" s="147"/>
      <c r="V364" s="147"/>
      <c r="W364" s="147"/>
      <c r="X364" s="147"/>
      <c r="Y364" s="147"/>
      <c r="Z364" s="147"/>
      <c r="AA364" s="147"/>
      <c r="AB364" s="147"/>
      <c r="AC364" s="147"/>
      <c r="AD364" s="147"/>
      <c r="AE364" s="147"/>
      <c r="AF364" s="147"/>
      <c r="AG364" s="147"/>
      <c r="AH364" s="147"/>
      <c r="AI364" s="147"/>
      <c r="AJ364" s="147"/>
      <c r="AK364" s="147"/>
    </row>
    <row r="365" ht="15.75" customHeight="1">
      <c r="A365" s="144"/>
      <c r="B365" s="144"/>
      <c r="C365" s="145"/>
      <c r="D365" s="145"/>
      <c r="E365" s="145"/>
      <c r="F365" s="146"/>
      <c r="G365" s="145"/>
      <c r="H365" s="146"/>
      <c r="I365" s="145"/>
      <c r="J365" s="146"/>
      <c r="K365" s="147"/>
      <c r="L365" s="147"/>
      <c r="M365" s="147"/>
      <c r="N365" s="147"/>
      <c r="O365" s="147"/>
      <c r="P365" s="147"/>
      <c r="Q365" s="147"/>
      <c r="R365" s="147"/>
      <c r="S365" s="147"/>
      <c r="T365" s="147"/>
      <c r="U365" s="147"/>
      <c r="V365" s="147"/>
      <c r="W365" s="147"/>
      <c r="X365" s="147"/>
      <c r="Y365" s="147"/>
      <c r="Z365" s="147"/>
      <c r="AA365" s="147"/>
      <c r="AB365" s="147"/>
      <c r="AC365" s="147"/>
      <c r="AD365" s="147"/>
      <c r="AE365" s="147"/>
      <c r="AF365" s="147"/>
      <c r="AG365" s="147"/>
      <c r="AH365" s="147"/>
      <c r="AI365" s="147"/>
      <c r="AJ365" s="147"/>
      <c r="AK365" s="147"/>
    </row>
    <row r="366" ht="15.75" customHeight="1">
      <c r="A366" s="144"/>
      <c r="B366" s="144"/>
      <c r="C366" s="145"/>
      <c r="D366" s="145"/>
      <c r="E366" s="145"/>
      <c r="F366" s="146"/>
      <c r="G366" s="145"/>
      <c r="H366" s="146"/>
      <c r="I366" s="145"/>
      <c r="J366" s="146"/>
      <c r="K366" s="147"/>
      <c r="L366" s="147"/>
      <c r="M366" s="147"/>
      <c r="N366" s="147"/>
      <c r="O366" s="147"/>
      <c r="P366" s="147"/>
      <c r="Q366" s="147"/>
      <c r="R366" s="147"/>
      <c r="S366" s="147"/>
      <c r="T366" s="147"/>
      <c r="U366" s="147"/>
      <c r="V366" s="147"/>
      <c r="W366" s="147"/>
      <c r="X366" s="147"/>
      <c r="Y366" s="147"/>
      <c r="Z366" s="147"/>
      <c r="AA366" s="147"/>
      <c r="AB366" s="147"/>
      <c r="AC366" s="147"/>
      <c r="AD366" s="147"/>
      <c r="AE366" s="147"/>
      <c r="AF366" s="147"/>
      <c r="AG366" s="147"/>
      <c r="AH366" s="147"/>
      <c r="AI366" s="147"/>
      <c r="AJ366" s="147"/>
      <c r="AK366" s="147"/>
    </row>
    <row r="367" ht="15.75" customHeight="1">
      <c r="A367" s="144"/>
      <c r="B367" s="144"/>
      <c r="C367" s="145"/>
      <c r="D367" s="145"/>
      <c r="E367" s="145"/>
      <c r="F367" s="146"/>
      <c r="G367" s="145"/>
      <c r="H367" s="146"/>
      <c r="I367" s="145"/>
      <c r="J367" s="146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147"/>
      <c r="W367" s="147"/>
      <c r="X367" s="147"/>
      <c r="Y367" s="147"/>
      <c r="Z367" s="147"/>
      <c r="AA367" s="147"/>
      <c r="AB367" s="147"/>
      <c r="AC367" s="147"/>
      <c r="AD367" s="147"/>
      <c r="AE367" s="147"/>
      <c r="AF367" s="147"/>
      <c r="AG367" s="147"/>
      <c r="AH367" s="147"/>
      <c r="AI367" s="147"/>
      <c r="AJ367" s="147"/>
      <c r="AK367" s="147"/>
    </row>
    <row r="368" ht="15.75" customHeight="1">
      <c r="A368" s="144"/>
      <c r="B368" s="144"/>
      <c r="C368" s="145"/>
      <c r="D368" s="145"/>
      <c r="E368" s="145"/>
      <c r="F368" s="146"/>
      <c r="G368" s="145"/>
      <c r="H368" s="146"/>
      <c r="I368" s="145"/>
      <c r="J368" s="146"/>
      <c r="K368" s="147"/>
      <c r="L368" s="147"/>
      <c r="M368" s="147"/>
      <c r="N368" s="147"/>
      <c r="O368" s="147"/>
      <c r="P368" s="147"/>
      <c r="Q368" s="147"/>
      <c r="R368" s="147"/>
      <c r="S368" s="147"/>
      <c r="T368" s="147"/>
      <c r="U368" s="147"/>
      <c r="V368" s="147"/>
      <c r="W368" s="147"/>
      <c r="X368" s="147"/>
      <c r="Y368" s="147"/>
      <c r="Z368" s="147"/>
      <c r="AA368" s="147"/>
      <c r="AB368" s="147"/>
      <c r="AC368" s="147"/>
      <c r="AD368" s="147"/>
      <c r="AE368" s="147"/>
      <c r="AF368" s="147"/>
      <c r="AG368" s="147"/>
      <c r="AH368" s="147"/>
      <c r="AI368" s="147"/>
      <c r="AJ368" s="147"/>
      <c r="AK368" s="147"/>
    </row>
    <row r="369" ht="15.75" customHeight="1">
      <c r="A369" s="144"/>
      <c r="B369" s="144"/>
      <c r="C369" s="145"/>
      <c r="D369" s="145"/>
      <c r="E369" s="145"/>
      <c r="F369" s="146"/>
      <c r="G369" s="145"/>
      <c r="H369" s="146"/>
      <c r="I369" s="145"/>
      <c r="J369" s="146"/>
      <c r="K369" s="147"/>
      <c r="L369" s="147"/>
      <c r="M369" s="147"/>
      <c r="N369" s="147"/>
      <c r="O369" s="147"/>
      <c r="P369" s="147"/>
      <c r="Q369" s="147"/>
      <c r="R369" s="147"/>
      <c r="S369" s="147"/>
      <c r="T369" s="147"/>
      <c r="U369" s="147"/>
      <c r="V369" s="147"/>
      <c r="W369" s="147"/>
      <c r="X369" s="147"/>
      <c r="Y369" s="147"/>
      <c r="Z369" s="147"/>
      <c r="AA369" s="147"/>
      <c r="AB369" s="147"/>
      <c r="AC369" s="147"/>
      <c r="AD369" s="147"/>
      <c r="AE369" s="147"/>
      <c r="AF369" s="147"/>
      <c r="AG369" s="147"/>
      <c r="AH369" s="147"/>
      <c r="AI369" s="147"/>
      <c r="AJ369" s="147"/>
      <c r="AK369" s="147"/>
    </row>
    <row r="370" ht="15.75" customHeight="1">
      <c r="A370" s="144"/>
      <c r="B370" s="144"/>
      <c r="C370" s="145"/>
      <c r="D370" s="145"/>
      <c r="E370" s="145"/>
      <c r="F370" s="146"/>
      <c r="G370" s="145"/>
      <c r="H370" s="146"/>
      <c r="I370" s="145"/>
      <c r="J370" s="146"/>
      <c r="K370" s="147"/>
      <c r="L370" s="147"/>
      <c r="M370" s="147"/>
      <c r="N370" s="147"/>
      <c r="O370" s="147"/>
      <c r="P370" s="147"/>
      <c r="Q370" s="147"/>
      <c r="R370" s="147"/>
      <c r="S370" s="147"/>
      <c r="T370" s="147"/>
      <c r="U370" s="147"/>
      <c r="V370" s="147"/>
      <c r="W370" s="147"/>
      <c r="X370" s="147"/>
      <c r="Y370" s="147"/>
      <c r="Z370" s="147"/>
      <c r="AA370" s="147"/>
      <c r="AB370" s="147"/>
      <c r="AC370" s="147"/>
      <c r="AD370" s="147"/>
      <c r="AE370" s="147"/>
      <c r="AF370" s="147"/>
      <c r="AG370" s="147"/>
      <c r="AH370" s="147"/>
      <c r="AI370" s="147"/>
      <c r="AJ370" s="147"/>
      <c r="AK370" s="147"/>
    </row>
    <row r="371" ht="15.75" customHeight="1">
      <c r="A371" s="144"/>
      <c r="B371" s="144"/>
      <c r="C371" s="145"/>
      <c r="D371" s="145"/>
      <c r="E371" s="145"/>
      <c r="F371" s="146"/>
      <c r="G371" s="145"/>
      <c r="H371" s="146"/>
      <c r="I371" s="145"/>
      <c r="J371" s="146"/>
      <c r="K371" s="147"/>
      <c r="L371" s="147"/>
      <c r="M371" s="147"/>
      <c r="N371" s="147"/>
      <c r="O371" s="147"/>
      <c r="P371" s="147"/>
      <c r="Q371" s="147"/>
      <c r="R371" s="147"/>
      <c r="S371" s="147"/>
      <c r="T371" s="147"/>
      <c r="U371" s="147"/>
      <c r="V371" s="147"/>
      <c r="W371" s="147"/>
      <c r="X371" s="147"/>
      <c r="Y371" s="147"/>
      <c r="Z371" s="147"/>
      <c r="AA371" s="147"/>
      <c r="AB371" s="147"/>
      <c r="AC371" s="147"/>
      <c r="AD371" s="147"/>
      <c r="AE371" s="147"/>
      <c r="AF371" s="147"/>
      <c r="AG371" s="147"/>
      <c r="AH371" s="147"/>
      <c r="AI371" s="147"/>
      <c r="AJ371" s="147"/>
      <c r="AK371" s="147"/>
    </row>
    <row r="372" ht="15.75" customHeight="1">
      <c r="A372" s="144"/>
      <c r="B372" s="144"/>
      <c r="C372" s="145"/>
      <c r="D372" s="145"/>
      <c r="E372" s="145"/>
      <c r="F372" s="146"/>
      <c r="G372" s="145"/>
      <c r="H372" s="146"/>
      <c r="I372" s="145"/>
      <c r="J372" s="146"/>
      <c r="K372" s="147"/>
      <c r="L372" s="147"/>
      <c r="M372" s="147"/>
      <c r="N372" s="147"/>
      <c r="O372" s="147"/>
      <c r="P372" s="147"/>
      <c r="Q372" s="147"/>
      <c r="R372" s="147"/>
      <c r="S372" s="147"/>
      <c r="T372" s="147"/>
      <c r="U372" s="147"/>
      <c r="V372" s="147"/>
      <c r="W372" s="147"/>
      <c r="X372" s="147"/>
      <c r="Y372" s="147"/>
      <c r="Z372" s="147"/>
      <c r="AA372" s="147"/>
      <c r="AB372" s="147"/>
      <c r="AC372" s="147"/>
      <c r="AD372" s="147"/>
      <c r="AE372" s="147"/>
      <c r="AF372" s="147"/>
      <c r="AG372" s="147"/>
      <c r="AH372" s="147"/>
      <c r="AI372" s="147"/>
      <c r="AJ372" s="147"/>
      <c r="AK372" s="147"/>
    </row>
    <row r="373" ht="15.75" customHeight="1">
      <c r="A373" s="144"/>
      <c r="B373" s="144"/>
      <c r="C373" s="145"/>
      <c r="D373" s="145"/>
      <c r="E373" s="145"/>
      <c r="F373" s="146"/>
      <c r="G373" s="145"/>
      <c r="H373" s="146"/>
      <c r="I373" s="145"/>
      <c r="J373" s="146"/>
      <c r="K373" s="147"/>
      <c r="L373" s="147"/>
      <c r="M373" s="147"/>
      <c r="N373" s="147"/>
      <c r="O373" s="147"/>
      <c r="P373" s="147"/>
      <c r="Q373" s="147"/>
      <c r="R373" s="147"/>
      <c r="S373" s="147"/>
      <c r="T373" s="147"/>
      <c r="U373" s="147"/>
      <c r="V373" s="147"/>
      <c r="W373" s="147"/>
      <c r="X373" s="147"/>
      <c r="Y373" s="147"/>
      <c r="Z373" s="147"/>
      <c r="AA373" s="147"/>
      <c r="AB373" s="147"/>
      <c r="AC373" s="147"/>
      <c r="AD373" s="147"/>
      <c r="AE373" s="147"/>
      <c r="AF373" s="147"/>
      <c r="AG373" s="147"/>
      <c r="AH373" s="147"/>
      <c r="AI373" s="147"/>
      <c r="AJ373" s="147"/>
      <c r="AK373" s="147"/>
    </row>
    <row r="374" ht="15.75" customHeight="1">
      <c r="A374" s="144"/>
      <c r="B374" s="144"/>
      <c r="C374" s="145"/>
      <c r="D374" s="145"/>
      <c r="E374" s="145"/>
      <c r="F374" s="146"/>
      <c r="G374" s="145"/>
      <c r="H374" s="146"/>
      <c r="I374" s="145"/>
      <c r="J374" s="146"/>
      <c r="K374" s="147"/>
      <c r="L374" s="147"/>
      <c r="M374" s="147"/>
      <c r="N374" s="147"/>
      <c r="O374" s="147"/>
      <c r="P374" s="147"/>
      <c r="Q374" s="147"/>
      <c r="R374" s="147"/>
      <c r="S374" s="147"/>
      <c r="T374" s="147"/>
      <c r="U374" s="147"/>
      <c r="V374" s="147"/>
      <c r="W374" s="147"/>
      <c r="X374" s="147"/>
      <c r="Y374" s="147"/>
      <c r="Z374" s="147"/>
      <c r="AA374" s="147"/>
      <c r="AB374" s="147"/>
      <c r="AC374" s="147"/>
      <c r="AD374" s="147"/>
      <c r="AE374" s="147"/>
      <c r="AF374" s="147"/>
      <c r="AG374" s="147"/>
      <c r="AH374" s="147"/>
      <c r="AI374" s="147"/>
      <c r="AJ374" s="147"/>
      <c r="AK374" s="147"/>
    </row>
    <row r="375" ht="15.75" customHeight="1">
      <c r="A375" s="144"/>
      <c r="B375" s="144"/>
      <c r="C375" s="145"/>
      <c r="D375" s="145"/>
      <c r="E375" s="145"/>
      <c r="F375" s="146"/>
      <c r="G375" s="145"/>
      <c r="H375" s="146"/>
      <c r="I375" s="145"/>
      <c r="J375" s="146"/>
      <c r="K375" s="147"/>
      <c r="L375" s="147"/>
      <c r="M375" s="147"/>
      <c r="N375" s="147"/>
      <c r="O375" s="147"/>
      <c r="P375" s="147"/>
      <c r="Q375" s="147"/>
      <c r="R375" s="147"/>
      <c r="S375" s="147"/>
      <c r="T375" s="147"/>
      <c r="U375" s="147"/>
      <c r="V375" s="147"/>
      <c r="W375" s="147"/>
      <c r="X375" s="147"/>
      <c r="Y375" s="147"/>
      <c r="Z375" s="147"/>
      <c r="AA375" s="147"/>
      <c r="AB375" s="147"/>
      <c r="AC375" s="147"/>
      <c r="AD375" s="147"/>
      <c r="AE375" s="147"/>
      <c r="AF375" s="147"/>
      <c r="AG375" s="147"/>
      <c r="AH375" s="147"/>
      <c r="AI375" s="147"/>
      <c r="AJ375" s="147"/>
      <c r="AK375" s="147"/>
    </row>
    <row r="376" ht="15.75" customHeight="1">
      <c r="A376" s="144"/>
      <c r="B376" s="144"/>
      <c r="C376" s="145"/>
      <c r="D376" s="145"/>
      <c r="E376" s="145"/>
      <c r="F376" s="146"/>
      <c r="G376" s="145"/>
      <c r="H376" s="146"/>
      <c r="I376" s="145"/>
      <c r="J376" s="146"/>
      <c r="K376" s="147"/>
      <c r="L376" s="147"/>
      <c r="M376" s="147"/>
      <c r="N376" s="147"/>
      <c r="O376" s="147"/>
      <c r="P376" s="147"/>
      <c r="Q376" s="147"/>
      <c r="R376" s="147"/>
      <c r="S376" s="147"/>
      <c r="T376" s="147"/>
      <c r="U376" s="147"/>
      <c r="V376" s="147"/>
      <c r="W376" s="147"/>
      <c r="X376" s="147"/>
      <c r="Y376" s="147"/>
      <c r="Z376" s="147"/>
      <c r="AA376" s="147"/>
      <c r="AB376" s="147"/>
      <c r="AC376" s="147"/>
      <c r="AD376" s="147"/>
      <c r="AE376" s="147"/>
      <c r="AF376" s="147"/>
      <c r="AG376" s="147"/>
      <c r="AH376" s="147"/>
      <c r="AI376" s="147"/>
      <c r="AJ376" s="147"/>
      <c r="AK376" s="147"/>
    </row>
    <row r="377" ht="15.75" customHeight="1">
      <c r="A377" s="144"/>
      <c r="B377" s="144"/>
      <c r="C377" s="145"/>
      <c r="D377" s="145"/>
      <c r="E377" s="145"/>
      <c r="F377" s="146"/>
      <c r="G377" s="145"/>
      <c r="H377" s="146"/>
      <c r="I377" s="145"/>
      <c r="J377" s="146"/>
      <c r="K377" s="147"/>
      <c r="L377" s="147"/>
      <c r="M377" s="147"/>
      <c r="N377" s="147"/>
      <c r="O377" s="147"/>
      <c r="P377" s="147"/>
      <c r="Q377" s="147"/>
      <c r="R377" s="147"/>
      <c r="S377" s="147"/>
      <c r="T377" s="147"/>
      <c r="U377" s="147"/>
      <c r="V377" s="147"/>
      <c r="W377" s="147"/>
      <c r="X377" s="147"/>
      <c r="Y377" s="147"/>
      <c r="Z377" s="147"/>
      <c r="AA377" s="147"/>
      <c r="AB377" s="147"/>
      <c r="AC377" s="147"/>
      <c r="AD377" s="147"/>
      <c r="AE377" s="147"/>
      <c r="AF377" s="147"/>
      <c r="AG377" s="147"/>
      <c r="AH377" s="147"/>
      <c r="AI377" s="147"/>
      <c r="AJ377" s="147"/>
      <c r="AK377" s="147"/>
    </row>
    <row r="378" ht="15.75" customHeight="1">
      <c r="A378" s="144"/>
      <c r="B378" s="144"/>
      <c r="C378" s="145"/>
      <c r="D378" s="145"/>
      <c r="E378" s="145"/>
      <c r="F378" s="146"/>
      <c r="G378" s="145"/>
      <c r="H378" s="146"/>
      <c r="I378" s="145"/>
      <c r="J378" s="146"/>
      <c r="K378" s="147"/>
      <c r="L378" s="147"/>
      <c r="M378" s="147"/>
      <c r="N378" s="147"/>
      <c r="O378" s="147"/>
      <c r="P378" s="147"/>
      <c r="Q378" s="147"/>
      <c r="R378" s="147"/>
      <c r="S378" s="147"/>
      <c r="T378" s="147"/>
      <c r="U378" s="147"/>
      <c r="V378" s="147"/>
      <c r="W378" s="147"/>
      <c r="X378" s="147"/>
      <c r="Y378" s="147"/>
      <c r="Z378" s="147"/>
      <c r="AA378" s="147"/>
      <c r="AB378" s="147"/>
      <c r="AC378" s="147"/>
      <c r="AD378" s="147"/>
      <c r="AE378" s="147"/>
      <c r="AF378" s="147"/>
      <c r="AG378" s="147"/>
      <c r="AH378" s="147"/>
      <c r="AI378" s="147"/>
      <c r="AJ378" s="147"/>
      <c r="AK378" s="147"/>
    </row>
    <row r="379" ht="15.75" customHeight="1">
      <c r="A379" s="144"/>
      <c r="B379" s="144"/>
      <c r="C379" s="145"/>
      <c r="D379" s="145"/>
      <c r="E379" s="145"/>
      <c r="F379" s="146"/>
      <c r="G379" s="145"/>
      <c r="H379" s="146"/>
      <c r="I379" s="145"/>
      <c r="J379" s="146"/>
      <c r="K379" s="147"/>
      <c r="L379" s="147"/>
      <c r="M379" s="147"/>
      <c r="N379" s="147"/>
      <c r="O379" s="147"/>
      <c r="P379" s="147"/>
      <c r="Q379" s="147"/>
      <c r="R379" s="147"/>
      <c r="S379" s="147"/>
      <c r="T379" s="147"/>
      <c r="U379" s="147"/>
      <c r="V379" s="147"/>
      <c r="W379" s="147"/>
      <c r="X379" s="147"/>
      <c r="Y379" s="147"/>
      <c r="Z379" s="147"/>
      <c r="AA379" s="147"/>
      <c r="AB379" s="147"/>
      <c r="AC379" s="147"/>
      <c r="AD379" s="147"/>
      <c r="AE379" s="147"/>
      <c r="AF379" s="147"/>
      <c r="AG379" s="147"/>
      <c r="AH379" s="147"/>
      <c r="AI379" s="147"/>
      <c r="AJ379" s="147"/>
      <c r="AK379" s="147"/>
    </row>
    <row r="380" ht="15.75" customHeight="1">
      <c r="A380" s="144"/>
      <c r="B380" s="144"/>
      <c r="C380" s="145"/>
      <c r="D380" s="145"/>
      <c r="E380" s="145"/>
      <c r="F380" s="146"/>
      <c r="G380" s="145"/>
      <c r="H380" s="146"/>
      <c r="I380" s="145"/>
      <c r="J380" s="146"/>
      <c r="K380" s="147"/>
      <c r="L380" s="147"/>
      <c r="M380" s="147"/>
      <c r="N380" s="147"/>
      <c r="O380" s="147"/>
      <c r="P380" s="147"/>
      <c r="Q380" s="147"/>
      <c r="R380" s="147"/>
      <c r="S380" s="147"/>
      <c r="T380" s="147"/>
      <c r="U380" s="147"/>
      <c r="V380" s="147"/>
      <c r="W380" s="147"/>
      <c r="X380" s="147"/>
      <c r="Y380" s="147"/>
      <c r="Z380" s="147"/>
      <c r="AA380" s="147"/>
      <c r="AB380" s="147"/>
      <c r="AC380" s="147"/>
      <c r="AD380" s="147"/>
      <c r="AE380" s="147"/>
      <c r="AF380" s="147"/>
      <c r="AG380" s="147"/>
      <c r="AH380" s="147"/>
      <c r="AI380" s="147"/>
      <c r="AJ380" s="147"/>
      <c r="AK380" s="147"/>
    </row>
    <row r="381" ht="15.75" customHeight="1">
      <c r="A381" s="144"/>
      <c r="B381" s="144"/>
      <c r="C381" s="145"/>
      <c r="D381" s="145"/>
      <c r="E381" s="145"/>
      <c r="F381" s="146"/>
      <c r="G381" s="145"/>
      <c r="H381" s="146"/>
      <c r="I381" s="145"/>
      <c r="J381" s="146"/>
      <c r="K381" s="147"/>
      <c r="L381" s="147"/>
      <c r="M381" s="147"/>
      <c r="N381" s="147"/>
      <c r="O381" s="147"/>
      <c r="P381" s="147"/>
      <c r="Q381" s="147"/>
      <c r="R381" s="147"/>
      <c r="S381" s="147"/>
      <c r="T381" s="147"/>
      <c r="U381" s="147"/>
      <c r="V381" s="147"/>
      <c r="W381" s="147"/>
      <c r="X381" s="147"/>
      <c r="Y381" s="147"/>
      <c r="Z381" s="147"/>
      <c r="AA381" s="147"/>
      <c r="AB381" s="147"/>
      <c r="AC381" s="147"/>
      <c r="AD381" s="147"/>
      <c r="AE381" s="147"/>
      <c r="AF381" s="147"/>
      <c r="AG381" s="147"/>
      <c r="AH381" s="147"/>
      <c r="AI381" s="147"/>
      <c r="AJ381" s="147"/>
      <c r="AK381" s="147"/>
    </row>
    <row r="382" ht="15.75" customHeight="1">
      <c r="A382" s="144"/>
      <c r="B382" s="144"/>
      <c r="C382" s="145"/>
      <c r="D382" s="145"/>
      <c r="E382" s="145"/>
      <c r="F382" s="146"/>
      <c r="G382" s="145"/>
      <c r="H382" s="146"/>
      <c r="I382" s="145"/>
      <c r="J382" s="146"/>
      <c r="K382" s="147"/>
      <c r="L382" s="147"/>
      <c r="M382" s="147"/>
      <c r="N382" s="147"/>
      <c r="O382" s="147"/>
      <c r="P382" s="147"/>
      <c r="Q382" s="147"/>
      <c r="R382" s="147"/>
      <c r="S382" s="147"/>
      <c r="T382" s="147"/>
      <c r="U382" s="147"/>
      <c r="V382" s="147"/>
      <c r="W382" s="147"/>
      <c r="X382" s="147"/>
      <c r="Y382" s="147"/>
      <c r="Z382" s="147"/>
      <c r="AA382" s="147"/>
      <c r="AB382" s="147"/>
      <c r="AC382" s="147"/>
      <c r="AD382" s="147"/>
      <c r="AE382" s="147"/>
      <c r="AF382" s="147"/>
      <c r="AG382" s="147"/>
      <c r="AH382" s="147"/>
      <c r="AI382" s="147"/>
      <c r="AJ382" s="147"/>
      <c r="AK382" s="147"/>
    </row>
    <row r="383" ht="15.75" customHeight="1">
      <c r="A383" s="144"/>
      <c r="B383" s="144"/>
      <c r="C383" s="145"/>
      <c r="D383" s="145"/>
      <c r="E383" s="145"/>
      <c r="F383" s="146"/>
      <c r="G383" s="145"/>
      <c r="H383" s="146"/>
      <c r="I383" s="145"/>
      <c r="J383" s="146"/>
      <c r="K383" s="147"/>
      <c r="L383" s="147"/>
      <c r="M383" s="147"/>
      <c r="N383" s="147"/>
      <c r="O383" s="147"/>
      <c r="P383" s="147"/>
      <c r="Q383" s="147"/>
      <c r="R383" s="147"/>
      <c r="S383" s="147"/>
      <c r="T383" s="147"/>
      <c r="U383" s="147"/>
      <c r="V383" s="147"/>
      <c r="W383" s="147"/>
      <c r="X383" s="147"/>
      <c r="Y383" s="147"/>
      <c r="Z383" s="147"/>
      <c r="AA383" s="147"/>
      <c r="AB383" s="147"/>
      <c r="AC383" s="147"/>
      <c r="AD383" s="147"/>
      <c r="AE383" s="147"/>
      <c r="AF383" s="147"/>
      <c r="AG383" s="147"/>
      <c r="AH383" s="147"/>
      <c r="AI383" s="147"/>
      <c r="AJ383" s="147"/>
      <c r="AK383" s="147"/>
    </row>
    <row r="384" ht="15.75" customHeight="1">
      <c r="A384" s="144"/>
      <c r="B384" s="144"/>
      <c r="C384" s="145"/>
      <c r="D384" s="145"/>
      <c r="E384" s="145"/>
      <c r="F384" s="146"/>
      <c r="G384" s="145"/>
      <c r="H384" s="146"/>
      <c r="I384" s="145"/>
      <c r="J384" s="146"/>
      <c r="K384" s="147"/>
      <c r="L384" s="147"/>
      <c r="M384" s="147"/>
      <c r="N384" s="147"/>
      <c r="O384" s="147"/>
      <c r="P384" s="147"/>
      <c r="Q384" s="147"/>
      <c r="R384" s="147"/>
      <c r="S384" s="147"/>
      <c r="T384" s="147"/>
      <c r="U384" s="147"/>
      <c r="V384" s="147"/>
      <c r="W384" s="147"/>
      <c r="X384" s="147"/>
      <c r="Y384" s="147"/>
      <c r="Z384" s="147"/>
      <c r="AA384" s="147"/>
      <c r="AB384" s="147"/>
      <c r="AC384" s="147"/>
      <c r="AD384" s="147"/>
      <c r="AE384" s="147"/>
      <c r="AF384" s="147"/>
      <c r="AG384" s="147"/>
      <c r="AH384" s="147"/>
      <c r="AI384" s="147"/>
      <c r="AJ384" s="147"/>
      <c r="AK384" s="147"/>
    </row>
    <row r="385" ht="15.75" customHeight="1">
      <c r="A385" s="144"/>
      <c r="B385" s="144"/>
      <c r="C385" s="145"/>
      <c r="D385" s="145"/>
      <c r="E385" s="145"/>
      <c r="F385" s="146"/>
      <c r="G385" s="145"/>
      <c r="H385" s="146"/>
      <c r="I385" s="145"/>
      <c r="J385" s="146"/>
      <c r="K385" s="147"/>
      <c r="L385" s="147"/>
      <c r="M385" s="147"/>
      <c r="N385" s="147"/>
      <c r="O385" s="147"/>
      <c r="P385" s="147"/>
      <c r="Q385" s="147"/>
      <c r="R385" s="147"/>
      <c r="S385" s="147"/>
      <c r="T385" s="147"/>
      <c r="U385" s="147"/>
      <c r="V385" s="147"/>
      <c r="W385" s="147"/>
      <c r="X385" s="147"/>
      <c r="Y385" s="147"/>
      <c r="Z385" s="147"/>
      <c r="AA385" s="147"/>
      <c r="AB385" s="147"/>
      <c r="AC385" s="147"/>
      <c r="AD385" s="147"/>
      <c r="AE385" s="147"/>
      <c r="AF385" s="147"/>
      <c r="AG385" s="147"/>
      <c r="AH385" s="147"/>
      <c r="AI385" s="147"/>
      <c r="AJ385" s="147"/>
      <c r="AK385" s="147"/>
    </row>
    <row r="386" ht="15.75" customHeight="1">
      <c r="A386" s="144"/>
      <c r="B386" s="144"/>
      <c r="C386" s="145"/>
      <c r="D386" s="145"/>
      <c r="E386" s="145"/>
      <c r="F386" s="146"/>
      <c r="G386" s="145"/>
      <c r="H386" s="146"/>
      <c r="I386" s="145"/>
      <c r="J386" s="146"/>
      <c r="K386" s="147"/>
      <c r="L386" s="147"/>
      <c r="M386" s="147"/>
      <c r="N386" s="147"/>
      <c r="O386" s="147"/>
      <c r="P386" s="147"/>
      <c r="Q386" s="147"/>
      <c r="R386" s="147"/>
      <c r="S386" s="147"/>
      <c r="T386" s="147"/>
      <c r="U386" s="147"/>
      <c r="V386" s="147"/>
      <c r="W386" s="147"/>
      <c r="X386" s="147"/>
      <c r="Y386" s="147"/>
      <c r="Z386" s="147"/>
      <c r="AA386" s="147"/>
      <c r="AB386" s="147"/>
      <c r="AC386" s="147"/>
      <c r="AD386" s="147"/>
      <c r="AE386" s="147"/>
      <c r="AF386" s="147"/>
      <c r="AG386" s="147"/>
      <c r="AH386" s="147"/>
      <c r="AI386" s="147"/>
      <c r="AJ386" s="147"/>
      <c r="AK386" s="147"/>
    </row>
    <row r="387" ht="15.75" customHeight="1">
      <c r="A387" s="144"/>
      <c r="B387" s="144"/>
      <c r="C387" s="145"/>
      <c r="D387" s="145"/>
      <c r="E387" s="145"/>
      <c r="F387" s="146"/>
      <c r="G387" s="145"/>
      <c r="H387" s="146"/>
      <c r="I387" s="145"/>
      <c r="J387" s="146"/>
      <c r="K387" s="147"/>
      <c r="L387" s="147"/>
      <c r="M387" s="147"/>
      <c r="N387" s="147"/>
      <c r="O387" s="147"/>
      <c r="P387" s="147"/>
      <c r="Q387" s="147"/>
      <c r="R387" s="147"/>
      <c r="S387" s="147"/>
      <c r="T387" s="147"/>
      <c r="U387" s="147"/>
      <c r="V387" s="147"/>
      <c r="W387" s="147"/>
      <c r="X387" s="147"/>
      <c r="Y387" s="147"/>
      <c r="Z387" s="147"/>
      <c r="AA387" s="147"/>
      <c r="AB387" s="147"/>
      <c r="AC387" s="147"/>
      <c r="AD387" s="147"/>
      <c r="AE387" s="147"/>
      <c r="AF387" s="147"/>
      <c r="AG387" s="147"/>
      <c r="AH387" s="147"/>
      <c r="AI387" s="147"/>
      <c r="AJ387" s="147"/>
      <c r="AK387" s="147"/>
    </row>
    <row r="388" ht="15.75" customHeight="1">
      <c r="A388" s="144"/>
      <c r="B388" s="144"/>
      <c r="C388" s="145"/>
      <c r="D388" s="145"/>
      <c r="E388" s="145"/>
      <c r="F388" s="146"/>
      <c r="G388" s="145"/>
      <c r="H388" s="146"/>
      <c r="I388" s="145"/>
      <c r="J388" s="146"/>
      <c r="K388" s="147"/>
      <c r="L388" s="147"/>
      <c r="M388" s="147"/>
      <c r="N388" s="147"/>
      <c r="O388" s="147"/>
      <c r="P388" s="147"/>
      <c r="Q388" s="147"/>
      <c r="R388" s="147"/>
      <c r="S388" s="147"/>
      <c r="T388" s="147"/>
      <c r="U388" s="147"/>
      <c r="V388" s="147"/>
      <c r="W388" s="147"/>
      <c r="X388" s="147"/>
      <c r="Y388" s="147"/>
      <c r="Z388" s="147"/>
      <c r="AA388" s="147"/>
      <c r="AB388" s="147"/>
      <c r="AC388" s="147"/>
      <c r="AD388" s="147"/>
      <c r="AE388" s="147"/>
      <c r="AF388" s="147"/>
      <c r="AG388" s="147"/>
      <c r="AH388" s="147"/>
      <c r="AI388" s="147"/>
      <c r="AJ388" s="147"/>
      <c r="AK388" s="147"/>
    </row>
    <row r="389" ht="15.75" customHeight="1">
      <c r="A389" s="144"/>
      <c r="B389" s="144"/>
      <c r="C389" s="145"/>
      <c r="D389" s="145"/>
      <c r="E389" s="145"/>
      <c r="F389" s="146"/>
      <c r="G389" s="145"/>
      <c r="H389" s="146"/>
      <c r="I389" s="145"/>
      <c r="J389" s="146"/>
      <c r="K389" s="147"/>
      <c r="L389" s="147"/>
      <c r="M389" s="147"/>
      <c r="N389" s="147"/>
      <c r="O389" s="147"/>
      <c r="P389" s="147"/>
      <c r="Q389" s="147"/>
      <c r="R389" s="147"/>
      <c r="S389" s="147"/>
      <c r="T389" s="147"/>
      <c r="U389" s="147"/>
      <c r="V389" s="147"/>
      <c r="W389" s="147"/>
      <c r="X389" s="147"/>
      <c r="Y389" s="147"/>
      <c r="Z389" s="147"/>
      <c r="AA389" s="147"/>
      <c r="AB389" s="147"/>
      <c r="AC389" s="147"/>
      <c r="AD389" s="147"/>
      <c r="AE389" s="147"/>
      <c r="AF389" s="147"/>
      <c r="AG389" s="147"/>
      <c r="AH389" s="147"/>
      <c r="AI389" s="147"/>
      <c r="AJ389" s="147"/>
      <c r="AK389" s="147"/>
    </row>
    <row r="390" ht="15.75" customHeight="1">
      <c r="A390" s="144"/>
      <c r="B390" s="144"/>
      <c r="C390" s="145"/>
      <c r="D390" s="145"/>
      <c r="E390" s="145"/>
      <c r="F390" s="146"/>
      <c r="G390" s="145"/>
      <c r="H390" s="146"/>
      <c r="I390" s="145"/>
      <c r="J390" s="146"/>
      <c r="K390" s="147"/>
      <c r="L390" s="147"/>
      <c r="M390" s="147"/>
      <c r="N390" s="147"/>
      <c r="O390" s="147"/>
      <c r="P390" s="147"/>
      <c r="Q390" s="147"/>
      <c r="R390" s="147"/>
      <c r="S390" s="147"/>
      <c r="T390" s="147"/>
      <c r="U390" s="147"/>
      <c r="V390" s="147"/>
      <c r="W390" s="147"/>
      <c r="X390" s="147"/>
      <c r="Y390" s="147"/>
      <c r="Z390" s="147"/>
      <c r="AA390" s="147"/>
      <c r="AB390" s="147"/>
      <c r="AC390" s="147"/>
      <c r="AD390" s="147"/>
      <c r="AE390" s="147"/>
      <c r="AF390" s="147"/>
      <c r="AG390" s="147"/>
      <c r="AH390" s="147"/>
      <c r="AI390" s="147"/>
      <c r="AJ390" s="147"/>
      <c r="AK390" s="147"/>
    </row>
    <row r="391" ht="15.75" customHeight="1">
      <c r="A391" s="144"/>
      <c r="B391" s="144"/>
      <c r="C391" s="145"/>
      <c r="D391" s="145"/>
      <c r="E391" s="145"/>
      <c r="F391" s="146"/>
      <c r="G391" s="145"/>
      <c r="H391" s="146"/>
      <c r="I391" s="145"/>
      <c r="J391" s="146"/>
      <c r="K391" s="147"/>
      <c r="L391" s="147"/>
      <c r="M391" s="147"/>
      <c r="N391" s="147"/>
      <c r="O391" s="147"/>
      <c r="P391" s="147"/>
      <c r="Q391" s="147"/>
      <c r="R391" s="147"/>
      <c r="S391" s="147"/>
      <c r="T391" s="147"/>
      <c r="U391" s="147"/>
      <c r="V391" s="147"/>
      <c r="W391" s="147"/>
      <c r="X391" s="147"/>
      <c r="Y391" s="147"/>
      <c r="Z391" s="147"/>
      <c r="AA391" s="147"/>
      <c r="AB391" s="147"/>
      <c r="AC391" s="147"/>
      <c r="AD391" s="147"/>
      <c r="AE391" s="147"/>
      <c r="AF391" s="147"/>
      <c r="AG391" s="147"/>
      <c r="AH391" s="147"/>
      <c r="AI391" s="147"/>
      <c r="AJ391" s="147"/>
      <c r="AK391" s="147"/>
    </row>
    <row r="392" ht="15.75" customHeight="1">
      <c r="A392" s="144"/>
      <c r="B392" s="144"/>
      <c r="C392" s="145"/>
      <c r="D392" s="145"/>
      <c r="E392" s="145"/>
      <c r="F392" s="146"/>
      <c r="G392" s="145"/>
      <c r="H392" s="146"/>
      <c r="I392" s="145"/>
      <c r="J392" s="146"/>
      <c r="K392" s="147"/>
      <c r="L392" s="147"/>
      <c r="M392" s="147"/>
      <c r="N392" s="147"/>
      <c r="O392" s="147"/>
      <c r="P392" s="147"/>
      <c r="Q392" s="147"/>
      <c r="R392" s="147"/>
      <c r="S392" s="147"/>
      <c r="T392" s="147"/>
      <c r="U392" s="147"/>
      <c r="V392" s="147"/>
      <c r="W392" s="147"/>
      <c r="X392" s="147"/>
      <c r="Y392" s="147"/>
      <c r="Z392" s="147"/>
      <c r="AA392" s="147"/>
      <c r="AB392" s="147"/>
      <c r="AC392" s="147"/>
      <c r="AD392" s="147"/>
      <c r="AE392" s="147"/>
      <c r="AF392" s="147"/>
      <c r="AG392" s="147"/>
      <c r="AH392" s="147"/>
      <c r="AI392" s="147"/>
      <c r="AJ392" s="147"/>
      <c r="AK392" s="147"/>
    </row>
    <row r="393" ht="15.75" customHeight="1">
      <c r="A393" s="144"/>
      <c r="B393" s="144"/>
      <c r="C393" s="145"/>
      <c r="D393" s="145"/>
      <c r="E393" s="145"/>
      <c r="F393" s="146"/>
      <c r="G393" s="145"/>
      <c r="H393" s="146"/>
      <c r="I393" s="145"/>
      <c r="J393" s="146"/>
      <c r="K393" s="147"/>
      <c r="L393" s="147"/>
      <c r="M393" s="147"/>
      <c r="N393" s="147"/>
      <c r="O393" s="147"/>
      <c r="P393" s="147"/>
      <c r="Q393" s="147"/>
      <c r="R393" s="147"/>
      <c r="S393" s="147"/>
      <c r="T393" s="147"/>
      <c r="U393" s="147"/>
      <c r="V393" s="147"/>
      <c r="W393" s="147"/>
      <c r="X393" s="147"/>
      <c r="Y393" s="147"/>
      <c r="Z393" s="147"/>
      <c r="AA393" s="147"/>
      <c r="AB393" s="147"/>
      <c r="AC393" s="147"/>
      <c r="AD393" s="147"/>
      <c r="AE393" s="147"/>
      <c r="AF393" s="147"/>
      <c r="AG393" s="147"/>
      <c r="AH393" s="147"/>
      <c r="AI393" s="147"/>
      <c r="AJ393" s="147"/>
      <c r="AK393" s="147"/>
    </row>
    <row r="394" ht="15.75" customHeight="1">
      <c r="A394" s="144"/>
      <c r="B394" s="144"/>
      <c r="C394" s="145"/>
      <c r="D394" s="145"/>
      <c r="E394" s="145"/>
      <c r="F394" s="146"/>
      <c r="G394" s="145"/>
      <c r="H394" s="146"/>
      <c r="I394" s="145"/>
      <c r="J394" s="146"/>
      <c r="K394" s="147"/>
      <c r="L394" s="147"/>
      <c r="M394" s="147"/>
      <c r="N394" s="147"/>
      <c r="O394" s="147"/>
      <c r="P394" s="147"/>
      <c r="Q394" s="147"/>
      <c r="R394" s="147"/>
      <c r="S394" s="147"/>
      <c r="T394" s="147"/>
      <c r="U394" s="147"/>
      <c r="V394" s="147"/>
      <c r="W394" s="147"/>
      <c r="X394" s="147"/>
      <c r="Y394" s="147"/>
      <c r="Z394" s="147"/>
      <c r="AA394" s="147"/>
      <c r="AB394" s="147"/>
      <c r="AC394" s="147"/>
      <c r="AD394" s="147"/>
      <c r="AE394" s="147"/>
      <c r="AF394" s="147"/>
      <c r="AG394" s="147"/>
      <c r="AH394" s="147"/>
      <c r="AI394" s="147"/>
      <c r="AJ394" s="147"/>
      <c r="AK394" s="147"/>
    </row>
    <row r="395" ht="15.75" customHeight="1">
      <c r="A395" s="144"/>
      <c r="B395" s="144"/>
      <c r="C395" s="145"/>
      <c r="D395" s="145"/>
      <c r="E395" s="145"/>
      <c r="F395" s="146"/>
      <c r="G395" s="145"/>
      <c r="H395" s="146"/>
      <c r="I395" s="145"/>
      <c r="J395" s="146"/>
      <c r="K395" s="147"/>
      <c r="L395" s="147"/>
      <c r="M395" s="147"/>
      <c r="N395" s="147"/>
      <c r="O395" s="147"/>
      <c r="P395" s="147"/>
      <c r="Q395" s="147"/>
      <c r="R395" s="147"/>
      <c r="S395" s="147"/>
      <c r="T395" s="147"/>
      <c r="U395" s="147"/>
      <c r="V395" s="147"/>
      <c r="W395" s="147"/>
      <c r="X395" s="147"/>
      <c r="Y395" s="147"/>
      <c r="Z395" s="147"/>
      <c r="AA395" s="147"/>
      <c r="AB395" s="147"/>
      <c r="AC395" s="147"/>
      <c r="AD395" s="147"/>
      <c r="AE395" s="147"/>
      <c r="AF395" s="147"/>
      <c r="AG395" s="147"/>
      <c r="AH395" s="147"/>
      <c r="AI395" s="147"/>
      <c r="AJ395" s="147"/>
      <c r="AK395" s="147"/>
    </row>
    <row r="396" ht="15.75" customHeight="1">
      <c r="A396" s="144"/>
      <c r="B396" s="144"/>
      <c r="C396" s="145"/>
      <c r="D396" s="145"/>
      <c r="E396" s="145"/>
      <c r="F396" s="146"/>
      <c r="G396" s="145"/>
      <c r="H396" s="146"/>
      <c r="I396" s="145"/>
      <c r="J396" s="146"/>
      <c r="K396" s="147"/>
      <c r="L396" s="147"/>
      <c r="M396" s="147"/>
      <c r="N396" s="147"/>
      <c r="O396" s="147"/>
      <c r="P396" s="147"/>
      <c r="Q396" s="147"/>
      <c r="R396" s="147"/>
      <c r="S396" s="147"/>
      <c r="T396" s="147"/>
      <c r="U396" s="147"/>
      <c r="V396" s="147"/>
      <c r="W396" s="147"/>
      <c r="X396" s="147"/>
      <c r="Y396" s="147"/>
      <c r="Z396" s="147"/>
      <c r="AA396" s="147"/>
      <c r="AB396" s="147"/>
      <c r="AC396" s="147"/>
      <c r="AD396" s="147"/>
      <c r="AE396" s="147"/>
      <c r="AF396" s="147"/>
      <c r="AG396" s="147"/>
      <c r="AH396" s="147"/>
      <c r="AI396" s="147"/>
      <c r="AJ396" s="147"/>
      <c r="AK396" s="147"/>
    </row>
    <row r="397" ht="15.75" customHeight="1">
      <c r="A397" s="144"/>
      <c r="B397" s="144"/>
      <c r="C397" s="145"/>
      <c r="D397" s="145"/>
      <c r="E397" s="145"/>
      <c r="F397" s="146"/>
      <c r="G397" s="145"/>
      <c r="H397" s="146"/>
      <c r="I397" s="145"/>
      <c r="J397" s="146"/>
      <c r="K397" s="147"/>
      <c r="L397" s="147"/>
      <c r="M397" s="147"/>
      <c r="N397" s="147"/>
      <c r="O397" s="147"/>
      <c r="P397" s="147"/>
      <c r="Q397" s="147"/>
      <c r="R397" s="147"/>
      <c r="S397" s="147"/>
      <c r="T397" s="147"/>
      <c r="U397" s="147"/>
      <c r="V397" s="147"/>
      <c r="W397" s="147"/>
      <c r="X397" s="147"/>
      <c r="Y397" s="147"/>
      <c r="Z397" s="147"/>
      <c r="AA397" s="147"/>
      <c r="AB397" s="147"/>
      <c r="AC397" s="147"/>
      <c r="AD397" s="147"/>
      <c r="AE397" s="147"/>
      <c r="AF397" s="147"/>
      <c r="AG397" s="147"/>
      <c r="AH397" s="147"/>
      <c r="AI397" s="147"/>
      <c r="AJ397" s="147"/>
      <c r="AK397" s="147"/>
    </row>
    <row r="398" ht="15.75" customHeight="1">
      <c r="A398" s="144"/>
      <c r="B398" s="144"/>
      <c r="C398" s="145"/>
      <c r="D398" s="145"/>
      <c r="E398" s="145"/>
      <c r="F398" s="146"/>
      <c r="G398" s="145"/>
      <c r="H398" s="146"/>
      <c r="I398" s="145"/>
      <c r="J398" s="146"/>
      <c r="K398" s="147"/>
      <c r="L398" s="147"/>
      <c r="M398" s="147"/>
      <c r="N398" s="147"/>
      <c r="O398" s="147"/>
      <c r="P398" s="147"/>
      <c r="Q398" s="147"/>
      <c r="R398" s="147"/>
      <c r="S398" s="147"/>
      <c r="T398" s="147"/>
      <c r="U398" s="147"/>
      <c r="V398" s="147"/>
      <c r="W398" s="147"/>
      <c r="X398" s="147"/>
      <c r="Y398" s="147"/>
      <c r="Z398" s="147"/>
      <c r="AA398" s="147"/>
      <c r="AB398" s="147"/>
      <c r="AC398" s="147"/>
      <c r="AD398" s="147"/>
      <c r="AE398" s="147"/>
      <c r="AF398" s="147"/>
      <c r="AG398" s="147"/>
      <c r="AH398" s="147"/>
      <c r="AI398" s="147"/>
      <c r="AJ398" s="147"/>
      <c r="AK398" s="147"/>
    </row>
    <row r="399" ht="15.75" customHeight="1">
      <c r="A399" s="144"/>
      <c r="B399" s="144"/>
      <c r="C399" s="145"/>
      <c r="D399" s="145"/>
      <c r="E399" s="145"/>
      <c r="F399" s="146"/>
      <c r="G399" s="145"/>
      <c r="H399" s="146"/>
      <c r="I399" s="145"/>
      <c r="J399" s="146"/>
      <c r="K399" s="147"/>
      <c r="L399" s="147"/>
      <c r="M399" s="147"/>
      <c r="N399" s="147"/>
      <c r="O399" s="147"/>
      <c r="P399" s="147"/>
      <c r="Q399" s="147"/>
      <c r="R399" s="147"/>
      <c r="S399" s="147"/>
      <c r="T399" s="147"/>
      <c r="U399" s="147"/>
      <c r="V399" s="147"/>
      <c r="W399" s="147"/>
      <c r="X399" s="147"/>
      <c r="Y399" s="147"/>
      <c r="Z399" s="147"/>
      <c r="AA399" s="147"/>
      <c r="AB399" s="147"/>
      <c r="AC399" s="147"/>
      <c r="AD399" s="147"/>
      <c r="AE399" s="147"/>
      <c r="AF399" s="147"/>
      <c r="AG399" s="147"/>
      <c r="AH399" s="147"/>
      <c r="AI399" s="147"/>
      <c r="AJ399" s="147"/>
      <c r="AK399" s="147"/>
    </row>
    <row r="400" ht="15.75" customHeight="1">
      <c r="A400" s="144"/>
      <c r="B400" s="144"/>
      <c r="C400" s="145"/>
      <c r="D400" s="145"/>
      <c r="E400" s="145"/>
      <c r="F400" s="146"/>
      <c r="G400" s="145"/>
      <c r="H400" s="146"/>
      <c r="I400" s="145"/>
      <c r="J400" s="146"/>
      <c r="K400" s="147"/>
      <c r="L400" s="147"/>
      <c r="M400" s="147"/>
      <c r="N400" s="147"/>
      <c r="O400" s="147"/>
      <c r="P400" s="147"/>
      <c r="Q400" s="147"/>
      <c r="R400" s="147"/>
      <c r="S400" s="147"/>
      <c r="T400" s="147"/>
      <c r="U400" s="147"/>
      <c r="V400" s="147"/>
      <c r="W400" s="147"/>
      <c r="X400" s="147"/>
      <c r="Y400" s="147"/>
      <c r="Z400" s="147"/>
      <c r="AA400" s="147"/>
      <c r="AB400" s="147"/>
      <c r="AC400" s="147"/>
      <c r="AD400" s="147"/>
      <c r="AE400" s="147"/>
      <c r="AF400" s="147"/>
      <c r="AG400" s="147"/>
      <c r="AH400" s="147"/>
      <c r="AI400" s="147"/>
      <c r="AJ400" s="147"/>
      <c r="AK400" s="147"/>
    </row>
    <row r="401" ht="15.75" customHeight="1">
      <c r="A401" s="144"/>
      <c r="B401" s="144"/>
      <c r="C401" s="145"/>
      <c r="D401" s="145"/>
      <c r="E401" s="145"/>
      <c r="F401" s="146"/>
      <c r="G401" s="145"/>
      <c r="H401" s="146"/>
      <c r="I401" s="145"/>
      <c r="J401" s="146"/>
      <c r="K401" s="147"/>
      <c r="L401" s="147"/>
      <c r="M401" s="147"/>
      <c r="N401" s="147"/>
      <c r="O401" s="147"/>
      <c r="P401" s="147"/>
      <c r="Q401" s="147"/>
      <c r="R401" s="147"/>
      <c r="S401" s="147"/>
      <c r="T401" s="147"/>
      <c r="U401" s="147"/>
      <c r="V401" s="147"/>
      <c r="W401" s="147"/>
      <c r="X401" s="147"/>
      <c r="Y401" s="147"/>
      <c r="Z401" s="147"/>
      <c r="AA401" s="147"/>
      <c r="AB401" s="147"/>
      <c r="AC401" s="147"/>
      <c r="AD401" s="147"/>
      <c r="AE401" s="147"/>
      <c r="AF401" s="147"/>
      <c r="AG401" s="147"/>
      <c r="AH401" s="147"/>
      <c r="AI401" s="147"/>
      <c r="AJ401" s="147"/>
      <c r="AK401" s="147"/>
    </row>
    <row r="402" ht="15.75" customHeight="1">
      <c r="A402" s="144"/>
      <c r="B402" s="144"/>
      <c r="C402" s="145"/>
      <c r="D402" s="145"/>
      <c r="E402" s="145"/>
      <c r="F402" s="146"/>
      <c r="G402" s="145"/>
      <c r="H402" s="146"/>
      <c r="I402" s="145"/>
      <c r="J402" s="146"/>
      <c r="K402" s="147"/>
      <c r="L402" s="147"/>
      <c r="M402" s="147"/>
      <c r="N402" s="147"/>
      <c r="O402" s="147"/>
      <c r="P402" s="147"/>
      <c r="Q402" s="147"/>
      <c r="R402" s="147"/>
      <c r="S402" s="147"/>
      <c r="T402" s="147"/>
      <c r="U402" s="147"/>
      <c r="V402" s="147"/>
      <c r="W402" s="147"/>
      <c r="X402" s="147"/>
      <c r="Y402" s="147"/>
      <c r="Z402" s="147"/>
      <c r="AA402" s="147"/>
      <c r="AB402" s="147"/>
      <c r="AC402" s="147"/>
      <c r="AD402" s="147"/>
      <c r="AE402" s="147"/>
      <c r="AF402" s="147"/>
      <c r="AG402" s="147"/>
      <c r="AH402" s="147"/>
      <c r="AI402" s="147"/>
      <c r="AJ402" s="147"/>
      <c r="AK402" s="147"/>
    </row>
    <row r="403" ht="15.75" customHeight="1">
      <c r="A403" s="144"/>
      <c r="B403" s="144"/>
      <c r="C403" s="145"/>
      <c r="D403" s="145"/>
      <c r="E403" s="145"/>
      <c r="F403" s="146"/>
      <c r="G403" s="145"/>
      <c r="H403" s="146"/>
      <c r="I403" s="145"/>
      <c r="J403" s="146"/>
      <c r="K403" s="147"/>
      <c r="L403" s="147"/>
      <c r="M403" s="147"/>
      <c r="N403" s="147"/>
      <c r="O403" s="147"/>
      <c r="P403" s="147"/>
      <c r="Q403" s="147"/>
      <c r="R403" s="147"/>
      <c r="S403" s="147"/>
      <c r="T403" s="147"/>
      <c r="U403" s="147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F403" s="147"/>
      <c r="AG403" s="147"/>
      <c r="AH403" s="147"/>
      <c r="AI403" s="147"/>
      <c r="AJ403" s="147"/>
      <c r="AK403" s="147"/>
    </row>
    <row r="404" ht="15.75" customHeight="1">
      <c r="A404" s="144"/>
      <c r="B404" s="144"/>
      <c r="C404" s="145"/>
      <c r="D404" s="145"/>
      <c r="E404" s="145"/>
      <c r="F404" s="146"/>
      <c r="G404" s="145"/>
      <c r="H404" s="146"/>
      <c r="I404" s="145"/>
      <c r="J404" s="146"/>
      <c r="K404" s="147"/>
      <c r="L404" s="147"/>
      <c r="M404" s="147"/>
      <c r="N404" s="147"/>
      <c r="O404" s="147"/>
      <c r="P404" s="147"/>
      <c r="Q404" s="147"/>
      <c r="R404" s="147"/>
      <c r="S404" s="147"/>
      <c r="T404" s="147"/>
      <c r="U404" s="147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F404" s="147"/>
      <c r="AG404" s="147"/>
      <c r="AH404" s="147"/>
      <c r="AI404" s="147"/>
      <c r="AJ404" s="147"/>
      <c r="AK404" s="147"/>
    </row>
    <row r="405" ht="15.75" customHeight="1">
      <c r="A405" s="144"/>
      <c r="B405" s="144"/>
      <c r="C405" s="145"/>
      <c r="D405" s="145"/>
      <c r="E405" s="145"/>
      <c r="F405" s="146"/>
      <c r="G405" s="145"/>
      <c r="H405" s="146"/>
      <c r="I405" s="145"/>
      <c r="J405" s="146"/>
      <c r="K405" s="147"/>
      <c r="L405" s="147"/>
      <c r="M405" s="147"/>
      <c r="N405" s="147"/>
      <c r="O405" s="147"/>
      <c r="P405" s="147"/>
      <c r="Q405" s="147"/>
      <c r="R405" s="147"/>
      <c r="S405" s="147"/>
      <c r="T405" s="147"/>
      <c r="U405" s="147"/>
      <c r="V405" s="147"/>
      <c r="W405" s="147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  <c r="AJ405" s="147"/>
      <c r="AK405" s="147"/>
    </row>
    <row r="406" ht="15.75" customHeight="1">
      <c r="A406" s="144"/>
      <c r="B406" s="144"/>
      <c r="C406" s="145"/>
      <c r="D406" s="145"/>
      <c r="E406" s="145"/>
      <c r="F406" s="146"/>
      <c r="G406" s="145"/>
      <c r="H406" s="146"/>
      <c r="I406" s="145"/>
      <c r="J406" s="146"/>
      <c r="K406" s="147"/>
      <c r="L406" s="147"/>
      <c r="M406" s="147"/>
      <c r="N406" s="147"/>
      <c r="O406" s="147"/>
      <c r="P406" s="147"/>
      <c r="Q406" s="147"/>
      <c r="R406" s="147"/>
      <c r="S406" s="147"/>
      <c r="T406" s="147"/>
      <c r="U406" s="147"/>
      <c r="V406" s="147"/>
      <c r="W406" s="147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  <c r="AJ406" s="147"/>
      <c r="AK406" s="147"/>
    </row>
    <row r="407" ht="15.75" customHeight="1">
      <c r="A407" s="144"/>
      <c r="B407" s="144"/>
      <c r="C407" s="145"/>
      <c r="D407" s="145"/>
      <c r="E407" s="145"/>
      <c r="F407" s="146"/>
      <c r="G407" s="145"/>
      <c r="H407" s="146"/>
      <c r="I407" s="145"/>
      <c r="J407" s="146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</row>
    <row r="408" ht="15.75" customHeight="1">
      <c r="A408" s="144"/>
      <c r="B408" s="144"/>
      <c r="C408" s="145"/>
      <c r="D408" s="145"/>
      <c r="E408" s="145"/>
      <c r="F408" s="146"/>
      <c r="G408" s="145"/>
      <c r="H408" s="146"/>
      <c r="I408" s="145"/>
      <c r="J408" s="146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</row>
    <row r="409" ht="15.75" customHeight="1">
      <c r="A409" s="144"/>
      <c r="B409" s="144"/>
      <c r="C409" s="145"/>
      <c r="D409" s="145"/>
      <c r="E409" s="145"/>
      <c r="F409" s="146"/>
      <c r="G409" s="145"/>
      <c r="H409" s="146"/>
      <c r="I409" s="145"/>
      <c r="J409" s="146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</row>
    <row r="410" ht="15.75" customHeight="1">
      <c r="A410" s="144"/>
      <c r="B410" s="144"/>
      <c r="C410" s="145"/>
      <c r="D410" s="145"/>
      <c r="E410" s="145"/>
      <c r="F410" s="146"/>
      <c r="G410" s="145"/>
      <c r="H410" s="146"/>
      <c r="I410" s="145"/>
      <c r="J410" s="146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</row>
    <row r="411" ht="15.75" customHeight="1">
      <c r="A411" s="144"/>
      <c r="B411" s="144"/>
      <c r="C411" s="145"/>
      <c r="D411" s="145"/>
      <c r="E411" s="145"/>
      <c r="F411" s="146"/>
      <c r="G411" s="145"/>
      <c r="H411" s="146"/>
      <c r="I411" s="145"/>
      <c r="J411" s="146"/>
      <c r="K411" s="147"/>
      <c r="L411" s="147"/>
      <c r="M411" s="147"/>
      <c r="N411" s="147"/>
      <c r="O411" s="147"/>
      <c r="P411" s="147"/>
      <c r="Q411" s="147"/>
      <c r="R411" s="147"/>
      <c r="S411" s="147"/>
      <c r="T411" s="147"/>
      <c r="U411" s="147"/>
      <c r="V411" s="147"/>
      <c r="W411" s="147"/>
      <c r="X411" s="147"/>
      <c r="Y411" s="147"/>
      <c r="Z411" s="147"/>
      <c r="AA411" s="147"/>
      <c r="AB411" s="147"/>
      <c r="AC411" s="147"/>
      <c r="AD411" s="147"/>
      <c r="AE411" s="147"/>
      <c r="AF411" s="147"/>
      <c r="AG411" s="147"/>
      <c r="AH411" s="147"/>
      <c r="AI411" s="147"/>
      <c r="AJ411" s="147"/>
      <c r="AK411" s="147"/>
    </row>
    <row r="412" ht="15.75" customHeight="1">
      <c r="A412" s="144"/>
      <c r="B412" s="144"/>
      <c r="C412" s="145"/>
      <c r="D412" s="145"/>
      <c r="E412" s="145"/>
      <c r="F412" s="146"/>
      <c r="G412" s="145"/>
      <c r="H412" s="146"/>
      <c r="I412" s="145"/>
      <c r="J412" s="146"/>
      <c r="K412" s="147"/>
      <c r="L412" s="147"/>
      <c r="M412" s="147"/>
      <c r="N412" s="147"/>
      <c r="O412" s="147"/>
      <c r="P412" s="147"/>
      <c r="Q412" s="147"/>
      <c r="R412" s="147"/>
      <c r="S412" s="147"/>
      <c r="T412" s="147"/>
      <c r="U412" s="147"/>
      <c r="V412" s="147"/>
      <c r="W412" s="147"/>
      <c r="X412" s="147"/>
      <c r="Y412" s="147"/>
      <c r="Z412" s="147"/>
      <c r="AA412" s="147"/>
      <c r="AB412" s="147"/>
      <c r="AC412" s="147"/>
      <c r="AD412" s="147"/>
      <c r="AE412" s="147"/>
      <c r="AF412" s="147"/>
      <c r="AG412" s="147"/>
      <c r="AH412" s="147"/>
      <c r="AI412" s="147"/>
      <c r="AJ412" s="147"/>
      <c r="AK412" s="147"/>
    </row>
    <row r="413" ht="15.75" customHeight="1">
      <c r="A413" s="144"/>
      <c r="B413" s="144"/>
      <c r="C413" s="145"/>
      <c r="D413" s="145"/>
      <c r="E413" s="145"/>
      <c r="F413" s="146"/>
      <c r="G413" s="145"/>
      <c r="H413" s="146"/>
      <c r="I413" s="145"/>
      <c r="J413" s="146"/>
      <c r="K413" s="147"/>
      <c r="L413" s="147"/>
      <c r="M413" s="147"/>
      <c r="N413" s="147"/>
      <c r="O413" s="147"/>
      <c r="P413" s="147"/>
      <c r="Q413" s="147"/>
      <c r="R413" s="147"/>
      <c r="S413" s="147"/>
      <c r="T413" s="147"/>
      <c r="U413" s="147"/>
      <c r="V413" s="147"/>
      <c r="W413" s="147"/>
      <c r="X413" s="147"/>
      <c r="Y413" s="147"/>
      <c r="Z413" s="147"/>
      <c r="AA413" s="147"/>
      <c r="AB413" s="147"/>
      <c r="AC413" s="147"/>
      <c r="AD413" s="147"/>
      <c r="AE413" s="147"/>
      <c r="AF413" s="147"/>
      <c r="AG413" s="147"/>
      <c r="AH413" s="147"/>
      <c r="AI413" s="147"/>
      <c r="AJ413" s="147"/>
      <c r="AK413" s="147"/>
    </row>
    <row r="414" ht="15.75" customHeight="1">
      <c r="A414" s="144"/>
      <c r="B414" s="144"/>
      <c r="C414" s="145"/>
      <c r="D414" s="145"/>
      <c r="E414" s="145"/>
      <c r="F414" s="146"/>
      <c r="G414" s="145"/>
      <c r="H414" s="146"/>
      <c r="I414" s="145"/>
      <c r="J414" s="146"/>
      <c r="K414" s="147"/>
      <c r="L414" s="147"/>
      <c r="M414" s="147"/>
      <c r="N414" s="147"/>
      <c r="O414" s="147"/>
      <c r="P414" s="147"/>
      <c r="Q414" s="147"/>
      <c r="R414" s="147"/>
      <c r="S414" s="147"/>
      <c r="T414" s="147"/>
      <c r="U414" s="147"/>
      <c r="V414" s="147"/>
      <c r="W414" s="147"/>
      <c r="X414" s="147"/>
      <c r="Y414" s="147"/>
      <c r="Z414" s="147"/>
      <c r="AA414" s="147"/>
      <c r="AB414" s="147"/>
      <c r="AC414" s="147"/>
      <c r="AD414" s="147"/>
      <c r="AE414" s="147"/>
      <c r="AF414" s="147"/>
      <c r="AG414" s="147"/>
      <c r="AH414" s="147"/>
      <c r="AI414" s="147"/>
      <c r="AJ414" s="147"/>
      <c r="AK414" s="147"/>
    </row>
    <row r="415" ht="15.75" customHeight="1">
      <c r="A415" s="144"/>
      <c r="B415" s="144"/>
      <c r="C415" s="145"/>
      <c r="D415" s="145"/>
      <c r="E415" s="145"/>
      <c r="F415" s="146"/>
      <c r="G415" s="145"/>
      <c r="H415" s="146"/>
      <c r="I415" s="145"/>
      <c r="J415" s="146"/>
      <c r="K415" s="147"/>
      <c r="L415" s="147"/>
      <c r="M415" s="147"/>
      <c r="N415" s="147"/>
      <c r="O415" s="147"/>
      <c r="P415" s="147"/>
      <c r="Q415" s="147"/>
      <c r="R415" s="147"/>
      <c r="S415" s="147"/>
      <c r="T415" s="147"/>
      <c r="U415" s="147"/>
      <c r="V415" s="147"/>
      <c r="W415" s="147"/>
      <c r="X415" s="147"/>
      <c r="Y415" s="147"/>
      <c r="Z415" s="147"/>
      <c r="AA415" s="147"/>
      <c r="AB415" s="147"/>
      <c r="AC415" s="147"/>
      <c r="AD415" s="147"/>
      <c r="AE415" s="147"/>
      <c r="AF415" s="147"/>
      <c r="AG415" s="147"/>
      <c r="AH415" s="147"/>
      <c r="AI415" s="147"/>
      <c r="AJ415" s="147"/>
      <c r="AK415" s="147"/>
    </row>
    <row r="416" ht="15.75" customHeight="1">
      <c r="A416" s="144"/>
      <c r="B416" s="144"/>
      <c r="C416" s="145"/>
      <c r="D416" s="145"/>
      <c r="E416" s="145"/>
      <c r="F416" s="146"/>
      <c r="G416" s="145"/>
      <c r="H416" s="146"/>
      <c r="I416" s="145"/>
      <c r="J416" s="146"/>
      <c r="K416" s="147"/>
      <c r="L416" s="147"/>
      <c r="M416" s="147"/>
      <c r="N416" s="147"/>
      <c r="O416" s="147"/>
      <c r="P416" s="147"/>
      <c r="Q416" s="147"/>
      <c r="R416" s="147"/>
      <c r="S416" s="147"/>
      <c r="T416" s="147"/>
      <c r="U416" s="147"/>
      <c r="V416" s="147"/>
      <c r="W416" s="147"/>
      <c r="X416" s="147"/>
      <c r="Y416" s="147"/>
      <c r="Z416" s="147"/>
      <c r="AA416" s="147"/>
      <c r="AB416" s="147"/>
      <c r="AC416" s="147"/>
      <c r="AD416" s="147"/>
      <c r="AE416" s="147"/>
      <c r="AF416" s="147"/>
      <c r="AG416" s="147"/>
      <c r="AH416" s="147"/>
      <c r="AI416" s="147"/>
      <c r="AJ416" s="147"/>
      <c r="AK416" s="147"/>
    </row>
    <row r="417" ht="15.75" customHeight="1">
      <c r="A417" s="144"/>
      <c r="B417" s="144"/>
      <c r="C417" s="145"/>
      <c r="D417" s="145"/>
      <c r="E417" s="145"/>
      <c r="F417" s="146"/>
      <c r="G417" s="145"/>
      <c r="H417" s="146"/>
      <c r="I417" s="145"/>
      <c r="J417" s="146"/>
      <c r="K417" s="147"/>
      <c r="L417" s="147"/>
      <c r="M417" s="147"/>
      <c r="N417" s="147"/>
      <c r="O417" s="147"/>
      <c r="P417" s="147"/>
      <c r="Q417" s="147"/>
      <c r="R417" s="147"/>
      <c r="S417" s="147"/>
      <c r="T417" s="147"/>
      <c r="U417" s="147"/>
      <c r="V417" s="147"/>
      <c r="W417" s="147"/>
      <c r="X417" s="147"/>
      <c r="Y417" s="147"/>
      <c r="Z417" s="147"/>
      <c r="AA417" s="147"/>
      <c r="AB417" s="147"/>
      <c r="AC417" s="147"/>
      <c r="AD417" s="147"/>
      <c r="AE417" s="147"/>
      <c r="AF417" s="147"/>
      <c r="AG417" s="147"/>
      <c r="AH417" s="147"/>
      <c r="AI417" s="147"/>
      <c r="AJ417" s="147"/>
      <c r="AK417" s="147"/>
    </row>
    <row r="418" ht="15.75" customHeight="1">
      <c r="A418" s="144"/>
      <c r="B418" s="144"/>
      <c r="C418" s="145"/>
      <c r="D418" s="145"/>
      <c r="E418" s="145"/>
      <c r="F418" s="146"/>
      <c r="G418" s="145"/>
      <c r="H418" s="146"/>
      <c r="I418" s="145"/>
      <c r="J418" s="146"/>
      <c r="K418" s="147"/>
      <c r="L418" s="147"/>
      <c r="M418" s="147"/>
      <c r="N418" s="147"/>
      <c r="O418" s="147"/>
      <c r="P418" s="147"/>
      <c r="Q418" s="147"/>
      <c r="R418" s="147"/>
      <c r="S418" s="147"/>
      <c r="T418" s="147"/>
      <c r="U418" s="147"/>
      <c r="V418" s="147"/>
      <c r="W418" s="147"/>
      <c r="X418" s="147"/>
      <c r="Y418" s="147"/>
      <c r="Z418" s="147"/>
      <c r="AA418" s="147"/>
      <c r="AB418" s="147"/>
      <c r="AC418" s="147"/>
      <c r="AD418" s="147"/>
      <c r="AE418" s="147"/>
      <c r="AF418" s="147"/>
      <c r="AG418" s="147"/>
      <c r="AH418" s="147"/>
      <c r="AI418" s="147"/>
      <c r="AJ418" s="147"/>
      <c r="AK418" s="147"/>
    </row>
    <row r="419" ht="15.75" customHeight="1">
      <c r="A419" s="144"/>
      <c r="B419" s="144"/>
      <c r="C419" s="145"/>
      <c r="D419" s="145"/>
      <c r="E419" s="145"/>
      <c r="F419" s="146"/>
      <c r="G419" s="145"/>
      <c r="H419" s="146"/>
      <c r="I419" s="145"/>
      <c r="J419" s="146"/>
      <c r="K419" s="147"/>
      <c r="L419" s="147"/>
      <c r="M419" s="147"/>
      <c r="N419" s="147"/>
      <c r="O419" s="147"/>
      <c r="P419" s="147"/>
      <c r="Q419" s="147"/>
      <c r="R419" s="147"/>
      <c r="S419" s="147"/>
      <c r="T419" s="147"/>
      <c r="U419" s="147"/>
      <c r="V419" s="147"/>
      <c r="W419" s="147"/>
      <c r="X419" s="147"/>
      <c r="Y419" s="147"/>
      <c r="Z419" s="147"/>
      <c r="AA419" s="147"/>
      <c r="AB419" s="147"/>
      <c r="AC419" s="147"/>
      <c r="AD419" s="147"/>
      <c r="AE419" s="147"/>
      <c r="AF419" s="147"/>
      <c r="AG419" s="147"/>
      <c r="AH419" s="147"/>
      <c r="AI419" s="147"/>
      <c r="AJ419" s="147"/>
      <c r="AK419" s="147"/>
    </row>
    <row r="420" ht="15.75" customHeight="1">
      <c r="A420" s="144"/>
      <c r="B420" s="144"/>
      <c r="C420" s="145"/>
      <c r="D420" s="145"/>
      <c r="E420" s="145"/>
      <c r="F420" s="146"/>
      <c r="G420" s="145"/>
      <c r="H420" s="146"/>
      <c r="I420" s="145"/>
      <c r="J420" s="146"/>
      <c r="K420" s="147"/>
      <c r="L420" s="147"/>
      <c r="M420" s="147"/>
      <c r="N420" s="147"/>
      <c r="O420" s="147"/>
      <c r="P420" s="147"/>
      <c r="Q420" s="147"/>
      <c r="R420" s="147"/>
      <c r="S420" s="147"/>
      <c r="T420" s="147"/>
      <c r="U420" s="147"/>
      <c r="V420" s="147"/>
      <c r="W420" s="147"/>
      <c r="X420" s="147"/>
      <c r="Y420" s="147"/>
      <c r="Z420" s="147"/>
      <c r="AA420" s="147"/>
      <c r="AB420" s="147"/>
      <c r="AC420" s="147"/>
      <c r="AD420" s="147"/>
      <c r="AE420" s="147"/>
      <c r="AF420" s="147"/>
      <c r="AG420" s="147"/>
      <c r="AH420" s="147"/>
      <c r="AI420" s="147"/>
      <c r="AJ420" s="147"/>
      <c r="AK420" s="147"/>
    </row>
    <row r="421" ht="15.75" customHeight="1">
      <c r="A421" s="144"/>
      <c r="B421" s="144"/>
      <c r="C421" s="145"/>
      <c r="D421" s="145"/>
      <c r="E421" s="145"/>
      <c r="F421" s="146"/>
      <c r="G421" s="145"/>
      <c r="H421" s="146"/>
      <c r="I421" s="145"/>
      <c r="J421" s="146"/>
      <c r="K421" s="147"/>
      <c r="L421" s="147"/>
      <c r="M421" s="147"/>
      <c r="N421" s="147"/>
      <c r="O421" s="147"/>
      <c r="P421" s="147"/>
      <c r="Q421" s="147"/>
      <c r="R421" s="147"/>
      <c r="S421" s="147"/>
      <c r="T421" s="147"/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F421" s="147"/>
      <c r="AG421" s="147"/>
      <c r="AH421" s="147"/>
      <c r="AI421" s="147"/>
      <c r="AJ421" s="147"/>
      <c r="AK421" s="147"/>
    </row>
    <row r="422" ht="15.75" customHeight="1">
      <c r="A422" s="144"/>
      <c r="B422" s="144"/>
      <c r="C422" s="145"/>
      <c r="D422" s="145"/>
      <c r="E422" s="145"/>
      <c r="F422" s="146"/>
      <c r="G422" s="145"/>
      <c r="H422" s="146"/>
      <c r="I422" s="145"/>
      <c r="J422" s="146"/>
      <c r="K422" s="147"/>
      <c r="L422" s="147"/>
      <c r="M422" s="147"/>
      <c r="N422" s="147"/>
      <c r="O422" s="147"/>
      <c r="P422" s="147"/>
      <c r="Q422" s="147"/>
      <c r="R422" s="147"/>
      <c r="S422" s="147"/>
      <c r="T422" s="147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</row>
    <row r="423" ht="15.75" customHeight="1">
      <c r="A423" s="144"/>
      <c r="B423" s="144"/>
      <c r="C423" s="145"/>
      <c r="D423" s="145"/>
      <c r="E423" s="145"/>
      <c r="F423" s="146"/>
      <c r="G423" s="145"/>
      <c r="H423" s="146"/>
      <c r="I423" s="145"/>
      <c r="J423" s="146"/>
      <c r="K423" s="147"/>
      <c r="L423" s="147"/>
      <c r="M423" s="147"/>
      <c r="N423" s="147"/>
      <c r="O423" s="147"/>
      <c r="P423" s="147"/>
      <c r="Q423" s="147"/>
      <c r="R423" s="147"/>
      <c r="S423" s="147"/>
      <c r="T423" s="147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</row>
    <row r="424" ht="15.75" customHeight="1">
      <c r="A424" s="144"/>
      <c r="B424" s="144"/>
      <c r="C424" s="145"/>
      <c r="D424" s="145"/>
      <c r="E424" s="145"/>
      <c r="F424" s="146"/>
      <c r="G424" s="145"/>
      <c r="H424" s="146"/>
      <c r="I424" s="145"/>
      <c r="J424" s="146"/>
      <c r="K424" s="147"/>
      <c r="L424" s="147"/>
      <c r="M424" s="147"/>
      <c r="N424" s="147"/>
      <c r="O424" s="147"/>
      <c r="P424" s="147"/>
      <c r="Q424" s="147"/>
      <c r="R424" s="147"/>
      <c r="S424" s="147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</row>
    <row r="425" ht="15.75" customHeight="1">
      <c r="A425" s="144"/>
      <c r="B425" s="144"/>
      <c r="C425" s="145"/>
      <c r="D425" s="145"/>
      <c r="E425" s="145"/>
      <c r="F425" s="146"/>
      <c r="G425" s="145"/>
      <c r="H425" s="146"/>
      <c r="I425" s="145"/>
      <c r="J425" s="146"/>
      <c r="K425" s="147"/>
      <c r="L425" s="147"/>
      <c r="M425" s="147"/>
      <c r="N425" s="147"/>
      <c r="O425" s="147"/>
      <c r="P425" s="147"/>
      <c r="Q425" s="147"/>
      <c r="R425" s="147"/>
      <c r="S425" s="147"/>
      <c r="T425" s="147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</row>
    <row r="426" ht="15.75" customHeight="1">
      <c r="A426" s="144"/>
      <c r="B426" s="144"/>
      <c r="C426" s="145"/>
      <c r="D426" s="145"/>
      <c r="E426" s="145"/>
      <c r="F426" s="146"/>
      <c r="G426" s="145"/>
      <c r="H426" s="146"/>
      <c r="I426" s="145"/>
      <c r="J426" s="146"/>
      <c r="K426" s="147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</row>
    <row r="427" ht="15.75" customHeight="1">
      <c r="A427" s="144"/>
      <c r="B427" s="144"/>
      <c r="C427" s="145"/>
      <c r="D427" s="145"/>
      <c r="E427" s="145"/>
      <c r="F427" s="146"/>
      <c r="G427" s="145"/>
      <c r="H427" s="146"/>
      <c r="I427" s="145"/>
      <c r="J427" s="146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</row>
    <row r="428" ht="15.75" customHeight="1">
      <c r="A428" s="144"/>
      <c r="B428" s="144"/>
      <c r="C428" s="145"/>
      <c r="D428" s="145"/>
      <c r="E428" s="145"/>
      <c r="F428" s="146"/>
      <c r="G428" s="145"/>
      <c r="H428" s="146"/>
      <c r="I428" s="145"/>
      <c r="J428" s="146"/>
      <c r="K428" s="147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</row>
    <row r="429" ht="15.75" customHeight="1">
      <c r="A429" s="144"/>
      <c r="B429" s="144"/>
      <c r="C429" s="145"/>
      <c r="D429" s="145"/>
      <c r="E429" s="145"/>
      <c r="F429" s="146"/>
      <c r="G429" s="145"/>
      <c r="H429" s="146"/>
      <c r="I429" s="145"/>
      <c r="J429" s="146"/>
      <c r="K429" s="147"/>
      <c r="L429" s="147"/>
      <c r="M429" s="147"/>
      <c r="N429" s="147"/>
      <c r="O429" s="147"/>
      <c r="P429" s="147"/>
      <c r="Q429" s="147"/>
      <c r="R429" s="147"/>
      <c r="S429" s="147"/>
      <c r="T429" s="147"/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  <c r="AJ429" s="147"/>
      <c r="AK429" s="147"/>
    </row>
    <row r="430" ht="15.75" customHeight="1">
      <c r="A430" s="144"/>
      <c r="B430" s="144"/>
      <c r="C430" s="145"/>
      <c r="D430" s="145"/>
      <c r="E430" s="145"/>
      <c r="F430" s="146"/>
      <c r="G430" s="145"/>
      <c r="H430" s="146"/>
      <c r="I430" s="145"/>
      <c r="J430" s="146"/>
      <c r="K430" s="147"/>
      <c r="L430" s="147"/>
      <c r="M430" s="147"/>
      <c r="N430" s="147"/>
      <c r="O430" s="147"/>
      <c r="P430" s="147"/>
      <c r="Q430" s="147"/>
      <c r="R430" s="147"/>
      <c r="S430" s="147"/>
      <c r="T430" s="147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</row>
    <row r="431" ht="15.75" customHeight="1">
      <c r="A431" s="144"/>
      <c r="B431" s="144"/>
      <c r="C431" s="145"/>
      <c r="D431" s="145"/>
      <c r="E431" s="145"/>
      <c r="F431" s="146"/>
      <c r="G431" s="145"/>
      <c r="H431" s="146"/>
      <c r="I431" s="145"/>
      <c r="J431" s="146"/>
      <c r="K431" s="147"/>
      <c r="L431" s="147"/>
      <c r="M431" s="147"/>
      <c r="N431" s="147"/>
      <c r="O431" s="147"/>
      <c r="P431" s="147"/>
      <c r="Q431" s="147"/>
      <c r="R431" s="147"/>
      <c r="S431" s="147"/>
      <c r="T431" s="147"/>
      <c r="U431" s="147"/>
      <c r="V431" s="147"/>
      <c r="W431" s="147"/>
      <c r="X431" s="147"/>
      <c r="Y431" s="147"/>
      <c r="Z431" s="147"/>
      <c r="AA431" s="147"/>
      <c r="AB431" s="147"/>
      <c r="AC431" s="147"/>
      <c r="AD431" s="147"/>
      <c r="AE431" s="147"/>
      <c r="AF431" s="147"/>
      <c r="AG431" s="147"/>
      <c r="AH431" s="147"/>
      <c r="AI431" s="147"/>
      <c r="AJ431" s="147"/>
      <c r="AK431" s="147"/>
    </row>
    <row r="432" ht="15.75" customHeight="1">
      <c r="A432" s="144"/>
      <c r="B432" s="144"/>
      <c r="C432" s="145"/>
      <c r="D432" s="145"/>
      <c r="E432" s="145"/>
      <c r="F432" s="146"/>
      <c r="G432" s="145"/>
      <c r="H432" s="146"/>
      <c r="I432" s="145"/>
      <c r="J432" s="146"/>
      <c r="K432" s="147"/>
      <c r="L432" s="147"/>
      <c r="M432" s="147"/>
      <c r="N432" s="147"/>
      <c r="O432" s="147"/>
      <c r="P432" s="147"/>
      <c r="Q432" s="147"/>
      <c r="R432" s="147"/>
      <c r="S432" s="147"/>
      <c r="T432" s="147"/>
      <c r="U432" s="147"/>
      <c r="V432" s="147"/>
      <c r="W432" s="147"/>
      <c r="X432" s="147"/>
      <c r="Y432" s="147"/>
      <c r="Z432" s="147"/>
      <c r="AA432" s="147"/>
      <c r="AB432" s="147"/>
      <c r="AC432" s="147"/>
      <c r="AD432" s="147"/>
      <c r="AE432" s="147"/>
      <c r="AF432" s="147"/>
      <c r="AG432" s="147"/>
      <c r="AH432" s="147"/>
      <c r="AI432" s="147"/>
      <c r="AJ432" s="147"/>
      <c r="AK432" s="147"/>
    </row>
    <row r="433" ht="15.75" customHeight="1">
      <c r="A433" s="144"/>
      <c r="B433" s="144"/>
      <c r="C433" s="145"/>
      <c r="D433" s="145"/>
      <c r="E433" s="145"/>
      <c r="F433" s="146"/>
      <c r="G433" s="145"/>
      <c r="H433" s="146"/>
      <c r="I433" s="145"/>
      <c r="J433" s="146"/>
      <c r="K433" s="147"/>
      <c r="L433" s="147"/>
      <c r="M433" s="147"/>
      <c r="N433" s="147"/>
      <c r="O433" s="147"/>
      <c r="P433" s="147"/>
      <c r="Q433" s="147"/>
      <c r="R433" s="147"/>
      <c r="S433" s="147"/>
      <c r="T433" s="147"/>
      <c r="U433" s="147"/>
      <c r="V433" s="147"/>
      <c r="W433" s="147"/>
      <c r="X433" s="147"/>
      <c r="Y433" s="147"/>
      <c r="Z433" s="147"/>
      <c r="AA433" s="147"/>
      <c r="AB433" s="147"/>
      <c r="AC433" s="147"/>
      <c r="AD433" s="147"/>
      <c r="AE433" s="147"/>
      <c r="AF433" s="147"/>
      <c r="AG433" s="147"/>
      <c r="AH433" s="147"/>
      <c r="AI433" s="147"/>
      <c r="AJ433" s="147"/>
      <c r="AK433" s="147"/>
    </row>
    <row r="434" ht="15.75" customHeight="1">
      <c r="A434" s="144"/>
      <c r="B434" s="144"/>
      <c r="C434" s="145"/>
      <c r="D434" s="145"/>
      <c r="E434" s="145"/>
      <c r="F434" s="146"/>
      <c r="G434" s="145"/>
      <c r="H434" s="146"/>
      <c r="I434" s="145"/>
      <c r="J434" s="146"/>
      <c r="K434" s="147"/>
      <c r="L434" s="147"/>
      <c r="M434" s="147"/>
      <c r="N434" s="147"/>
      <c r="O434" s="147"/>
      <c r="P434" s="147"/>
      <c r="Q434" s="147"/>
      <c r="R434" s="147"/>
      <c r="S434" s="147"/>
      <c r="T434" s="147"/>
      <c r="U434" s="147"/>
      <c r="V434" s="147"/>
      <c r="W434" s="147"/>
      <c r="X434" s="147"/>
      <c r="Y434" s="147"/>
      <c r="Z434" s="147"/>
      <c r="AA434" s="147"/>
      <c r="AB434" s="147"/>
      <c r="AC434" s="147"/>
      <c r="AD434" s="147"/>
      <c r="AE434" s="147"/>
      <c r="AF434" s="147"/>
      <c r="AG434" s="147"/>
      <c r="AH434" s="147"/>
      <c r="AI434" s="147"/>
      <c r="AJ434" s="147"/>
      <c r="AK434" s="147"/>
    </row>
    <row r="435" ht="15.75" customHeight="1">
      <c r="A435" s="144"/>
      <c r="B435" s="144"/>
      <c r="C435" s="145"/>
      <c r="D435" s="145"/>
      <c r="E435" s="145"/>
      <c r="F435" s="146"/>
      <c r="G435" s="145"/>
      <c r="H435" s="146"/>
      <c r="I435" s="145"/>
      <c r="J435" s="146"/>
      <c r="K435" s="147"/>
      <c r="L435" s="147"/>
      <c r="M435" s="147"/>
      <c r="N435" s="147"/>
      <c r="O435" s="147"/>
      <c r="P435" s="147"/>
      <c r="Q435" s="147"/>
      <c r="R435" s="147"/>
      <c r="S435" s="147"/>
      <c r="T435" s="147"/>
      <c r="U435" s="147"/>
      <c r="V435" s="147"/>
      <c r="W435" s="147"/>
      <c r="X435" s="147"/>
      <c r="Y435" s="147"/>
      <c r="Z435" s="147"/>
      <c r="AA435" s="147"/>
      <c r="AB435" s="147"/>
      <c r="AC435" s="147"/>
      <c r="AD435" s="147"/>
      <c r="AE435" s="147"/>
      <c r="AF435" s="147"/>
      <c r="AG435" s="147"/>
      <c r="AH435" s="147"/>
      <c r="AI435" s="147"/>
      <c r="AJ435" s="147"/>
      <c r="AK435" s="147"/>
    </row>
    <row r="436" ht="15.75" customHeight="1">
      <c r="A436" s="144"/>
      <c r="B436" s="144"/>
      <c r="C436" s="145"/>
      <c r="D436" s="145"/>
      <c r="E436" s="145"/>
      <c r="F436" s="146"/>
      <c r="G436" s="145"/>
      <c r="H436" s="146"/>
      <c r="I436" s="145"/>
      <c r="J436" s="146"/>
      <c r="K436" s="147"/>
      <c r="L436" s="147"/>
      <c r="M436" s="147"/>
      <c r="N436" s="147"/>
      <c r="O436" s="147"/>
      <c r="P436" s="147"/>
      <c r="Q436" s="147"/>
      <c r="R436" s="147"/>
      <c r="S436" s="147"/>
      <c r="T436" s="147"/>
      <c r="U436" s="147"/>
      <c r="V436" s="147"/>
      <c r="W436" s="147"/>
      <c r="X436" s="147"/>
      <c r="Y436" s="147"/>
      <c r="Z436" s="147"/>
      <c r="AA436" s="147"/>
      <c r="AB436" s="147"/>
      <c r="AC436" s="147"/>
      <c r="AD436" s="147"/>
      <c r="AE436" s="147"/>
      <c r="AF436" s="147"/>
      <c r="AG436" s="147"/>
      <c r="AH436" s="147"/>
      <c r="AI436" s="147"/>
      <c r="AJ436" s="147"/>
      <c r="AK436" s="147"/>
    </row>
    <row r="437" ht="15.75" customHeight="1">
      <c r="A437" s="144"/>
      <c r="B437" s="144"/>
      <c r="C437" s="145"/>
      <c r="D437" s="145"/>
      <c r="E437" s="145"/>
      <c r="F437" s="146"/>
      <c r="G437" s="145"/>
      <c r="H437" s="146"/>
      <c r="I437" s="145"/>
      <c r="J437" s="146"/>
      <c r="K437" s="147"/>
      <c r="L437" s="147"/>
      <c r="M437" s="147"/>
      <c r="N437" s="147"/>
      <c r="O437" s="147"/>
      <c r="P437" s="147"/>
      <c r="Q437" s="147"/>
      <c r="R437" s="147"/>
      <c r="S437" s="147"/>
      <c r="T437" s="147"/>
      <c r="U437" s="147"/>
      <c r="V437" s="147"/>
      <c r="W437" s="147"/>
      <c r="X437" s="147"/>
      <c r="Y437" s="147"/>
      <c r="Z437" s="147"/>
      <c r="AA437" s="147"/>
      <c r="AB437" s="147"/>
      <c r="AC437" s="147"/>
      <c r="AD437" s="147"/>
      <c r="AE437" s="147"/>
      <c r="AF437" s="147"/>
      <c r="AG437" s="147"/>
      <c r="AH437" s="147"/>
      <c r="AI437" s="147"/>
      <c r="AJ437" s="147"/>
      <c r="AK437" s="147"/>
    </row>
    <row r="438" ht="15.75" customHeight="1">
      <c r="A438" s="144"/>
      <c r="B438" s="144"/>
      <c r="C438" s="145"/>
      <c r="D438" s="145"/>
      <c r="E438" s="145"/>
      <c r="F438" s="146"/>
      <c r="G438" s="145"/>
      <c r="H438" s="146"/>
      <c r="I438" s="145"/>
      <c r="J438" s="146"/>
      <c r="K438" s="147"/>
      <c r="L438" s="147"/>
      <c r="M438" s="147"/>
      <c r="N438" s="147"/>
      <c r="O438" s="147"/>
      <c r="P438" s="147"/>
      <c r="Q438" s="147"/>
      <c r="R438" s="147"/>
      <c r="S438" s="147"/>
      <c r="T438" s="147"/>
      <c r="U438" s="147"/>
      <c r="V438" s="147"/>
      <c r="W438" s="147"/>
      <c r="X438" s="147"/>
      <c r="Y438" s="147"/>
      <c r="Z438" s="147"/>
      <c r="AA438" s="147"/>
      <c r="AB438" s="147"/>
      <c r="AC438" s="147"/>
      <c r="AD438" s="147"/>
      <c r="AE438" s="147"/>
      <c r="AF438" s="147"/>
      <c r="AG438" s="147"/>
      <c r="AH438" s="147"/>
      <c r="AI438" s="147"/>
      <c r="AJ438" s="147"/>
      <c r="AK438" s="147"/>
    </row>
    <row r="439" ht="15.75" customHeight="1">
      <c r="A439" s="144"/>
      <c r="B439" s="144"/>
      <c r="C439" s="145"/>
      <c r="D439" s="145"/>
      <c r="E439" s="145"/>
      <c r="F439" s="146"/>
      <c r="G439" s="145"/>
      <c r="H439" s="146"/>
      <c r="I439" s="145"/>
      <c r="J439" s="146"/>
      <c r="K439" s="147"/>
      <c r="L439" s="147"/>
      <c r="M439" s="147"/>
      <c r="N439" s="147"/>
      <c r="O439" s="147"/>
      <c r="P439" s="147"/>
      <c r="Q439" s="147"/>
      <c r="R439" s="147"/>
      <c r="S439" s="147"/>
      <c r="T439" s="147"/>
      <c r="U439" s="147"/>
      <c r="V439" s="147"/>
      <c r="W439" s="147"/>
      <c r="X439" s="147"/>
      <c r="Y439" s="147"/>
      <c r="Z439" s="147"/>
      <c r="AA439" s="147"/>
      <c r="AB439" s="147"/>
      <c r="AC439" s="147"/>
      <c r="AD439" s="147"/>
      <c r="AE439" s="147"/>
      <c r="AF439" s="147"/>
      <c r="AG439" s="147"/>
      <c r="AH439" s="147"/>
      <c r="AI439" s="147"/>
      <c r="AJ439" s="147"/>
      <c r="AK439" s="147"/>
    </row>
    <row r="440" ht="15.75" customHeight="1">
      <c r="A440" s="144"/>
      <c r="B440" s="144"/>
      <c r="C440" s="145"/>
      <c r="D440" s="145"/>
      <c r="E440" s="145"/>
      <c r="F440" s="146"/>
      <c r="G440" s="145"/>
      <c r="H440" s="146"/>
      <c r="I440" s="145"/>
      <c r="J440" s="146"/>
      <c r="K440" s="147"/>
      <c r="L440" s="147"/>
      <c r="M440" s="147"/>
      <c r="N440" s="147"/>
      <c r="O440" s="147"/>
      <c r="P440" s="147"/>
      <c r="Q440" s="147"/>
      <c r="R440" s="147"/>
      <c r="S440" s="147"/>
      <c r="T440" s="147"/>
      <c r="U440" s="147"/>
      <c r="V440" s="147"/>
      <c r="W440" s="147"/>
      <c r="X440" s="147"/>
      <c r="Y440" s="147"/>
      <c r="Z440" s="147"/>
      <c r="AA440" s="147"/>
      <c r="AB440" s="147"/>
      <c r="AC440" s="147"/>
      <c r="AD440" s="147"/>
      <c r="AE440" s="147"/>
      <c r="AF440" s="147"/>
      <c r="AG440" s="147"/>
      <c r="AH440" s="147"/>
      <c r="AI440" s="147"/>
      <c r="AJ440" s="147"/>
      <c r="AK440" s="147"/>
    </row>
    <row r="441" ht="15.75" customHeight="1">
      <c r="A441" s="144"/>
      <c r="B441" s="144"/>
      <c r="C441" s="145"/>
      <c r="D441" s="145"/>
      <c r="E441" s="145"/>
      <c r="F441" s="146"/>
      <c r="G441" s="145"/>
      <c r="H441" s="146"/>
      <c r="I441" s="145"/>
      <c r="J441" s="146"/>
      <c r="K441" s="147"/>
      <c r="L441" s="147"/>
      <c r="M441" s="147"/>
      <c r="N441" s="147"/>
      <c r="O441" s="147"/>
      <c r="P441" s="147"/>
      <c r="Q441" s="147"/>
      <c r="R441" s="147"/>
      <c r="S441" s="147"/>
      <c r="T441" s="147"/>
      <c r="U441" s="147"/>
      <c r="V441" s="147"/>
      <c r="W441" s="147"/>
      <c r="X441" s="147"/>
      <c r="Y441" s="147"/>
      <c r="Z441" s="147"/>
      <c r="AA441" s="147"/>
      <c r="AB441" s="147"/>
      <c r="AC441" s="147"/>
      <c r="AD441" s="147"/>
      <c r="AE441" s="147"/>
      <c r="AF441" s="147"/>
      <c r="AG441" s="147"/>
      <c r="AH441" s="147"/>
      <c r="AI441" s="147"/>
      <c r="AJ441" s="147"/>
      <c r="AK441" s="147"/>
    </row>
    <row r="442" ht="15.75" customHeight="1">
      <c r="A442" s="144"/>
      <c r="B442" s="144"/>
      <c r="C442" s="145"/>
      <c r="D442" s="145"/>
      <c r="E442" s="145"/>
      <c r="F442" s="146"/>
      <c r="G442" s="145"/>
      <c r="H442" s="146"/>
      <c r="I442" s="145"/>
      <c r="J442" s="146"/>
      <c r="K442" s="147"/>
      <c r="L442" s="147"/>
      <c r="M442" s="147"/>
      <c r="N442" s="147"/>
      <c r="O442" s="147"/>
      <c r="P442" s="147"/>
      <c r="Q442" s="147"/>
      <c r="R442" s="147"/>
      <c r="S442" s="147"/>
      <c r="T442" s="147"/>
      <c r="U442" s="147"/>
      <c r="V442" s="147"/>
      <c r="W442" s="147"/>
      <c r="X442" s="147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  <c r="AJ442" s="147"/>
      <c r="AK442" s="147"/>
    </row>
    <row r="443" ht="15.75" customHeight="1">
      <c r="A443" s="144"/>
      <c r="B443" s="144"/>
      <c r="C443" s="145"/>
      <c r="D443" s="145"/>
      <c r="E443" s="145"/>
      <c r="F443" s="146"/>
      <c r="G443" s="145"/>
      <c r="H443" s="146"/>
      <c r="I443" s="145"/>
      <c r="J443" s="146"/>
      <c r="K443" s="147"/>
      <c r="L443" s="147"/>
      <c r="M443" s="147"/>
      <c r="N443" s="147"/>
      <c r="O443" s="147"/>
      <c r="P443" s="147"/>
      <c r="Q443" s="147"/>
      <c r="R443" s="147"/>
      <c r="S443" s="147"/>
      <c r="T443" s="147"/>
      <c r="U443" s="147"/>
      <c r="V443" s="147"/>
      <c r="W443" s="147"/>
      <c r="X443" s="147"/>
      <c r="Y443" s="147"/>
      <c r="Z443" s="147"/>
      <c r="AA443" s="147"/>
      <c r="AB443" s="147"/>
      <c r="AC443" s="147"/>
      <c r="AD443" s="147"/>
      <c r="AE443" s="147"/>
      <c r="AF443" s="147"/>
      <c r="AG443" s="147"/>
      <c r="AH443" s="147"/>
      <c r="AI443" s="147"/>
      <c r="AJ443" s="147"/>
      <c r="AK443" s="147"/>
    </row>
    <row r="444" ht="15.75" customHeight="1">
      <c r="A444" s="144"/>
      <c r="B444" s="144"/>
      <c r="C444" s="145"/>
      <c r="D444" s="145"/>
      <c r="E444" s="145"/>
      <c r="F444" s="146"/>
      <c r="G444" s="145"/>
      <c r="H444" s="146"/>
      <c r="I444" s="145"/>
      <c r="J444" s="146"/>
      <c r="K444" s="147"/>
      <c r="L444" s="147"/>
      <c r="M444" s="147"/>
      <c r="N444" s="147"/>
      <c r="O444" s="147"/>
      <c r="P444" s="147"/>
      <c r="Q444" s="147"/>
      <c r="R444" s="147"/>
      <c r="S444" s="147"/>
      <c r="T444" s="147"/>
      <c r="U444" s="147"/>
      <c r="V444" s="147"/>
      <c r="W444" s="147"/>
      <c r="X444" s="147"/>
      <c r="Y444" s="147"/>
      <c r="Z444" s="147"/>
      <c r="AA444" s="147"/>
      <c r="AB444" s="147"/>
      <c r="AC444" s="147"/>
      <c r="AD444" s="147"/>
      <c r="AE444" s="147"/>
      <c r="AF444" s="147"/>
      <c r="AG444" s="147"/>
      <c r="AH444" s="147"/>
      <c r="AI444" s="147"/>
      <c r="AJ444" s="147"/>
      <c r="AK444" s="147"/>
    </row>
    <row r="445" ht="15.75" customHeight="1">
      <c r="A445" s="144"/>
      <c r="B445" s="144"/>
      <c r="C445" s="145"/>
      <c r="D445" s="145"/>
      <c r="E445" s="145"/>
      <c r="F445" s="146"/>
      <c r="G445" s="145"/>
      <c r="H445" s="146"/>
      <c r="I445" s="145"/>
      <c r="J445" s="146"/>
      <c r="K445" s="147"/>
      <c r="L445" s="147"/>
      <c r="M445" s="147"/>
      <c r="N445" s="147"/>
      <c r="O445" s="147"/>
      <c r="P445" s="147"/>
      <c r="Q445" s="147"/>
      <c r="R445" s="147"/>
      <c r="S445" s="147"/>
      <c r="T445" s="147"/>
      <c r="U445" s="147"/>
      <c r="V445" s="147"/>
      <c r="W445" s="147"/>
      <c r="X445" s="147"/>
      <c r="Y445" s="147"/>
      <c r="Z445" s="147"/>
      <c r="AA445" s="147"/>
      <c r="AB445" s="147"/>
      <c r="AC445" s="147"/>
      <c r="AD445" s="147"/>
      <c r="AE445" s="147"/>
      <c r="AF445" s="147"/>
      <c r="AG445" s="147"/>
      <c r="AH445" s="147"/>
      <c r="AI445" s="147"/>
      <c r="AJ445" s="147"/>
      <c r="AK445" s="147"/>
    </row>
    <row r="446" ht="15.75" customHeight="1">
      <c r="A446" s="144"/>
      <c r="B446" s="144"/>
      <c r="C446" s="145"/>
      <c r="D446" s="145"/>
      <c r="E446" s="145"/>
      <c r="F446" s="146"/>
      <c r="G446" s="145"/>
      <c r="H446" s="146"/>
      <c r="I446" s="145"/>
      <c r="J446" s="146"/>
      <c r="K446" s="147"/>
      <c r="L446" s="147"/>
      <c r="M446" s="147"/>
      <c r="N446" s="147"/>
      <c r="O446" s="147"/>
      <c r="P446" s="147"/>
      <c r="Q446" s="147"/>
      <c r="R446" s="147"/>
      <c r="S446" s="147"/>
      <c r="T446" s="147"/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</row>
    <row r="447" ht="15.75" customHeight="1">
      <c r="A447" s="144"/>
      <c r="B447" s="144"/>
      <c r="C447" s="145"/>
      <c r="D447" s="145"/>
      <c r="E447" s="145"/>
      <c r="F447" s="146"/>
      <c r="G447" s="145"/>
      <c r="H447" s="146"/>
      <c r="I447" s="145"/>
      <c r="J447" s="146"/>
      <c r="K447" s="147"/>
      <c r="L447" s="147"/>
      <c r="M447" s="147"/>
      <c r="N447" s="147"/>
      <c r="O447" s="147"/>
      <c r="P447" s="147"/>
      <c r="Q447" s="147"/>
      <c r="R447" s="147"/>
      <c r="S447" s="147"/>
      <c r="T447" s="147"/>
      <c r="U447" s="147"/>
      <c r="V447" s="147"/>
      <c r="W447" s="147"/>
      <c r="X447" s="147"/>
      <c r="Y447" s="147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  <c r="AJ447" s="147"/>
      <c r="AK447" s="147"/>
    </row>
    <row r="448" ht="15.75" customHeight="1">
      <c r="A448" s="144"/>
      <c r="B448" s="144"/>
      <c r="C448" s="145"/>
      <c r="D448" s="145"/>
      <c r="E448" s="145"/>
      <c r="F448" s="146"/>
      <c r="G448" s="145"/>
      <c r="H448" s="146"/>
      <c r="I448" s="145"/>
      <c r="J448" s="146"/>
      <c r="K448" s="147"/>
      <c r="L448" s="147"/>
      <c r="M448" s="147"/>
      <c r="N448" s="147"/>
      <c r="O448" s="147"/>
      <c r="P448" s="147"/>
      <c r="Q448" s="147"/>
      <c r="R448" s="147"/>
      <c r="S448" s="147"/>
      <c r="T448" s="147"/>
      <c r="U448" s="147"/>
      <c r="V448" s="147"/>
      <c r="W448" s="147"/>
      <c r="X448" s="147"/>
      <c r="Y448" s="147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</row>
    <row r="449" ht="15.75" customHeight="1">
      <c r="A449" s="144"/>
      <c r="B449" s="144"/>
      <c r="C449" s="145"/>
      <c r="D449" s="145"/>
      <c r="E449" s="145"/>
      <c r="F449" s="146"/>
      <c r="G449" s="145"/>
      <c r="H449" s="146"/>
      <c r="I449" s="145"/>
      <c r="J449" s="146"/>
      <c r="K449" s="147"/>
      <c r="L449" s="147"/>
      <c r="M449" s="147"/>
      <c r="N449" s="147"/>
      <c r="O449" s="147"/>
      <c r="P449" s="147"/>
      <c r="Q449" s="147"/>
      <c r="R449" s="147"/>
      <c r="S449" s="147"/>
      <c r="T449" s="147"/>
      <c r="U449" s="147"/>
      <c r="V449" s="147"/>
      <c r="W449" s="147"/>
      <c r="X449" s="147"/>
      <c r="Y449" s="147"/>
      <c r="Z449" s="147"/>
      <c r="AA449" s="147"/>
      <c r="AB449" s="147"/>
      <c r="AC449" s="147"/>
      <c r="AD449" s="147"/>
      <c r="AE449" s="147"/>
      <c r="AF449" s="147"/>
      <c r="AG449" s="147"/>
      <c r="AH449" s="147"/>
      <c r="AI449" s="147"/>
      <c r="AJ449" s="147"/>
      <c r="AK449" s="147"/>
    </row>
    <row r="450" ht="15.75" customHeight="1">
      <c r="A450" s="144"/>
      <c r="B450" s="144"/>
      <c r="C450" s="145"/>
      <c r="D450" s="145"/>
      <c r="E450" s="145"/>
      <c r="F450" s="146"/>
      <c r="G450" s="145"/>
      <c r="H450" s="146"/>
      <c r="I450" s="145"/>
      <c r="J450" s="146"/>
      <c r="K450" s="147"/>
      <c r="L450" s="147"/>
      <c r="M450" s="147"/>
      <c r="N450" s="147"/>
      <c r="O450" s="147"/>
      <c r="P450" s="147"/>
      <c r="Q450" s="147"/>
      <c r="R450" s="147"/>
      <c r="S450" s="147"/>
      <c r="T450" s="147"/>
      <c r="U450" s="147"/>
      <c r="V450" s="147"/>
      <c r="W450" s="147"/>
      <c r="X450" s="147"/>
      <c r="Y450" s="147"/>
      <c r="Z450" s="147"/>
      <c r="AA450" s="147"/>
      <c r="AB450" s="147"/>
      <c r="AC450" s="147"/>
      <c r="AD450" s="147"/>
      <c r="AE450" s="147"/>
      <c r="AF450" s="147"/>
      <c r="AG450" s="147"/>
      <c r="AH450" s="147"/>
      <c r="AI450" s="147"/>
      <c r="AJ450" s="147"/>
      <c r="AK450" s="147"/>
    </row>
    <row r="451" ht="15.75" customHeight="1">
      <c r="A451" s="114"/>
      <c r="B451" s="114"/>
      <c r="C451" s="114"/>
      <c r="D451" s="114"/>
      <c r="E451" s="114"/>
      <c r="F451" s="114"/>
      <c r="G451" s="114"/>
      <c r="H451" s="114"/>
      <c r="I451" s="114"/>
      <c r="J451" s="114"/>
      <c r="K451" s="114"/>
      <c r="L451" s="114"/>
      <c r="M451" s="114"/>
      <c r="N451" s="114"/>
      <c r="O451" s="114"/>
      <c r="P451" s="114"/>
      <c r="Q451" s="114"/>
      <c r="R451" s="114"/>
      <c r="S451" s="114"/>
      <c r="T451" s="114"/>
      <c r="U451" s="114"/>
      <c r="V451" s="114"/>
      <c r="W451" s="114"/>
      <c r="X451" s="114"/>
      <c r="Y451" s="114"/>
      <c r="Z451" s="114"/>
      <c r="AA451" s="114"/>
      <c r="AB451" s="114"/>
      <c r="AC451" s="114"/>
      <c r="AD451" s="114"/>
      <c r="AE451" s="114"/>
      <c r="AF451" s="114"/>
      <c r="AG451" s="114"/>
      <c r="AH451" s="114"/>
      <c r="AI451" s="114"/>
      <c r="AJ451" s="114"/>
      <c r="AK451" s="114"/>
    </row>
    <row r="452" ht="15.75" customHeight="1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  <c r="AA452" s="114"/>
      <c r="AB452" s="114"/>
      <c r="AC452" s="114"/>
      <c r="AD452" s="114"/>
      <c r="AE452" s="114"/>
      <c r="AF452" s="114"/>
      <c r="AG452" s="114"/>
      <c r="AH452" s="114"/>
      <c r="AI452" s="114"/>
      <c r="AJ452" s="114"/>
      <c r="AK452" s="114"/>
    </row>
    <row r="453" ht="15.75" customHeight="1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  <c r="AA453" s="114"/>
      <c r="AB453" s="114"/>
      <c r="AC453" s="114"/>
      <c r="AD453" s="114"/>
      <c r="AE453" s="114"/>
      <c r="AF453" s="114"/>
      <c r="AG453" s="114"/>
      <c r="AH453" s="114"/>
      <c r="AI453" s="114"/>
      <c r="AJ453" s="114"/>
      <c r="AK453" s="114"/>
    </row>
    <row r="454" ht="15.75" customHeight="1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  <c r="AA454" s="114"/>
      <c r="AB454" s="114"/>
      <c r="AC454" s="114"/>
      <c r="AD454" s="114"/>
      <c r="AE454" s="114"/>
      <c r="AF454" s="114"/>
      <c r="AG454" s="114"/>
      <c r="AH454" s="114"/>
      <c r="AI454" s="114"/>
      <c r="AJ454" s="114"/>
      <c r="AK454" s="114"/>
    </row>
    <row r="455" ht="15.75" customHeight="1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  <c r="AA455" s="114"/>
      <c r="AB455" s="114"/>
      <c r="AC455" s="114"/>
      <c r="AD455" s="114"/>
      <c r="AE455" s="114"/>
      <c r="AF455" s="114"/>
      <c r="AG455" s="114"/>
      <c r="AH455" s="114"/>
      <c r="AI455" s="114"/>
      <c r="AJ455" s="114"/>
      <c r="AK455" s="114"/>
    </row>
    <row r="456" ht="15.75" customHeight="1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  <c r="AA456" s="114"/>
      <c r="AB456" s="114"/>
      <c r="AC456" s="114"/>
      <c r="AD456" s="114"/>
      <c r="AE456" s="114"/>
      <c r="AF456" s="114"/>
      <c r="AG456" s="114"/>
      <c r="AH456" s="114"/>
      <c r="AI456" s="114"/>
      <c r="AJ456" s="114"/>
      <c r="AK456" s="114"/>
    </row>
    <row r="457" ht="15.75" customHeight="1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  <c r="AA457" s="114"/>
      <c r="AB457" s="114"/>
      <c r="AC457" s="114"/>
      <c r="AD457" s="114"/>
      <c r="AE457" s="114"/>
      <c r="AF457" s="114"/>
      <c r="AG457" s="114"/>
      <c r="AH457" s="114"/>
      <c r="AI457" s="114"/>
      <c r="AJ457" s="114"/>
      <c r="AK457" s="114"/>
    </row>
    <row r="458" ht="15.75" customHeight="1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  <c r="AA458" s="114"/>
      <c r="AB458" s="114"/>
      <c r="AC458" s="114"/>
      <c r="AD458" s="114"/>
      <c r="AE458" s="114"/>
      <c r="AF458" s="114"/>
      <c r="AG458" s="114"/>
      <c r="AH458" s="114"/>
      <c r="AI458" s="114"/>
      <c r="AJ458" s="114"/>
      <c r="AK458" s="114"/>
    </row>
    <row r="459" ht="15.75" customHeight="1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  <c r="AA459" s="114"/>
      <c r="AB459" s="114"/>
      <c r="AC459" s="114"/>
      <c r="AD459" s="114"/>
      <c r="AE459" s="114"/>
      <c r="AF459" s="114"/>
      <c r="AG459" s="114"/>
      <c r="AH459" s="114"/>
      <c r="AI459" s="114"/>
      <c r="AJ459" s="114"/>
      <c r="AK459" s="114"/>
    </row>
    <row r="460" ht="15.75" customHeight="1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  <c r="AA460" s="114"/>
      <c r="AB460" s="114"/>
      <c r="AC460" s="114"/>
      <c r="AD460" s="114"/>
      <c r="AE460" s="114"/>
      <c r="AF460" s="114"/>
      <c r="AG460" s="114"/>
      <c r="AH460" s="114"/>
      <c r="AI460" s="114"/>
      <c r="AJ460" s="114"/>
      <c r="AK460" s="114"/>
    </row>
    <row r="461" ht="15.75" customHeight="1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  <c r="AA461" s="114"/>
      <c r="AB461" s="114"/>
      <c r="AC461" s="114"/>
      <c r="AD461" s="114"/>
      <c r="AE461" s="114"/>
      <c r="AF461" s="114"/>
      <c r="AG461" s="114"/>
      <c r="AH461" s="114"/>
      <c r="AI461" s="114"/>
      <c r="AJ461" s="114"/>
      <c r="AK461" s="114"/>
    </row>
    <row r="462" ht="15.75" customHeight="1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  <c r="AA462" s="114"/>
      <c r="AB462" s="114"/>
      <c r="AC462" s="114"/>
      <c r="AD462" s="114"/>
      <c r="AE462" s="114"/>
      <c r="AF462" s="114"/>
      <c r="AG462" s="114"/>
      <c r="AH462" s="114"/>
      <c r="AI462" s="114"/>
      <c r="AJ462" s="114"/>
      <c r="AK462" s="114"/>
    </row>
    <row r="463" ht="15.75" customHeight="1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  <c r="AA463" s="114"/>
      <c r="AB463" s="114"/>
      <c r="AC463" s="114"/>
      <c r="AD463" s="114"/>
      <c r="AE463" s="114"/>
      <c r="AF463" s="114"/>
      <c r="AG463" s="114"/>
      <c r="AH463" s="114"/>
      <c r="AI463" s="114"/>
      <c r="AJ463" s="114"/>
      <c r="AK463" s="114"/>
    </row>
    <row r="464" ht="15.75" customHeight="1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  <c r="AA464" s="114"/>
      <c r="AB464" s="114"/>
      <c r="AC464" s="114"/>
      <c r="AD464" s="114"/>
      <c r="AE464" s="114"/>
      <c r="AF464" s="114"/>
      <c r="AG464" s="114"/>
      <c r="AH464" s="114"/>
      <c r="AI464" s="114"/>
      <c r="AJ464" s="114"/>
      <c r="AK464" s="114"/>
    </row>
    <row r="465" ht="15.75" customHeight="1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  <c r="AA465" s="114"/>
      <c r="AB465" s="114"/>
      <c r="AC465" s="114"/>
      <c r="AD465" s="114"/>
      <c r="AE465" s="114"/>
      <c r="AF465" s="114"/>
      <c r="AG465" s="114"/>
      <c r="AH465" s="114"/>
      <c r="AI465" s="114"/>
      <c r="AJ465" s="114"/>
      <c r="AK465" s="114"/>
    </row>
    <row r="466" ht="15.75" customHeight="1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  <c r="AA466" s="114"/>
      <c r="AB466" s="114"/>
      <c r="AC466" s="114"/>
      <c r="AD466" s="114"/>
      <c r="AE466" s="114"/>
      <c r="AF466" s="114"/>
      <c r="AG466" s="114"/>
      <c r="AH466" s="114"/>
      <c r="AI466" s="114"/>
      <c r="AJ466" s="114"/>
      <c r="AK466" s="114"/>
    </row>
    <row r="467" ht="15.75" customHeight="1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  <c r="AA467" s="114"/>
      <c r="AB467" s="114"/>
      <c r="AC467" s="114"/>
      <c r="AD467" s="114"/>
      <c r="AE467" s="114"/>
      <c r="AF467" s="114"/>
      <c r="AG467" s="114"/>
      <c r="AH467" s="114"/>
      <c r="AI467" s="114"/>
      <c r="AJ467" s="114"/>
      <c r="AK467" s="114"/>
    </row>
    <row r="468" ht="15.75" customHeight="1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  <c r="AA468" s="114"/>
      <c r="AB468" s="114"/>
      <c r="AC468" s="114"/>
      <c r="AD468" s="114"/>
      <c r="AE468" s="114"/>
      <c r="AF468" s="114"/>
      <c r="AG468" s="114"/>
      <c r="AH468" s="114"/>
      <c r="AI468" s="114"/>
      <c r="AJ468" s="114"/>
      <c r="AK468" s="114"/>
    </row>
    <row r="469" ht="15.75" customHeight="1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  <c r="AA469" s="114"/>
      <c r="AB469" s="114"/>
      <c r="AC469" s="114"/>
      <c r="AD469" s="114"/>
      <c r="AE469" s="114"/>
      <c r="AF469" s="114"/>
      <c r="AG469" s="114"/>
      <c r="AH469" s="114"/>
      <c r="AI469" s="114"/>
      <c r="AJ469" s="114"/>
      <c r="AK469" s="114"/>
    </row>
    <row r="470" ht="15.75" customHeight="1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  <c r="AA470" s="114"/>
      <c r="AB470" s="114"/>
      <c r="AC470" s="114"/>
      <c r="AD470" s="114"/>
      <c r="AE470" s="114"/>
      <c r="AF470" s="114"/>
      <c r="AG470" s="114"/>
      <c r="AH470" s="114"/>
      <c r="AI470" s="114"/>
      <c r="AJ470" s="114"/>
      <c r="AK470" s="114"/>
    </row>
    <row r="471" ht="15.75" customHeight="1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  <c r="AA471" s="114"/>
      <c r="AB471" s="114"/>
      <c r="AC471" s="114"/>
      <c r="AD471" s="114"/>
      <c r="AE471" s="114"/>
      <c r="AF471" s="114"/>
      <c r="AG471" s="114"/>
      <c r="AH471" s="114"/>
      <c r="AI471" s="114"/>
      <c r="AJ471" s="114"/>
      <c r="AK471" s="114"/>
    </row>
    <row r="472" ht="15.75" customHeight="1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  <c r="AA472" s="114"/>
      <c r="AB472" s="114"/>
      <c r="AC472" s="114"/>
      <c r="AD472" s="114"/>
      <c r="AE472" s="114"/>
      <c r="AF472" s="114"/>
      <c r="AG472" s="114"/>
      <c r="AH472" s="114"/>
      <c r="AI472" s="114"/>
      <c r="AJ472" s="114"/>
      <c r="AK472" s="114"/>
    </row>
    <row r="473" ht="15.75" customHeight="1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/>
      <c r="AH473" s="114"/>
      <c r="AI473" s="114"/>
      <c r="AJ473" s="114"/>
      <c r="AK473" s="114"/>
    </row>
    <row r="474" ht="15.75" customHeight="1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  <c r="AA474" s="114"/>
      <c r="AB474" s="114"/>
      <c r="AC474" s="114"/>
      <c r="AD474" s="114"/>
      <c r="AE474" s="114"/>
      <c r="AF474" s="114"/>
      <c r="AG474" s="114"/>
      <c r="AH474" s="114"/>
      <c r="AI474" s="114"/>
      <c r="AJ474" s="114"/>
      <c r="AK474" s="114"/>
    </row>
    <row r="475" ht="15.75" customHeight="1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  <c r="AA475" s="114"/>
      <c r="AB475" s="114"/>
      <c r="AC475" s="114"/>
      <c r="AD475" s="114"/>
      <c r="AE475" s="114"/>
      <c r="AF475" s="114"/>
      <c r="AG475" s="114"/>
      <c r="AH475" s="114"/>
      <c r="AI475" s="114"/>
      <c r="AJ475" s="114"/>
      <c r="AK475" s="114"/>
    </row>
    <row r="476" ht="15.75" customHeight="1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  <c r="AA476" s="114"/>
      <c r="AB476" s="114"/>
      <c r="AC476" s="114"/>
      <c r="AD476" s="114"/>
      <c r="AE476" s="114"/>
      <c r="AF476" s="114"/>
      <c r="AG476" s="114"/>
      <c r="AH476" s="114"/>
      <c r="AI476" s="114"/>
      <c r="AJ476" s="114"/>
      <c r="AK476" s="114"/>
    </row>
    <row r="477" ht="15.75" customHeight="1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  <c r="AA477" s="114"/>
      <c r="AB477" s="114"/>
      <c r="AC477" s="114"/>
      <c r="AD477" s="114"/>
      <c r="AE477" s="114"/>
      <c r="AF477" s="114"/>
      <c r="AG477" s="114"/>
      <c r="AH477" s="114"/>
      <c r="AI477" s="114"/>
      <c r="AJ477" s="114"/>
      <c r="AK477" s="114"/>
    </row>
    <row r="478" ht="15.75" customHeight="1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  <c r="AA478" s="114"/>
      <c r="AB478" s="114"/>
      <c r="AC478" s="114"/>
      <c r="AD478" s="114"/>
      <c r="AE478" s="114"/>
      <c r="AF478" s="114"/>
      <c r="AG478" s="114"/>
      <c r="AH478" s="114"/>
      <c r="AI478" s="114"/>
      <c r="AJ478" s="114"/>
      <c r="AK478" s="114"/>
    </row>
    <row r="479" ht="15.75" customHeight="1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  <c r="AA479" s="114"/>
      <c r="AB479" s="114"/>
      <c r="AC479" s="114"/>
      <c r="AD479" s="114"/>
      <c r="AE479" s="114"/>
      <c r="AF479" s="114"/>
      <c r="AG479" s="114"/>
      <c r="AH479" s="114"/>
      <c r="AI479" s="114"/>
      <c r="AJ479" s="114"/>
      <c r="AK479" s="114"/>
    </row>
    <row r="480" ht="15.75" customHeight="1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  <c r="AA480" s="114"/>
      <c r="AB480" s="114"/>
      <c r="AC480" s="114"/>
      <c r="AD480" s="114"/>
      <c r="AE480" s="114"/>
      <c r="AF480" s="114"/>
      <c r="AG480" s="114"/>
      <c r="AH480" s="114"/>
      <c r="AI480" s="114"/>
      <c r="AJ480" s="114"/>
      <c r="AK480" s="114"/>
    </row>
    <row r="481" ht="15.75" customHeight="1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  <c r="AA481" s="114"/>
      <c r="AB481" s="114"/>
      <c r="AC481" s="114"/>
      <c r="AD481" s="114"/>
      <c r="AE481" s="114"/>
      <c r="AF481" s="114"/>
      <c r="AG481" s="114"/>
      <c r="AH481" s="114"/>
      <c r="AI481" s="114"/>
      <c r="AJ481" s="114"/>
      <c r="AK481" s="114"/>
    </row>
    <row r="482" ht="15.75" customHeight="1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  <c r="AA482" s="114"/>
      <c r="AB482" s="114"/>
      <c r="AC482" s="114"/>
      <c r="AD482" s="114"/>
      <c r="AE482" s="114"/>
      <c r="AF482" s="114"/>
      <c r="AG482" s="114"/>
      <c r="AH482" s="114"/>
      <c r="AI482" s="114"/>
      <c r="AJ482" s="114"/>
      <c r="AK482" s="114"/>
    </row>
    <row r="483" ht="15.75" customHeight="1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  <c r="AA483" s="114"/>
      <c r="AB483" s="114"/>
      <c r="AC483" s="114"/>
      <c r="AD483" s="114"/>
      <c r="AE483" s="114"/>
      <c r="AF483" s="114"/>
      <c r="AG483" s="114"/>
      <c r="AH483" s="114"/>
      <c r="AI483" s="114"/>
      <c r="AJ483" s="114"/>
      <c r="AK483" s="114"/>
    </row>
    <row r="484" ht="15.75" customHeight="1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  <c r="AA484" s="114"/>
      <c r="AB484" s="114"/>
      <c r="AC484" s="114"/>
      <c r="AD484" s="114"/>
      <c r="AE484" s="114"/>
      <c r="AF484" s="114"/>
      <c r="AG484" s="114"/>
      <c r="AH484" s="114"/>
      <c r="AI484" s="114"/>
      <c r="AJ484" s="114"/>
      <c r="AK484" s="114"/>
    </row>
    <row r="485" ht="15.75" customHeight="1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  <c r="AA485" s="114"/>
      <c r="AB485" s="114"/>
      <c r="AC485" s="114"/>
      <c r="AD485" s="114"/>
      <c r="AE485" s="114"/>
      <c r="AF485" s="114"/>
      <c r="AG485" s="114"/>
      <c r="AH485" s="114"/>
      <c r="AI485" s="114"/>
      <c r="AJ485" s="114"/>
      <c r="AK485" s="114"/>
    </row>
    <row r="486" ht="15.75" customHeight="1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  <c r="AA486" s="114"/>
      <c r="AB486" s="114"/>
      <c r="AC486" s="114"/>
      <c r="AD486" s="114"/>
      <c r="AE486" s="114"/>
      <c r="AF486" s="114"/>
      <c r="AG486" s="114"/>
      <c r="AH486" s="114"/>
      <c r="AI486" s="114"/>
      <c r="AJ486" s="114"/>
      <c r="AK486" s="114"/>
    </row>
    <row r="487" ht="15.75" customHeight="1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  <c r="AA487" s="114"/>
      <c r="AB487" s="114"/>
      <c r="AC487" s="114"/>
      <c r="AD487" s="114"/>
      <c r="AE487" s="114"/>
      <c r="AF487" s="114"/>
      <c r="AG487" s="114"/>
      <c r="AH487" s="114"/>
      <c r="AI487" s="114"/>
      <c r="AJ487" s="114"/>
      <c r="AK487" s="114"/>
    </row>
    <row r="488" ht="15.75" customHeight="1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  <c r="AA488" s="114"/>
      <c r="AB488" s="114"/>
      <c r="AC488" s="114"/>
      <c r="AD488" s="114"/>
      <c r="AE488" s="114"/>
      <c r="AF488" s="114"/>
      <c r="AG488" s="114"/>
      <c r="AH488" s="114"/>
      <c r="AI488" s="114"/>
      <c r="AJ488" s="114"/>
      <c r="AK488" s="114"/>
    </row>
    <row r="489" ht="15.75" customHeight="1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  <c r="AA489" s="114"/>
      <c r="AB489" s="114"/>
      <c r="AC489" s="114"/>
      <c r="AD489" s="114"/>
      <c r="AE489" s="114"/>
      <c r="AF489" s="114"/>
      <c r="AG489" s="114"/>
      <c r="AH489" s="114"/>
      <c r="AI489" s="114"/>
      <c r="AJ489" s="114"/>
      <c r="AK489" s="114"/>
    </row>
    <row r="490" ht="15.75" customHeight="1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  <c r="AA490" s="114"/>
      <c r="AB490" s="114"/>
      <c r="AC490" s="114"/>
      <c r="AD490" s="114"/>
      <c r="AE490" s="114"/>
      <c r="AF490" s="114"/>
      <c r="AG490" s="114"/>
      <c r="AH490" s="114"/>
      <c r="AI490" s="114"/>
      <c r="AJ490" s="114"/>
      <c r="AK490" s="114"/>
    </row>
    <row r="491" ht="15.75" customHeight="1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  <c r="AA491" s="114"/>
      <c r="AB491" s="114"/>
      <c r="AC491" s="114"/>
      <c r="AD491" s="114"/>
      <c r="AE491" s="114"/>
      <c r="AF491" s="114"/>
      <c r="AG491" s="114"/>
      <c r="AH491" s="114"/>
      <c r="AI491" s="114"/>
      <c r="AJ491" s="114"/>
      <c r="AK491" s="114"/>
    </row>
    <row r="492" ht="15.75" customHeight="1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  <c r="AA492" s="114"/>
      <c r="AB492" s="114"/>
      <c r="AC492" s="114"/>
      <c r="AD492" s="114"/>
      <c r="AE492" s="114"/>
      <c r="AF492" s="114"/>
      <c r="AG492" s="114"/>
      <c r="AH492" s="114"/>
      <c r="AI492" s="114"/>
      <c r="AJ492" s="114"/>
      <c r="AK492" s="114"/>
    </row>
    <row r="493" ht="15.75" customHeight="1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  <c r="AA493" s="114"/>
      <c r="AB493" s="114"/>
      <c r="AC493" s="114"/>
      <c r="AD493" s="114"/>
      <c r="AE493" s="114"/>
      <c r="AF493" s="114"/>
      <c r="AG493" s="114"/>
      <c r="AH493" s="114"/>
      <c r="AI493" s="114"/>
      <c r="AJ493" s="114"/>
      <c r="AK493" s="114"/>
    </row>
    <row r="494" ht="15.75" customHeight="1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  <c r="AA494" s="114"/>
      <c r="AB494" s="114"/>
      <c r="AC494" s="114"/>
      <c r="AD494" s="114"/>
      <c r="AE494" s="114"/>
      <c r="AF494" s="114"/>
      <c r="AG494" s="114"/>
      <c r="AH494" s="114"/>
      <c r="AI494" s="114"/>
      <c r="AJ494" s="114"/>
      <c r="AK494" s="114"/>
    </row>
    <row r="495" ht="15.75" customHeight="1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  <c r="AA495" s="114"/>
      <c r="AB495" s="114"/>
      <c r="AC495" s="114"/>
      <c r="AD495" s="114"/>
      <c r="AE495" s="114"/>
      <c r="AF495" s="114"/>
      <c r="AG495" s="114"/>
      <c r="AH495" s="114"/>
      <c r="AI495" s="114"/>
      <c r="AJ495" s="114"/>
      <c r="AK495" s="114"/>
    </row>
    <row r="496" ht="15.75" customHeight="1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  <c r="AA496" s="114"/>
      <c r="AB496" s="114"/>
      <c r="AC496" s="114"/>
      <c r="AD496" s="114"/>
      <c r="AE496" s="114"/>
      <c r="AF496" s="114"/>
      <c r="AG496" s="114"/>
      <c r="AH496" s="114"/>
      <c r="AI496" s="114"/>
      <c r="AJ496" s="114"/>
      <c r="AK496" s="114"/>
    </row>
    <row r="497" ht="15.75" customHeight="1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  <c r="AA497" s="114"/>
      <c r="AB497" s="114"/>
      <c r="AC497" s="114"/>
      <c r="AD497" s="114"/>
      <c r="AE497" s="114"/>
      <c r="AF497" s="114"/>
      <c r="AG497" s="114"/>
      <c r="AH497" s="114"/>
      <c r="AI497" s="114"/>
      <c r="AJ497" s="114"/>
      <c r="AK497" s="114"/>
    </row>
    <row r="498" ht="15.75" customHeight="1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  <c r="AA498" s="114"/>
      <c r="AB498" s="114"/>
      <c r="AC498" s="114"/>
      <c r="AD498" s="114"/>
      <c r="AE498" s="114"/>
      <c r="AF498" s="114"/>
      <c r="AG498" s="114"/>
      <c r="AH498" s="114"/>
      <c r="AI498" s="114"/>
      <c r="AJ498" s="114"/>
      <c r="AK498" s="114"/>
    </row>
    <row r="499" ht="15.75" customHeight="1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  <c r="AA499" s="114"/>
      <c r="AB499" s="114"/>
      <c r="AC499" s="114"/>
      <c r="AD499" s="114"/>
      <c r="AE499" s="114"/>
      <c r="AF499" s="114"/>
      <c r="AG499" s="114"/>
      <c r="AH499" s="114"/>
      <c r="AI499" s="114"/>
      <c r="AJ499" s="114"/>
      <c r="AK499" s="114"/>
    </row>
    <row r="500" ht="15.75" customHeight="1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  <c r="AA500" s="114"/>
      <c r="AB500" s="114"/>
      <c r="AC500" s="114"/>
      <c r="AD500" s="114"/>
      <c r="AE500" s="114"/>
      <c r="AF500" s="114"/>
      <c r="AG500" s="114"/>
      <c r="AH500" s="114"/>
      <c r="AI500" s="114"/>
      <c r="AJ500" s="114"/>
      <c r="AK500" s="114"/>
    </row>
    <row r="501" ht="15.75" customHeight="1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  <c r="AA501" s="114"/>
      <c r="AB501" s="114"/>
      <c r="AC501" s="114"/>
      <c r="AD501" s="114"/>
      <c r="AE501" s="114"/>
      <c r="AF501" s="114"/>
      <c r="AG501" s="114"/>
      <c r="AH501" s="114"/>
      <c r="AI501" s="114"/>
      <c r="AJ501" s="114"/>
      <c r="AK501" s="114"/>
    </row>
    <row r="502" ht="15.75" customHeight="1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  <c r="AA502" s="114"/>
      <c r="AB502" s="114"/>
      <c r="AC502" s="114"/>
      <c r="AD502" s="114"/>
      <c r="AE502" s="114"/>
      <c r="AF502" s="114"/>
      <c r="AG502" s="114"/>
      <c r="AH502" s="114"/>
      <c r="AI502" s="114"/>
      <c r="AJ502" s="114"/>
      <c r="AK502" s="114"/>
    </row>
    <row r="503" ht="15.75" customHeight="1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  <c r="AA503" s="114"/>
      <c r="AB503" s="114"/>
      <c r="AC503" s="114"/>
      <c r="AD503" s="114"/>
      <c r="AE503" s="114"/>
      <c r="AF503" s="114"/>
      <c r="AG503" s="114"/>
      <c r="AH503" s="114"/>
      <c r="AI503" s="114"/>
      <c r="AJ503" s="114"/>
      <c r="AK503" s="114"/>
    </row>
    <row r="504" ht="15.75" customHeight="1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  <c r="AA504" s="114"/>
      <c r="AB504" s="114"/>
      <c r="AC504" s="114"/>
      <c r="AD504" s="114"/>
      <c r="AE504" s="114"/>
      <c r="AF504" s="114"/>
      <c r="AG504" s="114"/>
      <c r="AH504" s="114"/>
      <c r="AI504" s="114"/>
      <c r="AJ504" s="114"/>
      <c r="AK504" s="114"/>
    </row>
    <row r="505" ht="15.75" customHeight="1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  <c r="AA505" s="114"/>
      <c r="AB505" s="114"/>
      <c r="AC505" s="114"/>
      <c r="AD505" s="114"/>
      <c r="AE505" s="114"/>
      <c r="AF505" s="114"/>
      <c r="AG505" s="114"/>
      <c r="AH505" s="114"/>
      <c r="AI505" s="114"/>
      <c r="AJ505" s="114"/>
      <c r="AK505" s="114"/>
    </row>
    <row r="506" ht="15.75" customHeight="1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  <c r="AA506" s="114"/>
      <c r="AB506" s="114"/>
      <c r="AC506" s="114"/>
      <c r="AD506" s="114"/>
      <c r="AE506" s="114"/>
      <c r="AF506" s="114"/>
      <c r="AG506" s="114"/>
      <c r="AH506" s="114"/>
      <c r="AI506" s="114"/>
      <c r="AJ506" s="114"/>
      <c r="AK506" s="114"/>
    </row>
    <row r="507" ht="15.75" customHeight="1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  <c r="AA507" s="114"/>
      <c r="AB507" s="114"/>
      <c r="AC507" s="114"/>
      <c r="AD507" s="114"/>
      <c r="AE507" s="114"/>
      <c r="AF507" s="114"/>
      <c r="AG507" s="114"/>
      <c r="AH507" s="114"/>
      <c r="AI507" s="114"/>
      <c r="AJ507" s="114"/>
      <c r="AK507" s="114"/>
    </row>
    <row r="508" ht="15.75" customHeight="1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  <c r="AA508" s="114"/>
      <c r="AB508" s="114"/>
      <c r="AC508" s="114"/>
      <c r="AD508" s="114"/>
      <c r="AE508" s="114"/>
      <c r="AF508" s="114"/>
      <c r="AG508" s="114"/>
      <c r="AH508" s="114"/>
      <c r="AI508" s="114"/>
      <c r="AJ508" s="114"/>
      <c r="AK508" s="114"/>
    </row>
    <row r="509" ht="15.75" customHeight="1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  <c r="AA509" s="114"/>
      <c r="AB509" s="114"/>
      <c r="AC509" s="114"/>
      <c r="AD509" s="114"/>
      <c r="AE509" s="114"/>
      <c r="AF509" s="114"/>
      <c r="AG509" s="114"/>
      <c r="AH509" s="114"/>
      <c r="AI509" s="114"/>
      <c r="AJ509" s="114"/>
      <c r="AK509" s="114"/>
    </row>
    <row r="510" ht="15.75" customHeight="1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  <c r="AA510" s="114"/>
      <c r="AB510" s="114"/>
      <c r="AC510" s="114"/>
      <c r="AD510" s="114"/>
      <c r="AE510" s="114"/>
      <c r="AF510" s="114"/>
      <c r="AG510" s="114"/>
      <c r="AH510" s="114"/>
      <c r="AI510" s="114"/>
      <c r="AJ510" s="114"/>
      <c r="AK510" s="114"/>
    </row>
    <row r="511" ht="15.75" customHeight="1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  <c r="AA511" s="114"/>
      <c r="AB511" s="114"/>
      <c r="AC511" s="114"/>
      <c r="AD511" s="114"/>
      <c r="AE511" s="114"/>
      <c r="AF511" s="114"/>
      <c r="AG511" s="114"/>
      <c r="AH511" s="114"/>
      <c r="AI511" s="114"/>
      <c r="AJ511" s="114"/>
      <c r="AK511" s="114"/>
    </row>
    <row r="512" ht="15.75" customHeight="1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  <c r="AA512" s="114"/>
      <c r="AB512" s="114"/>
      <c r="AC512" s="114"/>
      <c r="AD512" s="114"/>
      <c r="AE512" s="114"/>
      <c r="AF512" s="114"/>
      <c r="AG512" s="114"/>
      <c r="AH512" s="114"/>
      <c r="AI512" s="114"/>
      <c r="AJ512" s="114"/>
      <c r="AK512" s="114"/>
    </row>
    <row r="513" ht="15.75" customHeight="1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  <c r="AA513" s="114"/>
      <c r="AB513" s="114"/>
      <c r="AC513" s="114"/>
      <c r="AD513" s="114"/>
      <c r="AE513" s="114"/>
      <c r="AF513" s="114"/>
      <c r="AG513" s="114"/>
      <c r="AH513" s="114"/>
      <c r="AI513" s="114"/>
      <c r="AJ513" s="114"/>
      <c r="AK513" s="114"/>
    </row>
    <row r="514" ht="15.75" customHeight="1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  <c r="AA514" s="114"/>
      <c r="AB514" s="114"/>
      <c r="AC514" s="114"/>
      <c r="AD514" s="114"/>
      <c r="AE514" s="114"/>
      <c r="AF514" s="114"/>
      <c r="AG514" s="114"/>
      <c r="AH514" s="114"/>
      <c r="AI514" s="114"/>
      <c r="AJ514" s="114"/>
      <c r="AK514" s="114"/>
    </row>
    <row r="515" ht="15.75" customHeight="1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  <c r="AA515" s="114"/>
      <c r="AB515" s="114"/>
      <c r="AC515" s="114"/>
      <c r="AD515" s="114"/>
      <c r="AE515" s="114"/>
      <c r="AF515" s="114"/>
      <c r="AG515" s="114"/>
      <c r="AH515" s="114"/>
      <c r="AI515" s="114"/>
      <c r="AJ515" s="114"/>
      <c r="AK515" s="114"/>
    </row>
    <row r="516" ht="15.75" customHeight="1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  <c r="AA516" s="114"/>
      <c r="AB516" s="114"/>
      <c r="AC516" s="114"/>
      <c r="AD516" s="114"/>
      <c r="AE516" s="114"/>
      <c r="AF516" s="114"/>
      <c r="AG516" s="114"/>
      <c r="AH516" s="114"/>
      <c r="AI516" s="114"/>
      <c r="AJ516" s="114"/>
      <c r="AK516" s="114"/>
    </row>
    <row r="517" ht="15.75" customHeight="1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  <c r="AA517" s="114"/>
      <c r="AB517" s="114"/>
      <c r="AC517" s="114"/>
      <c r="AD517" s="114"/>
      <c r="AE517" s="114"/>
      <c r="AF517" s="114"/>
      <c r="AG517" s="114"/>
      <c r="AH517" s="114"/>
      <c r="AI517" s="114"/>
      <c r="AJ517" s="114"/>
      <c r="AK517" s="114"/>
    </row>
    <row r="518" ht="15.75" customHeight="1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  <c r="AA518" s="114"/>
      <c r="AB518" s="114"/>
      <c r="AC518" s="114"/>
      <c r="AD518" s="114"/>
      <c r="AE518" s="114"/>
      <c r="AF518" s="114"/>
      <c r="AG518" s="114"/>
      <c r="AH518" s="114"/>
      <c r="AI518" s="114"/>
      <c r="AJ518" s="114"/>
      <c r="AK518" s="114"/>
    </row>
    <row r="519" ht="15.75" customHeight="1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  <c r="AA519" s="114"/>
      <c r="AB519" s="114"/>
      <c r="AC519" s="114"/>
      <c r="AD519" s="114"/>
      <c r="AE519" s="114"/>
      <c r="AF519" s="114"/>
      <c r="AG519" s="114"/>
      <c r="AH519" s="114"/>
      <c r="AI519" s="114"/>
      <c r="AJ519" s="114"/>
      <c r="AK519" s="114"/>
    </row>
    <row r="520" ht="15.75" customHeight="1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  <c r="AA520" s="114"/>
      <c r="AB520" s="114"/>
      <c r="AC520" s="114"/>
      <c r="AD520" s="114"/>
      <c r="AE520" s="114"/>
      <c r="AF520" s="114"/>
      <c r="AG520" s="114"/>
      <c r="AH520" s="114"/>
      <c r="AI520" s="114"/>
      <c r="AJ520" s="114"/>
      <c r="AK520" s="114"/>
    </row>
    <row r="521" ht="15.75" customHeight="1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  <c r="AA521" s="114"/>
      <c r="AB521" s="114"/>
      <c r="AC521" s="114"/>
      <c r="AD521" s="114"/>
      <c r="AE521" s="114"/>
      <c r="AF521" s="114"/>
      <c r="AG521" s="114"/>
      <c r="AH521" s="114"/>
      <c r="AI521" s="114"/>
      <c r="AJ521" s="114"/>
      <c r="AK521" s="114"/>
    </row>
    <row r="522" ht="15.75" customHeight="1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  <c r="AA522" s="114"/>
      <c r="AB522" s="114"/>
      <c r="AC522" s="114"/>
      <c r="AD522" s="114"/>
      <c r="AE522" s="114"/>
      <c r="AF522" s="114"/>
      <c r="AG522" s="114"/>
      <c r="AH522" s="114"/>
      <c r="AI522" s="114"/>
      <c r="AJ522" s="114"/>
      <c r="AK522" s="114"/>
    </row>
    <row r="523" ht="15.75" customHeight="1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  <c r="AA523" s="114"/>
      <c r="AB523" s="114"/>
      <c r="AC523" s="114"/>
      <c r="AD523" s="114"/>
      <c r="AE523" s="114"/>
      <c r="AF523" s="114"/>
      <c r="AG523" s="114"/>
      <c r="AH523" s="114"/>
      <c r="AI523" s="114"/>
      <c r="AJ523" s="114"/>
      <c r="AK523" s="114"/>
    </row>
    <row r="524" ht="15.75" customHeight="1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  <c r="AA524" s="114"/>
      <c r="AB524" s="114"/>
      <c r="AC524" s="114"/>
      <c r="AD524" s="114"/>
      <c r="AE524" s="114"/>
      <c r="AF524" s="114"/>
      <c r="AG524" s="114"/>
      <c r="AH524" s="114"/>
      <c r="AI524" s="114"/>
      <c r="AJ524" s="114"/>
      <c r="AK524" s="114"/>
    </row>
    <row r="525" ht="15.75" customHeight="1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  <c r="AA525" s="114"/>
      <c r="AB525" s="114"/>
      <c r="AC525" s="114"/>
      <c r="AD525" s="114"/>
      <c r="AE525" s="114"/>
      <c r="AF525" s="114"/>
      <c r="AG525" s="114"/>
      <c r="AH525" s="114"/>
      <c r="AI525" s="114"/>
      <c r="AJ525" s="114"/>
      <c r="AK525" s="114"/>
    </row>
    <row r="526" ht="15.75" customHeight="1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  <c r="AA526" s="114"/>
      <c r="AB526" s="114"/>
      <c r="AC526" s="114"/>
      <c r="AD526" s="114"/>
      <c r="AE526" s="114"/>
      <c r="AF526" s="114"/>
      <c r="AG526" s="114"/>
      <c r="AH526" s="114"/>
      <c r="AI526" s="114"/>
      <c r="AJ526" s="114"/>
      <c r="AK526" s="114"/>
    </row>
    <row r="527" ht="15.75" customHeight="1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  <c r="AA527" s="114"/>
      <c r="AB527" s="114"/>
      <c r="AC527" s="114"/>
      <c r="AD527" s="114"/>
      <c r="AE527" s="114"/>
      <c r="AF527" s="114"/>
      <c r="AG527" s="114"/>
      <c r="AH527" s="114"/>
      <c r="AI527" s="114"/>
      <c r="AJ527" s="114"/>
      <c r="AK527" s="114"/>
    </row>
    <row r="528" ht="15.75" customHeight="1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  <c r="AA528" s="114"/>
      <c r="AB528" s="114"/>
      <c r="AC528" s="114"/>
      <c r="AD528" s="114"/>
      <c r="AE528" s="114"/>
      <c r="AF528" s="114"/>
      <c r="AG528" s="114"/>
      <c r="AH528" s="114"/>
      <c r="AI528" s="114"/>
      <c r="AJ528" s="114"/>
      <c r="AK528" s="114"/>
    </row>
    <row r="529" ht="15.75" customHeight="1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  <c r="AA529" s="114"/>
      <c r="AB529" s="114"/>
      <c r="AC529" s="114"/>
      <c r="AD529" s="114"/>
      <c r="AE529" s="114"/>
      <c r="AF529" s="114"/>
      <c r="AG529" s="114"/>
      <c r="AH529" s="114"/>
      <c r="AI529" s="114"/>
      <c r="AJ529" s="114"/>
      <c r="AK529" s="114"/>
    </row>
    <row r="530" ht="15.75" customHeight="1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  <c r="AA530" s="114"/>
      <c r="AB530" s="114"/>
      <c r="AC530" s="114"/>
      <c r="AD530" s="114"/>
      <c r="AE530" s="114"/>
      <c r="AF530" s="114"/>
      <c r="AG530" s="114"/>
      <c r="AH530" s="114"/>
      <c r="AI530" s="114"/>
      <c r="AJ530" s="114"/>
      <c r="AK530" s="114"/>
    </row>
    <row r="531" ht="15.75" customHeight="1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  <c r="AA531" s="114"/>
      <c r="AB531" s="114"/>
      <c r="AC531" s="114"/>
      <c r="AD531" s="114"/>
      <c r="AE531" s="114"/>
      <c r="AF531" s="114"/>
      <c r="AG531" s="114"/>
      <c r="AH531" s="114"/>
      <c r="AI531" s="114"/>
      <c r="AJ531" s="114"/>
      <c r="AK531" s="114"/>
    </row>
    <row r="532" ht="15.75" customHeight="1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  <c r="AA532" s="114"/>
      <c r="AB532" s="114"/>
      <c r="AC532" s="114"/>
      <c r="AD532" s="114"/>
      <c r="AE532" s="114"/>
      <c r="AF532" s="114"/>
      <c r="AG532" s="114"/>
      <c r="AH532" s="114"/>
      <c r="AI532" s="114"/>
      <c r="AJ532" s="114"/>
      <c r="AK532" s="114"/>
    </row>
    <row r="533" ht="15.75" customHeight="1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  <c r="AA533" s="114"/>
      <c r="AB533" s="114"/>
      <c r="AC533" s="114"/>
      <c r="AD533" s="114"/>
      <c r="AE533" s="114"/>
      <c r="AF533" s="114"/>
      <c r="AG533" s="114"/>
      <c r="AH533" s="114"/>
      <c r="AI533" s="114"/>
      <c r="AJ533" s="114"/>
      <c r="AK533" s="114"/>
    </row>
    <row r="534" ht="15.75" customHeight="1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  <c r="AA534" s="114"/>
      <c r="AB534" s="114"/>
      <c r="AC534" s="114"/>
      <c r="AD534" s="114"/>
      <c r="AE534" s="114"/>
      <c r="AF534" s="114"/>
      <c r="AG534" s="114"/>
      <c r="AH534" s="114"/>
      <c r="AI534" s="114"/>
      <c r="AJ534" s="114"/>
      <c r="AK534" s="114"/>
    </row>
    <row r="535" ht="15.75" customHeight="1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  <c r="AA535" s="114"/>
      <c r="AB535" s="114"/>
      <c r="AC535" s="114"/>
      <c r="AD535" s="114"/>
      <c r="AE535" s="114"/>
      <c r="AF535" s="114"/>
      <c r="AG535" s="114"/>
      <c r="AH535" s="114"/>
      <c r="AI535" s="114"/>
      <c r="AJ535" s="114"/>
      <c r="AK535" s="114"/>
    </row>
    <row r="536" ht="15.75" customHeight="1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  <c r="AA536" s="114"/>
      <c r="AB536" s="114"/>
      <c r="AC536" s="114"/>
      <c r="AD536" s="114"/>
      <c r="AE536" s="114"/>
      <c r="AF536" s="114"/>
      <c r="AG536" s="114"/>
      <c r="AH536" s="114"/>
      <c r="AI536" s="114"/>
      <c r="AJ536" s="114"/>
      <c r="AK536" s="114"/>
    </row>
    <row r="537" ht="15.75" customHeight="1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  <c r="AA537" s="114"/>
      <c r="AB537" s="114"/>
      <c r="AC537" s="114"/>
      <c r="AD537" s="114"/>
      <c r="AE537" s="114"/>
      <c r="AF537" s="114"/>
      <c r="AG537" s="114"/>
      <c r="AH537" s="114"/>
      <c r="AI537" s="114"/>
      <c r="AJ537" s="114"/>
      <c r="AK537" s="114"/>
    </row>
    <row r="538" ht="15.75" customHeight="1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  <c r="AA538" s="114"/>
      <c r="AB538" s="114"/>
      <c r="AC538" s="114"/>
      <c r="AD538" s="114"/>
      <c r="AE538" s="114"/>
      <c r="AF538" s="114"/>
      <c r="AG538" s="114"/>
      <c r="AH538" s="114"/>
      <c r="AI538" s="114"/>
      <c r="AJ538" s="114"/>
      <c r="AK538" s="114"/>
    </row>
    <row r="539" ht="15.75" customHeight="1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  <c r="AA539" s="114"/>
      <c r="AB539" s="114"/>
      <c r="AC539" s="114"/>
      <c r="AD539" s="114"/>
      <c r="AE539" s="114"/>
      <c r="AF539" s="114"/>
      <c r="AG539" s="114"/>
      <c r="AH539" s="114"/>
      <c r="AI539" s="114"/>
      <c r="AJ539" s="114"/>
      <c r="AK539" s="114"/>
    </row>
    <row r="540" ht="15.75" customHeight="1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  <c r="AA540" s="114"/>
      <c r="AB540" s="114"/>
      <c r="AC540" s="114"/>
      <c r="AD540" s="114"/>
      <c r="AE540" s="114"/>
      <c r="AF540" s="114"/>
      <c r="AG540" s="114"/>
      <c r="AH540" s="114"/>
      <c r="AI540" s="114"/>
      <c r="AJ540" s="114"/>
      <c r="AK540" s="114"/>
    </row>
    <row r="541" ht="15.75" customHeight="1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  <c r="AA541" s="114"/>
      <c r="AB541" s="114"/>
      <c r="AC541" s="114"/>
      <c r="AD541" s="114"/>
      <c r="AE541" s="114"/>
      <c r="AF541" s="114"/>
      <c r="AG541" s="114"/>
      <c r="AH541" s="114"/>
      <c r="AI541" s="114"/>
      <c r="AJ541" s="114"/>
      <c r="AK541" s="114"/>
    </row>
    <row r="542" ht="15.75" customHeight="1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  <c r="AA542" s="114"/>
      <c r="AB542" s="114"/>
      <c r="AC542" s="114"/>
      <c r="AD542" s="114"/>
      <c r="AE542" s="114"/>
      <c r="AF542" s="114"/>
      <c r="AG542" s="114"/>
      <c r="AH542" s="114"/>
      <c r="AI542" s="114"/>
      <c r="AJ542" s="114"/>
      <c r="AK542" s="114"/>
    </row>
    <row r="543" ht="15.75" customHeight="1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  <c r="AA543" s="114"/>
      <c r="AB543" s="114"/>
      <c r="AC543" s="114"/>
      <c r="AD543" s="114"/>
      <c r="AE543" s="114"/>
      <c r="AF543" s="114"/>
      <c r="AG543" s="114"/>
      <c r="AH543" s="114"/>
      <c r="AI543" s="114"/>
      <c r="AJ543" s="114"/>
      <c r="AK543" s="114"/>
    </row>
    <row r="544" ht="15.75" customHeight="1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  <c r="AA544" s="114"/>
      <c r="AB544" s="114"/>
      <c r="AC544" s="114"/>
      <c r="AD544" s="114"/>
      <c r="AE544" s="114"/>
      <c r="AF544" s="114"/>
      <c r="AG544" s="114"/>
      <c r="AH544" s="114"/>
      <c r="AI544" s="114"/>
      <c r="AJ544" s="114"/>
      <c r="AK544" s="114"/>
    </row>
    <row r="545" ht="15.75" customHeight="1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  <c r="AA545" s="114"/>
      <c r="AB545" s="114"/>
      <c r="AC545" s="114"/>
      <c r="AD545" s="114"/>
      <c r="AE545" s="114"/>
      <c r="AF545" s="114"/>
      <c r="AG545" s="114"/>
      <c r="AH545" s="114"/>
      <c r="AI545" s="114"/>
      <c r="AJ545" s="114"/>
      <c r="AK545" s="114"/>
    </row>
    <row r="546" ht="15.75" customHeight="1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  <c r="AA546" s="114"/>
      <c r="AB546" s="114"/>
      <c r="AC546" s="114"/>
      <c r="AD546" s="114"/>
      <c r="AE546" s="114"/>
      <c r="AF546" s="114"/>
      <c r="AG546" s="114"/>
      <c r="AH546" s="114"/>
      <c r="AI546" s="114"/>
      <c r="AJ546" s="114"/>
      <c r="AK546" s="114"/>
    </row>
    <row r="547" ht="15.75" customHeight="1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  <c r="AA547" s="114"/>
      <c r="AB547" s="114"/>
      <c r="AC547" s="114"/>
      <c r="AD547" s="114"/>
      <c r="AE547" s="114"/>
      <c r="AF547" s="114"/>
      <c r="AG547" s="114"/>
      <c r="AH547" s="114"/>
      <c r="AI547" s="114"/>
      <c r="AJ547" s="114"/>
      <c r="AK547" s="114"/>
    </row>
    <row r="548" ht="15.75" customHeight="1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  <c r="AA548" s="114"/>
      <c r="AB548" s="114"/>
      <c r="AC548" s="114"/>
      <c r="AD548" s="114"/>
      <c r="AE548" s="114"/>
      <c r="AF548" s="114"/>
      <c r="AG548" s="114"/>
      <c r="AH548" s="114"/>
      <c r="AI548" s="114"/>
      <c r="AJ548" s="114"/>
      <c r="AK548" s="114"/>
    </row>
    <row r="549" ht="15.75" customHeight="1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  <c r="AA549" s="114"/>
      <c r="AB549" s="114"/>
      <c r="AC549" s="114"/>
      <c r="AD549" s="114"/>
      <c r="AE549" s="114"/>
      <c r="AF549" s="114"/>
      <c r="AG549" s="114"/>
      <c r="AH549" s="114"/>
      <c r="AI549" s="114"/>
      <c r="AJ549" s="114"/>
      <c r="AK549" s="114"/>
    </row>
    <row r="550" ht="15.75" customHeight="1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  <c r="AA550" s="114"/>
      <c r="AB550" s="114"/>
      <c r="AC550" s="114"/>
      <c r="AD550" s="114"/>
      <c r="AE550" s="114"/>
      <c r="AF550" s="114"/>
      <c r="AG550" s="114"/>
      <c r="AH550" s="114"/>
      <c r="AI550" s="114"/>
      <c r="AJ550" s="114"/>
      <c r="AK550" s="114"/>
    </row>
    <row r="551" ht="15.75" customHeight="1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  <c r="AA551" s="114"/>
      <c r="AB551" s="114"/>
      <c r="AC551" s="114"/>
      <c r="AD551" s="114"/>
      <c r="AE551" s="114"/>
      <c r="AF551" s="114"/>
      <c r="AG551" s="114"/>
      <c r="AH551" s="114"/>
      <c r="AI551" s="114"/>
      <c r="AJ551" s="114"/>
      <c r="AK551" s="114"/>
    </row>
    <row r="552" ht="15.75" customHeight="1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  <c r="AA552" s="114"/>
      <c r="AB552" s="114"/>
      <c r="AC552" s="114"/>
      <c r="AD552" s="114"/>
      <c r="AE552" s="114"/>
      <c r="AF552" s="114"/>
      <c r="AG552" s="114"/>
      <c r="AH552" s="114"/>
      <c r="AI552" s="114"/>
      <c r="AJ552" s="114"/>
      <c r="AK552" s="114"/>
    </row>
    <row r="553" ht="15.75" customHeight="1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  <c r="AA553" s="114"/>
      <c r="AB553" s="114"/>
      <c r="AC553" s="114"/>
      <c r="AD553" s="114"/>
      <c r="AE553" s="114"/>
      <c r="AF553" s="114"/>
      <c r="AG553" s="114"/>
      <c r="AH553" s="114"/>
      <c r="AI553" s="114"/>
      <c r="AJ553" s="114"/>
      <c r="AK553" s="114"/>
    </row>
    <row r="554" ht="15.75" customHeight="1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  <c r="AA554" s="114"/>
      <c r="AB554" s="114"/>
      <c r="AC554" s="114"/>
      <c r="AD554" s="114"/>
      <c r="AE554" s="114"/>
      <c r="AF554" s="114"/>
      <c r="AG554" s="114"/>
      <c r="AH554" s="114"/>
      <c r="AI554" s="114"/>
      <c r="AJ554" s="114"/>
      <c r="AK554" s="114"/>
    </row>
    <row r="555" ht="15.75" customHeight="1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  <c r="AA555" s="114"/>
      <c r="AB555" s="114"/>
      <c r="AC555" s="114"/>
      <c r="AD555" s="114"/>
      <c r="AE555" s="114"/>
      <c r="AF555" s="114"/>
      <c r="AG555" s="114"/>
      <c r="AH555" s="114"/>
      <c r="AI555" s="114"/>
      <c r="AJ555" s="114"/>
      <c r="AK555" s="114"/>
    </row>
    <row r="556" ht="15.75" customHeight="1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  <c r="AA556" s="114"/>
      <c r="AB556" s="114"/>
      <c r="AC556" s="114"/>
      <c r="AD556" s="114"/>
      <c r="AE556" s="114"/>
      <c r="AF556" s="114"/>
      <c r="AG556" s="114"/>
      <c r="AH556" s="114"/>
      <c r="AI556" s="114"/>
      <c r="AJ556" s="114"/>
      <c r="AK556" s="114"/>
    </row>
    <row r="557" ht="15.75" customHeight="1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  <c r="AA557" s="114"/>
      <c r="AB557" s="114"/>
      <c r="AC557" s="114"/>
      <c r="AD557" s="114"/>
      <c r="AE557" s="114"/>
      <c r="AF557" s="114"/>
      <c r="AG557" s="114"/>
      <c r="AH557" s="114"/>
      <c r="AI557" s="114"/>
      <c r="AJ557" s="114"/>
      <c r="AK557" s="114"/>
    </row>
    <row r="558" ht="15.75" customHeight="1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  <c r="AA558" s="114"/>
      <c r="AB558" s="114"/>
      <c r="AC558" s="114"/>
      <c r="AD558" s="114"/>
      <c r="AE558" s="114"/>
      <c r="AF558" s="114"/>
      <c r="AG558" s="114"/>
      <c r="AH558" s="114"/>
      <c r="AI558" s="114"/>
      <c r="AJ558" s="114"/>
      <c r="AK558" s="114"/>
    </row>
    <row r="559" ht="15.75" customHeight="1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  <c r="AA559" s="114"/>
      <c r="AB559" s="114"/>
      <c r="AC559" s="114"/>
      <c r="AD559" s="114"/>
      <c r="AE559" s="114"/>
      <c r="AF559" s="114"/>
      <c r="AG559" s="114"/>
      <c r="AH559" s="114"/>
      <c r="AI559" s="114"/>
      <c r="AJ559" s="114"/>
      <c r="AK559" s="114"/>
    </row>
    <row r="560" ht="15.75" customHeight="1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  <c r="AA560" s="114"/>
      <c r="AB560" s="114"/>
      <c r="AC560" s="114"/>
      <c r="AD560" s="114"/>
      <c r="AE560" s="114"/>
      <c r="AF560" s="114"/>
      <c r="AG560" s="114"/>
      <c r="AH560" s="114"/>
      <c r="AI560" s="114"/>
      <c r="AJ560" s="114"/>
      <c r="AK560" s="114"/>
    </row>
    <row r="561" ht="15.75" customHeight="1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  <c r="AA561" s="114"/>
      <c r="AB561" s="114"/>
      <c r="AC561" s="114"/>
      <c r="AD561" s="114"/>
      <c r="AE561" s="114"/>
      <c r="AF561" s="114"/>
      <c r="AG561" s="114"/>
      <c r="AH561" s="114"/>
      <c r="AI561" s="114"/>
      <c r="AJ561" s="114"/>
      <c r="AK561" s="114"/>
    </row>
    <row r="562" ht="15.75" customHeight="1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  <c r="AA562" s="114"/>
      <c r="AB562" s="114"/>
      <c r="AC562" s="114"/>
      <c r="AD562" s="114"/>
      <c r="AE562" s="114"/>
      <c r="AF562" s="114"/>
      <c r="AG562" s="114"/>
      <c r="AH562" s="114"/>
      <c r="AI562" s="114"/>
      <c r="AJ562" s="114"/>
      <c r="AK562" s="114"/>
    </row>
    <row r="563" ht="15.75" customHeight="1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  <c r="AA563" s="114"/>
      <c r="AB563" s="114"/>
      <c r="AC563" s="114"/>
      <c r="AD563" s="114"/>
      <c r="AE563" s="114"/>
      <c r="AF563" s="114"/>
      <c r="AG563" s="114"/>
      <c r="AH563" s="114"/>
      <c r="AI563" s="114"/>
      <c r="AJ563" s="114"/>
      <c r="AK563" s="114"/>
    </row>
    <row r="564" ht="15.75" customHeight="1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  <c r="AA564" s="114"/>
      <c r="AB564" s="114"/>
      <c r="AC564" s="114"/>
      <c r="AD564" s="114"/>
      <c r="AE564" s="114"/>
      <c r="AF564" s="114"/>
      <c r="AG564" s="114"/>
      <c r="AH564" s="114"/>
      <c r="AI564" s="114"/>
      <c r="AJ564" s="114"/>
      <c r="AK564" s="114"/>
    </row>
    <row r="565" ht="15.75" customHeight="1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  <c r="AA565" s="114"/>
      <c r="AB565" s="114"/>
      <c r="AC565" s="114"/>
      <c r="AD565" s="114"/>
      <c r="AE565" s="114"/>
      <c r="AF565" s="114"/>
      <c r="AG565" s="114"/>
      <c r="AH565" s="114"/>
      <c r="AI565" s="114"/>
      <c r="AJ565" s="114"/>
      <c r="AK565" s="114"/>
    </row>
    <row r="566" ht="15.75" customHeight="1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  <c r="AA566" s="114"/>
      <c r="AB566" s="114"/>
      <c r="AC566" s="114"/>
      <c r="AD566" s="114"/>
      <c r="AE566" s="114"/>
      <c r="AF566" s="114"/>
      <c r="AG566" s="114"/>
      <c r="AH566" s="114"/>
      <c r="AI566" s="114"/>
      <c r="AJ566" s="114"/>
      <c r="AK566" s="114"/>
    </row>
    <row r="567" ht="15.75" customHeight="1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  <c r="AA567" s="114"/>
      <c r="AB567" s="114"/>
      <c r="AC567" s="114"/>
      <c r="AD567" s="114"/>
      <c r="AE567" s="114"/>
      <c r="AF567" s="114"/>
      <c r="AG567" s="114"/>
      <c r="AH567" s="114"/>
      <c r="AI567" s="114"/>
      <c r="AJ567" s="114"/>
      <c r="AK567" s="114"/>
    </row>
    <row r="568" ht="15.75" customHeight="1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  <c r="AA568" s="114"/>
      <c r="AB568" s="114"/>
      <c r="AC568" s="114"/>
      <c r="AD568" s="114"/>
      <c r="AE568" s="114"/>
      <c r="AF568" s="114"/>
      <c r="AG568" s="114"/>
      <c r="AH568" s="114"/>
      <c r="AI568" s="114"/>
      <c r="AJ568" s="114"/>
      <c r="AK568" s="114"/>
    </row>
    <row r="569" ht="15.75" customHeight="1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  <c r="AA569" s="114"/>
      <c r="AB569" s="114"/>
      <c r="AC569" s="114"/>
      <c r="AD569" s="114"/>
      <c r="AE569" s="114"/>
      <c r="AF569" s="114"/>
      <c r="AG569" s="114"/>
      <c r="AH569" s="114"/>
      <c r="AI569" s="114"/>
      <c r="AJ569" s="114"/>
      <c r="AK569" s="114"/>
    </row>
    <row r="570" ht="15.75" customHeight="1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  <c r="AA570" s="114"/>
      <c r="AB570" s="114"/>
      <c r="AC570" s="114"/>
      <c r="AD570" s="114"/>
      <c r="AE570" s="114"/>
      <c r="AF570" s="114"/>
      <c r="AG570" s="114"/>
      <c r="AH570" s="114"/>
      <c r="AI570" s="114"/>
      <c r="AJ570" s="114"/>
      <c r="AK570" s="114"/>
    </row>
    <row r="571" ht="15.75" customHeight="1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  <c r="AA571" s="114"/>
      <c r="AB571" s="114"/>
      <c r="AC571" s="114"/>
      <c r="AD571" s="114"/>
      <c r="AE571" s="114"/>
      <c r="AF571" s="114"/>
      <c r="AG571" s="114"/>
      <c r="AH571" s="114"/>
      <c r="AI571" s="114"/>
      <c r="AJ571" s="114"/>
      <c r="AK571" s="114"/>
    </row>
    <row r="572" ht="15.75" customHeight="1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  <c r="AA572" s="114"/>
      <c r="AB572" s="114"/>
      <c r="AC572" s="114"/>
      <c r="AD572" s="114"/>
      <c r="AE572" s="114"/>
      <c r="AF572" s="114"/>
      <c r="AG572" s="114"/>
      <c r="AH572" s="114"/>
      <c r="AI572" s="114"/>
      <c r="AJ572" s="114"/>
      <c r="AK572" s="114"/>
    </row>
    <row r="573" ht="15.75" customHeight="1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  <c r="AA573" s="114"/>
      <c r="AB573" s="114"/>
      <c r="AC573" s="114"/>
      <c r="AD573" s="114"/>
      <c r="AE573" s="114"/>
      <c r="AF573" s="114"/>
      <c r="AG573" s="114"/>
      <c r="AH573" s="114"/>
      <c r="AI573" s="114"/>
      <c r="AJ573" s="114"/>
      <c r="AK573" s="114"/>
    </row>
    <row r="574" ht="15.75" customHeight="1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  <c r="AA574" s="114"/>
      <c r="AB574" s="114"/>
      <c r="AC574" s="114"/>
      <c r="AD574" s="114"/>
      <c r="AE574" s="114"/>
      <c r="AF574" s="114"/>
      <c r="AG574" s="114"/>
      <c r="AH574" s="114"/>
      <c r="AI574" s="114"/>
      <c r="AJ574" s="114"/>
      <c r="AK574" s="114"/>
    </row>
    <row r="575" ht="15.75" customHeight="1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  <c r="AA575" s="114"/>
      <c r="AB575" s="114"/>
      <c r="AC575" s="114"/>
      <c r="AD575" s="114"/>
      <c r="AE575" s="114"/>
      <c r="AF575" s="114"/>
      <c r="AG575" s="114"/>
      <c r="AH575" s="114"/>
      <c r="AI575" s="114"/>
      <c r="AJ575" s="114"/>
      <c r="AK575" s="114"/>
    </row>
    <row r="576" ht="15.75" customHeight="1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  <c r="AA576" s="114"/>
      <c r="AB576" s="114"/>
      <c r="AC576" s="114"/>
      <c r="AD576" s="114"/>
      <c r="AE576" s="114"/>
      <c r="AF576" s="114"/>
      <c r="AG576" s="114"/>
      <c r="AH576" s="114"/>
      <c r="AI576" s="114"/>
      <c r="AJ576" s="114"/>
      <c r="AK576" s="114"/>
    </row>
    <row r="577" ht="15.75" customHeight="1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  <c r="AA577" s="114"/>
      <c r="AB577" s="114"/>
      <c r="AC577" s="114"/>
      <c r="AD577" s="114"/>
      <c r="AE577" s="114"/>
      <c r="AF577" s="114"/>
      <c r="AG577" s="114"/>
      <c r="AH577" s="114"/>
      <c r="AI577" s="114"/>
      <c r="AJ577" s="114"/>
      <c r="AK577" s="114"/>
    </row>
    <row r="578" ht="15.75" customHeight="1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  <c r="AA578" s="114"/>
      <c r="AB578" s="114"/>
      <c r="AC578" s="114"/>
      <c r="AD578" s="114"/>
      <c r="AE578" s="114"/>
      <c r="AF578" s="114"/>
      <c r="AG578" s="114"/>
      <c r="AH578" s="114"/>
      <c r="AI578" s="114"/>
      <c r="AJ578" s="114"/>
      <c r="AK578" s="114"/>
    </row>
    <row r="579" ht="15.75" customHeight="1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  <c r="AA579" s="114"/>
      <c r="AB579" s="114"/>
      <c r="AC579" s="114"/>
      <c r="AD579" s="114"/>
      <c r="AE579" s="114"/>
      <c r="AF579" s="114"/>
      <c r="AG579" s="114"/>
      <c r="AH579" s="114"/>
      <c r="AI579" s="114"/>
      <c r="AJ579" s="114"/>
      <c r="AK579" s="114"/>
    </row>
    <row r="580" ht="15.75" customHeight="1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  <c r="AA580" s="114"/>
      <c r="AB580" s="114"/>
      <c r="AC580" s="114"/>
      <c r="AD580" s="114"/>
      <c r="AE580" s="114"/>
      <c r="AF580" s="114"/>
      <c r="AG580" s="114"/>
      <c r="AH580" s="114"/>
      <c r="AI580" s="114"/>
      <c r="AJ580" s="114"/>
      <c r="AK580" s="114"/>
    </row>
    <row r="581" ht="15.75" customHeight="1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  <c r="AA581" s="114"/>
      <c r="AB581" s="114"/>
      <c r="AC581" s="114"/>
      <c r="AD581" s="114"/>
      <c r="AE581" s="114"/>
      <c r="AF581" s="114"/>
      <c r="AG581" s="114"/>
      <c r="AH581" s="114"/>
      <c r="AI581" s="114"/>
      <c r="AJ581" s="114"/>
      <c r="AK581" s="114"/>
    </row>
    <row r="582" ht="15.75" customHeight="1">
      <c r="A582" s="114"/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  <c r="AA582" s="114"/>
      <c r="AB582" s="114"/>
      <c r="AC582" s="114"/>
      <c r="AD582" s="114"/>
      <c r="AE582" s="114"/>
      <c r="AF582" s="114"/>
      <c r="AG582" s="114"/>
      <c r="AH582" s="114"/>
      <c r="AI582" s="114"/>
      <c r="AJ582" s="114"/>
      <c r="AK582" s="114"/>
    </row>
    <row r="583" ht="15.75" customHeight="1">
      <c r="A583" s="114"/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  <c r="AA583" s="114"/>
      <c r="AB583" s="114"/>
      <c r="AC583" s="114"/>
      <c r="AD583" s="114"/>
      <c r="AE583" s="114"/>
      <c r="AF583" s="114"/>
      <c r="AG583" s="114"/>
      <c r="AH583" s="114"/>
      <c r="AI583" s="114"/>
      <c r="AJ583" s="114"/>
      <c r="AK583" s="114"/>
    </row>
    <row r="584" ht="15.75" customHeight="1">
      <c r="A584" s="114"/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  <c r="AA584" s="114"/>
      <c r="AB584" s="114"/>
      <c r="AC584" s="114"/>
      <c r="AD584" s="114"/>
      <c r="AE584" s="114"/>
      <c r="AF584" s="114"/>
      <c r="AG584" s="114"/>
      <c r="AH584" s="114"/>
      <c r="AI584" s="114"/>
      <c r="AJ584" s="114"/>
      <c r="AK584" s="114"/>
    </row>
    <row r="585" ht="15.75" customHeight="1">
      <c r="A585" s="114"/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  <c r="AA585" s="114"/>
      <c r="AB585" s="114"/>
      <c r="AC585" s="114"/>
      <c r="AD585" s="114"/>
      <c r="AE585" s="114"/>
      <c r="AF585" s="114"/>
      <c r="AG585" s="114"/>
      <c r="AH585" s="114"/>
      <c r="AI585" s="114"/>
      <c r="AJ585" s="114"/>
      <c r="AK585" s="114"/>
    </row>
    <row r="586" ht="15.75" customHeight="1">
      <c r="A586" s="114"/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  <c r="AA586" s="114"/>
      <c r="AB586" s="114"/>
      <c r="AC586" s="114"/>
      <c r="AD586" s="114"/>
      <c r="AE586" s="114"/>
      <c r="AF586" s="114"/>
      <c r="AG586" s="114"/>
      <c r="AH586" s="114"/>
      <c r="AI586" s="114"/>
      <c r="AJ586" s="114"/>
      <c r="AK586" s="114"/>
    </row>
    <row r="587" ht="15.75" customHeight="1">
      <c r="A587" s="114"/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  <c r="AA587" s="114"/>
      <c r="AB587" s="114"/>
      <c r="AC587" s="114"/>
      <c r="AD587" s="114"/>
      <c r="AE587" s="114"/>
      <c r="AF587" s="114"/>
      <c r="AG587" s="114"/>
      <c r="AH587" s="114"/>
      <c r="AI587" s="114"/>
      <c r="AJ587" s="114"/>
      <c r="AK587" s="114"/>
    </row>
    <row r="588" ht="15.75" customHeight="1">
      <c r="A588" s="114"/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  <c r="AA588" s="114"/>
      <c r="AB588" s="114"/>
      <c r="AC588" s="114"/>
      <c r="AD588" s="114"/>
      <c r="AE588" s="114"/>
      <c r="AF588" s="114"/>
      <c r="AG588" s="114"/>
      <c r="AH588" s="114"/>
      <c r="AI588" s="114"/>
      <c r="AJ588" s="114"/>
      <c r="AK588" s="114"/>
    </row>
    <row r="589" ht="15.75" customHeight="1">
      <c r="A589" s="114"/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  <c r="AA589" s="114"/>
      <c r="AB589" s="114"/>
      <c r="AC589" s="114"/>
      <c r="AD589" s="114"/>
      <c r="AE589" s="114"/>
      <c r="AF589" s="114"/>
      <c r="AG589" s="114"/>
      <c r="AH589" s="114"/>
      <c r="AI589" s="114"/>
      <c r="AJ589" s="114"/>
      <c r="AK589" s="114"/>
    </row>
    <row r="590" ht="15.75" customHeight="1">
      <c r="A590" s="114"/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  <c r="AA590" s="114"/>
      <c r="AB590" s="114"/>
      <c r="AC590" s="114"/>
      <c r="AD590" s="114"/>
      <c r="AE590" s="114"/>
      <c r="AF590" s="114"/>
      <c r="AG590" s="114"/>
      <c r="AH590" s="114"/>
      <c r="AI590" s="114"/>
      <c r="AJ590" s="114"/>
      <c r="AK590" s="114"/>
    </row>
    <row r="591" ht="15.75" customHeight="1">
      <c r="A591" s="114"/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  <c r="AA591" s="114"/>
      <c r="AB591" s="114"/>
      <c r="AC591" s="114"/>
      <c r="AD591" s="114"/>
      <c r="AE591" s="114"/>
      <c r="AF591" s="114"/>
      <c r="AG591" s="114"/>
      <c r="AH591" s="114"/>
      <c r="AI591" s="114"/>
      <c r="AJ591" s="114"/>
      <c r="AK591" s="114"/>
    </row>
    <row r="592" ht="15.75" customHeight="1">
      <c r="A592" s="114"/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  <c r="AA592" s="114"/>
      <c r="AB592" s="114"/>
      <c r="AC592" s="114"/>
      <c r="AD592" s="114"/>
      <c r="AE592" s="114"/>
      <c r="AF592" s="114"/>
      <c r="AG592" s="114"/>
      <c r="AH592" s="114"/>
      <c r="AI592" s="114"/>
      <c r="AJ592" s="114"/>
      <c r="AK592" s="114"/>
    </row>
    <row r="593" ht="15.75" customHeight="1">
      <c r="A593" s="114"/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  <c r="AA593" s="114"/>
      <c r="AB593" s="114"/>
      <c r="AC593" s="114"/>
      <c r="AD593" s="114"/>
      <c r="AE593" s="114"/>
      <c r="AF593" s="114"/>
      <c r="AG593" s="114"/>
      <c r="AH593" s="114"/>
      <c r="AI593" s="114"/>
      <c r="AJ593" s="114"/>
      <c r="AK593" s="114"/>
    </row>
    <row r="594" ht="15.75" customHeight="1">
      <c r="A594" s="114"/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  <c r="AA594" s="114"/>
      <c r="AB594" s="114"/>
      <c r="AC594" s="114"/>
      <c r="AD594" s="114"/>
      <c r="AE594" s="114"/>
      <c r="AF594" s="114"/>
      <c r="AG594" s="114"/>
      <c r="AH594" s="114"/>
      <c r="AI594" s="114"/>
      <c r="AJ594" s="114"/>
      <c r="AK594" s="114"/>
    </row>
    <row r="595" ht="15.75" customHeight="1">
      <c r="A595" s="114"/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  <c r="AA595" s="114"/>
      <c r="AB595" s="114"/>
      <c r="AC595" s="114"/>
      <c r="AD595" s="114"/>
      <c r="AE595" s="114"/>
      <c r="AF595" s="114"/>
      <c r="AG595" s="114"/>
      <c r="AH595" s="114"/>
      <c r="AI595" s="114"/>
      <c r="AJ595" s="114"/>
      <c r="AK595" s="114"/>
    </row>
    <row r="596" ht="15.75" customHeight="1">
      <c r="A596" s="114"/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  <c r="AA596" s="114"/>
      <c r="AB596" s="114"/>
      <c r="AC596" s="114"/>
      <c r="AD596" s="114"/>
      <c r="AE596" s="114"/>
      <c r="AF596" s="114"/>
      <c r="AG596" s="114"/>
      <c r="AH596" s="114"/>
      <c r="AI596" s="114"/>
      <c r="AJ596" s="114"/>
      <c r="AK596" s="114"/>
    </row>
    <row r="597" ht="15.75" customHeight="1">
      <c r="A597" s="114"/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  <c r="AA597" s="114"/>
      <c r="AB597" s="114"/>
      <c r="AC597" s="114"/>
      <c r="AD597" s="114"/>
      <c r="AE597" s="114"/>
      <c r="AF597" s="114"/>
      <c r="AG597" s="114"/>
      <c r="AH597" s="114"/>
      <c r="AI597" s="114"/>
      <c r="AJ597" s="114"/>
      <c r="AK597" s="114"/>
    </row>
    <row r="598" ht="15.75" customHeight="1">
      <c r="A598" s="114"/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  <c r="AA598" s="114"/>
      <c r="AB598" s="114"/>
      <c r="AC598" s="114"/>
      <c r="AD598" s="114"/>
      <c r="AE598" s="114"/>
      <c r="AF598" s="114"/>
      <c r="AG598" s="114"/>
      <c r="AH598" s="114"/>
      <c r="AI598" s="114"/>
      <c r="AJ598" s="114"/>
      <c r="AK598" s="114"/>
    </row>
    <row r="599" ht="15.75" customHeight="1">
      <c r="A599" s="114"/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  <c r="AA599" s="114"/>
      <c r="AB599" s="114"/>
      <c r="AC599" s="114"/>
      <c r="AD599" s="114"/>
      <c r="AE599" s="114"/>
      <c r="AF599" s="114"/>
      <c r="AG599" s="114"/>
      <c r="AH599" s="114"/>
      <c r="AI599" s="114"/>
      <c r="AJ599" s="114"/>
      <c r="AK599" s="114"/>
    </row>
    <row r="600" ht="15.75" customHeight="1">
      <c r="A600" s="114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  <c r="AA600" s="114"/>
      <c r="AB600" s="114"/>
      <c r="AC600" s="114"/>
      <c r="AD600" s="114"/>
      <c r="AE600" s="114"/>
      <c r="AF600" s="114"/>
      <c r="AG600" s="114"/>
      <c r="AH600" s="114"/>
      <c r="AI600" s="114"/>
      <c r="AJ600" s="114"/>
      <c r="AK600" s="114"/>
    </row>
    <row r="601" ht="15.75" customHeight="1">
      <c r="A601" s="114"/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  <c r="AA601" s="114"/>
      <c r="AB601" s="114"/>
      <c r="AC601" s="114"/>
      <c r="AD601" s="114"/>
      <c r="AE601" s="114"/>
      <c r="AF601" s="114"/>
      <c r="AG601" s="114"/>
      <c r="AH601" s="114"/>
      <c r="AI601" s="114"/>
      <c r="AJ601" s="114"/>
      <c r="AK601" s="114"/>
    </row>
    <row r="602" ht="15.75" customHeight="1">
      <c r="A602" s="114"/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  <c r="AA602" s="114"/>
      <c r="AB602" s="114"/>
      <c r="AC602" s="114"/>
      <c r="AD602" s="114"/>
      <c r="AE602" s="114"/>
      <c r="AF602" s="114"/>
      <c r="AG602" s="114"/>
      <c r="AH602" s="114"/>
      <c r="AI602" s="114"/>
      <c r="AJ602" s="114"/>
      <c r="AK602" s="114"/>
    </row>
    <row r="603" ht="15.75" customHeight="1">
      <c r="A603" s="114"/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  <c r="AA603" s="114"/>
      <c r="AB603" s="114"/>
      <c r="AC603" s="114"/>
      <c r="AD603" s="114"/>
      <c r="AE603" s="114"/>
      <c r="AF603" s="114"/>
      <c r="AG603" s="114"/>
      <c r="AH603" s="114"/>
      <c r="AI603" s="114"/>
      <c r="AJ603" s="114"/>
      <c r="AK603" s="114"/>
    </row>
    <row r="604" ht="15.75" customHeight="1">
      <c r="A604" s="114"/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  <c r="AA604" s="114"/>
      <c r="AB604" s="114"/>
      <c r="AC604" s="114"/>
      <c r="AD604" s="114"/>
      <c r="AE604" s="114"/>
      <c r="AF604" s="114"/>
      <c r="AG604" s="114"/>
      <c r="AH604" s="114"/>
      <c r="AI604" s="114"/>
      <c r="AJ604" s="114"/>
      <c r="AK604" s="114"/>
    </row>
    <row r="605" ht="15.75" customHeight="1">
      <c r="A605" s="114"/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  <c r="AA605" s="114"/>
      <c r="AB605" s="114"/>
      <c r="AC605" s="114"/>
      <c r="AD605" s="114"/>
      <c r="AE605" s="114"/>
      <c r="AF605" s="114"/>
      <c r="AG605" s="114"/>
      <c r="AH605" s="114"/>
      <c r="AI605" s="114"/>
      <c r="AJ605" s="114"/>
      <c r="AK605" s="114"/>
    </row>
    <row r="606" ht="15.75" customHeight="1">
      <c r="A606" s="114"/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  <c r="AA606" s="114"/>
      <c r="AB606" s="114"/>
      <c r="AC606" s="114"/>
      <c r="AD606" s="114"/>
      <c r="AE606" s="114"/>
      <c r="AF606" s="114"/>
      <c r="AG606" s="114"/>
      <c r="AH606" s="114"/>
      <c r="AI606" s="114"/>
      <c r="AJ606" s="114"/>
      <c r="AK606" s="114"/>
    </row>
    <row r="607" ht="15.75" customHeight="1">
      <c r="A607" s="114"/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  <c r="AA607" s="114"/>
      <c r="AB607" s="114"/>
      <c r="AC607" s="114"/>
      <c r="AD607" s="114"/>
      <c r="AE607" s="114"/>
      <c r="AF607" s="114"/>
      <c r="AG607" s="114"/>
      <c r="AH607" s="114"/>
      <c r="AI607" s="114"/>
      <c r="AJ607" s="114"/>
      <c r="AK607" s="114"/>
    </row>
    <row r="608" ht="15.75" customHeight="1">
      <c r="A608" s="114"/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  <c r="AA608" s="114"/>
      <c r="AB608" s="114"/>
      <c r="AC608" s="114"/>
      <c r="AD608" s="114"/>
      <c r="AE608" s="114"/>
      <c r="AF608" s="114"/>
      <c r="AG608" s="114"/>
      <c r="AH608" s="114"/>
      <c r="AI608" s="114"/>
      <c r="AJ608" s="114"/>
      <c r="AK608" s="114"/>
    </row>
    <row r="609" ht="15.75" customHeight="1">
      <c r="A609" s="114"/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  <c r="AA609" s="114"/>
      <c r="AB609" s="114"/>
      <c r="AC609" s="114"/>
      <c r="AD609" s="114"/>
      <c r="AE609" s="114"/>
      <c r="AF609" s="114"/>
      <c r="AG609" s="114"/>
      <c r="AH609" s="114"/>
      <c r="AI609" s="114"/>
      <c r="AJ609" s="114"/>
      <c r="AK609" s="114"/>
    </row>
    <row r="610" ht="15.75" customHeight="1">
      <c r="A610" s="114"/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  <c r="AA610" s="114"/>
      <c r="AB610" s="114"/>
      <c r="AC610" s="114"/>
      <c r="AD610" s="114"/>
      <c r="AE610" s="114"/>
      <c r="AF610" s="114"/>
      <c r="AG610" s="114"/>
      <c r="AH610" s="114"/>
      <c r="AI610" s="114"/>
      <c r="AJ610" s="114"/>
      <c r="AK610" s="114"/>
    </row>
    <row r="611" ht="15.75" customHeight="1">
      <c r="A611" s="114"/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  <c r="AA611" s="114"/>
      <c r="AB611" s="114"/>
      <c r="AC611" s="114"/>
      <c r="AD611" s="114"/>
      <c r="AE611" s="114"/>
      <c r="AF611" s="114"/>
      <c r="AG611" s="114"/>
      <c r="AH611" s="114"/>
      <c r="AI611" s="114"/>
      <c r="AJ611" s="114"/>
      <c r="AK611" s="114"/>
    </row>
    <row r="612" ht="15.75" customHeight="1">
      <c r="A612" s="114"/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  <c r="AA612" s="114"/>
      <c r="AB612" s="114"/>
      <c r="AC612" s="114"/>
      <c r="AD612" s="114"/>
      <c r="AE612" s="114"/>
      <c r="AF612" s="114"/>
      <c r="AG612" s="114"/>
      <c r="AH612" s="114"/>
      <c r="AI612" s="114"/>
      <c r="AJ612" s="114"/>
      <c r="AK612" s="114"/>
    </row>
    <row r="613" ht="15.75" customHeight="1">
      <c r="A613" s="114"/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  <c r="AA613" s="114"/>
      <c r="AB613" s="114"/>
      <c r="AC613" s="114"/>
      <c r="AD613" s="114"/>
      <c r="AE613" s="114"/>
      <c r="AF613" s="114"/>
      <c r="AG613" s="114"/>
      <c r="AH613" s="114"/>
      <c r="AI613" s="114"/>
      <c r="AJ613" s="114"/>
      <c r="AK613" s="114"/>
    </row>
    <row r="614" ht="15.75" customHeight="1">
      <c r="A614" s="114"/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  <c r="AA614" s="114"/>
      <c r="AB614" s="114"/>
      <c r="AC614" s="114"/>
      <c r="AD614" s="114"/>
      <c r="AE614" s="114"/>
      <c r="AF614" s="114"/>
      <c r="AG614" s="114"/>
      <c r="AH614" s="114"/>
      <c r="AI614" s="114"/>
      <c r="AJ614" s="114"/>
      <c r="AK614" s="114"/>
    </row>
    <row r="615" ht="15.75" customHeight="1">
      <c r="A615" s="114"/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  <c r="AA615" s="114"/>
      <c r="AB615" s="114"/>
      <c r="AC615" s="114"/>
      <c r="AD615" s="114"/>
      <c r="AE615" s="114"/>
      <c r="AF615" s="114"/>
      <c r="AG615" s="114"/>
      <c r="AH615" s="114"/>
      <c r="AI615" s="114"/>
      <c r="AJ615" s="114"/>
      <c r="AK615" s="114"/>
    </row>
    <row r="616" ht="15.75" customHeight="1">
      <c r="A616" s="114"/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  <c r="AA616" s="114"/>
      <c r="AB616" s="114"/>
      <c r="AC616" s="114"/>
      <c r="AD616" s="114"/>
      <c r="AE616" s="114"/>
      <c r="AF616" s="114"/>
      <c r="AG616" s="114"/>
      <c r="AH616" s="114"/>
      <c r="AI616" s="114"/>
      <c r="AJ616" s="114"/>
      <c r="AK616" s="114"/>
    </row>
    <row r="617" ht="15.75" customHeight="1">
      <c r="A617" s="114"/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  <c r="AA617" s="114"/>
      <c r="AB617" s="114"/>
      <c r="AC617" s="114"/>
      <c r="AD617" s="114"/>
      <c r="AE617" s="114"/>
      <c r="AF617" s="114"/>
      <c r="AG617" s="114"/>
      <c r="AH617" s="114"/>
      <c r="AI617" s="114"/>
      <c r="AJ617" s="114"/>
      <c r="AK617" s="114"/>
    </row>
    <row r="618" ht="15.75" customHeight="1">
      <c r="A618" s="114"/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  <c r="AA618" s="114"/>
      <c r="AB618" s="114"/>
      <c r="AC618" s="114"/>
      <c r="AD618" s="114"/>
      <c r="AE618" s="114"/>
      <c r="AF618" s="114"/>
      <c r="AG618" s="114"/>
      <c r="AH618" s="114"/>
      <c r="AI618" s="114"/>
      <c r="AJ618" s="114"/>
      <c r="AK618" s="114"/>
    </row>
    <row r="619" ht="15.75" customHeight="1">
      <c r="A619" s="114"/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  <c r="AA619" s="114"/>
      <c r="AB619" s="114"/>
      <c r="AC619" s="114"/>
      <c r="AD619" s="114"/>
      <c r="AE619" s="114"/>
      <c r="AF619" s="114"/>
      <c r="AG619" s="114"/>
      <c r="AH619" s="114"/>
      <c r="AI619" s="114"/>
      <c r="AJ619" s="114"/>
      <c r="AK619" s="114"/>
    </row>
    <row r="620" ht="15.75" customHeight="1">
      <c r="A620" s="114"/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  <c r="AA620" s="114"/>
      <c r="AB620" s="114"/>
      <c r="AC620" s="114"/>
      <c r="AD620" s="114"/>
      <c r="AE620" s="114"/>
      <c r="AF620" s="114"/>
      <c r="AG620" s="114"/>
      <c r="AH620" s="114"/>
      <c r="AI620" s="114"/>
      <c r="AJ620" s="114"/>
      <c r="AK620" s="114"/>
    </row>
    <row r="621" ht="15.75" customHeight="1">
      <c r="A621" s="114"/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  <c r="AA621" s="114"/>
      <c r="AB621" s="114"/>
      <c r="AC621" s="114"/>
      <c r="AD621" s="114"/>
      <c r="AE621" s="114"/>
      <c r="AF621" s="114"/>
      <c r="AG621" s="114"/>
      <c r="AH621" s="114"/>
      <c r="AI621" s="114"/>
      <c r="AJ621" s="114"/>
      <c r="AK621" s="114"/>
    </row>
    <row r="622" ht="15.75" customHeight="1">
      <c r="A622" s="114"/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  <c r="AA622" s="114"/>
      <c r="AB622" s="114"/>
      <c r="AC622" s="114"/>
      <c r="AD622" s="114"/>
      <c r="AE622" s="114"/>
      <c r="AF622" s="114"/>
      <c r="AG622" s="114"/>
      <c r="AH622" s="114"/>
      <c r="AI622" s="114"/>
      <c r="AJ622" s="114"/>
      <c r="AK622" s="114"/>
    </row>
    <row r="623" ht="15.75" customHeight="1">
      <c r="A623" s="114"/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  <c r="AA623" s="114"/>
      <c r="AB623" s="114"/>
      <c r="AC623" s="114"/>
      <c r="AD623" s="114"/>
      <c r="AE623" s="114"/>
      <c r="AF623" s="114"/>
      <c r="AG623" s="114"/>
      <c r="AH623" s="114"/>
      <c r="AI623" s="114"/>
      <c r="AJ623" s="114"/>
      <c r="AK623" s="114"/>
    </row>
    <row r="624" ht="15.75" customHeight="1">
      <c r="A624" s="114"/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  <c r="AA624" s="114"/>
      <c r="AB624" s="114"/>
      <c r="AC624" s="114"/>
      <c r="AD624" s="114"/>
      <c r="AE624" s="114"/>
      <c r="AF624" s="114"/>
      <c r="AG624" s="114"/>
      <c r="AH624" s="114"/>
      <c r="AI624" s="114"/>
      <c r="AJ624" s="114"/>
      <c r="AK624" s="114"/>
    </row>
    <row r="625" ht="15.75" customHeight="1">
      <c r="A625" s="114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  <c r="AA625" s="114"/>
      <c r="AB625" s="114"/>
      <c r="AC625" s="114"/>
      <c r="AD625" s="114"/>
      <c r="AE625" s="114"/>
      <c r="AF625" s="114"/>
      <c r="AG625" s="114"/>
      <c r="AH625" s="114"/>
      <c r="AI625" s="114"/>
      <c r="AJ625" s="114"/>
      <c r="AK625" s="114"/>
    </row>
    <row r="626" ht="15.75" customHeight="1">
      <c r="A626" s="114"/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  <c r="AA626" s="114"/>
      <c r="AB626" s="114"/>
      <c r="AC626" s="114"/>
      <c r="AD626" s="114"/>
      <c r="AE626" s="114"/>
      <c r="AF626" s="114"/>
      <c r="AG626" s="114"/>
      <c r="AH626" s="114"/>
      <c r="AI626" s="114"/>
      <c r="AJ626" s="114"/>
      <c r="AK626" s="114"/>
    </row>
    <row r="627" ht="15.75" customHeight="1">
      <c r="A627" s="114"/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  <c r="AA627" s="114"/>
      <c r="AB627" s="114"/>
      <c r="AC627" s="114"/>
      <c r="AD627" s="114"/>
      <c r="AE627" s="114"/>
      <c r="AF627" s="114"/>
      <c r="AG627" s="114"/>
      <c r="AH627" s="114"/>
      <c r="AI627" s="114"/>
      <c r="AJ627" s="114"/>
      <c r="AK627" s="114"/>
    </row>
    <row r="628" ht="15.75" customHeight="1">
      <c r="A628" s="114"/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  <c r="AA628" s="114"/>
      <c r="AB628" s="114"/>
      <c r="AC628" s="114"/>
      <c r="AD628" s="114"/>
      <c r="AE628" s="114"/>
      <c r="AF628" s="114"/>
      <c r="AG628" s="114"/>
      <c r="AH628" s="114"/>
      <c r="AI628" s="114"/>
      <c r="AJ628" s="114"/>
      <c r="AK628" s="114"/>
    </row>
    <row r="629" ht="15.75" customHeight="1">
      <c r="A629" s="114"/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  <c r="AA629" s="114"/>
      <c r="AB629" s="114"/>
      <c r="AC629" s="114"/>
      <c r="AD629" s="114"/>
      <c r="AE629" s="114"/>
      <c r="AF629" s="114"/>
      <c r="AG629" s="114"/>
      <c r="AH629" s="114"/>
      <c r="AI629" s="114"/>
      <c r="AJ629" s="114"/>
      <c r="AK629" s="114"/>
    </row>
    <row r="630" ht="15.75" customHeight="1">
      <c r="A630" s="114"/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  <c r="AA630" s="114"/>
      <c r="AB630" s="114"/>
      <c r="AC630" s="114"/>
      <c r="AD630" s="114"/>
      <c r="AE630" s="114"/>
      <c r="AF630" s="114"/>
      <c r="AG630" s="114"/>
      <c r="AH630" s="114"/>
      <c r="AI630" s="114"/>
      <c r="AJ630" s="114"/>
      <c r="AK630" s="114"/>
    </row>
    <row r="631" ht="15.75" customHeight="1">
      <c r="A631" s="114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  <c r="AA631" s="114"/>
      <c r="AB631" s="114"/>
      <c r="AC631" s="114"/>
      <c r="AD631" s="114"/>
      <c r="AE631" s="114"/>
      <c r="AF631" s="114"/>
      <c r="AG631" s="114"/>
      <c r="AH631" s="114"/>
      <c r="AI631" s="114"/>
      <c r="AJ631" s="114"/>
      <c r="AK631" s="114"/>
    </row>
    <row r="632" ht="15.75" customHeight="1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  <c r="AA632" s="114"/>
      <c r="AB632" s="114"/>
      <c r="AC632" s="114"/>
      <c r="AD632" s="114"/>
      <c r="AE632" s="114"/>
      <c r="AF632" s="114"/>
      <c r="AG632" s="114"/>
      <c r="AH632" s="114"/>
      <c r="AI632" s="114"/>
      <c r="AJ632" s="114"/>
      <c r="AK632" s="114"/>
    </row>
    <row r="633" ht="15.75" customHeight="1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  <c r="AA633" s="114"/>
      <c r="AB633" s="114"/>
      <c r="AC633" s="114"/>
      <c r="AD633" s="114"/>
      <c r="AE633" s="114"/>
      <c r="AF633" s="114"/>
      <c r="AG633" s="114"/>
      <c r="AH633" s="114"/>
      <c r="AI633" s="114"/>
      <c r="AJ633" s="114"/>
      <c r="AK633" s="114"/>
    </row>
    <row r="634" ht="15.75" customHeight="1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  <c r="AA634" s="114"/>
      <c r="AB634" s="114"/>
      <c r="AC634" s="114"/>
      <c r="AD634" s="114"/>
      <c r="AE634" s="114"/>
      <c r="AF634" s="114"/>
      <c r="AG634" s="114"/>
      <c r="AH634" s="114"/>
      <c r="AI634" s="114"/>
      <c r="AJ634" s="114"/>
      <c r="AK634" s="114"/>
    </row>
    <row r="635" ht="15.75" customHeight="1">
      <c r="A635" s="114"/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  <c r="AA635" s="114"/>
      <c r="AB635" s="114"/>
      <c r="AC635" s="114"/>
      <c r="AD635" s="114"/>
      <c r="AE635" s="114"/>
      <c r="AF635" s="114"/>
      <c r="AG635" s="114"/>
      <c r="AH635" s="114"/>
      <c r="AI635" s="114"/>
      <c r="AJ635" s="114"/>
      <c r="AK635" s="114"/>
    </row>
    <row r="636" ht="15.75" customHeight="1">
      <c r="A636" s="114"/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  <c r="AA636" s="114"/>
      <c r="AB636" s="114"/>
      <c r="AC636" s="114"/>
      <c r="AD636" s="114"/>
      <c r="AE636" s="114"/>
      <c r="AF636" s="114"/>
      <c r="AG636" s="114"/>
      <c r="AH636" s="114"/>
      <c r="AI636" s="114"/>
      <c r="AJ636" s="114"/>
      <c r="AK636" s="114"/>
    </row>
    <row r="637" ht="15.75" customHeight="1">
      <c r="A637" s="114"/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  <c r="AA637" s="114"/>
      <c r="AB637" s="114"/>
      <c r="AC637" s="114"/>
      <c r="AD637" s="114"/>
      <c r="AE637" s="114"/>
      <c r="AF637" s="114"/>
      <c r="AG637" s="114"/>
      <c r="AH637" s="114"/>
      <c r="AI637" s="114"/>
      <c r="AJ637" s="114"/>
      <c r="AK637" s="114"/>
    </row>
    <row r="638" ht="15.75" customHeight="1">
      <c r="A638" s="114"/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  <c r="AA638" s="114"/>
      <c r="AB638" s="114"/>
      <c r="AC638" s="114"/>
      <c r="AD638" s="114"/>
      <c r="AE638" s="114"/>
      <c r="AF638" s="114"/>
      <c r="AG638" s="114"/>
      <c r="AH638" s="114"/>
      <c r="AI638" s="114"/>
      <c r="AJ638" s="114"/>
      <c r="AK638" s="114"/>
    </row>
    <row r="639" ht="15.75" customHeight="1">
      <c r="A639" s="114"/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  <c r="AA639" s="114"/>
      <c r="AB639" s="114"/>
      <c r="AC639" s="114"/>
      <c r="AD639" s="114"/>
      <c r="AE639" s="114"/>
      <c r="AF639" s="114"/>
      <c r="AG639" s="114"/>
      <c r="AH639" s="114"/>
      <c r="AI639" s="114"/>
      <c r="AJ639" s="114"/>
      <c r="AK639" s="114"/>
    </row>
    <row r="640" ht="15.75" customHeight="1">
      <c r="A640" s="114"/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  <c r="AA640" s="114"/>
      <c r="AB640" s="114"/>
      <c r="AC640" s="114"/>
      <c r="AD640" s="114"/>
      <c r="AE640" s="114"/>
      <c r="AF640" s="114"/>
      <c r="AG640" s="114"/>
      <c r="AH640" s="114"/>
      <c r="AI640" s="114"/>
      <c r="AJ640" s="114"/>
      <c r="AK640" s="114"/>
    </row>
    <row r="641" ht="15.75" customHeight="1">
      <c r="A641" s="114"/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  <c r="AA641" s="114"/>
      <c r="AB641" s="114"/>
      <c r="AC641" s="114"/>
      <c r="AD641" s="114"/>
      <c r="AE641" s="114"/>
      <c r="AF641" s="114"/>
      <c r="AG641" s="114"/>
      <c r="AH641" s="114"/>
      <c r="AI641" s="114"/>
      <c r="AJ641" s="114"/>
      <c r="AK641" s="114"/>
    </row>
    <row r="642" ht="15.75" customHeight="1">
      <c r="A642" s="114"/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  <c r="AA642" s="114"/>
      <c r="AB642" s="114"/>
      <c r="AC642" s="114"/>
      <c r="AD642" s="114"/>
      <c r="AE642" s="114"/>
      <c r="AF642" s="114"/>
      <c r="AG642" s="114"/>
      <c r="AH642" s="114"/>
      <c r="AI642" s="114"/>
      <c r="AJ642" s="114"/>
      <c r="AK642" s="114"/>
    </row>
    <row r="643" ht="15.75" customHeight="1">
      <c r="A643" s="114"/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  <c r="AA643" s="114"/>
      <c r="AB643" s="114"/>
      <c r="AC643" s="114"/>
      <c r="AD643" s="114"/>
      <c r="AE643" s="114"/>
      <c r="AF643" s="114"/>
      <c r="AG643" s="114"/>
      <c r="AH643" s="114"/>
      <c r="AI643" s="114"/>
      <c r="AJ643" s="114"/>
      <c r="AK643" s="114"/>
    </row>
    <row r="644" ht="15.75" customHeight="1">
      <c r="A644" s="114"/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  <c r="AA644" s="114"/>
      <c r="AB644" s="114"/>
      <c r="AC644" s="114"/>
      <c r="AD644" s="114"/>
      <c r="AE644" s="114"/>
      <c r="AF644" s="114"/>
      <c r="AG644" s="114"/>
      <c r="AH644" s="114"/>
      <c r="AI644" s="114"/>
      <c r="AJ644" s="114"/>
      <c r="AK644" s="114"/>
    </row>
    <row r="645" ht="15.75" customHeight="1">
      <c r="A645" s="114"/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  <c r="AA645" s="114"/>
      <c r="AB645" s="114"/>
      <c r="AC645" s="114"/>
      <c r="AD645" s="114"/>
      <c r="AE645" s="114"/>
      <c r="AF645" s="114"/>
      <c r="AG645" s="114"/>
      <c r="AH645" s="114"/>
      <c r="AI645" s="114"/>
      <c r="AJ645" s="114"/>
      <c r="AK645" s="114"/>
    </row>
    <row r="646" ht="15.75" customHeight="1">
      <c r="A646" s="114"/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  <c r="AA646" s="114"/>
      <c r="AB646" s="114"/>
      <c r="AC646" s="114"/>
      <c r="AD646" s="114"/>
      <c r="AE646" s="114"/>
      <c r="AF646" s="114"/>
      <c r="AG646" s="114"/>
      <c r="AH646" s="114"/>
      <c r="AI646" s="114"/>
      <c r="AJ646" s="114"/>
      <c r="AK646" s="114"/>
    </row>
    <row r="647" ht="15.75" customHeight="1">
      <c r="A647" s="114"/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  <c r="AA647" s="114"/>
      <c r="AB647" s="114"/>
      <c r="AC647" s="114"/>
      <c r="AD647" s="114"/>
      <c r="AE647" s="114"/>
      <c r="AF647" s="114"/>
      <c r="AG647" s="114"/>
      <c r="AH647" s="114"/>
      <c r="AI647" s="114"/>
      <c r="AJ647" s="114"/>
      <c r="AK647" s="114"/>
    </row>
    <row r="648" ht="15.75" customHeight="1">
      <c r="A648" s="114"/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  <c r="AA648" s="114"/>
      <c r="AB648" s="114"/>
      <c r="AC648" s="114"/>
      <c r="AD648" s="114"/>
      <c r="AE648" s="114"/>
      <c r="AF648" s="114"/>
      <c r="AG648" s="114"/>
      <c r="AH648" s="114"/>
      <c r="AI648" s="114"/>
      <c r="AJ648" s="114"/>
      <c r="AK648" s="114"/>
    </row>
    <row r="649" ht="15.75" customHeight="1">
      <c r="A649" s="114"/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  <c r="AA649" s="114"/>
      <c r="AB649" s="114"/>
      <c r="AC649" s="114"/>
      <c r="AD649" s="114"/>
      <c r="AE649" s="114"/>
      <c r="AF649" s="114"/>
      <c r="AG649" s="114"/>
      <c r="AH649" s="114"/>
      <c r="AI649" s="114"/>
      <c r="AJ649" s="114"/>
      <c r="AK649" s="114"/>
    </row>
    <row r="650" ht="15.75" customHeight="1">
      <c r="A650" s="114"/>
      <c r="B650" s="114"/>
      <c r="C650" s="114"/>
      <c r="D650" s="114"/>
      <c r="E650" s="114"/>
      <c r="F650" s="114"/>
      <c r="G650" s="114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  <c r="AA650" s="114"/>
      <c r="AB650" s="114"/>
      <c r="AC650" s="114"/>
      <c r="AD650" s="114"/>
      <c r="AE650" s="114"/>
      <c r="AF650" s="114"/>
      <c r="AG650" s="114"/>
      <c r="AH650" s="114"/>
      <c r="AI650" s="114"/>
      <c r="AJ650" s="114"/>
      <c r="AK650" s="114"/>
    </row>
    <row r="651" ht="15.75" customHeight="1">
      <c r="A651" s="114"/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  <c r="AA651" s="114"/>
      <c r="AB651" s="114"/>
      <c r="AC651" s="114"/>
      <c r="AD651" s="114"/>
      <c r="AE651" s="114"/>
      <c r="AF651" s="114"/>
      <c r="AG651" s="114"/>
      <c r="AH651" s="114"/>
      <c r="AI651" s="114"/>
      <c r="AJ651" s="114"/>
      <c r="AK651" s="114"/>
    </row>
    <row r="652" ht="15.75" customHeight="1">
      <c r="A652" s="114"/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  <c r="AA652" s="114"/>
      <c r="AB652" s="114"/>
      <c r="AC652" s="114"/>
      <c r="AD652" s="114"/>
      <c r="AE652" s="114"/>
      <c r="AF652" s="114"/>
      <c r="AG652" s="114"/>
      <c r="AH652" s="114"/>
      <c r="AI652" s="114"/>
      <c r="AJ652" s="114"/>
      <c r="AK652" s="114"/>
    </row>
    <row r="653" ht="15.75" customHeight="1">
      <c r="A653" s="114"/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  <c r="AA653" s="114"/>
      <c r="AB653" s="114"/>
      <c r="AC653" s="114"/>
      <c r="AD653" s="114"/>
      <c r="AE653" s="114"/>
      <c r="AF653" s="114"/>
      <c r="AG653" s="114"/>
      <c r="AH653" s="114"/>
      <c r="AI653" s="114"/>
      <c r="AJ653" s="114"/>
      <c r="AK653" s="114"/>
    </row>
    <row r="654" ht="15.75" customHeight="1">
      <c r="A654" s="114"/>
      <c r="B654" s="114"/>
      <c r="C654" s="114"/>
      <c r="D654" s="114"/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  <c r="AA654" s="114"/>
      <c r="AB654" s="114"/>
      <c r="AC654" s="114"/>
      <c r="AD654" s="114"/>
      <c r="AE654" s="114"/>
      <c r="AF654" s="114"/>
      <c r="AG654" s="114"/>
      <c r="AH654" s="114"/>
      <c r="AI654" s="114"/>
      <c r="AJ654" s="114"/>
      <c r="AK654" s="114"/>
    </row>
    <row r="655" ht="15.75" customHeight="1">
      <c r="A655" s="114"/>
      <c r="B655" s="114"/>
      <c r="C655" s="114"/>
      <c r="D655" s="114"/>
      <c r="E655" s="114"/>
      <c r="F655" s="114"/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  <c r="AA655" s="114"/>
      <c r="AB655" s="114"/>
      <c r="AC655" s="114"/>
      <c r="AD655" s="114"/>
      <c r="AE655" s="114"/>
      <c r="AF655" s="114"/>
      <c r="AG655" s="114"/>
      <c r="AH655" s="114"/>
      <c r="AI655" s="114"/>
      <c r="AJ655" s="114"/>
      <c r="AK655" s="114"/>
    </row>
    <row r="656" ht="15.75" customHeight="1">
      <c r="A656" s="114"/>
      <c r="B656" s="114"/>
      <c r="C656" s="114"/>
      <c r="D656" s="114"/>
      <c r="E656" s="114"/>
      <c r="F656" s="114"/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  <c r="AA656" s="114"/>
      <c r="AB656" s="114"/>
      <c r="AC656" s="114"/>
      <c r="AD656" s="114"/>
      <c r="AE656" s="114"/>
      <c r="AF656" s="114"/>
      <c r="AG656" s="114"/>
      <c r="AH656" s="114"/>
      <c r="AI656" s="114"/>
      <c r="AJ656" s="114"/>
      <c r="AK656" s="114"/>
    </row>
    <row r="657" ht="15.75" customHeight="1">
      <c r="A657" s="114"/>
      <c r="B657" s="114"/>
      <c r="C657" s="114"/>
      <c r="D657" s="114"/>
      <c r="E657" s="114"/>
      <c r="F657" s="114"/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  <c r="AA657" s="114"/>
      <c r="AB657" s="114"/>
      <c r="AC657" s="114"/>
      <c r="AD657" s="114"/>
      <c r="AE657" s="114"/>
      <c r="AF657" s="114"/>
      <c r="AG657" s="114"/>
      <c r="AH657" s="114"/>
      <c r="AI657" s="114"/>
      <c r="AJ657" s="114"/>
      <c r="AK657" s="114"/>
    </row>
    <row r="658" ht="15.75" customHeight="1">
      <c r="A658" s="114"/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  <c r="AA658" s="114"/>
      <c r="AB658" s="114"/>
      <c r="AC658" s="114"/>
      <c r="AD658" s="114"/>
      <c r="AE658" s="114"/>
      <c r="AF658" s="114"/>
      <c r="AG658" s="114"/>
      <c r="AH658" s="114"/>
      <c r="AI658" s="114"/>
      <c r="AJ658" s="114"/>
      <c r="AK658" s="114"/>
    </row>
    <row r="659" ht="15.75" customHeight="1">
      <c r="A659" s="114"/>
      <c r="B659" s="114"/>
      <c r="C659" s="114"/>
      <c r="D659" s="114"/>
      <c r="E659" s="114"/>
      <c r="F659" s="114"/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  <c r="AA659" s="114"/>
      <c r="AB659" s="114"/>
      <c r="AC659" s="114"/>
      <c r="AD659" s="114"/>
      <c r="AE659" s="114"/>
      <c r="AF659" s="114"/>
      <c r="AG659" s="114"/>
      <c r="AH659" s="114"/>
      <c r="AI659" s="114"/>
      <c r="AJ659" s="114"/>
      <c r="AK659" s="114"/>
    </row>
    <row r="660" ht="15.75" customHeight="1">
      <c r="A660" s="114"/>
      <c r="B660" s="114"/>
      <c r="C660" s="114"/>
      <c r="D660" s="114"/>
      <c r="E660" s="114"/>
      <c r="F660" s="114"/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  <c r="AA660" s="114"/>
      <c r="AB660" s="114"/>
      <c r="AC660" s="114"/>
      <c r="AD660" s="114"/>
      <c r="AE660" s="114"/>
      <c r="AF660" s="114"/>
      <c r="AG660" s="114"/>
      <c r="AH660" s="114"/>
      <c r="AI660" s="114"/>
      <c r="AJ660" s="114"/>
      <c r="AK660" s="114"/>
    </row>
    <row r="661" ht="15.75" customHeight="1">
      <c r="A661" s="114"/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  <c r="AA661" s="114"/>
      <c r="AB661" s="114"/>
      <c r="AC661" s="114"/>
      <c r="AD661" s="114"/>
      <c r="AE661" s="114"/>
      <c r="AF661" s="114"/>
      <c r="AG661" s="114"/>
      <c r="AH661" s="114"/>
      <c r="AI661" s="114"/>
      <c r="AJ661" s="114"/>
      <c r="AK661" s="114"/>
    </row>
    <row r="662" ht="15.75" customHeight="1">
      <c r="A662" s="114"/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  <c r="AA662" s="114"/>
      <c r="AB662" s="114"/>
      <c r="AC662" s="114"/>
      <c r="AD662" s="114"/>
      <c r="AE662" s="114"/>
      <c r="AF662" s="114"/>
      <c r="AG662" s="114"/>
      <c r="AH662" s="114"/>
      <c r="AI662" s="114"/>
      <c r="AJ662" s="114"/>
      <c r="AK662" s="114"/>
    </row>
    <row r="663" ht="15.75" customHeight="1">
      <c r="A663" s="114"/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  <c r="AA663" s="114"/>
      <c r="AB663" s="114"/>
      <c r="AC663" s="114"/>
      <c r="AD663" s="114"/>
      <c r="AE663" s="114"/>
      <c r="AF663" s="114"/>
      <c r="AG663" s="114"/>
      <c r="AH663" s="114"/>
      <c r="AI663" s="114"/>
      <c r="AJ663" s="114"/>
      <c r="AK663" s="114"/>
    </row>
    <row r="664" ht="15.75" customHeight="1">
      <c r="A664" s="114"/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  <c r="AA664" s="114"/>
      <c r="AB664" s="114"/>
      <c r="AC664" s="114"/>
      <c r="AD664" s="114"/>
      <c r="AE664" s="114"/>
      <c r="AF664" s="114"/>
      <c r="AG664" s="114"/>
      <c r="AH664" s="114"/>
      <c r="AI664" s="114"/>
      <c r="AJ664" s="114"/>
      <c r="AK664" s="114"/>
    </row>
    <row r="665" ht="15.75" customHeight="1">
      <c r="A665" s="114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  <c r="AA665" s="114"/>
      <c r="AB665" s="114"/>
      <c r="AC665" s="114"/>
      <c r="AD665" s="114"/>
      <c r="AE665" s="114"/>
      <c r="AF665" s="114"/>
      <c r="AG665" s="114"/>
      <c r="AH665" s="114"/>
      <c r="AI665" s="114"/>
      <c r="AJ665" s="114"/>
      <c r="AK665" s="114"/>
    </row>
    <row r="666" ht="15.75" customHeight="1">
      <c r="A666" s="114"/>
      <c r="B666" s="114"/>
      <c r="C666" s="114"/>
      <c r="D666" s="114"/>
      <c r="E666" s="114"/>
      <c r="F666" s="114"/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  <c r="AA666" s="114"/>
      <c r="AB666" s="114"/>
      <c r="AC666" s="114"/>
      <c r="AD666" s="114"/>
      <c r="AE666" s="114"/>
      <c r="AF666" s="114"/>
      <c r="AG666" s="114"/>
      <c r="AH666" s="114"/>
      <c r="AI666" s="114"/>
      <c r="AJ666" s="114"/>
      <c r="AK666" s="114"/>
    </row>
    <row r="667" ht="15.75" customHeight="1">
      <c r="A667" s="114"/>
      <c r="B667" s="114"/>
      <c r="C667" s="114"/>
      <c r="D667" s="114"/>
      <c r="E667" s="114"/>
      <c r="F667" s="114"/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  <c r="AA667" s="114"/>
      <c r="AB667" s="114"/>
      <c r="AC667" s="114"/>
      <c r="AD667" s="114"/>
      <c r="AE667" s="114"/>
      <c r="AF667" s="114"/>
      <c r="AG667" s="114"/>
      <c r="AH667" s="114"/>
      <c r="AI667" s="114"/>
      <c r="AJ667" s="114"/>
      <c r="AK667" s="114"/>
    </row>
    <row r="668" ht="15.75" customHeight="1">
      <c r="A668" s="114"/>
      <c r="B668" s="114"/>
      <c r="C668" s="114"/>
      <c r="D668" s="114"/>
      <c r="E668" s="114"/>
      <c r="F668" s="114"/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  <c r="AA668" s="114"/>
      <c r="AB668" s="114"/>
      <c r="AC668" s="114"/>
      <c r="AD668" s="114"/>
      <c r="AE668" s="114"/>
      <c r="AF668" s="114"/>
      <c r="AG668" s="114"/>
      <c r="AH668" s="114"/>
      <c r="AI668" s="114"/>
      <c r="AJ668" s="114"/>
      <c r="AK668" s="114"/>
    </row>
    <row r="669" ht="15.75" customHeight="1">
      <c r="A669" s="114"/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  <c r="AA669" s="114"/>
      <c r="AB669" s="114"/>
      <c r="AC669" s="114"/>
      <c r="AD669" s="114"/>
      <c r="AE669" s="114"/>
      <c r="AF669" s="114"/>
      <c r="AG669" s="114"/>
      <c r="AH669" s="114"/>
      <c r="AI669" s="114"/>
      <c r="AJ669" s="114"/>
      <c r="AK669" s="114"/>
    </row>
    <row r="670" ht="15.75" customHeight="1">
      <c r="A670" s="114"/>
      <c r="B670" s="114"/>
      <c r="C670" s="114"/>
      <c r="D670" s="114"/>
      <c r="E670" s="114"/>
      <c r="F670" s="114"/>
      <c r="G670" s="114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  <c r="AA670" s="114"/>
      <c r="AB670" s="114"/>
      <c r="AC670" s="114"/>
      <c r="AD670" s="114"/>
      <c r="AE670" s="114"/>
      <c r="AF670" s="114"/>
      <c r="AG670" s="114"/>
      <c r="AH670" s="114"/>
      <c r="AI670" s="114"/>
      <c r="AJ670" s="114"/>
      <c r="AK670" s="114"/>
    </row>
    <row r="671" ht="15.75" customHeight="1">
      <c r="A671" s="114"/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4"/>
      <c r="X671" s="114"/>
      <c r="Y671" s="114"/>
      <c r="Z671" s="114"/>
      <c r="AA671" s="114"/>
      <c r="AB671" s="114"/>
      <c r="AC671" s="114"/>
      <c r="AD671" s="114"/>
      <c r="AE671" s="114"/>
      <c r="AF671" s="114"/>
      <c r="AG671" s="114"/>
      <c r="AH671" s="114"/>
      <c r="AI671" s="114"/>
      <c r="AJ671" s="114"/>
      <c r="AK671" s="114"/>
    </row>
    <row r="672" ht="15.75" customHeight="1">
      <c r="A672" s="114"/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  <c r="AA672" s="114"/>
      <c r="AB672" s="114"/>
      <c r="AC672" s="114"/>
      <c r="AD672" s="114"/>
      <c r="AE672" s="114"/>
      <c r="AF672" s="114"/>
      <c r="AG672" s="114"/>
      <c r="AH672" s="114"/>
      <c r="AI672" s="114"/>
      <c r="AJ672" s="114"/>
      <c r="AK672" s="114"/>
    </row>
    <row r="673" ht="15.75" customHeight="1">
      <c r="A673" s="114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  <c r="AA673" s="114"/>
      <c r="AB673" s="114"/>
      <c r="AC673" s="114"/>
      <c r="AD673" s="114"/>
      <c r="AE673" s="114"/>
      <c r="AF673" s="114"/>
      <c r="AG673" s="114"/>
      <c r="AH673" s="114"/>
      <c r="AI673" s="114"/>
      <c r="AJ673" s="114"/>
      <c r="AK673" s="114"/>
    </row>
    <row r="674" ht="15.75" customHeight="1">
      <c r="A674" s="114"/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  <c r="AA674" s="114"/>
      <c r="AB674" s="114"/>
      <c r="AC674" s="114"/>
      <c r="AD674" s="114"/>
      <c r="AE674" s="114"/>
      <c r="AF674" s="114"/>
      <c r="AG674" s="114"/>
      <c r="AH674" s="114"/>
      <c r="AI674" s="114"/>
      <c r="AJ674" s="114"/>
      <c r="AK674" s="114"/>
    </row>
    <row r="675" ht="15.75" customHeight="1">
      <c r="A675" s="114"/>
      <c r="B675" s="114"/>
      <c r="C675" s="114"/>
      <c r="D675" s="114"/>
      <c r="E675" s="114"/>
      <c r="F675" s="114"/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  <c r="AA675" s="114"/>
      <c r="AB675" s="114"/>
      <c r="AC675" s="114"/>
      <c r="AD675" s="114"/>
      <c r="AE675" s="114"/>
      <c r="AF675" s="114"/>
      <c r="AG675" s="114"/>
      <c r="AH675" s="114"/>
      <c r="AI675" s="114"/>
      <c r="AJ675" s="114"/>
      <c r="AK675" s="114"/>
    </row>
    <row r="676" ht="15.75" customHeight="1">
      <c r="A676" s="114"/>
      <c r="B676" s="114"/>
      <c r="C676" s="114"/>
      <c r="D676" s="114"/>
      <c r="E676" s="114"/>
      <c r="F676" s="114"/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  <c r="AA676" s="114"/>
      <c r="AB676" s="114"/>
      <c r="AC676" s="114"/>
      <c r="AD676" s="114"/>
      <c r="AE676" s="114"/>
      <c r="AF676" s="114"/>
      <c r="AG676" s="114"/>
      <c r="AH676" s="114"/>
      <c r="AI676" s="114"/>
      <c r="AJ676" s="114"/>
      <c r="AK676" s="114"/>
    </row>
    <row r="677" ht="15.75" customHeight="1">
      <c r="A677" s="114"/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  <c r="AA677" s="114"/>
      <c r="AB677" s="114"/>
      <c r="AC677" s="114"/>
      <c r="AD677" s="114"/>
      <c r="AE677" s="114"/>
      <c r="AF677" s="114"/>
      <c r="AG677" s="114"/>
      <c r="AH677" s="114"/>
      <c r="AI677" s="114"/>
      <c r="AJ677" s="114"/>
      <c r="AK677" s="114"/>
    </row>
    <row r="678" ht="15.75" customHeight="1">
      <c r="A678" s="114"/>
      <c r="B678" s="114"/>
      <c r="C678" s="114"/>
      <c r="D678" s="114"/>
      <c r="E678" s="114"/>
      <c r="F678" s="114"/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  <c r="AA678" s="114"/>
      <c r="AB678" s="114"/>
      <c r="AC678" s="114"/>
      <c r="AD678" s="114"/>
      <c r="AE678" s="114"/>
      <c r="AF678" s="114"/>
      <c r="AG678" s="114"/>
      <c r="AH678" s="114"/>
      <c r="AI678" s="114"/>
      <c r="AJ678" s="114"/>
      <c r="AK678" s="114"/>
    </row>
    <row r="679" ht="15.75" customHeight="1">
      <c r="A679" s="114"/>
      <c r="B679" s="114"/>
      <c r="C679" s="114"/>
      <c r="D679" s="114"/>
      <c r="E679" s="114"/>
      <c r="F679" s="114"/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  <c r="AA679" s="114"/>
      <c r="AB679" s="114"/>
      <c r="AC679" s="114"/>
      <c r="AD679" s="114"/>
      <c r="AE679" s="114"/>
      <c r="AF679" s="114"/>
      <c r="AG679" s="114"/>
      <c r="AH679" s="114"/>
      <c r="AI679" s="114"/>
      <c r="AJ679" s="114"/>
      <c r="AK679" s="114"/>
    </row>
    <row r="680" ht="15.75" customHeight="1">
      <c r="A680" s="114"/>
      <c r="B680" s="114"/>
      <c r="C680" s="114"/>
      <c r="D680" s="114"/>
      <c r="E680" s="114"/>
      <c r="F680" s="114"/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  <c r="AA680" s="114"/>
      <c r="AB680" s="114"/>
      <c r="AC680" s="114"/>
      <c r="AD680" s="114"/>
      <c r="AE680" s="114"/>
      <c r="AF680" s="114"/>
      <c r="AG680" s="114"/>
      <c r="AH680" s="114"/>
      <c r="AI680" s="114"/>
      <c r="AJ680" s="114"/>
      <c r="AK680" s="114"/>
    </row>
    <row r="681" ht="15.75" customHeight="1">
      <c r="A681" s="114"/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  <c r="AA681" s="114"/>
      <c r="AB681" s="114"/>
      <c r="AC681" s="114"/>
      <c r="AD681" s="114"/>
      <c r="AE681" s="114"/>
      <c r="AF681" s="114"/>
      <c r="AG681" s="114"/>
      <c r="AH681" s="114"/>
      <c r="AI681" s="114"/>
      <c r="AJ681" s="114"/>
      <c r="AK681" s="114"/>
    </row>
    <row r="682" ht="15.75" customHeight="1">
      <c r="A682" s="114"/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  <c r="AA682" s="114"/>
      <c r="AB682" s="114"/>
      <c r="AC682" s="114"/>
      <c r="AD682" s="114"/>
      <c r="AE682" s="114"/>
      <c r="AF682" s="114"/>
      <c r="AG682" s="114"/>
      <c r="AH682" s="114"/>
      <c r="AI682" s="114"/>
      <c r="AJ682" s="114"/>
      <c r="AK682" s="114"/>
    </row>
    <row r="683" ht="15.75" customHeight="1">
      <c r="A683" s="114"/>
      <c r="B683" s="114"/>
      <c r="C683" s="114"/>
      <c r="D683" s="114"/>
      <c r="E683" s="114"/>
      <c r="F683" s="114"/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  <c r="AA683" s="114"/>
      <c r="AB683" s="114"/>
      <c r="AC683" s="114"/>
      <c r="AD683" s="114"/>
      <c r="AE683" s="114"/>
      <c r="AF683" s="114"/>
      <c r="AG683" s="114"/>
      <c r="AH683" s="114"/>
      <c r="AI683" s="114"/>
      <c r="AJ683" s="114"/>
      <c r="AK683" s="114"/>
    </row>
    <row r="684" ht="15.75" customHeight="1">
      <c r="A684" s="114"/>
      <c r="B684" s="114"/>
      <c r="C684" s="114"/>
      <c r="D684" s="114"/>
      <c r="E684" s="114"/>
      <c r="F684" s="114"/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  <c r="AA684" s="114"/>
      <c r="AB684" s="114"/>
      <c r="AC684" s="114"/>
      <c r="AD684" s="114"/>
      <c r="AE684" s="114"/>
      <c r="AF684" s="114"/>
      <c r="AG684" s="114"/>
      <c r="AH684" s="114"/>
      <c r="AI684" s="114"/>
      <c r="AJ684" s="114"/>
      <c r="AK684" s="114"/>
    </row>
    <row r="685" ht="15.75" customHeight="1">
      <c r="A685" s="114"/>
      <c r="B685" s="114"/>
      <c r="C685" s="114"/>
      <c r="D685" s="114"/>
      <c r="E685" s="114"/>
      <c r="F685" s="114"/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  <c r="AA685" s="114"/>
      <c r="AB685" s="114"/>
      <c r="AC685" s="114"/>
      <c r="AD685" s="114"/>
      <c r="AE685" s="114"/>
      <c r="AF685" s="114"/>
      <c r="AG685" s="114"/>
      <c r="AH685" s="114"/>
      <c r="AI685" s="114"/>
      <c r="AJ685" s="114"/>
      <c r="AK685" s="114"/>
    </row>
    <row r="686" ht="15.75" customHeight="1">
      <c r="A686" s="114"/>
      <c r="B686" s="114"/>
      <c r="C686" s="114"/>
      <c r="D686" s="114"/>
      <c r="E686" s="114"/>
      <c r="F686" s="114"/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  <c r="AA686" s="114"/>
      <c r="AB686" s="114"/>
      <c r="AC686" s="114"/>
      <c r="AD686" s="114"/>
      <c r="AE686" s="114"/>
      <c r="AF686" s="114"/>
      <c r="AG686" s="114"/>
      <c r="AH686" s="114"/>
      <c r="AI686" s="114"/>
      <c r="AJ686" s="114"/>
      <c r="AK686" s="114"/>
    </row>
    <row r="687" ht="15.75" customHeight="1">
      <c r="A687" s="114"/>
      <c r="B687" s="114"/>
      <c r="C687" s="114"/>
      <c r="D687" s="114"/>
      <c r="E687" s="114"/>
      <c r="F687" s="114"/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  <c r="AA687" s="114"/>
      <c r="AB687" s="114"/>
      <c r="AC687" s="114"/>
      <c r="AD687" s="114"/>
      <c r="AE687" s="114"/>
      <c r="AF687" s="114"/>
      <c r="AG687" s="114"/>
      <c r="AH687" s="114"/>
      <c r="AI687" s="114"/>
      <c r="AJ687" s="114"/>
      <c r="AK687" s="114"/>
    </row>
    <row r="688" ht="15.75" customHeight="1">
      <c r="A688" s="114"/>
      <c r="B688" s="114"/>
      <c r="C688" s="114"/>
      <c r="D688" s="114"/>
      <c r="E688" s="114"/>
      <c r="F688" s="114"/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  <c r="AA688" s="114"/>
      <c r="AB688" s="114"/>
      <c r="AC688" s="114"/>
      <c r="AD688" s="114"/>
      <c r="AE688" s="114"/>
      <c r="AF688" s="114"/>
      <c r="AG688" s="114"/>
      <c r="AH688" s="114"/>
      <c r="AI688" s="114"/>
      <c r="AJ688" s="114"/>
      <c r="AK688" s="114"/>
    </row>
    <row r="689" ht="15.75" customHeight="1">
      <c r="A689" s="114"/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  <c r="AA689" s="114"/>
      <c r="AB689" s="114"/>
      <c r="AC689" s="114"/>
      <c r="AD689" s="114"/>
      <c r="AE689" s="114"/>
      <c r="AF689" s="114"/>
      <c r="AG689" s="114"/>
      <c r="AH689" s="114"/>
      <c r="AI689" s="114"/>
      <c r="AJ689" s="114"/>
      <c r="AK689" s="114"/>
    </row>
    <row r="690" ht="15.75" customHeight="1">
      <c r="A690" s="114"/>
      <c r="B690" s="114"/>
      <c r="C690" s="114"/>
      <c r="D690" s="114"/>
      <c r="E690" s="114"/>
      <c r="F690" s="114"/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  <c r="AA690" s="114"/>
      <c r="AB690" s="114"/>
      <c r="AC690" s="114"/>
      <c r="AD690" s="114"/>
      <c r="AE690" s="114"/>
      <c r="AF690" s="114"/>
      <c r="AG690" s="114"/>
      <c r="AH690" s="114"/>
      <c r="AI690" s="114"/>
      <c r="AJ690" s="114"/>
      <c r="AK690" s="114"/>
    </row>
    <row r="691" ht="15.75" customHeight="1">
      <c r="A691" s="114"/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  <c r="AA691" s="114"/>
      <c r="AB691" s="114"/>
      <c r="AC691" s="114"/>
      <c r="AD691" s="114"/>
      <c r="AE691" s="114"/>
      <c r="AF691" s="114"/>
      <c r="AG691" s="114"/>
      <c r="AH691" s="114"/>
      <c r="AI691" s="114"/>
      <c r="AJ691" s="114"/>
      <c r="AK691" s="114"/>
    </row>
    <row r="692" ht="15.75" customHeight="1">
      <c r="A692" s="114"/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  <c r="AA692" s="114"/>
      <c r="AB692" s="114"/>
      <c r="AC692" s="114"/>
      <c r="AD692" s="114"/>
      <c r="AE692" s="114"/>
      <c r="AF692" s="114"/>
      <c r="AG692" s="114"/>
      <c r="AH692" s="114"/>
      <c r="AI692" s="114"/>
      <c r="AJ692" s="114"/>
      <c r="AK692" s="114"/>
    </row>
    <row r="693" ht="15.75" customHeight="1">
      <c r="A693" s="114"/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  <c r="AA693" s="114"/>
      <c r="AB693" s="114"/>
      <c r="AC693" s="114"/>
      <c r="AD693" s="114"/>
      <c r="AE693" s="114"/>
      <c r="AF693" s="114"/>
      <c r="AG693" s="114"/>
      <c r="AH693" s="114"/>
      <c r="AI693" s="114"/>
      <c r="AJ693" s="114"/>
      <c r="AK693" s="114"/>
    </row>
    <row r="694" ht="15.75" customHeight="1">
      <c r="A694" s="114"/>
      <c r="B694" s="114"/>
      <c r="C694" s="114"/>
      <c r="D694" s="114"/>
      <c r="E694" s="114"/>
      <c r="F694" s="114"/>
      <c r="G694" s="114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  <c r="AA694" s="114"/>
      <c r="AB694" s="114"/>
      <c r="AC694" s="114"/>
      <c r="AD694" s="114"/>
      <c r="AE694" s="114"/>
      <c r="AF694" s="114"/>
      <c r="AG694" s="114"/>
      <c r="AH694" s="114"/>
      <c r="AI694" s="114"/>
      <c r="AJ694" s="114"/>
      <c r="AK694" s="114"/>
    </row>
    <row r="695" ht="15.75" customHeight="1">
      <c r="A695" s="114"/>
      <c r="B695" s="114"/>
      <c r="C695" s="114"/>
      <c r="D695" s="114"/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  <c r="AA695" s="114"/>
      <c r="AB695" s="114"/>
      <c r="AC695" s="114"/>
      <c r="AD695" s="114"/>
      <c r="AE695" s="114"/>
      <c r="AF695" s="114"/>
      <c r="AG695" s="114"/>
      <c r="AH695" s="114"/>
      <c r="AI695" s="114"/>
      <c r="AJ695" s="114"/>
      <c r="AK695" s="114"/>
    </row>
    <row r="696" ht="15.75" customHeight="1">
      <c r="A696" s="114"/>
      <c r="B696" s="114"/>
      <c r="C696" s="114"/>
      <c r="D696" s="114"/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  <c r="AA696" s="114"/>
      <c r="AB696" s="114"/>
      <c r="AC696" s="114"/>
      <c r="AD696" s="114"/>
      <c r="AE696" s="114"/>
      <c r="AF696" s="114"/>
      <c r="AG696" s="114"/>
      <c r="AH696" s="114"/>
      <c r="AI696" s="114"/>
      <c r="AJ696" s="114"/>
      <c r="AK696" s="114"/>
    </row>
    <row r="697" ht="15.75" customHeight="1">
      <c r="A697" s="114"/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  <c r="AA697" s="114"/>
      <c r="AB697" s="114"/>
      <c r="AC697" s="114"/>
      <c r="AD697" s="114"/>
      <c r="AE697" s="114"/>
      <c r="AF697" s="114"/>
      <c r="AG697" s="114"/>
      <c r="AH697" s="114"/>
      <c r="AI697" s="114"/>
      <c r="AJ697" s="114"/>
      <c r="AK697" s="114"/>
    </row>
    <row r="698" ht="15.75" customHeight="1">
      <c r="A698" s="114"/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  <c r="AA698" s="114"/>
      <c r="AB698" s="114"/>
      <c r="AC698" s="114"/>
      <c r="AD698" s="114"/>
      <c r="AE698" s="114"/>
      <c r="AF698" s="114"/>
      <c r="AG698" s="114"/>
      <c r="AH698" s="114"/>
      <c r="AI698" s="114"/>
      <c r="AJ698" s="114"/>
      <c r="AK698" s="114"/>
    </row>
    <row r="699" ht="15.75" customHeight="1">
      <c r="A699" s="114"/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  <c r="AA699" s="114"/>
      <c r="AB699" s="114"/>
      <c r="AC699" s="114"/>
      <c r="AD699" s="114"/>
      <c r="AE699" s="114"/>
      <c r="AF699" s="114"/>
      <c r="AG699" s="114"/>
      <c r="AH699" s="114"/>
      <c r="AI699" s="114"/>
      <c r="AJ699" s="114"/>
      <c r="AK699" s="114"/>
    </row>
    <row r="700" ht="15.75" customHeight="1">
      <c r="A700" s="114"/>
      <c r="B700" s="114"/>
      <c r="C700" s="114"/>
      <c r="D700" s="114"/>
      <c r="E700" s="114"/>
      <c r="F700" s="114"/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  <c r="AA700" s="114"/>
      <c r="AB700" s="114"/>
      <c r="AC700" s="114"/>
      <c r="AD700" s="114"/>
      <c r="AE700" s="114"/>
      <c r="AF700" s="114"/>
      <c r="AG700" s="114"/>
      <c r="AH700" s="114"/>
      <c r="AI700" s="114"/>
      <c r="AJ700" s="114"/>
      <c r="AK700" s="114"/>
    </row>
    <row r="701" ht="15.75" customHeight="1">
      <c r="A701" s="114"/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  <c r="AA701" s="114"/>
      <c r="AB701" s="114"/>
      <c r="AC701" s="114"/>
      <c r="AD701" s="114"/>
      <c r="AE701" s="114"/>
      <c r="AF701" s="114"/>
      <c r="AG701" s="114"/>
      <c r="AH701" s="114"/>
      <c r="AI701" s="114"/>
      <c r="AJ701" s="114"/>
      <c r="AK701" s="114"/>
    </row>
    <row r="702" ht="15.75" customHeight="1">
      <c r="A702" s="114"/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  <c r="AA702" s="114"/>
      <c r="AB702" s="114"/>
      <c r="AC702" s="114"/>
      <c r="AD702" s="114"/>
      <c r="AE702" s="114"/>
      <c r="AF702" s="114"/>
      <c r="AG702" s="114"/>
      <c r="AH702" s="114"/>
      <c r="AI702" s="114"/>
      <c r="AJ702" s="114"/>
      <c r="AK702" s="114"/>
    </row>
    <row r="703" ht="15.75" customHeight="1">
      <c r="A703" s="114"/>
      <c r="B703" s="114"/>
      <c r="C703" s="114"/>
      <c r="D703" s="114"/>
      <c r="E703" s="114"/>
      <c r="F703" s="114"/>
      <c r="G703" s="114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  <c r="AA703" s="114"/>
      <c r="AB703" s="114"/>
      <c r="AC703" s="114"/>
      <c r="AD703" s="114"/>
      <c r="AE703" s="114"/>
      <c r="AF703" s="114"/>
      <c r="AG703" s="114"/>
      <c r="AH703" s="114"/>
      <c r="AI703" s="114"/>
      <c r="AJ703" s="114"/>
      <c r="AK703" s="114"/>
    </row>
    <row r="704" ht="15.75" customHeight="1">
      <c r="A704" s="114"/>
      <c r="B704" s="114"/>
      <c r="C704" s="114"/>
      <c r="D704" s="114"/>
      <c r="E704" s="114"/>
      <c r="F704" s="114"/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  <c r="AA704" s="114"/>
      <c r="AB704" s="114"/>
      <c r="AC704" s="114"/>
      <c r="AD704" s="114"/>
      <c r="AE704" s="114"/>
      <c r="AF704" s="114"/>
      <c r="AG704" s="114"/>
      <c r="AH704" s="114"/>
      <c r="AI704" s="114"/>
      <c r="AJ704" s="114"/>
      <c r="AK704" s="114"/>
    </row>
    <row r="705" ht="15.75" customHeight="1">
      <c r="A705" s="114"/>
      <c r="B705" s="114"/>
      <c r="C705" s="114"/>
      <c r="D705" s="114"/>
      <c r="E705" s="114"/>
      <c r="F705" s="114"/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  <c r="AA705" s="114"/>
      <c r="AB705" s="114"/>
      <c r="AC705" s="114"/>
      <c r="AD705" s="114"/>
      <c r="AE705" s="114"/>
      <c r="AF705" s="114"/>
      <c r="AG705" s="114"/>
      <c r="AH705" s="114"/>
      <c r="AI705" s="114"/>
      <c r="AJ705" s="114"/>
      <c r="AK705" s="114"/>
    </row>
    <row r="706" ht="15.75" customHeight="1">
      <c r="A706" s="114"/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  <c r="AA706" s="114"/>
      <c r="AB706" s="114"/>
      <c r="AC706" s="114"/>
      <c r="AD706" s="114"/>
      <c r="AE706" s="114"/>
      <c r="AF706" s="114"/>
      <c r="AG706" s="114"/>
      <c r="AH706" s="114"/>
      <c r="AI706" s="114"/>
      <c r="AJ706" s="114"/>
      <c r="AK706" s="114"/>
    </row>
    <row r="707" ht="15.75" customHeight="1">
      <c r="A707" s="114"/>
      <c r="B707" s="114"/>
      <c r="C707" s="114"/>
      <c r="D707" s="114"/>
      <c r="E707" s="114"/>
      <c r="F707" s="114"/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  <c r="AA707" s="114"/>
      <c r="AB707" s="114"/>
      <c r="AC707" s="114"/>
      <c r="AD707" s="114"/>
      <c r="AE707" s="114"/>
      <c r="AF707" s="114"/>
      <c r="AG707" s="114"/>
      <c r="AH707" s="114"/>
      <c r="AI707" s="114"/>
      <c r="AJ707" s="114"/>
      <c r="AK707" s="114"/>
    </row>
    <row r="708" ht="15.75" customHeight="1">
      <c r="A708" s="114"/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  <c r="AA708" s="114"/>
      <c r="AB708" s="114"/>
      <c r="AC708" s="114"/>
      <c r="AD708" s="114"/>
      <c r="AE708" s="114"/>
      <c r="AF708" s="114"/>
      <c r="AG708" s="114"/>
      <c r="AH708" s="114"/>
      <c r="AI708" s="114"/>
      <c r="AJ708" s="114"/>
      <c r="AK708" s="114"/>
    </row>
    <row r="709" ht="15.75" customHeight="1">
      <c r="A709" s="114"/>
      <c r="B709" s="114"/>
      <c r="C709" s="114"/>
      <c r="D709" s="114"/>
      <c r="E709" s="114"/>
      <c r="F709" s="114"/>
      <c r="G709" s="114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  <c r="AA709" s="114"/>
      <c r="AB709" s="114"/>
      <c r="AC709" s="114"/>
      <c r="AD709" s="114"/>
      <c r="AE709" s="114"/>
      <c r="AF709" s="114"/>
      <c r="AG709" s="114"/>
      <c r="AH709" s="114"/>
      <c r="AI709" s="114"/>
      <c r="AJ709" s="114"/>
      <c r="AK709" s="114"/>
    </row>
    <row r="710" ht="15.75" customHeight="1">
      <c r="A710" s="114"/>
      <c r="B710" s="114"/>
      <c r="C710" s="114"/>
      <c r="D710" s="114"/>
      <c r="E710" s="114"/>
      <c r="F710" s="114"/>
      <c r="G710" s="114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  <c r="AA710" s="114"/>
      <c r="AB710" s="114"/>
      <c r="AC710" s="114"/>
      <c r="AD710" s="114"/>
      <c r="AE710" s="114"/>
      <c r="AF710" s="114"/>
      <c r="AG710" s="114"/>
      <c r="AH710" s="114"/>
      <c r="AI710" s="114"/>
      <c r="AJ710" s="114"/>
      <c r="AK710" s="114"/>
    </row>
    <row r="711" ht="15.75" customHeight="1">
      <c r="A711" s="114"/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  <c r="AA711" s="114"/>
      <c r="AB711" s="114"/>
      <c r="AC711" s="114"/>
      <c r="AD711" s="114"/>
      <c r="AE711" s="114"/>
      <c r="AF711" s="114"/>
      <c r="AG711" s="114"/>
      <c r="AH711" s="114"/>
      <c r="AI711" s="114"/>
      <c r="AJ711" s="114"/>
      <c r="AK711" s="114"/>
    </row>
    <row r="712" ht="15.75" customHeight="1">
      <c r="A712" s="114"/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  <c r="AA712" s="114"/>
      <c r="AB712" s="114"/>
      <c r="AC712" s="114"/>
      <c r="AD712" s="114"/>
      <c r="AE712" s="114"/>
      <c r="AF712" s="114"/>
      <c r="AG712" s="114"/>
      <c r="AH712" s="114"/>
      <c r="AI712" s="114"/>
      <c r="AJ712" s="114"/>
      <c r="AK712" s="114"/>
    </row>
    <row r="713" ht="15.75" customHeight="1">
      <c r="A713" s="114"/>
      <c r="B713" s="114"/>
      <c r="C713" s="114"/>
      <c r="D713" s="114"/>
      <c r="E713" s="114"/>
      <c r="F713" s="114"/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  <c r="AA713" s="114"/>
      <c r="AB713" s="114"/>
      <c r="AC713" s="114"/>
      <c r="AD713" s="114"/>
      <c r="AE713" s="114"/>
      <c r="AF713" s="114"/>
      <c r="AG713" s="114"/>
      <c r="AH713" s="114"/>
      <c r="AI713" s="114"/>
      <c r="AJ713" s="114"/>
      <c r="AK713" s="114"/>
    </row>
    <row r="714" ht="15.75" customHeight="1">
      <c r="A714" s="114"/>
      <c r="B714" s="114"/>
      <c r="C714" s="114"/>
      <c r="D714" s="114"/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  <c r="AA714" s="114"/>
      <c r="AB714" s="114"/>
      <c r="AC714" s="114"/>
      <c r="AD714" s="114"/>
      <c r="AE714" s="114"/>
      <c r="AF714" s="114"/>
      <c r="AG714" s="114"/>
      <c r="AH714" s="114"/>
      <c r="AI714" s="114"/>
      <c r="AJ714" s="114"/>
      <c r="AK714" s="114"/>
    </row>
    <row r="715" ht="15.75" customHeight="1">
      <c r="A715" s="114"/>
      <c r="B715" s="114"/>
      <c r="C715" s="114"/>
      <c r="D715" s="114"/>
      <c r="E715" s="114"/>
      <c r="F715" s="114"/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  <c r="AA715" s="114"/>
      <c r="AB715" s="114"/>
      <c r="AC715" s="114"/>
      <c r="AD715" s="114"/>
      <c r="AE715" s="114"/>
      <c r="AF715" s="114"/>
      <c r="AG715" s="114"/>
      <c r="AH715" s="114"/>
      <c r="AI715" s="114"/>
      <c r="AJ715" s="114"/>
      <c r="AK715" s="114"/>
    </row>
    <row r="716" ht="15.75" customHeight="1">
      <c r="A716" s="114"/>
      <c r="B716" s="114"/>
      <c r="C716" s="114"/>
      <c r="D716" s="114"/>
      <c r="E716" s="114"/>
      <c r="F716" s="114"/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  <c r="AA716" s="114"/>
      <c r="AB716" s="114"/>
      <c r="AC716" s="114"/>
      <c r="AD716" s="114"/>
      <c r="AE716" s="114"/>
      <c r="AF716" s="114"/>
      <c r="AG716" s="114"/>
      <c r="AH716" s="114"/>
      <c r="AI716" s="114"/>
      <c r="AJ716" s="114"/>
      <c r="AK716" s="114"/>
    </row>
    <row r="717" ht="15.75" customHeight="1">
      <c r="A717" s="114"/>
      <c r="B717" s="114"/>
      <c r="C717" s="114"/>
      <c r="D717" s="114"/>
      <c r="E717" s="114"/>
      <c r="F717" s="114"/>
      <c r="G717" s="114"/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  <c r="AA717" s="114"/>
      <c r="AB717" s="114"/>
      <c r="AC717" s="114"/>
      <c r="AD717" s="114"/>
      <c r="AE717" s="114"/>
      <c r="AF717" s="114"/>
      <c r="AG717" s="114"/>
      <c r="AH717" s="114"/>
      <c r="AI717" s="114"/>
      <c r="AJ717" s="114"/>
      <c r="AK717" s="114"/>
    </row>
    <row r="718" ht="15.75" customHeight="1">
      <c r="A718" s="114"/>
      <c r="B718" s="114"/>
      <c r="C718" s="114"/>
      <c r="D718" s="114"/>
      <c r="E718" s="114"/>
      <c r="F718" s="114"/>
      <c r="G718" s="114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  <c r="AA718" s="114"/>
      <c r="AB718" s="114"/>
      <c r="AC718" s="114"/>
      <c r="AD718" s="114"/>
      <c r="AE718" s="114"/>
      <c r="AF718" s="114"/>
      <c r="AG718" s="114"/>
      <c r="AH718" s="114"/>
      <c r="AI718" s="114"/>
      <c r="AJ718" s="114"/>
      <c r="AK718" s="114"/>
    </row>
    <row r="719" ht="15.75" customHeight="1">
      <c r="A719" s="114"/>
      <c r="B719" s="114"/>
      <c r="C719" s="114"/>
      <c r="D719" s="114"/>
      <c r="E719" s="114"/>
      <c r="F719" s="114"/>
      <c r="G719" s="114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  <c r="AA719" s="114"/>
      <c r="AB719" s="114"/>
      <c r="AC719" s="114"/>
      <c r="AD719" s="114"/>
      <c r="AE719" s="114"/>
      <c r="AF719" s="114"/>
      <c r="AG719" s="114"/>
      <c r="AH719" s="114"/>
      <c r="AI719" s="114"/>
      <c r="AJ719" s="114"/>
      <c r="AK719" s="114"/>
    </row>
    <row r="720" ht="15.75" customHeight="1">
      <c r="A720" s="114"/>
      <c r="B720" s="114"/>
      <c r="C720" s="114"/>
      <c r="D720" s="114"/>
      <c r="E720" s="114"/>
      <c r="F720" s="114"/>
      <c r="G720" s="114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  <c r="AA720" s="114"/>
      <c r="AB720" s="114"/>
      <c r="AC720" s="114"/>
      <c r="AD720" s="114"/>
      <c r="AE720" s="114"/>
      <c r="AF720" s="114"/>
      <c r="AG720" s="114"/>
      <c r="AH720" s="114"/>
      <c r="AI720" s="114"/>
      <c r="AJ720" s="114"/>
      <c r="AK720" s="114"/>
    </row>
    <row r="721" ht="15.75" customHeight="1">
      <c r="A721" s="114"/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  <c r="AA721" s="114"/>
      <c r="AB721" s="114"/>
      <c r="AC721" s="114"/>
      <c r="AD721" s="114"/>
      <c r="AE721" s="114"/>
      <c r="AF721" s="114"/>
      <c r="AG721" s="114"/>
      <c r="AH721" s="114"/>
      <c r="AI721" s="114"/>
      <c r="AJ721" s="114"/>
      <c r="AK721" s="114"/>
    </row>
    <row r="722" ht="15.75" customHeight="1">
      <c r="A722" s="114"/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  <c r="AA722" s="114"/>
      <c r="AB722" s="114"/>
      <c r="AC722" s="114"/>
      <c r="AD722" s="114"/>
      <c r="AE722" s="114"/>
      <c r="AF722" s="114"/>
      <c r="AG722" s="114"/>
      <c r="AH722" s="114"/>
      <c r="AI722" s="114"/>
      <c r="AJ722" s="114"/>
      <c r="AK722" s="114"/>
    </row>
    <row r="723" ht="15.75" customHeight="1">
      <c r="A723" s="114"/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  <c r="AA723" s="114"/>
      <c r="AB723" s="114"/>
      <c r="AC723" s="114"/>
      <c r="AD723" s="114"/>
      <c r="AE723" s="114"/>
      <c r="AF723" s="114"/>
      <c r="AG723" s="114"/>
      <c r="AH723" s="114"/>
      <c r="AI723" s="114"/>
      <c r="AJ723" s="114"/>
      <c r="AK723" s="114"/>
    </row>
    <row r="724" ht="15.75" customHeight="1">
      <c r="A724" s="114"/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  <c r="AA724" s="114"/>
      <c r="AB724" s="114"/>
      <c r="AC724" s="114"/>
      <c r="AD724" s="114"/>
      <c r="AE724" s="114"/>
      <c r="AF724" s="114"/>
      <c r="AG724" s="114"/>
      <c r="AH724" s="114"/>
      <c r="AI724" s="114"/>
      <c r="AJ724" s="114"/>
      <c r="AK724" s="114"/>
    </row>
    <row r="725" ht="15.75" customHeight="1">
      <c r="A725" s="114"/>
      <c r="B725" s="114"/>
      <c r="C725" s="114"/>
      <c r="D725" s="114"/>
      <c r="E725" s="114"/>
      <c r="F725" s="114"/>
      <c r="G725" s="114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  <c r="AA725" s="114"/>
      <c r="AB725" s="114"/>
      <c r="AC725" s="114"/>
      <c r="AD725" s="114"/>
      <c r="AE725" s="114"/>
      <c r="AF725" s="114"/>
      <c r="AG725" s="114"/>
      <c r="AH725" s="114"/>
      <c r="AI725" s="114"/>
      <c r="AJ725" s="114"/>
      <c r="AK725" s="114"/>
    </row>
    <row r="726" ht="15.75" customHeight="1">
      <c r="A726" s="114"/>
      <c r="B726" s="114"/>
      <c r="C726" s="114"/>
      <c r="D726" s="114"/>
      <c r="E726" s="114"/>
      <c r="F726" s="114"/>
      <c r="G726" s="114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  <c r="AA726" s="114"/>
      <c r="AB726" s="114"/>
      <c r="AC726" s="114"/>
      <c r="AD726" s="114"/>
      <c r="AE726" s="114"/>
      <c r="AF726" s="114"/>
      <c r="AG726" s="114"/>
      <c r="AH726" s="114"/>
      <c r="AI726" s="114"/>
      <c r="AJ726" s="114"/>
      <c r="AK726" s="114"/>
    </row>
    <row r="727" ht="15.75" customHeight="1">
      <c r="A727" s="114"/>
      <c r="B727" s="114"/>
      <c r="C727" s="114"/>
      <c r="D727" s="114"/>
      <c r="E727" s="114"/>
      <c r="F727" s="114"/>
      <c r="G727" s="114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  <c r="AA727" s="114"/>
      <c r="AB727" s="114"/>
      <c r="AC727" s="114"/>
      <c r="AD727" s="114"/>
      <c r="AE727" s="114"/>
      <c r="AF727" s="114"/>
      <c r="AG727" s="114"/>
      <c r="AH727" s="114"/>
      <c r="AI727" s="114"/>
      <c r="AJ727" s="114"/>
      <c r="AK727" s="114"/>
    </row>
    <row r="728" ht="15.75" customHeight="1">
      <c r="A728" s="114"/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4"/>
      <c r="V728" s="114"/>
      <c r="W728" s="114"/>
      <c r="X728" s="114"/>
      <c r="Y728" s="114"/>
      <c r="Z728" s="114"/>
      <c r="AA728" s="114"/>
      <c r="AB728" s="114"/>
      <c r="AC728" s="114"/>
      <c r="AD728" s="114"/>
      <c r="AE728" s="114"/>
      <c r="AF728" s="114"/>
      <c r="AG728" s="114"/>
      <c r="AH728" s="114"/>
      <c r="AI728" s="114"/>
      <c r="AJ728" s="114"/>
      <c r="AK728" s="114"/>
    </row>
    <row r="729" ht="15.75" customHeight="1">
      <c r="A729" s="114"/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  <c r="AA729" s="114"/>
      <c r="AB729" s="114"/>
      <c r="AC729" s="114"/>
      <c r="AD729" s="114"/>
      <c r="AE729" s="114"/>
      <c r="AF729" s="114"/>
      <c r="AG729" s="114"/>
      <c r="AH729" s="114"/>
      <c r="AI729" s="114"/>
      <c r="AJ729" s="114"/>
      <c r="AK729" s="114"/>
    </row>
    <row r="730" ht="15.75" customHeight="1">
      <c r="A730" s="114"/>
      <c r="B730" s="114"/>
      <c r="C730" s="114"/>
      <c r="D730" s="114"/>
      <c r="E730" s="114"/>
      <c r="F730" s="114"/>
      <c r="G730" s="114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4"/>
      <c r="V730" s="114"/>
      <c r="W730" s="114"/>
      <c r="X730" s="114"/>
      <c r="Y730" s="114"/>
      <c r="Z730" s="114"/>
      <c r="AA730" s="114"/>
      <c r="AB730" s="114"/>
      <c r="AC730" s="114"/>
      <c r="AD730" s="114"/>
      <c r="AE730" s="114"/>
      <c r="AF730" s="114"/>
      <c r="AG730" s="114"/>
      <c r="AH730" s="114"/>
      <c r="AI730" s="114"/>
      <c r="AJ730" s="114"/>
      <c r="AK730" s="114"/>
    </row>
    <row r="731" ht="15.75" customHeight="1">
      <c r="A731" s="114"/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4"/>
      <c r="X731" s="114"/>
      <c r="Y731" s="114"/>
      <c r="Z731" s="114"/>
      <c r="AA731" s="114"/>
      <c r="AB731" s="114"/>
      <c r="AC731" s="114"/>
      <c r="AD731" s="114"/>
      <c r="AE731" s="114"/>
      <c r="AF731" s="114"/>
      <c r="AG731" s="114"/>
      <c r="AH731" s="114"/>
      <c r="AI731" s="114"/>
      <c r="AJ731" s="114"/>
      <c r="AK731" s="114"/>
    </row>
    <row r="732" ht="15.75" customHeight="1">
      <c r="A732" s="114"/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  <c r="AA732" s="114"/>
      <c r="AB732" s="114"/>
      <c r="AC732" s="114"/>
      <c r="AD732" s="114"/>
      <c r="AE732" s="114"/>
      <c r="AF732" s="114"/>
      <c r="AG732" s="114"/>
      <c r="AH732" s="114"/>
      <c r="AI732" s="114"/>
      <c r="AJ732" s="114"/>
      <c r="AK732" s="114"/>
    </row>
    <row r="733" ht="15.75" customHeight="1">
      <c r="A733" s="114"/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  <c r="AA733" s="114"/>
      <c r="AB733" s="114"/>
      <c r="AC733" s="114"/>
      <c r="AD733" s="114"/>
      <c r="AE733" s="114"/>
      <c r="AF733" s="114"/>
      <c r="AG733" s="114"/>
      <c r="AH733" s="114"/>
      <c r="AI733" s="114"/>
      <c r="AJ733" s="114"/>
      <c r="AK733" s="114"/>
    </row>
    <row r="734" ht="15.75" customHeight="1">
      <c r="A734" s="114"/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  <c r="AA734" s="114"/>
      <c r="AB734" s="114"/>
      <c r="AC734" s="114"/>
      <c r="AD734" s="114"/>
      <c r="AE734" s="114"/>
      <c r="AF734" s="114"/>
      <c r="AG734" s="114"/>
      <c r="AH734" s="114"/>
      <c r="AI734" s="114"/>
      <c r="AJ734" s="114"/>
      <c r="AK734" s="114"/>
    </row>
    <row r="735" ht="15.75" customHeight="1">
      <c r="A735" s="114"/>
      <c r="B735" s="114"/>
      <c r="C735" s="114"/>
      <c r="D735" s="114"/>
      <c r="E735" s="114"/>
      <c r="F735" s="114"/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  <c r="AA735" s="114"/>
      <c r="AB735" s="114"/>
      <c r="AC735" s="114"/>
      <c r="AD735" s="114"/>
      <c r="AE735" s="114"/>
      <c r="AF735" s="114"/>
      <c r="AG735" s="114"/>
      <c r="AH735" s="114"/>
      <c r="AI735" s="114"/>
      <c r="AJ735" s="114"/>
      <c r="AK735" s="114"/>
    </row>
    <row r="736" ht="15.75" customHeight="1">
      <c r="A736" s="114"/>
      <c r="B736" s="114"/>
      <c r="C736" s="114"/>
      <c r="D736" s="114"/>
      <c r="E736" s="114"/>
      <c r="F736" s="114"/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  <c r="AA736" s="114"/>
      <c r="AB736" s="114"/>
      <c r="AC736" s="114"/>
      <c r="AD736" s="114"/>
      <c r="AE736" s="114"/>
      <c r="AF736" s="114"/>
      <c r="AG736" s="114"/>
      <c r="AH736" s="114"/>
      <c r="AI736" s="114"/>
      <c r="AJ736" s="114"/>
      <c r="AK736" s="114"/>
    </row>
    <row r="737" ht="15.75" customHeight="1">
      <c r="A737" s="114"/>
      <c r="B737" s="114"/>
      <c r="C737" s="114"/>
      <c r="D737" s="114"/>
      <c r="E737" s="114"/>
      <c r="F737" s="114"/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  <c r="AA737" s="114"/>
      <c r="AB737" s="114"/>
      <c r="AC737" s="114"/>
      <c r="AD737" s="114"/>
      <c r="AE737" s="114"/>
      <c r="AF737" s="114"/>
      <c r="AG737" s="114"/>
      <c r="AH737" s="114"/>
      <c r="AI737" s="114"/>
      <c r="AJ737" s="114"/>
      <c r="AK737" s="114"/>
    </row>
    <row r="738" ht="15.75" customHeight="1">
      <c r="A738" s="114"/>
      <c r="B738" s="114"/>
      <c r="C738" s="114"/>
      <c r="D738" s="114"/>
      <c r="E738" s="114"/>
      <c r="F738" s="114"/>
      <c r="G738" s="114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4"/>
      <c r="V738" s="114"/>
      <c r="W738" s="114"/>
      <c r="X738" s="114"/>
      <c r="Y738" s="114"/>
      <c r="Z738" s="114"/>
      <c r="AA738" s="114"/>
      <c r="AB738" s="114"/>
      <c r="AC738" s="114"/>
      <c r="AD738" s="114"/>
      <c r="AE738" s="114"/>
      <c r="AF738" s="114"/>
      <c r="AG738" s="114"/>
      <c r="AH738" s="114"/>
      <c r="AI738" s="114"/>
      <c r="AJ738" s="114"/>
      <c r="AK738" s="114"/>
    </row>
    <row r="739" ht="15.75" customHeight="1">
      <c r="A739" s="114"/>
      <c r="B739" s="114"/>
      <c r="C739" s="114"/>
      <c r="D739" s="114"/>
      <c r="E739" s="114"/>
      <c r="F739" s="114"/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  <c r="AA739" s="114"/>
      <c r="AB739" s="114"/>
      <c r="AC739" s="114"/>
      <c r="AD739" s="114"/>
      <c r="AE739" s="114"/>
      <c r="AF739" s="114"/>
      <c r="AG739" s="114"/>
      <c r="AH739" s="114"/>
      <c r="AI739" s="114"/>
      <c r="AJ739" s="114"/>
      <c r="AK739" s="114"/>
    </row>
    <row r="740" ht="15.75" customHeight="1">
      <c r="A740" s="114"/>
      <c r="B740" s="114"/>
      <c r="C740" s="114"/>
      <c r="D740" s="114"/>
      <c r="E740" s="114"/>
      <c r="F740" s="114"/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  <c r="AA740" s="114"/>
      <c r="AB740" s="114"/>
      <c r="AC740" s="114"/>
      <c r="AD740" s="114"/>
      <c r="AE740" s="114"/>
      <c r="AF740" s="114"/>
      <c r="AG740" s="114"/>
      <c r="AH740" s="114"/>
      <c r="AI740" s="114"/>
      <c r="AJ740" s="114"/>
      <c r="AK740" s="114"/>
    </row>
    <row r="741" ht="15.75" customHeight="1">
      <c r="A741" s="114"/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  <c r="AA741" s="114"/>
      <c r="AB741" s="114"/>
      <c r="AC741" s="114"/>
      <c r="AD741" s="114"/>
      <c r="AE741" s="114"/>
      <c r="AF741" s="114"/>
      <c r="AG741" s="114"/>
      <c r="AH741" s="114"/>
      <c r="AI741" s="114"/>
      <c r="AJ741" s="114"/>
      <c r="AK741" s="114"/>
    </row>
    <row r="742" ht="15.75" customHeight="1">
      <c r="A742" s="114"/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  <c r="AA742" s="114"/>
      <c r="AB742" s="114"/>
      <c r="AC742" s="114"/>
      <c r="AD742" s="114"/>
      <c r="AE742" s="114"/>
      <c r="AF742" s="114"/>
      <c r="AG742" s="114"/>
      <c r="AH742" s="114"/>
      <c r="AI742" s="114"/>
      <c r="AJ742" s="114"/>
      <c r="AK742" s="114"/>
    </row>
    <row r="743" ht="15.75" customHeight="1">
      <c r="A743" s="114"/>
      <c r="B743" s="114"/>
      <c r="C743" s="114"/>
      <c r="D743" s="114"/>
      <c r="E743" s="114"/>
      <c r="F743" s="114"/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  <c r="AA743" s="114"/>
      <c r="AB743" s="114"/>
      <c r="AC743" s="114"/>
      <c r="AD743" s="114"/>
      <c r="AE743" s="114"/>
      <c r="AF743" s="114"/>
      <c r="AG743" s="114"/>
      <c r="AH743" s="114"/>
      <c r="AI743" s="114"/>
      <c r="AJ743" s="114"/>
      <c r="AK743" s="114"/>
    </row>
    <row r="744" ht="15.75" customHeight="1">
      <c r="A744" s="114"/>
      <c r="B744" s="114"/>
      <c r="C744" s="114"/>
      <c r="D744" s="114"/>
      <c r="E744" s="114"/>
      <c r="F744" s="114"/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  <c r="AA744" s="114"/>
      <c r="AB744" s="114"/>
      <c r="AC744" s="114"/>
      <c r="AD744" s="114"/>
      <c r="AE744" s="114"/>
      <c r="AF744" s="114"/>
      <c r="AG744" s="114"/>
      <c r="AH744" s="114"/>
      <c r="AI744" s="114"/>
      <c r="AJ744" s="114"/>
      <c r="AK744" s="114"/>
    </row>
    <row r="745" ht="15.75" customHeight="1">
      <c r="A745" s="114"/>
      <c r="B745" s="114"/>
      <c r="C745" s="114"/>
      <c r="D745" s="114"/>
      <c r="E745" s="114"/>
      <c r="F745" s="114"/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  <c r="AA745" s="114"/>
      <c r="AB745" s="114"/>
      <c r="AC745" s="114"/>
      <c r="AD745" s="114"/>
      <c r="AE745" s="114"/>
      <c r="AF745" s="114"/>
      <c r="AG745" s="114"/>
      <c r="AH745" s="114"/>
      <c r="AI745" s="114"/>
      <c r="AJ745" s="114"/>
      <c r="AK745" s="114"/>
    </row>
    <row r="746" ht="15.75" customHeight="1">
      <c r="A746" s="114"/>
      <c r="B746" s="114"/>
      <c r="C746" s="114"/>
      <c r="D746" s="114"/>
      <c r="E746" s="114"/>
      <c r="F746" s="114"/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  <c r="AA746" s="114"/>
      <c r="AB746" s="114"/>
      <c r="AC746" s="114"/>
      <c r="AD746" s="114"/>
      <c r="AE746" s="114"/>
      <c r="AF746" s="114"/>
      <c r="AG746" s="114"/>
      <c r="AH746" s="114"/>
      <c r="AI746" s="114"/>
      <c r="AJ746" s="114"/>
      <c r="AK746" s="114"/>
    </row>
    <row r="747" ht="15.75" customHeight="1">
      <c r="A747" s="114"/>
      <c r="B747" s="114"/>
      <c r="C747" s="114"/>
      <c r="D747" s="114"/>
      <c r="E747" s="114"/>
      <c r="F747" s="114"/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  <c r="AA747" s="114"/>
      <c r="AB747" s="114"/>
      <c r="AC747" s="114"/>
      <c r="AD747" s="114"/>
      <c r="AE747" s="114"/>
      <c r="AF747" s="114"/>
      <c r="AG747" s="114"/>
      <c r="AH747" s="114"/>
      <c r="AI747" s="114"/>
      <c r="AJ747" s="114"/>
      <c r="AK747" s="114"/>
    </row>
    <row r="748" ht="15.75" customHeight="1">
      <c r="A748" s="114"/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  <c r="AA748" s="114"/>
      <c r="AB748" s="114"/>
      <c r="AC748" s="114"/>
      <c r="AD748" s="114"/>
      <c r="AE748" s="114"/>
      <c r="AF748" s="114"/>
      <c r="AG748" s="114"/>
      <c r="AH748" s="114"/>
      <c r="AI748" s="114"/>
      <c r="AJ748" s="114"/>
      <c r="AK748" s="114"/>
    </row>
    <row r="749" ht="15.75" customHeight="1">
      <c r="A749" s="114"/>
      <c r="B749" s="114"/>
      <c r="C749" s="114"/>
      <c r="D749" s="114"/>
      <c r="E749" s="114"/>
      <c r="F749" s="114"/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  <c r="AA749" s="114"/>
      <c r="AB749" s="114"/>
      <c r="AC749" s="114"/>
      <c r="AD749" s="114"/>
      <c r="AE749" s="114"/>
      <c r="AF749" s="114"/>
      <c r="AG749" s="114"/>
      <c r="AH749" s="114"/>
      <c r="AI749" s="114"/>
      <c r="AJ749" s="114"/>
      <c r="AK749" s="114"/>
    </row>
    <row r="750" ht="15.75" customHeight="1">
      <c r="A750" s="114"/>
      <c r="B750" s="114"/>
      <c r="C750" s="114"/>
      <c r="D750" s="114"/>
      <c r="E750" s="114"/>
      <c r="F750" s="114"/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4"/>
      <c r="W750" s="114"/>
      <c r="X750" s="114"/>
      <c r="Y750" s="114"/>
      <c r="Z750" s="114"/>
      <c r="AA750" s="114"/>
      <c r="AB750" s="114"/>
      <c r="AC750" s="114"/>
      <c r="AD750" s="114"/>
      <c r="AE750" s="114"/>
      <c r="AF750" s="114"/>
      <c r="AG750" s="114"/>
      <c r="AH750" s="114"/>
      <c r="AI750" s="114"/>
      <c r="AJ750" s="114"/>
      <c r="AK750" s="114"/>
    </row>
    <row r="751" ht="15.75" customHeight="1">
      <c r="A751" s="114"/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  <c r="AA751" s="114"/>
      <c r="AB751" s="114"/>
      <c r="AC751" s="114"/>
      <c r="AD751" s="114"/>
      <c r="AE751" s="114"/>
      <c r="AF751" s="114"/>
      <c r="AG751" s="114"/>
      <c r="AH751" s="114"/>
      <c r="AI751" s="114"/>
      <c r="AJ751" s="114"/>
      <c r="AK751" s="114"/>
    </row>
    <row r="752" ht="15.75" customHeight="1">
      <c r="A752" s="114"/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  <c r="AA752" s="114"/>
      <c r="AB752" s="114"/>
      <c r="AC752" s="114"/>
      <c r="AD752" s="114"/>
      <c r="AE752" s="114"/>
      <c r="AF752" s="114"/>
      <c r="AG752" s="114"/>
      <c r="AH752" s="114"/>
      <c r="AI752" s="114"/>
      <c r="AJ752" s="114"/>
      <c r="AK752" s="114"/>
    </row>
    <row r="753" ht="15.75" customHeight="1">
      <c r="A753" s="114"/>
      <c r="B753" s="114"/>
      <c r="C753" s="114"/>
      <c r="D753" s="114"/>
      <c r="E753" s="114"/>
      <c r="F753" s="114"/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  <c r="AA753" s="114"/>
      <c r="AB753" s="114"/>
      <c r="AC753" s="114"/>
      <c r="AD753" s="114"/>
      <c r="AE753" s="114"/>
      <c r="AF753" s="114"/>
      <c r="AG753" s="114"/>
      <c r="AH753" s="114"/>
      <c r="AI753" s="114"/>
      <c r="AJ753" s="114"/>
      <c r="AK753" s="114"/>
    </row>
    <row r="754" ht="15.75" customHeight="1">
      <c r="A754" s="114"/>
      <c r="B754" s="114"/>
      <c r="C754" s="114"/>
      <c r="D754" s="114"/>
      <c r="E754" s="114"/>
      <c r="F754" s="114"/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  <c r="AA754" s="114"/>
      <c r="AB754" s="114"/>
      <c r="AC754" s="114"/>
      <c r="AD754" s="114"/>
      <c r="AE754" s="114"/>
      <c r="AF754" s="114"/>
      <c r="AG754" s="114"/>
      <c r="AH754" s="114"/>
      <c r="AI754" s="114"/>
      <c r="AJ754" s="114"/>
      <c r="AK754" s="114"/>
    </row>
    <row r="755" ht="15.75" customHeight="1">
      <c r="A755" s="114"/>
      <c r="B755" s="114"/>
      <c r="C755" s="114"/>
      <c r="D755" s="114"/>
      <c r="E755" s="114"/>
      <c r="F755" s="114"/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  <c r="AA755" s="114"/>
      <c r="AB755" s="114"/>
      <c r="AC755" s="114"/>
      <c r="AD755" s="114"/>
      <c r="AE755" s="114"/>
      <c r="AF755" s="114"/>
      <c r="AG755" s="114"/>
      <c r="AH755" s="114"/>
      <c r="AI755" s="114"/>
      <c r="AJ755" s="114"/>
      <c r="AK755" s="114"/>
    </row>
    <row r="756" ht="15.75" customHeight="1">
      <c r="A756" s="114"/>
      <c r="B756" s="114"/>
      <c r="C756" s="114"/>
      <c r="D756" s="114"/>
      <c r="E756" s="114"/>
      <c r="F756" s="114"/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  <c r="AA756" s="114"/>
      <c r="AB756" s="114"/>
      <c r="AC756" s="114"/>
      <c r="AD756" s="114"/>
      <c r="AE756" s="114"/>
      <c r="AF756" s="114"/>
      <c r="AG756" s="114"/>
      <c r="AH756" s="114"/>
      <c r="AI756" s="114"/>
      <c r="AJ756" s="114"/>
      <c r="AK756" s="114"/>
    </row>
    <row r="757" ht="15.75" customHeight="1">
      <c r="A757" s="114"/>
      <c r="B757" s="114"/>
      <c r="C757" s="114"/>
      <c r="D757" s="114"/>
      <c r="E757" s="114"/>
      <c r="F757" s="114"/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  <c r="AA757" s="114"/>
      <c r="AB757" s="114"/>
      <c r="AC757" s="114"/>
      <c r="AD757" s="114"/>
      <c r="AE757" s="114"/>
      <c r="AF757" s="114"/>
      <c r="AG757" s="114"/>
      <c r="AH757" s="114"/>
      <c r="AI757" s="114"/>
      <c r="AJ757" s="114"/>
      <c r="AK757" s="114"/>
    </row>
    <row r="758" ht="15.75" customHeight="1">
      <c r="A758" s="114"/>
      <c r="B758" s="114"/>
      <c r="C758" s="114"/>
      <c r="D758" s="114"/>
      <c r="E758" s="114"/>
      <c r="F758" s="114"/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  <c r="AA758" s="114"/>
      <c r="AB758" s="114"/>
      <c r="AC758" s="114"/>
      <c r="AD758" s="114"/>
      <c r="AE758" s="114"/>
      <c r="AF758" s="114"/>
      <c r="AG758" s="114"/>
      <c r="AH758" s="114"/>
      <c r="AI758" s="114"/>
      <c r="AJ758" s="114"/>
      <c r="AK758" s="114"/>
    </row>
    <row r="759" ht="15.75" customHeight="1">
      <c r="A759" s="114"/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  <c r="AA759" s="114"/>
      <c r="AB759" s="114"/>
      <c r="AC759" s="114"/>
      <c r="AD759" s="114"/>
      <c r="AE759" s="114"/>
      <c r="AF759" s="114"/>
      <c r="AG759" s="114"/>
      <c r="AH759" s="114"/>
      <c r="AI759" s="114"/>
      <c r="AJ759" s="114"/>
      <c r="AK759" s="114"/>
    </row>
    <row r="760" ht="15.75" customHeight="1">
      <c r="A760" s="114"/>
      <c r="B760" s="114"/>
      <c r="C760" s="114"/>
      <c r="D760" s="114"/>
      <c r="E760" s="114"/>
      <c r="F760" s="114"/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  <c r="AA760" s="114"/>
      <c r="AB760" s="114"/>
      <c r="AC760" s="114"/>
      <c r="AD760" s="114"/>
      <c r="AE760" s="114"/>
      <c r="AF760" s="114"/>
      <c r="AG760" s="114"/>
      <c r="AH760" s="114"/>
      <c r="AI760" s="114"/>
      <c r="AJ760" s="114"/>
      <c r="AK760" s="114"/>
    </row>
    <row r="761" ht="15.75" customHeight="1">
      <c r="A761" s="114"/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  <c r="AA761" s="114"/>
      <c r="AB761" s="114"/>
      <c r="AC761" s="114"/>
      <c r="AD761" s="114"/>
      <c r="AE761" s="114"/>
      <c r="AF761" s="114"/>
      <c r="AG761" s="114"/>
      <c r="AH761" s="114"/>
      <c r="AI761" s="114"/>
      <c r="AJ761" s="114"/>
      <c r="AK761" s="114"/>
    </row>
    <row r="762" ht="15.75" customHeight="1">
      <c r="A762" s="114"/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  <c r="AA762" s="114"/>
      <c r="AB762" s="114"/>
      <c r="AC762" s="114"/>
      <c r="AD762" s="114"/>
      <c r="AE762" s="114"/>
      <c r="AF762" s="114"/>
      <c r="AG762" s="114"/>
      <c r="AH762" s="114"/>
      <c r="AI762" s="114"/>
      <c r="AJ762" s="114"/>
      <c r="AK762" s="114"/>
    </row>
    <row r="763" ht="15.75" customHeight="1">
      <c r="A763" s="114"/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  <c r="AA763" s="114"/>
      <c r="AB763" s="114"/>
      <c r="AC763" s="114"/>
      <c r="AD763" s="114"/>
      <c r="AE763" s="114"/>
      <c r="AF763" s="114"/>
      <c r="AG763" s="114"/>
      <c r="AH763" s="114"/>
      <c r="AI763" s="114"/>
      <c r="AJ763" s="114"/>
      <c r="AK763" s="114"/>
    </row>
    <row r="764" ht="15.75" customHeight="1">
      <c r="A764" s="114"/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  <c r="AA764" s="114"/>
      <c r="AB764" s="114"/>
      <c r="AC764" s="114"/>
      <c r="AD764" s="114"/>
      <c r="AE764" s="114"/>
      <c r="AF764" s="114"/>
      <c r="AG764" s="114"/>
      <c r="AH764" s="114"/>
      <c r="AI764" s="114"/>
      <c r="AJ764" s="114"/>
      <c r="AK764" s="114"/>
    </row>
    <row r="765" ht="15.75" customHeight="1">
      <c r="A765" s="114"/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  <c r="AA765" s="114"/>
      <c r="AB765" s="114"/>
      <c r="AC765" s="114"/>
      <c r="AD765" s="114"/>
      <c r="AE765" s="114"/>
      <c r="AF765" s="114"/>
      <c r="AG765" s="114"/>
      <c r="AH765" s="114"/>
      <c r="AI765" s="114"/>
      <c r="AJ765" s="114"/>
      <c r="AK765" s="114"/>
    </row>
    <row r="766" ht="15.75" customHeight="1">
      <c r="A766" s="114"/>
      <c r="B766" s="114"/>
      <c r="C766" s="114"/>
      <c r="D766" s="114"/>
      <c r="E766" s="114"/>
      <c r="F766" s="114"/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  <c r="AA766" s="114"/>
      <c r="AB766" s="114"/>
      <c r="AC766" s="114"/>
      <c r="AD766" s="114"/>
      <c r="AE766" s="114"/>
      <c r="AF766" s="114"/>
      <c r="AG766" s="114"/>
      <c r="AH766" s="114"/>
      <c r="AI766" s="114"/>
      <c r="AJ766" s="114"/>
      <c r="AK766" s="114"/>
    </row>
    <row r="767" ht="15.75" customHeight="1">
      <c r="A767" s="114"/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  <c r="AA767" s="114"/>
      <c r="AB767" s="114"/>
      <c r="AC767" s="114"/>
      <c r="AD767" s="114"/>
      <c r="AE767" s="114"/>
      <c r="AF767" s="114"/>
      <c r="AG767" s="114"/>
      <c r="AH767" s="114"/>
      <c r="AI767" s="114"/>
      <c r="AJ767" s="114"/>
      <c r="AK767" s="114"/>
    </row>
    <row r="768" ht="15.75" customHeight="1">
      <c r="A768" s="114"/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  <c r="AA768" s="114"/>
      <c r="AB768" s="114"/>
      <c r="AC768" s="114"/>
      <c r="AD768" s="114"/>
      <c r="AE768" s="114"/>
      <c r="AF768" s="114"/>
      <c r="AG768" s="114"/>
      <c r="AH768" s="114"/>
      <c r="AI768" s="114"/>
      <c r="AJ768" s="114"/>
      <c r="AK768" s="114"/>
    </row>
    <row r="769" ht="15.75" customHeight="1">
      <c r="A769" s="114"/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  <c r="AA769" s="114"/>
      <c r="AB769" s="114"/>
      <c r="AC769" s="114"/>
      <c r="AD769" s="114"/>
      <c r="AE769" s="114"/>
      <c r="AF769" s="114"/>
      <c r="AG769" s="114"/>
      <c r="AH769" s="114"/>
      <c r="AI769" s="114"/>
      <c r="AJ769" s="114"/>
      <c r="AK769" s="114"/>
    </row>
    <row r="770" ht="15.75" customHeight="1">
      <c r="A770" s="114"/>
      <c r="B770" s="114"/>
      <c r="C770" s="114"/>
      <c r="D770" s="114"/>
      <c r="E770" s="114"/>
      <c r="F770" s="114"/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  <c r="AA770" s="114"/>
      <c r="AB770" s="114"/>
      <c r="AC770" s="114"/>
      <c r="AD770" s="114"/>
      <c r="AE770" s="114"/>
      <c r="AF770" s="114"/>
      <c r="AG770" s="114"/>
      <c r="AH770" s="114"/>
      <c r="AI770" s="114"/>
      <c r="AJ770" s="114"/>
      <c r="AK770" s="114"/>
    </row>
    <row r="771" ht="15.75" customHeight="1">
      <c r="A771" s="114"/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  <c r="AA771" s="114"/>
      <c r="AB771" s="114"/>
      <c r="AC771" s="114"/>
      <c r="AD771" s="114"/>
      <c r="AE771" s="114"/>
      <c r="AF771" s="114"/>
      <c r="AG771" s="114"/>
      <c r="AH771" s="114"/>
      <c r="AI771" s="114"/>
      <c r="AJ771" s="114"/>
      <c r="AK771" s="114"/>
    </row>
    <row r="772" ht="15.75" customHeight="1">
      <c r="A772" s="114"/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  <c r="AA772" s="114"/>
      <c r="AB772" s="114"/>
      <c r="AC772" s="114"/>
      <c r="AD772" s="114"/>
      <c r="AE772" s="114"/>
      <c r="AF772" s="114"/>
      <c r="AG772" s="114"/>
      <c r="AH772" s="114"/>
      <c r="AI772" s="114"/>
      <c r="AJ772" s="114"/>
      <c r="AK772" s="114"/>
    </row>
    <row r="773" ht="15.75" customHeight="1">
      <c r="A773" s="114"/>
      <c r="B773" s="114"/>
      <c r="C773" s="114"/>
      <c r="D773" s="114"/>
      <c r="E773" s="114"/>
      <c r="F773" s="114"/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  <c r="AA773" s="114"/>
      <c r="AB773" s="114"/>
      <c r="AC773" s="114"/>
      <c r="AD773" s="114"/>
      <c r="AE773" s="114"/>
      <c r="AF773" s="114"/>
      <c r="AG773" s="114"/>
      <c r="AH773" s="114"/>
      <c r="AI773" s="114"/>
      <c r="AJ773" s="114"/>
      <c r="AK773" s="114"/>
    </row>
    <row r="774" ht="15.75" customHeight="1">
      <c r="A774" s="114"/>
      <c r="B774" s="114"/>
      <c r="C774" s="114"/>
      <c r="D774" s="114"/>
      <c r="E774" s="114"/>
      <c r="F774" s="114"/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  <c r="AA774" s="114"/>
      <c r="AB774" s="114"/>
      <c r="AC774" s="114"/>
      <c r="AD774" s="114"/>
      <c r="AE774" s="114"/>
      <c r="AF774" s="114"/>
      <c r="AG774" s="114"/>
      <c r="AH774" s="114"/>
      <c r="AI774" s="114"/>
      <c r="AJ774" s="114"/>
      <c r="AK774" s="114"/>
    </row>
    <row r="775" ht="15.75" customHeight="1">
      <c r="A775" s="114"/>
      <c r="B775" s="114"/>
      <c r="C775" s="114"/>
      <c r="D775" s="114"/>
      <c r="E775" s="114"/>
      <c r="F775" s="114"/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  <c r="AA775" s="114"/>
      <c r="AB775" s="114"/>
      <c r="AC775" s="114"/>
      <c r="AD775" s="114"/>
      <c r="AE775" s="114"/>
      <c r="AF775" s="114"/>
      <c r="AG775" s="114"/>
      <c r="AH775" s="114"/>
      <c r="AI775" s="114"/>
      <c r="AJ775" s="114"/>
      <c r="AK775" s="114"/>
    </row>
    <row r="776" ht="15.75" customHeight="1">
      <c r="A776" s="114"/>
      <c r="B776" s="114"/>
      <c r="C776" s="114"/>
      <c r="D776" s="114"/>
      <c r="E776" s="114"/>
      <c r="F776" s="114"/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  <c r="AA776" s="114"/>
      <c r="AB776" s="114"/>
      <c r="AC776" s="114"/>
      <c r="AD776" s="114"/>
      <c r="AE776" s="114"/>
      <c r="AF776" s="114"/>
      <c r="AG776" s="114"/>
      <c r="AH776" s="114"/>
      <c r="AI776" s="114"/>
      <c r="AJ776" s="114"/>
      <c r="AK776" s="114"/>
    </row>
    <row r="777" ht="15.75" customHeight="1">
      <c r="A777" s="114"/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  <c r="AA777" s="114"/>
      <c r="AB777" s="114"/>
      <c r="AC777" s="114"/>
      <c r="AD777" s="114"/>
      <c r="AE777" s="114"/>
      <c r="AF777" s="114"/>
      <c r="AG777" s="114"/>
      <c r="AH777" s="114"/>
      <c r="AI777" s="114"/>
      <c r="AJ777" s="114"/>
      <c r="AK777" s="114"/>
    </row>
    <row r="778" ht="15.75" customHeight="1">
      <c r="A778" s="114"/>
      <c r="B778" s="114"/>
      <c r="C778" s="114"/>
      <c r="D778" s="114"/>
      <c r="E778" s="114"/>
      <c r="F778" s="114"/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  <c r="AA778" s="114"/>
      <c r="AB778" s="114"/>
      <c r="AC778" s="114"/>
      <c r="AD778" s="114"/>
      <c r="AE778" s="114"/>
      <c r="AF778" s="114"/>
      <c r="AG778" s="114"/>
      <c r="AH778" s="114"/>
      <c r="AI778" s="114"/>
      <c r="AJ778" s="114"/>
      <c r="AK778" s="114"/>
    </row>
    <row r="779" ht="15.75" customHeight="1">
      <c r="A779" s="114"/>
      <c r="B779" s="114"/>
      <c r="C779" s="114"/>
      <c r="D779" s="114"/>
      <c r="E779" s="114"/>
      <c r="F779" s="114"/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  <c r="AA779" s="114"/>
      <c r="AB779" s="114"/>
      <c r="AC779" s="114"/>
      <c r="AD779" s="114"/>
      <c r="AE779" s="114"/>
      <c r="AF779" s="114"/>
      <c r="AG779" s="114"/>
      <c r="AH779" s="114"/>
      <c r="AI779" s="114"/>
      <c r="AJ779" s="114"/>
      <c r="AK779" s="114"/>
    </row>
    <row r="780" ht="15.75" customHeight="1">
      <c r="A780" s="114"/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  <c r="AA780" s="114"/>
      <c r="AB780" s="114"/>
      <c r="AC780" s="114"/>
      <c r="AD780" s="114"/>
      <c r="AE780" s="114"/>
      <c r="AF780" s="114"/>
      <c r="AG780" s="114"/>
      <c r="AH780" s="114"/>
      <c r="AI780" s="114"/>
      <c r="AJ780" s="114"/>
      <c r="AK780" s="114"/>
    </row>
    <row r="781" ht="15.75" customHeight="1">
      <c r="A781" s="114"/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  <c r="AA781" s="114"/>
      <c r="AB781" s="114"/>
      <c r="AC781" s="114"/>
      <c r="AD781" s="114"/>
      <c r="AE781" s="114"/>
      <c r="AF781" s="114"/>
      <c r="AG781" s="114"/>
      <c r="AH781" s="114"/>
      <c r="AI781" s="114"/>
      <c r="AJ781" s="114"/>
      <c r="AK781" s="114"/>
    </row>
    <row r="782" ht="15.75" customHeight="1">
      <c r="A782" s="114"/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4"/>
      <c r="X782" s="114"/>
      <c r="Y782" s="114"/>
      <c r="Z782" s="114"/>
      <c r="AA782" s="114"/>
      <c r="AB782" s="114"/>
      <c r="AC782" s="114"/>
      <c r="AD782" s="114"/>
      <c r="AE782" s="114"/>
      <c r="AF782" s="114"/>
      <c r="AG782" s="114"/>
      <c r="AH782" s="114"/>
      <c r="AI782" s="114"/>
      <c r="AJ782" s="114"/>
      <c r="AK782" s="114"/>
    </row>
    <row r="783" ht="15.75" customHeight="1">
      <c r="A783" s="114"/>
      <c r="B783" s="114"/>
      <c r="C783" s="114"/>
      <c r="D783" s="114"/>
      <c r="E783" s="114"/>
      <c r="F783" s="114"/>
      <c r="G783" s="114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4"/>
      <c r="V783" s="114"/>
      <c r="W783" s="114"/>
      <c r="X783" s="114"/>
      <c r="Y783" s="114"/>
      <c r="Z783" s="114"/>
      <c r="AA783" s="114"/>
      <c r="AB783" s="114"/>
      <c r="AC783" s="114"/>
      <c r="AD783" s="114"/>
      <c r="AE783" s="114"/>
      <c r="AF783" s="114"/>
      <c r="AG783" s="114"/>
      <c r="AH783" s="114"/>
      <c r="AI783" s="114"/>
      <c r="AJ783" s="114"/>
      <c r="AK783" s="114"/>
    </row>
    <row r="784" ht="15.75" customHeight="1">
      <c r="A784" s="114"/>
      <c r="B784" s="114"/>
      <c r="C784" s="114"/>
      <c r="D784" s="114"/>
      <c r="E784" s="114"/>
      <c r="F784" s="114"/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  <c r="AA784" s="114"/>
      <c r="AB784" s="114"/>
      <c r="AC784" s="114"/>
      <c r="AD784" s="114"/>
      <c r="AE784" s="114"/>
      <c r="AF784" s="114"/>
      <c r="AG784" s="114"/>
      <c r="AH784" s="114"/>
      <c r="AI784" s="114"/>
      <c r="AJ784" s="114"/>
      <c r="AK784" s="114"/>
    </row>
    <row r="785" ht="15.75" customHeight="1">
      <c r="A785" s="114"/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4"/>
      <c r="V785" s="114"/>
      <c r="W785" s="114"/>
      <c r="X785" s="114"/>
      <c r="Y785" s="114"/>
      <c r="Z785" s="114"/>
      <c r="AA785" s="114"/>
      <c r="AB785" s="114"/>
      <c r="AC785" s="114"/>
      <c r="AD785" s="114"/>
      <c r="AE785" s="114"/>
      <c r="AF785" s="114"/>
      <c r="AG785" s="114"/>
      <c r="AH785" s="114"/>
      <c r="AI785" s="114"/>
      <c r="AJ785" s="114"/>
      <c r="AK785" s="114"/>
    </row>
    <row r="786" ht="15.75" customHeight="1">
      <c r="A786" s="114"/>
      <c r="B786" s="114"/>
      <c r="C786" s="114"/>
      <c r="D786" s="114"/>
      <c r="E786" s="114"/>
      <c r="F786" s="114"/>
      <c r="G786" s="114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4"/>
      <c r="V786" s="114"/>
      <c r="W786" s="114"/>
      <c r="X786" s="114"/>
      <c r="Y786" s="114"/>
      <c r="Z786" s="114"/>
      <c r="AA786" s="114"/>
      <c r="AB786" s="114"/>
      <c r="AC786" s="114"/>
      <c r="AD786" s="114"/>
      <c r="AE786" s="114"/>
      <c r="AF786" s="114"/>
      <c r="AG786" s="114"/>
      <c r="AH786" s="114"/>
      <c r="AI786" s="114"/>
      <c r="AJ786" s="114"/>
      <c r="AK786" s="114"/>
    </row>
    <row r="787" ht="15.75" customHeight="1">
      <c r="A787" s="114"/>
      <c r="B787" s="114"/>
      <c r="C787" s="114"/>
      <c r="D787" s="114"/>
      <c r="E787" s="114"/>
      <c r="F787" s="114"/>
      <c r="G787" s="114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4"/>
      <c r="V787" s="114"/>
      <c r="W787" s="114"/>
      <c r="X787" s="114"/>
      <c r="Y787" s="114"/>
      <c r="Z787" s="114"/>
      <c r="AA787" s="114"/>
      <c r="AB787" s="114"/>
      <c r="AC787" s="114"/>
      <c r="AD787" s="114"/>
      <c r="AE787" s="114"/>
      <c r="AF787" s="114"/>
      <c r="AG787" s="114"/>
      <c r="AH787" s="114"/>
      <c r="AI787" s="114"/>
      <c r="AJ787" s="114"/>
      <c r="AK787" s="114"/>
    </row>
    <row r="788" ht="15.75" customHeight="1">
      <c r="A788" s="114"/>
      <c r="B788" s="114"/>
      <c r="C788" s="114"/>
      <c r="D788" s="114"/>
      <c r="E788" s="114"/>
      <c r="F788" s="114"/>
      <c r="G788" s="114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4"/>
      <c r="V788" s="114"/>
      <c r="W788" s="114"/>
      <c r="X788" s="114"/>
      <c r="Y788" s="114"/>
      <c r="Z788" s="114"/>
      <c r="AA788" s="114"/>
      <c r="AB788" s="114"/>
      <c r="AC788" s="114"/>
      <c r="AD788" s="114"/>
      <c r="AE788" s="114"/>
      <c r="AF788" s="114"/>
      <c r="AG788" s="114"/>
      <c r="AH788" s="114"/>
      <c r="AI788" s="114"/>
      <c r="AJ788" s="114"/>
      <c r="AK788" s="114"/>
    </row>
    <row r="789" ht="15.75" customHeight="1">
      <c r="A789" s="114"/>
      <c r="B789" s="114"/>
      <c r="C789" s="114"/>
      <c r="D789" s="114"/>
      <c r="E789" s="114"/>
      <c r="F789" s="114"/>
      <c r="G789" s="114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  <c r="AA789" s="114"/>
      <c r="AB789" s="114"/>
      <c r="AC789" s="114"/>
      <c r="AD789" s="114"/>
      <c r="AE789" s="114"/>
      <c r="AF789" s="114"/>
      <c r="AG789" s="114"/>
      <c r="AH789" s="114"/>
      <c r="AI789" s="114"/>
      <c r="AJ789" s="114"/>
      <c r="AK789" s="114"/>
    </row>
    <row r="790" ht="15.75" customHeight="1">
      <c r="A790" s="114"/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  <c r="AA790" s="114"/>
      <c r="AB790" s="114"/>
      <c r="AC790" s="114"/>
      <c r="AD790" s="114"/>
      <c r="AE790" s="114"/>
      <c r="AF790" s="114"/>
      <c r="AG790" s="114"/>
      <c r="AH790" s="114"/>
      <c r="AI790" s="114"/>
      <c r="AJ790" s="114"/>
      <c r="AK790" s="114"/>
    </row>
    <row r="791" ht="15.75" customHeight="1">
      <c r="A791" s="114"/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4"/>
      <c r="X791" s="114"/>
      <c r="Y791" s="114"/>
      <c r="Z791" s="114"/>
      <c r="AA791" s="114"/>
      <c r="AB791" s="114"/>
      <c r="AC791" s="114"/>
      <c r="AD791" s="114"/>
      <c r="AE791" s="114"/>
      <c r="AF791" s="114"/>
      <c r="AG791" s="114"/>
      <c r="AH791" s="114"/>
      <c r="AI791" s="114"/>
      <c r="AJ791" s="114"/>
      <c r="AK791" s="114"/>
    </row>
    <row r="792" ht="15.75" customHeight="1">
      <c r="A792" s="114"/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4"/>
      <c r="X792" s="114"/>
      <c r="Y792" s="114"/>
      <c r="Z792" s="114"/>
      <c r="AA792" s="114"/>
      <c r="AB792" s="114"/>
      <c r="AC792" s="114"/>
      <c r="AD792" s="114"/>
      <c r="AE792" s="114"/>
      <c r="AF792" s="114"/>
      <c r="AG792" s="114"/>
      <c r="AH792" s="114"/>
      <c r="AI792" s="114"/>
      <c r="AJ792" s="114"/>
      <c r="AK792" s="114"/>
    </row>
    <row r="793" ht="15.75" customHeight="1">
      <c r="A793" s="114"/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4"/>
      <c r="V793" s="114"/>
      <c r="W793" s="114"/>
      <c r="X793" s="114"/>
      <c r="Y793" s="114"/>
      <c r="Z793" s="114"/>
      <c r="AA793" s="114"/>
      <c r="AB793" s="114"/>
      <c r="AC793" s="114"/>
      <c r="AD793" s="114"/>
      <c r="AE793" s="114"/>
      <c r="AF793" s="114"/>
      <c r="AG793" s="114"/>
      <c r="AH793" s="114"/>
      <c r="AI793" s="114"/>
      <c r="AJ793" s="114"/>
      <c r="AK793" s="114"/>
    </row>
    <row r="794" ht="15.75" customHeight="1">
      <c r="A794" s="114"/>
      <c r="B794" s="114"/>
      <c r="C794" s="114"/>
      <c r="D794" s="114"/>
      <c r="E794" s="114"/>
      <c r="F794" s="114"/>
      <c r="G794" s="114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4"/>
      <c r="V794" s="114"/>
      <c r="W794" s="114"/>
      <c r="X794" s="114"/>
      <c r="Y794" s="114"/>
      <c r="Z794" s="114"/>
      <c r="AA794" s="114"/>
      <c r="AB794" s="114"/>
      <c r="AC794" s="114"/>
      <c r="AD794" s="114"/>
      <c r="AE794" s="114"/>
      <c r="AF794" s="114"/>
      <c r="AG794" s="114"/>
      <c r="AH794" s="114"/>
      <c r="AI794" s="114"/>
      <c r="AJ794" s="114"/>
      <c r="AK794" s="114"/>
    </row>
    <row r="795" ht="15.75" customHeight="1">
      <c r="A795" s="114"/>
      <c r="B795" s="114"/>
      <c r="C795" s="114"/>
      <c r="D795" s="114"/>
      <c r="E795" s="114"/>
      <c r="F795" s="114"/>
      <c r="G795" s="114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4"/>
      <c r="V795" s="114"/>
      <c r="W795" s="114"/>
      <c r="X795" s="114"/>
      <c r="Y795" s="114"/>
      <c r="Z795" s="114"/>
      <c r="AA795" s="114"/>
      <c r="AB795" s="114"/>
      <c r="AC795" s="114"/>
      <c r="AD795" s="114"/>
      <c r="AE795" s="114"/>
      <c r="AF795" s="114"/>
      <c r="AG795" s="114"/>
      <c r="AH795" s="114"/>
      <c r="AI795" s="114"/>
      <c r="AJ795" s="114"/>
      <c r="AK795" s="114"/>
    </row>
    <row r="796" ht="15.75" customHeight="1">
      <c r="A796" s="114"/>
      <c r="B796" s="114"/>
      <c r="C796" s="114"/>
      <c r="D796" s="114"/>
      <c r="E796" s="114"/>
      <c r="F796" s="114"/>
      <c r="G796" s="114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4"/>
      <c r="V796" s="114"/>
      <c r="W796" s="114"/>
      <c r="X796" s="114"/>
      <c r="Y796" s="114"/>
      <c r="Z796" s="114"/>
      <c r="AA796" s="114"/>
      <c r="AB796" s="114"/>
      <c r="AC796" s="114"/>
      <c r="AD796" s="114"/>
      <c r="AE796" s="114"/>
      <c r="AF796" s="114"/>
      <c r="AG796" s="114"/>
      <c r="AH796" s="114"/>
      <c r="AI796" s="114"/>
      <c r="AJ796" s="114"/>
      <c r="AK796" s="114"/>
    </row>
    <row r="797" ht="15.75" customHeight="1">
      <c r="A797" s="114"/>
      <c r="B797" s="114"/>
      <c r="C797" s="114"/>
      <c r="D797" s="114"/>
      <c r="E797" s="114"/>
      <c r="F797" s="114"/>
      <c r="G797" s="114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4"/>
      <c r="V797" s="114"/>
      <c r="W797" s="114"/>
      <c r="X797" s="114"/>
      <c r="Y797" s="114"/>
      <c r="Z797" s="114"/>
      <c r="AA797" s="114"/>
      <c r="AB797" s="114"/>
      <c r="AC797" s="114"/>
      <c r="AD797" s="114"/>
      <c r="AE797" s="114"/>
      <c r="AF797" s="114"/>
      <c r="AG797" s="114"/>
      <c r="AH797" s="114"/>
      <c r="AI797" s="114"/>
      <c r="AJ797" s="114"/>
      <c r="AK797" s="114"/>
    </row>
    <row r="798" ht="15.75" customHeight="1">
      <c r="A798" s="114"/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  <c r="AA798" s="114"/>
      <c r="AB798" s="114"/>
      <c r="AC798" s="114"/>
      <c r="AD798" s="114"/>
      <c r="AE798" s="114"/>
      <c r="AF798" s="114"/>
      <c r="AG798" s="114"/>
      <c r="AH798" s="114"/>
      <c r="AI798" s="114"/>
      <c r="AJ798" s="114"/>
      <c r="AK798" s="114"/>
    </row>
    <row r="799" ht="15.75" customHeight="1">
      <c r="A799" s="114"/>
      <c r="B799" s="114"/>
      <c r="C799" s="114"/>
      <c r="D799" s="114"/>
      <c r="E799" s="114"/>
      <c r="F799" s="114"/>
      <c r="G799" s="114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  <c r="AA799" s="114"/>
      <c r="AB799" s="114"/>
      <c r="AC799" s="114"/>
      <c r="AD799" s="114"/>
      <c r="AE799" s="114"/>
      <c r="AF799" s="114"/>
      <c r="AG799" s="114"/>
      <c r="AH799" s="114"/>
      <c r="AI799" s="114"/>
      <c r="AJ799" s="114"/>
      <c r="AK799" s="114"/>
    </row>
    <row r="800" ht="15.75" customHeight="1">
      <c r="A800" s="114"/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4"/>
      <c r="V800" s="114"/>
      <c r="W800" s="114"/>
      <c r="X800" s="114"/>
      <c r="Y800" s="114"/>
      <c r="Z800" s="114"/>
      <c r="AA800" s="114"/>
      <c r="AB800" s="114"/>
      <c r="AC800" s="114"/>
      <c r="AD800" s="114"/>
      <c r="AE800" s="114"/>
      <c r="AF800" s="114"/>
      <c r="AG800" s="114"/>
      <c r="AH800" s="114"/>
      <c r="AI800" s="114"/>
      <c r="AJ800" s="114"/>
      <c r="AK800" s="114"/>
    </row>
    <row r="801" ht="15.75" customHeight="1">
      <c r="A801" s="114"/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4"/>
      <c r="X801" s="114"/>
      <c r="Y801" s="114"/>
      <c r="Z801" s="114"/>
      <c r="AA801" s="114"/>
      <c r="AB801" s="114"/>
      <c r="AC801" s="114"/>
      <c r="AD801" s="114"/>
      <c r="AE801" s="114"/>
      <c r="AF801" s="114"/>
      <c r="AG801" s="114"/>
      <c r="AH801" s="114"/>
      <c r="AI801" s="114"/>
      <c r="AJ801" s="114"/>
      <c r="AK801" s="114"/>
    </row>
    <row r="802" ht="15.75" customHeight="1">
      <c r="A802" s="114"/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4"/>
      <c r="X802" s="114"/>
      <c r="Y802" s="114"/>
      <c r="Z802" s="114"/>
      <c r="AA802" s="114"/>
      <c r="AB802" s="114"/>
      <c r="AC802" s="114"/>
      <c r="AD802" s="114"/>
      <c r="AE802" s="114"/>
      <c r="AF802" s="114"/>
      <c r="AG802" s="114"/>
      <c r="AH802" s="114"/>
      <c r="AI802" s="114"/>
      <c r="AJ802" s="114"/>
      <c r="AK802" s="114"/>
    </row>
    <row r="803" ht="15.75" customHeight="1">
      <c r="A803" s="114"/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114"/>
      <c r="Z803" s="114"/>
      <c r="AA803" s="114"/>
      <c r="AB803" s="114"/>
      <c r="AC803" s="114"/>
      <c r="AD803" s="114"/>
      <c r="AE803" s="114"/>
      <c r="AF803" s="114"/>
      <c r="AG803" s="114"/>
      <c r="AH803" s="114"/>
      <c r="AI803" s="114"/>
      <c r="AJ803" s="114"/>
      <c r="AK803" s="114"/>
    </row>
    <row r="804" ht="15.75" customHeight="1">
      <c r="A804" s="114"/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114"/>
      <c r="Z804" s="114"/>
      <c r="AA804" s="114"/>
      <c r="AB804" s="114"/>
      <c r="AC804" s="114"/>
      <c r="AD804" s="114"/>
      <c r="AE804" s="114"/>
      <c r="AF804" s="114"/>
      <c r="AG804" s="114"/>
      <c r="AH804" s="114"/>
      <c r="AI804" s="114"/>
      <c r="AJ804" s="114"/>
      <c r="AK804" s="114"/>
    </row>
    <row r="805" ht="15.75" customHeight="1">
      <c r="A805" s="114"/>
      <c r="B805" s="114"/>
      <c r="C805" s="114"/>
      <c r="D805" s="114"/>
      <c r="E805" s="114"/>
      <c r="F805" s="114"/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  <c r="AA805" s="114"/>
      <c r="AB805" s="114"/>
      <c r="AC805" s="114"/>
      <c r="AD805" s="114"/>
      <c r="AE805" s="114"/>
      <c r="AF805" s="114"/>
      <c r="AG805" s="114"/>
      <c r="AH805" s="114"/>
      <c r="AI805" s="114"/>
      <c r="AJ805" s="114"/>
      <c r="AK805" s="114"/>
    </row>
    <row r="806" ht="15.75" customHeight="1">
      <c r="A806" s="114"/>
      <c r="B806" s="114"/>
      <c r="C806" s="114"/>
      <c r="D806" s="114"/>
      <c r="E806" s="114"/>
      <c r="F806" s="114"/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  <c r="AA806" s="114"/>
      <c r="AB806" s="114"/>
      <c r="AC806" s="114"/>
      <c r="AD806" s="114"/>
      <c r="AE806" s="114"/>
      <c r="AF806" s="114"/>
      <c r="AG806" s="114"/>
      <c r="AH806" s="114"/>
      <c r="AI806" s="114"/>
      <c r="AJ806" s="114"/>
      <c r="AK806" s="114"/>
    </row>
    <row r="807" ht="15.75" customHeight="1">
      <c r="A807" s="114"/>
      <c r="B807" s="114"/>
      <c r="C807" s="114"/>
      <c r="D807" s="114"/>
      <c r="E807" s="114"/>
      <c r="F807" s="114"/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  <c r="AA807" s="114"/>
      <c r="AB807" s="114"/>
      <c r="AC807" s="114"/>
      <c r="AD807" s="114"/>
      <c r="AE807" s="114"/>
      <c r="AF807" s="114"/>
      <c r="AG807" s="114"/>
      <c r="AH807" s="114"/>
      <c r="AI807" s="114"/>
      <c r="AJ807" s="114"/>
      <c r="AK807" s="114"/>
    </row>
    <row r="808" ht="15.75" customHeight="1">
      <c r="A808" s="114"/>
      <c r="B808" s="114"/>
      <c r="C808" s="114"/>
      <c r="D808" s="114"/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  <c r="AA808" s="114"/>
      <c r="AB808" s="114"/>
      <c r="AC808" s="114"/>
      <c r="AD808" s="114"/>
      <c r="AE808" s="114"/>
      <c r="AF808" s="114"/>
      <c r="AG808" s="114"/>
      <c r="AH808" s="114"/>
      <c r="AI808" s="114"/>
      <c r="AJ808" s="114"/>
      <c r="AK808" s="114"/>
    </row>
    <row r="809" ht="15.75" customHeight="1">
      <c r="A809" s="114"/>
      <c r="B809" s="114"/>
      <c r="C809" s="114"/>
      <c r="D809" s="114"/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  <c r="AA809" s="114"/>
      <c r="AB809" s="114"/>
      <c r="AC809" s="114"/>
      <c r="AD809" s="114"/>
      <c r="AE809" s="114"/>
      <c r="AF809" s="114"/>
      <c r="AG809" s="114"/>
      <c r="AH809" s="114"/>
      <c r="AI809" s="114"/>
      <c r="AJ809" s="114"/>
      <c r="AK809" s="114"/>
    </row>
    <row r="810" ht="15.75" customHeight="1">
      <c r="A810" s="114"/>
      <c r="B810" s="114"/>
      <c r="C810" s="114"/>
      <c r="D810" s="114"/>
      <c r="E810" s="114"/>
      <c r="F810" s="114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  <c r="AA810" s="114"/>
      <c r="AB810" s="114"/>
      <c r="AC810" s="114"/>
      <c r="AD810" s="114"/>
      <c r="AE810" s="114"/>
      <c r="AF810" s="114"/>
      <c r="AG810" s="114"/>
      <c r="AH810" s="114"/>
      <c r="AI810" s="114"/>
      <c r="AJ810" s="114"/>
      <c r="AK810" s="114"/>
    </row>
    <row r="811" ht="15.75" customHeight="1">
      <c r="A811" s="114"/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  <c r="AA811" s="114"/>
      <c r="AB811" s="114"/>
      <c r="AC811" s="114"/>
      <c r="AD811" s="114"/>
      <c r="AE811" s="114"/>
      <c r="AF811" s="114"/>
      <c r="AG811" s="114"/>
      <c r="AH811" s="114"/>
      <c r="AI811" s="114"/>
      <c r="AJ811" s="114"/>
      <c r="AK811" s="114"/>
    </row>
    <row r="812" ht="15.75" customHeight="1">
      <c r="A812" s="114"/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  <c r="AA812" s="114"/>
      <c r="AB812" s="114"/>
      <c r="AC812" s="114"/>
      <c r="AD812" s="114"/>
      <c r="AE812" s="114"/>
      <c r="AF812" s="114"/>
      <c r="AG812" s="114"/>
      <c r="AH812" s="114"/>
      <c r="AI812" s="114"/>
      <c r="AJ812" s="114"/>
      <c r="AK812" s="114"/>
    </row>
    <row r="813" ht="15.75" customHeight="1">
      <c r="A813" s="114"/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  <c r="Z813" s="114"/>
      <c r="AA813" s="114"/>
      <c r="AB813" s="114"/>
      <c r="AC813" s="114"/>
      <c r="AD813" s="114"/>
      <c r="AE813" s="114"/>
      <c r="AF813" s="114"/>
      <c r="AG813" s="114"/>
      <c r="AH813" s="114"/>
      <c r="AI813" s="114"/>
      <c r="AJ813" s="114"/>
      <c r="AK813" s="114"/>
    </row>
    <row r="814" ht="15.75" customHeight="1">
      <c r="A814" s="114"/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4"/>
      <c r="V814" s="114"/>
      <c r="W814" s="114"/>
      <c r="X814" s="114"/>
      <c r="Y814" s="114"/>
      <c r="Z814" s="114"/>
      <c r="AA814" s="114"/>
      <c r="AB814" s="114"/>
      <c r="AC814" s="114"/>
      <c r="AD814" s="114"/>
      <c r="AE814" s="114"/>
      <c r="AF814" s="114"/>
      <c r="AG814" s="114"/>
      <c r="AH814" s="114"/>
      <c r="AI814" s="114"/>
      <c r="AJ814" s="114"/>
      <c r="AK814" s="114"/>
    </row>
    <row r="815" ht="15.75" customHeight="1">
      <c r="A815" s="114"/>
      <c r="B815" s="114"/>
      <c r="C815" s="114"/>
      <c r="D815" s="114"/>
      <c r="E815" s="114"/>
      <c r="F815" s="114"/>
      <c r="G815" s="114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4"/>
      <c r="V815" s="114"/>
      <c r="W815" s="114"/>
      <c r="X815" s="114"/>
      <c r="Y815" s="114"/>
      <c r="Z815" s="114"/>
      <c r="AA815" s="114"/>
      <c r="AB815" s="114"/>
      <c r="AC815" s="114"/>
      <c r="AD815" s="114"/>
      <c r="AE815" s="114"/>
      <c r="AF815" s="114"/>
      <c r="AG815" s="114"/>
      <c r="AH815" s="114"/>
      <c r="AI815" s="114"/>
      <c r="AJ815" s="114"/>
      <c r="AK815" s="114"/>
    </row>
    <row r="816" ht="15.75" customHeight="1">
      <c r="A816" s="114"/>
      <c r="B816" s="114"/>
      <c r="C816" s="114"/>
      <c r="D816" s="114"/>
      <c r="E816" s="114"/>
      <c r="F816" s="114"/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  <c r="AA816" s="114"/>
      <c r="AB816" s="114"/>
      <c r="AC816" s="114"/>
      <c r="AD816" s="114"/>
      <c r="AE816" s="114"/>
      <c r="AF816" s="114"/>
      <c r="AG816" s="114"/>
      <c r="AH816" s="114"/>
      <c r="AI816" s="114"/>
      <c r="AJ816" s="114"/>
      <c r="AK816" s="114"/>
    </row>
    <row r="817" ht="15.75" customHeight="1">
      <c r="A817" s="114"/>
      <c r="B817" s="114"/>
      <c r="C817" s="114"/>
      <c r="D817" s="114"/>
      <c r="E817" s="114"/>
      <c r="F817" s="114"/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  <c r="AA817" s="114"/>
      <c r="AB817" s="114"/>
      <c r="AC817" s="114"/>
      <c r="AD817" s="114"/>
      <c r="AE817" s="114"/>
      <c r="AF817" s="114"/>
      <c r="AG817" s="114"/>
      <c r="AH817" s="114"/>
      <c r="AI817" s="114"/>
      <c r="AJ817" s="114"/>
      <c r="AK817" s="114"/>
    </row>
    <row r="818" ht="15.75" customHeight="1">
      <c r="A818" s="114"/>
      <c r="B818" s="114"/>
      <c r="C818" s="114"/>
      <c r="D818" s="114"/>
      <c r="E818" s="114"/>
      <c r="F818" s="114"/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114"/>
      <c r="Z818" s="114"/>
      <c r="AA818" s="114"/>
      <c r="AB818" s="114"/>
      <c r="AC818" s="114"/>
      <c r="AD818" s="114"/>
      <c r="AE818" s="114"/>
      <c r="AF818" s="114"/>
      <c r="AG818" s="114"/>
      <c r="AH818" s="114"/>
      <c r="AI818" s="114"/>
      <c r="AJ818" s="114"/>
      <c r="AK818" s="114"/>
    </row>
    <row r="819" ht="15.75" customHeight="1">
      <c r="A819" s="114"/>
      <c r="B819" s="114"/>
      <c r="C819" s="114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114"/>
      <c r="Z819" s="114"/>
      <c r="AA819" s="114"/>
      <c r="AB819" s="114"/>
      <c r="AC819" s="114"/>
      <c r="AD819" s="114"/>
      <c r="AE819" s="114"/>
      <c r="AF819" s="114"/>
      <c r="AG819" s="114"/>
      <c r="AH819" s="114"/>
      <c r="AI819" s="114"/>
      <c r="AJ819" s="114"/>
      <c r="AK819" s="114"/>
    </row>
    <row r="820" ht="15.75" customHeight="1">
      <c r="A820" s="114"/>
      <c r="B820" s="114"/>
      <c r="C820" s="114"/>
      <c r="D820" s="114"/>
      <c r="E820" s="114"/>
      <c r="F820" s="114"/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114"/>
      <c r="Z820" s="114"/>
      <c r="AA820" s="114"/>
      <c r="AB820" s="114"/>
      <c r="AC820" s="114"/>
      <c r="AD820" s="114"/>
      <c r="AE820" s="114"/>
      <c r="AF820" s="114"/>
      <c r="AG820" s="114"/>
      <c r="AH820" s="114"/>
      <c r="AI820" s="114"/>
      <c r="AJ820" s="114"/>
      <c r="AK820" s="114"/>
    </row>
    <row r="821" ht="15.75" customHeight="1">
      <c r="A821" s="114"/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114"/>
      <c r="Z821" s="114"/>
      <c r="AA821" s="114"/>
      <c r="AB821" s="114"/>
      <c r="AC821" s="114"/>
      <c r="AD821" s="114"/>
      <c r="AE821" s="114"/>
      <c r="AF821" s="114"/>
      <c r="AG821" s="114"/>
      <c r="AH821" s="114"/>
      <c r="AI821" s="114"/>
      <c r="AJ821" s="114"/>
      <c r="AK821" s="114"/>
    </row>
    <row r="822" ht="15.75" customHeight="1">
      <c r="A822" s="114"/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114"/>
      <c r="Z822" s="114"/>
      <c r="AA822" s="114"/>
      <c r="AB822" s="114"/>
      <c r="AC822" s="114"/>
      <c r="AD822" s="114"/>
      <c r="AE822" s="114"/>
      <c r="AF822" s="114"/>
      <c r="AG822" s="114"/>
      <c r="AH822" s="114"/>
      <c r="AI822" s="114"/>
      <c r="AJ822" s="114"/>
      <c r="AK822" s="114"/>
    </row>
    <row r="823" ht="15.75" customHeight="1">
      <c r="A823" s="114"/>
      <c r="B823" s="114"/>
      <c r="C823" s="114"/>
      <c r="D823" s="114"/>
      <c r="E823" s="114"/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114"/>
      <c r="Z823" s="114"/>
      <c r="AA823" s="114"/>
      <c r="AB823" s="114"/>
      <c r="AC823" s="114"/>
      <c r="AD823" s="114"/>
      <c r="AE823" s="114"/>
      <c r="AF823" s="114"/>
      <c r="AG823" s="114"/>
      <c r="AH823" s="114"/>
      <c r="AI823" s="114"/>
      <c r="AJ823" s="114"/>
      <c r="AK823" s="114"/>
    </row>
    <row r="824" ht="15.75" customHeight="1">
      <c r="A824" s="114"/>
      <c r="B824" s="114"/>
      <c r="C824" s="114"/>
      <c r="D824" s="114"/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114"/>
      <c r="Z824" s="114"/>
      <c r="AA824" s="114"/>
      <c r="AB824" s="114"/>
      <c r="AC824" s="114"/>
      <c r="AD824" s="114"/>
      <c r="AE824" s="114"/>
      <c r="AF824" s="114"/>
      <c r="AG824" s="114"/>
      <c r="AH824" s="114"/>
      <c r="AI824" s="114"/>
      <c r="AJ824" s="114"/>
      <c r="AK824" s="114"/>
    </row>
    <row r="825" ht="15.75" customHeight="1">
      <c r="A825" s="114"/>
      <c r="B825" s="114"/>
      <c r="C825" s="114"/>
      <c r="D825" s="114"/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  <c r="AA825" s="114"/>
      <c r="AB825" s="114"/>
      <c r="AC825" s="114"/>
      <c r="AD825" s="114"/>
      <c r="AE825" s="114"/>
      <c r="AF825" s="114"/>
      <c r="AG825" s="114"/>
      <c r="AH825" s="114"/>
      <c r="AI825" s="114"/>
      <c r="AJ825" s="114"/>
      <c r="AK825" s="114"/>
    </row>
    <row r="826" ht="15.75" customHeight="1">
      <c r="A826" s="114"/>
      <c r="B826" s="114"/>
      <c r="C826" s="114"/>
      <c r="D826" s="114"/>
      <c r="E826" s="114"/>
      <c r="F826" s="114"/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  <c r="AA826" s="114"/>
      <c r="AB826" s="114"/>
      <c r="AC826" s="114"/>
      <c r="AD826" s="114"/>
      <c r="AE826" s="114"/>
      <c r="AF826" s="114"/>
      <c r="AG826" s="114"/>
      <c r="AH826" s="114"/>
      <c r="AI826" s="114"/>
      <c r="AJ826" s="114"/>
      <c r="AK826" s="114"/>
    </row>
    <row r="827" ht="15.75" customHeight="1">
      <c r="A827" s="114"/>
      <c r="B827" s="114"/>
      <c r="C827" s="114"/>
      <c r="D827" s="114"/>
      <c r="E827" s="114"/>
      <c r="F827" s="114"/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114"/>
      <c r="Z827" s="114"/>
      <c r="AA827" s="114"/>
      <c r="AB827" s="114"/>
      <c r="AC827" s="114"/>
      <c r="AD827" s="114"/>
      <c r="AE827" s="114"/>
      <c r="AF827" s="114"/>
      <c r="AG827" s="114"/>
      <c r="AH827" s="114"/>
      <c r="AI827" s="114"/>
      <c r="AJ827" s="114"/>
      <c r="AK827" s="114"/>
    </row>
    <row r="828" ht="15.75" customHeight="1">
      <c r="A828" s="114"/>
      <c r="B828" s="114"/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  <c r="AA828" s="114"/>
      <c r="AB828" s="114"/>
      <c r="AC828" s="114"/>
      <c r="AD828" s="114"/>
      <c r="AE828" s="114"/>
      <c r="AF828" s="114"/>
      <c r="AG828" s="114"/>
      <c r="AH828" s="114"/>
      <c r="AI828" s="114"/>
      <c r="AJ828" s="114"/>
      <c r="AK828" s="114"/>
    </row>
    <row r="829" ht="15.75" customHeight="1">
      <c r="A829" s="114"/>
      <c r="B829" s="114"/>
      <c r="C829" s="114"/>
      <c r="D829" s="114"/>
      <c r="E829" s="114"/>
      <c r="F829" s="114"/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114"/>
      <c r="Z829" s="114"/>
      <c r="AA829" s="114"/>
      <c r="AB829" s="114"/>
      <c r="AC829" s="114"/>
      <c r="AD829" s="114"/>
      <c r="AE829" s="114"/>
      <c r="AF829" s="114"/>
      <c r="AG829" s="114"/>
      <c r="AH829" s="114"/>
      <c r="AI829" s="114"/>
      <c r="AJ829" s="114"/>
      <c r="AK829" s="114"/>
    </row>
    <row r="830" ht="15.75" customHeight="1">
      <c r="A830" s="114"/>
      <c r="B830" s="114"/>
      <c r="C830" s="114"/>
      <c r="D830" s="114"/>
      <c r="E830" s="114"/>
      <c r="F830" s="114"/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  <c r="AA830" s="114"/>
      <c r="AB830" s="114"/>
      <c r="AC830" s="114"/>
      <c r="AD830" s="114"/>
      <c r="AE830" s="114"/>
      <c r="AF830" s="114"/>
      <c r="AG830" s="114"/>
      <c r="AH830" s="114"/>
      <c r="AI830" s="114"/>
      <c r="AJ830" s="114"/>
      <c r="AK830" s="114"/>
    </row>
    <row r="831" ht="15.75" customHeight="1">
      <c r="A831" s="114"/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  <c r="AA831" s="114"/>
      <c r="AB831" s="114"/>
      <c r="AC831" s="114"/>
      <c r="AD831" s="114"/>
      <c r="AE831" s="114"/>
      <c r="AF831" s="114"/>
      <c r="AG831" s="114"/>
      <c r="AH831" s="114"/>
      <c r="AI831" s="114"/>
      <c r="AJ831" s="114"/>
      <c r="AK831" s="114"/>
    </row>
    <row r="832" ht="15.75" customHeight="1">
      <c r="A832" s="114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  <c r="AA832" s="114"/>
      <c r="AB832" s="114"/>
      <c r="AC832" s="114"/>
      <c r="AD832" s="114"/>
      <c r="AE832" s="114"/>
      <c r="AF832" s="114"/>
      <c r="AG832" s="114"/>
      <c r="AH832" s="114"/>
      <c r="AI832" s="114"/>
      <c r="AJ832" s="114"/>
      <c r="AK832" s="114"/>
    </row>
    <row r="833" ht="15.75" customHeight="1">
      <c r="A833" s="114"/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  <c r="AA833" s="114"/>
      <c r="AB833" s="114"/>
      <c r="AC833" s="114"/>
      <c r="AD833" s="114"/>
      <c r="AE833" s="114"/>
      <c r="AF833" s="114"/>
      <c r="AG833" s="114"/>
      <c r="AH833" s="114"/>
      <c r="AI833" s="114"/>
      <c r="AJ833" s="114"/>
      <c r="AK833" s="114"/>
    </row>
    <row r="834" ht="15.75" customHeight="1">
      <c r="A834" s="114"/>
      <c r="B834" s="114"/>
      <c r="C834" s="114"/>
      <c r="D834" s="114"/>
      <c r="E834" s="114"/>
      <c r="F834" s="114"/>
      <c r="G834" s="114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  <c r="AA834" s="114"/>
      <c r="AB834" s="114"/>
      <c r="AC834" s="114"/>
      <c r="AD834" s="114"/>
      <c r="AE834" s="114"/>
      <c r="AF834" s="114"/>
      <c r="AG834" s="114"/>
      <c r="AH834" s="114"/>
      <c r="AI834" s="114"/>
      <c r="AJ834" s="114"/>
      <c r="AK834" s="114"/>
    </row>
    <row r="835" ht="15.75" customHeight="1">
      <c r="A835" s="114"/>
      <c r="B835" s="114"/>
      <c r="C835" s="114"/>
      <c r="D835" s="114"/>
      <c r="E835" s="114"/>
      <c r="F835" s="114"/>
      <c r="G835" s="114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  <c r="AA835" s="114"/>
      <c r="AB835" s="114"/>
      <c r="AC835" s="114"/>
      <c r="AD835" s="114"/>
      <c r="AE835" s="114"/>
      <c r="AF835" s="114"/>
      <c r="AG835" s="114"/>
      <c r="AH835" s="114"/>
      <c r="AI835" s="114"/>
      <c r="AJ835" s="114"/>
      <c r="AK835" s="114"/>
    </row>
    <row r="836" ht="15.75" customHeight="1">
      <c r="A836" s="114"/>
      <c r="B836" s="114"/>
      <c r="C836" s="114"/>
      <c r="D836" s="114"/>
      <c r="E836" s="114"/>
      <c r="F836" s="114"/>
      <c r="G836" s="114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  <c r="AA836" s="114"/>
      <c r="AB836" s="114"/>
      <c r="AC836" s="114"/>
      <c r="AD836" s="114"/>
      <c r="AE836" s="114"/>
      <c r="AF836" s="114"/>
      <c r="AG836" s="114"/>
      <c r="AH836" s="114"/>
      <c r="AI836" s="114"/>
      <c r="AJ836" s="114"/>
      <c r="AK836" s="114"/>
    </row>
    <row r="837" ht="15.75" customHeight="1">
      <c r="A837" s="114"/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  <c r="AA837" s="114"/>
      <c r="AB837" s="114"/>
      <c r="AC837" s="114"/>
      <c r="AD837" s="114"/>
      <c r="AE837" s="114"/>
      <c r="AF837" s="114"/>
      <c r="AG837" s="114"/>
      <c r="AH837" s="114"/>
      <c r="AI837" s="114"/>
      <c r="AJ837" s="114"/>
      <c r="AK837" s="114"/>
    </row>
    <row r="838" ht="15.75" customHeight="1">
      <c r="A838" s="114"/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4"/>
      <c r="V838" s="114"/>
      <c r="W838" s="114"/>
      <c r="X838" s="114"/>
      <c r="Y838" s="114"/>
      <c r="Z838" s="114"/>
      <c r="AA838" s="114"/>
      <c r="AB838" s="114"/>
      <c r="AC838" s="114"/>
      <c r="AD838" s="114"/>
      <c r="AE838" s="114"/>
      <c r="AF838" s="114"/>
      <c r="AG838" s="114"/>
      <c r="AH838" s="114"/>
      <c r="AI838" s="114"/>
      <c r="AJ838" s="114"/>
      <c r="AK838" s="114"/>
    </row>
    <row r="839" ht="15.75" customHeight="1">
      <c r="A839" s="114"/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4"/>
      <c r="V839" s="114"/>
      <c r="W839" s="114"/>
      <c r="X839" s="114"/>
      <c r="Y839" s="114"/>
      <c r="Z839" s="114"/>
      <c r="AA839" s="114"/>
      <c r="AB839" s="114"/>
      <c r="AC839" s="114"/>
      <c r="AD839" s="114"/>
      <c r="AE839" s="114"/>
      <c r="AF839" s="114"/>
      <c r="AG839" s="114"/>
      <c r="AH839" s="114"/>
      <c r="AI839" s="114"/>
      <c r="AJ839" s="114"/>
      <c r="AK839" s="114"/>
    </row>
    <row r="840" ht="15.75" customHeight="1">
      <c r="A840" s="114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4"/>
      <c r="V840" s="114"/>
      <c r="W840" s="114"/>
      <c r="X840" s="114"/>
      <c r="Y840" s="114"/>
      <c r="Z840" s="114"/>
      <c r="AA840" s="114"/>
      <c r="AB840" s="114"/>
      <c r="AC840" s="114"/>
      <c r="AD840" s="114"/>
      <c r="AE840" s="114"/>
      <c r="AF840" s="114"/>
      <c r="AG840" s="114"/>
      <c r="AH840" s="114"/>
      <c r="AI840" s="114"/>
      <c r="AJ840" s="114"/>
      <c r="AK840" s="114"/>
    </row>
    <row r="841" ht="15.75" customHeight="1">
      <c r="A841" s="114"/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4"/>
      <c r="X841" s="114"/>
      <c r="Y841" s="114"/>
      <c r="Z841" s="114"/>
      <c r="AA841" s="114"/>
      <c r="AB841" s="114"/>
      <c r="AC841" s="114"/>
      <c r="AD841" s="114"/>
      <c r="AE841" s="114"/>
      <c r="AF841" s="114"/>
      <c r="AG841" s="114"/>
      <c r="AH841" s="114"/>
      <c r="AI841" s="114"/>
      <c r="AJ841" s="114"/>
      <c r="AK841" s="114"/>
    </row>
    <row r="842" ht="15.75" customHeight="1">
      <c r="A842" s="114"/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4"/>
      <c r="X842" s="114"/>
      <c r="Y842" s="114"/>
      <c r="Z842" s="114"/>
      <c r="AA842" s="114"/>
      <c r="AB842" s="114"/>
      <c r="AC842" s="114"/>
      <c r="AD842" s="114"/>
      <c r="AE842" s="114"/>
      <c r="AF842" s="114"/>
      <c r="AG842" s="114"/>
      <c r="AH842" s="114"/>
      <c r="AI842" s="114"/>
      <c r="AJ842" s="114"/>
      <c r="AK842" s="114"/>
    </row>
    <row r="843" ht="15.75" customHeight="1">
      <c r="A843" s="114"/>
      <c r="B843" s="114"/>
      <c r="C843" s="114"/>
      <c r="D843" s="114"/>
      <c r="E843" s="114"/>
      <c r="F843" s="114"/>
      <c r="G843" s="114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  <c r="AA843" s="114"/>
      <c r="AB843" s="114"/>
      <c r="AC843" s="114"/>
      <c r="AD843" s="114"/>
      <c r="AE843" s="114"/>
      <c r="AF843" s="114"/>
      <c r="AG843" s="114"/>
      <c r="AH843" s="114"/>
      <c r="AI843" s="114"/>
      <c r="AJ843" s="114"/>
      <c r="AK843" s="114"/>
    </row>
    <row r="844" ht="15.75" customHeight="1">
      <c r="A844" s="114"/>
      <c r="B844" s="114"/>
      <c r="C844" s="114"/>
      <c r="D844" s="114"/>
      <c r="E844" s="114"/>
      <c r="F844" s="114"/>
      <c r="G844" s="114"/>
      <c r="H844" s="114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4"/>
      <c r="V844" s="114"/>
      <c r="W844" s="114"/>
      <c r="X844" s="114"/>
      <c r="Y844" s="114"/>
      <c r="Z844" s="114"/>
      <c r="AA844" s="114"/>
      <c r="AB844" s="114"/>
      <c r="AC844" s="114"/>
      <c r="AD844" s="114"/>
      <c r="AE844" s="114"/>
      <c r="AF844" s="114"/>
      <c r="AG844" s="114"/>
      <c r="AH844" s="114"/>
      <c r="AI844" s="114"/>
      <c r="AJ844" s="114"/>
      <c r="AK844" s="114"/>
    </row>
    <row r="845" ht="15.75" customHeight="1">
      <c r="A845" s="114"/>
      <c r="B845" s="114"/>
      <c r="C845" s="114"/>
      <c r="D845" s="114"/>
      <c r="E845" s="114"/>
      <c r="F845" s="114"/>
      <c r="G845" s="114"/>
      <c r="H845" s="114"/>
      <c r="I845" s="114"/>
      <c r="J845" s="114"/>
      <c r="K845" s="114"/>
      <c r="L845" s="114"/>
      <c r="M845" s="114"/>
      <c r="N845" s="114"/>
      <c r="O845" s="114"/>
      <c r="P845" s="114"/>
      <c r="Q845" s="114"/>
      <c r="R845" s="114"/>
      <c r="S845" s="114"/>
      <c r="T845" s="114"/>
      <c r="U845" s="114"/>
      <c r="V845" s="114"/>
      <c r="W845" s="114"/>
      <c r="X845" s="114"/>
      <c r="Y845" s="114"/>
      <c r="Z845" s="114"/>
      <c r="AA845" s="114"/>
      <c r="AB845" s="114"/>
      <c r="AC845" s="114"/>
      <c r="AD845" s="114"/>
      <c r="AE845" s="114"/>
      <c r="AF845" s="114"/>
      <c r="AG845" s="114"/>
      <c r="AH845" s="114"/>
      <c r="AI845" s="114"/>
      <c r="AJ845" s="114"/>
      <c r="AK845" s="114"/>
    </row>
    <row r="846" ht="15.75" customHeight="1">
      <c r="A846" s="114"/>
      <c r="B846" s="114"/>
      <c r="C846" s="114"/>
      <c r="D846" s="114"/>
      <c r="E846" s="114"/>
      <c r="F846" s="114"/>
      <c r="G846" s="114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4"/>
      <c r="V846" s="114"/>
      <c r="W846" s="114"/>
      <c r="X846" s="114"/>
      <c r="Y846" s="114"/>
      <c r="Z846" s="114"/>
      <c r="AA846" s="114"/>
      <c r="AB846" s="114"/>
      <c r="AC846" s="114"/>
      <c r="AD846" s="114"/>
      <c r="AE846" s="114"/>
      <c r="AF846" s="114"/>
      <c r="AG846" s="114"/>
      <c r="AH846" s="114"/>
      <c r="AI846" s="114"/>
      <c r="AJ846" s="114"/>
      <c r="AK846" s="114"/>
    </row>
    <row r="847" ht="15.75" customHeight="1">
      <c r="A847" s="114"/>
      <c r="B847" s="114"/>
      <c r="C847" s="114"/>
      <c r="D847" s="114"/>
      <c r="E847" s="114"/>
      <c r="F847" s="114"/>
      <c r="G847" s="114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4"/>
      <c r="V847" s="114"/>
      <c r="W847" s="114"/>
      <c r="X847" s="114"/>
      <c r="Y847" s="114"/>
      <c r="Z847" s="114"/>
      <c r="AA847" s="114"/>
      <c r="AB847" s="114"/>
      <c r="AC847" s="114"/>
      <c r="AD847" s="114"/>
      <c r="AE847" s="114"/>
      <c r="AF847" s="114"/>
      <c r="AG847" s="114"/>
      <c r="AH847" s="114"/>
      <c r="AI847" s="114"/>
      <c r="AJ847" s="114"/>
      <c r="AK847" s="114"/>
    </row>
    <row r="848" ht="15.75" customHeight="1">
      <c r="A848" s="114"/>
      <c r="B848" s="114"/>
      <c r="C848" s="114"/>
      <c r="D848" s="114"/>
      <c r="E848" s="114"/>
      <c r="F848" s="114"/>
      <c r="G848" s="114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4"/>
      <c r="V848" s="114"/>
      <c r="W848" s="114"/>
      <c r="X848" s="114"/>
      <c r="Y848" s="114"/>
      <c r="Z848" s="114"/>
      <c r="AA848" s="114"/>
      <c r="AB848" s="114"/>
      <c r="AC848" s="114"/>
      <c r="AD848" s="114"/>
      <c r="AE848" s="114"/>
      <c r="AF848" s="114"/>
      <c r="AG848" s="114"/>
      <c r="AH848" s="114"/>
      <c r="AI848" s="114"/>
      <c r="AJ848" s="114"/>
      <c r="AK848" s="114"/>
    </row>
    <row r="849" ht="15.75" customHeight="1">
      <c r="A849" s="114"/>
      <c r="B849" s="114"/>
      <c r="C849" s="114"/>
      <c r="D849" s="114"/>
      <c r="E849" s="114"/>
      <c r="F849" s="114"/>
      <c r="G849" s="114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  <c r="AA849" s="114"/>
      <c r="AB849" s="114"/>
      <c r="AC849" s="114"/>
      <c r="AD849" s="114"/>
      <c r="AE849" s="114"/>
      <c r="AF849" s="114"/>
      <c r="AG849" s="114"/>
      <c r="AH849" s="114"/>
      <c r="AI849" s="114"/>
      <c r="AJ849" s="114"/>
      <c r="AK849" s="114"/>
    </row>
    <row r="850" ht="15.75" customHeight="1">
      <c r="A850" s="114"/>
      <c r="B850" s="114"/>
      <c r="C850" s="114"/>
      <c r="D850" s="114"/>
      <c r="E850" s="114"/>
      <c r="F850" s="114"/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  <c r="AA850" s="114"/>
      <c r="AB850" s="114"/>
      <c r="AC850" s="114"/>
      <c r="AD850" s="114"/>
      <c r="AE850" s="114"/>
      <c r="AF850" s="114"/>
      <c r="AG850" s="114"/>
      <c r="AH850" s="114"/>
      <c r="AI850" s="114"/>
      <c r="AJ850" s="114"/>
      <c r="AK850" s="114"/>
    </row>
    <row r="851" ht="15.75" customHeight="1">
      <c r="A851" s="114"/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  <c r="AA851" s="114"/>
      <c r="AB851" s="114"/>
      <c r="AC851" s="114"/>
      <c r="AD851" s="114"/>
      <c r="AE851" s="114"/>
      <c r="AF851" s="114"/>
      <c r="AG851" s="114"/>
      <c r="AH851" s="114"/>
      <c r="AI851" s="114"/>
      <c r="AJ851" s="114"/>
      <c r="AK851" s="114"/>
    </row>
    <row r="852" ht="15.75" customHeight="1">
      <c r="A852" s="114"/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  <c r="AA852" s="114"/>
      <c r="AB852" s="114"/>
      <c r="AC852" s="114"/>
      <c r="AD852" s="114"/>
      <c r="AE852" s="114"/>
      <c r="AF852" s="114"/>
      <c r="AG852" s="114"/>
      <c r="AH852" s="114"/>
      <c r="AI852" s="114"/>
      <c r="AJ852" s="114"/>
      <c r="AK852" s="114"/>
    </row>
    <row r="853" ht="15.75" customHeight="1">
      <c r="A853" s="114"/>
      <c r="B853" s="114"/>
      <c r="C853" s="114"/>
      <c r="D853" s="114"/>
      <c r="E853" s="114"/>
      <c r="F853" s="114"/>
      <c r="G853" s="114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  <c r="AA853" s="114"/>
      <c r="AB853" s="114"/>
      <c r="AC853" s="114"/>
      <c r="AD853" s="114"/>
      <c r="AE853" s="114"/>
      <c r="AF853" s="114"/>
      <c r="AG853" s="114"/>
      <c r="AH853" s="114"/>
      <c r="AI853" s="114"/>
      <c r="AJ853" s="114"/>
      <c r="AK853" s="114"/>
    </row>
    <row r="854" ht="15.75" customHeight="1">
      <c r="A854" s="114"/>
      <c r="B854" s="114"/>
      <c r="C854" s="114"/>
      <c r="D854" s="114"/>
      <c r="E854" s="114"/>
      <c r="F854" s="114"/>
      <c r="G854" s="114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4"/>
      <c r="V854" s="114"/>
      <c r="W854" s="114"/>
      <c r="X854" s="114"/>
      <c r="Y854" s="114"/>
      <c r="Z854" s="114"/>
      <c r="AA854" s="114"/>
      <c r="AB854" s="114"/>
      <c r="AC854" s="114"/>
      <c r="AD854" s="114"/>
      <c r="AE854" s="114"/>
      <c r="AF854" s="114"/>
      <c r="AG854" s="114"/>
      <c r="AH854" s="114"/>
      <c r="AI854" s="114"/>
      <c r="AJ854" s="114"/>
      <c r="AK854" s="114"/>
    </row>
    <row r="855" ht="15.75" customHeight="1">
      <c r="A855" s="114"/>
      <c r="B855" s="114"/>
      <c r="C855" s="114"/>
      <c r="D855" s="114"/>
      <c r="E855" s="114"/>
      <c r="F855" s="114"/>
      <c r="G855" s="114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4"/>
      <c r="V855" s="114"/>
      <c r="W855" s="114"/>
      <c r="X855" s="114"/>
      <c r="Y855" s="114"/>
      <c r="Z855" s="114"/>
      <c r="AA855" s="114"/>
      <c r="AB855" s="114"/>
      <c r="AC855" s="114"/>
      <c r="AD855" s="114"/>
      <c r="AE855" s="114"/>
      <c r="AF855" s="114"/>
      <c r="AG855" s="114"/>
      <c r="AH855" s="114"/>
      <c r="AI855" s="114"/>
      <c r="AJ855" s="114"/>
      <c r="AK855" s="114"/>
    </row>
    <row r="856" ht="15.75" customHeight="1">
      <c r="A856" s="114"/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4"/>
      <c r="V856" s="114"/>
      <c r="W856" s="114"/>
      <c r="X856" s="114"/>
      <c r="Y856" s="114"/>
      <c r="Z856" s="114"/>
      <c r="AA856" s="114"/>
      <c r="AB856" s="114"/>
      <c r="AC856" s="114"/>
      <c r="AD856" s="114"/>
      <c r="AE856" s="114"/>
      <c r="AF856" s="114"/>
      <c r="AG856" s="114"/>
      <c r="AH856" s="114"/>
      <c r="AI856" s="114"/>
      <c r="AJ856" s="114"/>
      <c r="AK856" s="114"/>
    </row>
    <row r="857" ht="15.75" customHeight="1">
      <c r="A857" s="114"/>
      <c r="B857" s="114"/>
      <c r="C857" s="114"/>
      <c r="D857" s="114"/>
      <c r="E857" s="114"/>
      <c r="F857" s="114"/>
      <c r="G857" s="114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  <c r="AA857" s="114"/>
      <c r="AB857" s="114"/>
      <c r="AC857" s="114"/>
      <c r="AD857" s="114"/>
      <c r="AE857" s="114"/>
      <c r="AF857" s="114"/>
      <c r="AG857" s="114"/>
      <c r="AH857" s="114"/>
      <c r="AI857" s="114"/>
      <c r="AJ857" s="114"/>
      <c r="AK857" s="114"/>
    </row>
    <row r="858" ht="15.75" customHeight="1">
      <c r="A858" s="114"/>
      <c r="B858" s="114"/>
      <c r="C858" s="114"/>
      <c r="D858" s="114"/>
      <c r="E858" s="114"/>
      <c r="F858" s="114"/>
      <c r="G858" s="114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  <c r="AA858" s="114"/>
      <c r="AB858" s="114"/>
      <c r="AC858" s="114"/>
      <c r="AD858" s="114"/>
      <c r="AE858" s="114"/>
      <c r="AF858" s="114"/>
      <c r="AG858" s="114"/>
      <c r="AH858" s="114"/>
      <c r="AI858" s="114"/>
      <c r="AJ858" s="114"/>
      <c r="AK858" s="114"/>
    </row>
    <row r="859" ht="15.75" customHeight="1">
      <c r="A859" s="114"/>
      <c r="B859" s="114"/>
      <c r="C859" s="114"/>
      <c r="D859" s="114"/>
      <c r="E859" s="114"/>
      <c r="F859" s="114"/>
      <c r="G859" s="114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4"/>
      <c r="V859" s="114"/>
      <c r="W859" s="114"/>
      <c r="X859" s="114"/>
      <c r="Y859" s="114"/>
      <c r="Z859" s="114"/>
      <c r="AA859" s="114"/>
      <c r="AB859" s="114"/>
      <c r="AC859" s="114"/>
      <c r="AD859" s="114"/>
      <c r="AE859" s="114"/>
      <c r="AF859" s="114"/>
      <c r="AG859" s="114"/>
      <c r="AH859" s="114"/>
      <c r="AI859" s="114"/>
      <c r="AJ859" s="114"/>
      <c r="AK859" s="114"/>
    </row>
    <row r="860" ht="15.75" customHeight="1">
      <c r="A860" s="114"/>
      <c r="B860" s="114"/>
      <c r="C860" s="114"/>
      <c r="D860" s="114"/>
      <c r="E860" s="114"/>
      <c r="F860" s="114"/>
      <c r="G860" s="114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4"/>
      <c r="V860" s="114"/>
      <c r="W860" s="114"/>
      <c r="X860" s="114"/>
      <c r="Y860" s="114"/>
      <c r="Z860" s="114"/>
      <c r="AA860" s="114"/>
      <c r="AB860" s="114"/>
      <c r="AC860" s="114"/>
      <c r="AD860" s="114"/>
      <c r="AE860" s="114"/>
      <c r="AF860" s="114"/>
      <c r="AG860" s="114"/>
      <c r="AH860" s="114"/>
      <c r="AI860" s="114"/>
      <c r="AJ860" s="114"/>
      <c r="AK860" s="114"/>
    </row>
    <row r="861" ht="15.75" customHeight="1">
      <c r="A861" s="114"/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  <c r="AA861" s="114"/>
      <c r="AB861" s="114"/>
      <c r="AC861" s="114"/>
      <c r="AD861" s="114"/>
      <c r="AE861" s="114"/>
      <c r="AF861" s="114"/>
      <c r="AG861" s="114"/>
      <c r="AH861" s="114"/>
      <c r="AI861" s="114"/>
      <c r="AJ861" s="114"/>
      <c r="AK861" s="114"/>
    </row>
    <row r="862" ht="15.75" customHeight="1">
      <c r="A862" s="114"/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  <c r="AA862" s="114"/>
      <c r="AB862" s="114"/>
      <c r="AC862" s="114"/>
      <c r="AD862" s="114"/>
      <c r="AE862" s="114"/>
      <c r="AF862" s="114"/>
      <c r="AG862" s="114"/>
      <c r="AH862" s="114"/>
      <c r="AI862" s="114"/>
      <c r="AJ862" s="114"/>
      <c r="AK862" s="114"/>
    </row>
    <row r="863" ht="15.75" customHeight="1">
      <c r="A863" s="114"/>
      <c r="B863" s="114"/>
      <c r="C863" s="114"/>
      <c r="D863" s="114"/>
      <c r="E863" s="114"/>
      <c r="F863" s="114"/>
      <c r="G863" s="114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4"/>
      <c r="V863" s="114"/>
      <c r="W863" s="114"/>
      <c r="X863" s="114"/>
      <c r="Y863" s="114"/>
      <c r="Z863" s="114"/>
      <c r="AA863" s="114"/>
      <c r="AB863" s="114"/>
      <c r="AC863" s="114"/>
      <c r="AD863" s="114"/>
      <c r="AE863" s="114"/>
      <c r="AF863" s="114"/>
      <c r="AG863" s="114"/>
      <c r="AH863" s="114"/>
      <c r="AI863" s="114"/>
      <c r="AJ863" s="114"/>
      <c r="AK863" s="114"/>
    </row>
    <row r="864" ht="15.75" customHeight="1">
      <c r="A864" s="114"/>
      <c r="B864" s="114"/>
      <c r="C864" s="114"/>
      <c r="D864" s="114"/>
      <c r="E864" s="114"/>
      <c r="F864" s="114"/>
      <c r="G864" s="114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4"/>
      <c r="V864" s="114"/>
      <c r="W864" s="114"/>
      <c r="X864" s="114"/>
      <c r="Y864" s="114"/>
      <c r="Z864" s="114"/>
      <c r="AA864" s="114"/>
      <c r="AB864" s="114"/>
      <c r="AC864" s="114"/>
      <c r="AD864" s="114"/>
      <c r="AE864" s="114"/>
      <c r="AF864" s="114"/>
      <c r="AG864" s="114"/>
      <c r="AH864" s="114"/>
      <c r="AI864" s="114"/>
      <c r="AJ864" s="114"/>
      <c r="AK864" s="114"/>
    </row>
    <row r="865" ht="15.75" customHeight="1">
      <c r="A865" s="114"/>
      <c r="B865" s="114"/>
      <c r="C865" s="114"/>
      <c r="D865" s="114"/>
      <c r="E865" s="114"/>
      <c r="F865" s="114"/>
      <c r="G865" s="114"/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  <c r="AA865" s="114"/>
      <c r="AB865" s="114"/>
      <c r="AC865" s="114"/>
      <c r="AD865" s="114"/>
      <c r="AE865" s="114"/>
      <c r="AF865" s="114"/>
      <c r="AG865" s="114"/>
      <c r="AH865" s="114"/>
      <c r="AI865" s="114"/>
      <c r="AJ865" s="114"/>
      <c r="AK865" s="114"/>
    </row>
    <row r="866" ht="15.75" customHeight="1">
      <c r="A866" s="114"/>
      <c r="B866" s="114"/>
      <c r="C866" s="114"/>
      <c r="D866" s="114"/>
      <c r="E866" s="114"/>
      <c r="F866" s="114"/>
      <c r="G866" s="114"/>
      <c r="H866" s="114"/>
      <c r="I866" s="114"/>
      <c r="J866" s="114"/>
      <c r="K866" s="114"/>
      <c r="L866" s="114"/>
      <c r="M866" s="114"/>
      <c r="N866" s="114"/>
      <c r="O866" s="114"/>
      <c r="P866" s="114"/>
      <c r="Q866" s="114"/>
      <c r="R866" s="114"/>
      <c r="S866" s="114"/>
      <c r="T866" s="114"/>
      <c r="U866" s="114"/>
      <c r="V866" s="114"/>
      <c r="W866" s="114"/>
      <c r="X866" s="114"/>
      <c r="Y866" s="114"/>
      <c r="Z866" s="114"/>
      <c r="AA866" s="114"/>
      <c r="AB866" s="114"/>
      <c r="AC866" s="114"/>
      <c r="AD866" s="114"/>
      <c r="AE866" s="114"/>
      <c r="AF866" s="114"/>
      <c r="AG866" s="114"/>
      <c r="AH866" s="114"/>
      <c r="AI866" s="114"/>
      <c r="AJ866" s="114"/>
      <c r="AK866" s="114"/>
    </row>
    <row r="867" ht="15.75" customHeight="1">
      <c r="A867" s="114"/>
      <c r="B867" s="114"/>
      <c r="C867" s="114"/>
      <c r="D867" s="114"/>
      <c r="E867" s="114"/>
      <c r="F867" s="114"/>
      <c r="G867" s="114"/>
      <c r="H867" s="114"/>
      <c r="I867" s="114"/>
      <c r="J867" s="114"/>
      <c r="K867" s="114"/>
      <c r="L867" s="114"/>
      <c r="M867" s="114"/>
      <c r="N867" s="114"/>
      <c r="O867" s="114"/>
      <c r="P867" s="114"/>
      <c r="Q867" s="114"/>
      <c r="R867" s="114"/>
      <c r="S867" s="114"/>
      <c r="T867" s="114"/>
      <c r="U867" s="114"/>
      <c r="V867" s="114"/>
      <c r="W867" s="114"/>
      <c r="X867" s="114"/>
      <c r="Y867" s="114"/>
      <c r="Z867" s="114"/>
      <c r="AA867" s="114"/>
      <c r="AB867" s="114"/>
      <c r="AC867" s="114"/>
      <c r="AD867" s="114"/>
      <c r="AE867" s="114"/>
      <c r="AF867" s="114"/>
      <c r="AG867" s="114"/>
      <c r="AH867" s="114"/>
      <c r="AI867" s="114"/>
      <c r="AJ867" s="114"/>
      <c r="AK867" s="114"/>
    </row>
    <row r="868" ht="15.75" customHeight="1">
      <c r="A868" s="114"/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  <c r="AA868" s="114"/>
      <c r="AB868" s="114"/>
      <c r="AC868" s="114"/>
      <c r="AD868" s="114"/>
      <c r="AE868" s="114"/>
      <c r="AF868" s="114"/>
      <c r="AG868" s="114"/>
      <c r="AH868" s="114"/>
      <c r="AI868" s="114"/>
      <c r="AJ868" s="114"/>
      <c r="AK868" s="114"/>
    </row>
    <row r="869" ht="15.75" customHeight="1">
      <c r="A869" s="114"/>
      <c r="B869" s="114"/>
      <c r="C869" s="114"/>
      <c r="D869" s="114"/>
      <c r="E869" s="114"/>
      <c r="F869" s="114"/>
      <c r="G869" s="114"/>
      <c r="H869" s="114"/>
      <c r="I869" s="114"/>
      <c r="J869" s="114"/>
      <c r="K869" s="114"/>
      <c r="L869" s="114"/>
      <c r="M869" s="114"/>
      <c r="N869" s="114"/>
      <c r="O869" s="114"/>
      <c r="P869" s="114"/>
      <c r="Q869" s="114"/>
      <c r="R869" s="114"/>
      <c r="S869" s="114"/>
      <c r="T869" s="114"/>
      <c r="U869" s="114"/>
      <c r="V869" s="114"/>
      <c r="W869" s="114"/>
      <c r="X869" s="114"/>
      <c r="Y869" s="114"/>
      <c r="Z869" s="114"/>
      <c r="AA869" s="114"/>
      <c r="AB869" s="114"/>
      <c r="AC869" s="114"/>
      <c r="AD869" s="114"/>
      <c r="AE869" s="114"/>
      <c r="AF869" s="114"/>
      <c r="AG869" s="114"/>
      <c r="AH869" s="114"/>
      <c r="AI869" s="114"/>
      <c r="AJ869" s="114"/>
      <c r="AK869" s="114"/>
    </row>
    <row r="870" ht="15.75" customHeight="1">
      <c r="A870" s="114"/>
      <c r="B870" s="114"/>
      <c r="C870" s="114"/>
      <c r="D870" s="114"/>
      <c r="E870" s="114"/>
      <c r="F870" s="114"/>
      <c r="G870" s="114"/>
      <c r="H870" s="114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4"/>
      <c r="W870" s="114"/>
      <c r="X870" s="114"/>
      <c r="Y870" s="114"/>
      <c r="Z870" s="114"/>
      <c r="AA870" s="114"/>
      <c r="AB870" s="114"/>
      <c r="AC870" s="114"/>
      <c r="AD870" s="114"/>
      <c r="AE870" s="114"/>
      <c r="AF870" s="114"/>
      <c r="AG870" s="114"/>
      <c r="AH870" s="114"/>
      <c r="AI870" s="114"/>
      <c r="AJ870" s="114"/>
      <c r="AK870" s="114"/>
    </row>
    <row r="871" ht="15.75" customHeight="1">
      <c r="A871" s="114"/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  <c r="AA871" s="114"/>
      <c r="AB871" s="114"/>
      <c r="AC871" s="114"/>
      <c r="AD871" s="114"/>
      <c r="AE871" s="114"/>
      <c r="AF871" s="114"/>
      <c r="AG871" s="114"/>
      <c r="AH871" s="114"/>
      <c r="AI871" s="114"/>
      <c r="AJ871" s="114"/>
      <c r="AK871" s="114"/>
    </row>
    <row r="872" ht="15.75" customHeight="1">
      <c r="A872" s="114"/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4"/>
      <c r="X872" s="114"/>
      <c r="Y872" s="114"/>
      <c r="Z872" s="114"/>
      <c r="AA872" s="114"/>
      <c r="AB872" s="114"/>
      <c r="AC872" s="114"/>
      <c r="AD872" s="114"/>
      <c r="AE872" s="114"/>
      <c r="AF872" s="114"/>
      <c r="AG872" s="114"/>
      <c r="AH872" s="114"/>
      <c r="AI872" s="114"/>
      <c r="AJ872" s="114"/>
      <c r="AK872" s="114"/>
    </row>
    <row r="873" ht="15.75" customHeight="1">
      <c r="A873" s="114"/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4"/>
      <c r="P873" s="114"/>
      <c r="Q873" s="114"/>
      <c r="R873" s="114"/>
      <c r="S873" s="114"/>
      <c r="T873" s="114"/>
      <c r="U873" s="114"/>
      <c r="V873" s="114"/>
      <c r="W873" s="114"/>
      <c r="X873" s="114"/>
      <c r="Y873" s="114"/>
      <c r="Z873" s="114"/>
      <c r="AA873" s="114"/>
      <c r="AB873" s="114"/>
      <c r="AC873" s="114"/>
      <c r="AD873" s="114"/>
      <c r="AE873" s="114"/>
      <c r="AF873" s="114"/>
      <c r="AG873" s="114"/>
      <c r="AH873" s="114"/>
      <c r="AI873" s="114"/>
      <c r="AJ873" s="114"/>
      <c r="AK873" s="114"/>
    </row>
    <row r="874" ht="15.75" customHeight="1">
      <c r="A874" s="114"/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14"/>
      <c r="P874" s="114"/>
      <c r="Q874" s="114"/>
      <c r="R874" s="114"/>
      <c r="S874" s="114"/>
      <c r="T874" s="114"/>
      <c r="U874" s="114"/>
      <c r="V874" s="114"/>
      <c r="W874" s="114"/>
      <c r="X874" s="114"/>
      <c r="Y874" s="114"/>
      <c r="Z874" s="114"/>
      <c r="AA874" s="114"/>
      <c r="AB874" s="114"/>
      <c r="AC874" s="114"/>
      <c r="AD874" s="114"/>
      <c r="AE874" s="114"/>
      <c r="AF874" s="114"/>
      <c r="AG874" s="114"/>
      <c r="AH874" s="114"/>
      <c r="AI874" s="114"/>
      <c r="AJ874" s="114"/>
      <c r="AK874" s="114"/>
    </row>
    <row r="875" ht="15.75" customHeight="1">
      <c r="A875" s="114"/>
      <c r="B875" s="114"/>
      <c r="C875" s="114"/>
      <c r="D875" s="114"/>
      <c r="E875" s="114"/>
      <c r="F875" s="114"/>
      <c r="G875" s="114"/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  <c r="AA875" s="114"/>
      <c r="AB875" s="114"/>
      <c r="AC875" s="114"/>
      <c r="AD875" s="114"/>
      <c r="AE875" s="114"/>
      <c r="AF875" s="114"/>
      <c r="AG875" s="114"/>
      <c r="AH875" s="114"/>
      <c r="AI875" s="114"/>
      <c r="AJ875" s="114"/>
      <c r="AK875" s="114"/>
    </row>
    <row r="876" ht="15.75" customHeight="1">
      <c r="A876" s="114"/>
      <c r="B876" s="114"/>
      <c r="C876" s="114"/>
      <c r="D876" s="114"/>
      <c r="E876" s="114"/>
      <c r="F876" s="114"/>
      <c r="G876" s="114"/>
      <c r="H876" s="114"/>
      <c r="I876" s="114"/>
      <c r="J876" s="114"/>
      <c r="K876" s="114"/>
      <c r="L876" s="114"/>
      <c r="M876" s="114"/>
      <c r="N876" s="114"/>
      <c r="O876" s="114"/>
      <c r="P876" s="114"/>
      <c r="Q876" s="114"/>
      <c r="R876" s="114"/>
      <c r="S876" s="114"/>
      <c r="T876" s="114"/>
      <c r="U876" s="114"/>
      <c r="V876" s="114"/>
      <c r="W876" s="114"/>
      <c r="X876" s="114"/>
      <c r="Y876" s="114"/>
      <c r="Z876" s="114"/>
      <c r="AA876" s="114"/>
      <c r="AB876" s="114"/>
      <c r="AC876" s="114"/>
      <c r="AD876" s="114"/>
      <c r="AE876" s="114"/>
      <c r="AF876" s="114"/>
      <c r="AG876" s="114"/>
      <c r="AH876" s="114"/>
      <c r="AI876" s="114"/>
      <c r="AJ876" s="114"/>
      <c r="AK876" s="114"/>
    </row>
    <row r="877" ht="15.75" customHeight="1">
      <c r="A877" s="114"/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  <c r="AA877" s="114"/>
      <c r="AB877" s="114"/>
      <c r="AC877" s="114"/>
      <c r="AD877" s="114"/>
      <c r="AE877" s="114"/>
      <c r="AF877" s="114"/>
      <c r="AG877" s="114"/>
      <c r="AH877" s="114"/>
      <c r="AI877" s="114"/>
      <c r="AJ877" s="114"/>
      <c r="AK877" s="114"/>
    </row>
    <row r="878" ht="15.75" customHeight="1">
      <c r="A878" s="114"/>
      <c r="B878" s="114"/>
      <c r="C878" s="114"/>
      <c r="D878" s="114"/>
      <c r="E878" s="114"/>
      <c r="F878" s="114"/>
      <c r="G878" s="114"/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  <c r="AA878" s="114"/>
      <c r="AB878" s="114"/>
      <c r="AC878" s="114"/>
      <c r="AD878" s="114"/>
      <c r="AE878" s="114"/>
      <c r="AF878" s="114"/>
      <c r="AG878" s="114"/>
      <c r="AH878" s="114"/>
      <c r="AI878" s="114"/>
      <c r="AJ878" s="114"/>
      <c r="AK878" s="114"/>
    </row>
    <row r="879" ht="15.75" customHeight="1">
      <c r="A879" s="114"/>
      <c r="B879" s="114"/>
      <c r="C879" s="114"/>
      <c r="D879" s="114"/>
      <c r="E879" s="114"/>
      <c r="F879" s="114"/>
      <c r="G879" s="114"/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  <c r="AA879" s="114"/>
      <c r="AB879" s="114"/>
      <c r="AC879" s="114"/>
      <c r="AD879" s="114"/>
      <c r="AE879" s="114"/>
      <c r="AF879" s="114"/>
      <c r="AG879" s="114"/>
      <c r="AH879" s="114"/>
      <c r="AI879" s="114"/>
      <c r="AJ879" s="114"/>
      <c r="AK879" s="114"/>
    </row>
    <row r="880" ht="15.75" customHeight="1">
      <c r="A880" s="114"/>
      <c r="B880" s="114"/>
      <c r="C880" s="114"/>
      <c r="D880" s="114"/>
      <c r="E880" s="114"/>
      <c r="F880" s="114"/>
      <c r="G880" s="114"/>
      <c r="H880" s="114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  <c r="AA880" s="114"/>
      <c r="AB880" s="114"/>
      <c r="AC880" s="114"/>
      <c r="AD880" s="114"/>
      <c r="AE880" s="114"/>
      <c r="AF880" s="114"/>
      <c r="AG880" s="114"/>
      <c r="AH880" s="114"/>
      <c r="AI880" s="114"/>
      <c r="AJ880" s="114"/>
      <c r="AK880" s="114"/>
    </row>
    <row r="881" ht="15.75" customHeight="1">
      <c r="A881" s="114"/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4"/>
      <c r="X881" s="114"/>
      <c r="Y881" s="114"/>
      <c r="Z881" s="114"/>
      <c r="AA881" s="114"/>
      <c r="AB881" s="114"/>
      <c r="AC881" s="114"/>
      <c r="AD881" s="114"/>
      <c r="AE881" s="114"/>
      <c r="AF881" s="114"/>
      <c r="AG881" s="114"/>
      <c r="AH881" s="114"/>
      <c r="AI881" s="114"/>
      <c r="AJ881" s="114"/>
      <c r="AK881" s="114"/>
    </row>
    <row r="882" ht="15.75" customHeight="1">
      <c r="A882" s="114"/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  <c r="AA882" s="114"/>
      <c r="AB882" s="114"/>
      <c r="AC882" s="114"/>
      <c r="AD882" s="114"/>
      <c r="AE882" s="114"/>
      <c r="AF882" s="114"/>
      <c r="AG882" s="114"/>
      <c r="AH882" s="114"/>
      <c r="AI882" s="114"/>
      <c r="AJ882" s="114"/>
      <c r="AK882" s="114"/>
    </row>
    <row r="883" ht="15.75" customHeight="1">
      <c r="A883" s="114"/>
      <c r="B883" s="114"/>
      <c r="C883" s="114"/>
      <c r="D883" s="114"/>
      <c r="E883" s="114"/>
      <c r="F883" s="114"/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  <c r="AA883" s="114"/>
      <c r="AB883" s="114"/>
      <c r="AC883" s="114"/>
      <c r="AD883" s="114"/>
      <c r="AE883" s="114"/>
      <c r="AF883" s="114"/>
      <c r="AG883" s="114"/>
      <c r="AH883" s="114"/>
      <c r="AI883" s="114"/>
      <c r="AJ883" s="114"/>
      <c r="AK883" s="114"/>
    </row>
    <row r="884" ht="15.75" customHeight="1">
      <c r="A884" s="114"/>
      <c r="B884" s="114"/>
      <c r="C884" s="114"/>
      <c r="D884" s="114"/>
      <c r="E884" s="114"/>
      <c r="F884" s="114"/>
      <c r="G884" s="114"/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  <c r="AA884" s="114"/>
      <c r="AB884" s="114"/>
      <c r="AC884" s="114"/>
      <c r="AD884" s="114"/>
      <c r="AE884" s="114"/>
      <c r="AF884" s="114"/>
      <c r="AG884" s="114"/>
      <c r="AH884" s="114"/>
      <c r="AI884" s="114"/>
      <c r="AJ884" s="114"/>
      <c r="AK884" s="114"/>
    </row>
    <row r="885" ht="15.75" customHeight="1">
      <c r="A885" s="114"/>
      <c r="B885" s="114"/>
      <c r="C885" s="114"/>
      <c r="D885" s="114"/>
      <c r="E885" s="114"/>
      <c r="F885" s="114"/>
      <c r="G885" s="114"/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  <c r="AA885" s="114"/>
      <c r="AB885" s="114"/>
      <c r="AC885" s="114"/>
      <c r="AD885" s="114"/>
      <c r="AE885" s="114"/>
      <c r="AF885" s="114"/>
      <c r="AG885" s="114"/>
      <c r="AH885" s="114"/>
      <c r="AI885" s="114"/>
      <c r="AJ885" s="114"/>
      <c r="AK885" s="114"/>
    </row>
    <row r="886" ht="15.75" customHeight="1">
      <c r="A886" s="114"/>
      <c r="B886" s="114"/>
      <c r="C886" s="114"/>
      <c r="D886" s="114"/>
      <c r="E886" s="114"/>
      <c r="F886" s="114"/>
      <c r="G886" s="114"/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  <c r="AA886" s="114"/>
      <c r="AB886" s="114"/>
      <c r="AC886" s="114"/>
      <c r="AD886" s="114"/>
      <c r="AE886" s="114"/>
      <c r="AF886" s="114"/>
      <c r="AG886" s="114"/>
      <c r="AH886" s="114"/>
      <c r="AI886" s="114"/>
      <c r="AJ886" s="114"/>
      <c r="AK886" s="114"/>
    </row>
    <row r="887" ht="15.75" customHeight="1">
      <c r="A887" s="114"/>
      <c r="B887" s="114"/>
      <c r="C887" s="114"/>
      <c r="D887" s="114"/>
      <c r="E887" s="114"/>
      <c r="F887" s="114"/>
      <c r="G887" s="114"/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  <c r="AA887" s="114"/>
      <c r="AB887" s="114"/>
      <c r="AC887" s="114"/>
      <c r="AD887" s="114"/>
      <c r="AE887" s="114"/>
      <c r="AF887" s="114"/>
      <c r="AG887" s="114"/>
      <c r="AH887" s="114"/>
      <c r="AI887" s="114"/>
      <c r="AJ887" s="114"/>
      <c r="AK887" s="114"/>
    </row>
    <row r="888" ht="15.75" customHeight="1">
      <c r="A888" s="114"/>
      <c r="B888" s="114"/>
      <c r="C888" s="114"/>
      <c r="D888" s="114"/>
      <c r="E888" s="114"/>
      <c r="F888" s="114"/>
      <c r="G888" s="114"/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  <c r="AA888" s="114"/>
      <c r="AB888" s="114"/>
      <c r="AC888" s="114"/>
      <c r="AD888" s="114"/>
      <c r="AE888" s="114"/>
      <c r="AF888" s="114"/>
      <c r="AG888" s="114"/>
      <c r="AH888" s="114"/>
      <c r="AI888" s="114"/>
      <c r="AJ888" s="114"/>
      <c r="AK888" s="114"/>
    </row>
    <row r="889" ht="15.75" customHeight="1">
      <c r="A889" s="114"/>
      <c r="B889" s="114"/>
      <c r="C889" s="114"/>
      <c r="D889" s="114"/>
      <c r="E889" s="114"/>
      <c r="F889" s="114"/>
      <c r="G889" s="114"/>
      <c r="H889" s="114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  <c r="AA889" s="114"/>
      <c r="AB889" s="114"/>
      <c r="AC889" s="114"/>
      <c r="AD889" s="114"/>
      <c r="AE889" s="114"/>
      <c r="AF889" s="114"/>
      <c r="AG889" s="114"/>
      <c r="AH889" s="114"/>
      <c r="AI889" s="114"/>
      <c r="AJ889" s="114"/>
      <c r="AK889" s="114"/>
    </row>
    <row r="890" ht="15.75" customHeight="1">
      <c r="A890" s="114"/>
      <c r="B890" s="114"/>
      <c r="C890" s="114"/>
      <c r="D890" s="114"/>
      <c r="E890" s="114"/>
      <c r="F890" s="114"/>
      <c r="G890" s="114"/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  <c r="AA890" s="114"/>
      <c r="AB890" s="114"/>
      <c r="AC890" s="114"/>
      <c r="AD890" s="114"/>
      <c r="AE890" s="114"/>
      <c r="AF890" s="114"/>
      <c r="AG890" s="114"/>
      <c r="AH890" s="114"/>
      <c r="AI890" s="114"/>
      <c r="AJ890" s="114"/>
      <c r="AK890" s="114"/>
    </row>
    <row r="891" ht="15.75" customHeight="1">
      <c r="A891" s="114"/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  <c r="AA891" s="114"/>
      <c r="AB891" s="114"/>
      <c r="AC891" s="114"/>
      <c r="AD891" s="114"/>
      <c r="AE891" s="114"/>
      <c r="AF891" s="114"/>
      <c r="AG891" s="114"/>
      <c r="AH891" s="114"/>
      <c r="AI891" s="114"/>
      <c r="AJ891" s="114"/>
      <c r="AK891" s="114"/>
    </row>
    <row r="892" ht="15.75" customHeight="1">
      <c r="A892" s="114"/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  <c r="AA892" s="114"/>
      <c r="AB892" s="114"/>
      <c r="AC892" s="114"/>
      <c r="AD892" s="114"/>
      <c r="AE892" s="114"/>
      <c r="AF892" s="114"/>
      <c r="AG892" s="114"/>
      <c r="AH892" s="114"/>
      <c r="AI892" s="114"/>
      <c r="AJ892" s="114"/>
      <c r="AK892" s="114"/>
    </row>
    <row r="893" ht="15.75" customHeight="1">
      <c r="A893" s="114"/>
      <c r="B893" s="114"/>
      <c r="C893" s="114"/>
      <c r="D893" s="114"/>
      <c r="E893" s="114"/>
      <c r="F893" s="114"/>
      <c r="G893" s="114"/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  <c r="AA893" s="114"/>
      <c r="AB893" s="114"/>
      <c r="AC893" s="114"/>
      <c r="AD893" s="114"/>
      <c r="AE893" s="114"/>
      <c r="AF893" s="114"/>
      <c r="AG893" s="114"/>
      <c r="AH893" s="114"/>
      <c r="AI893" s="114"/>
      <c r="AJ893" s="114"/>
      <c r="AK893" s="114"/>
    </row>
    <row r="894" ht="15.75" customHeight="1">
      <c r="A894" s="114"/>
      <c r="B894" s="114"/>
      <c r="C894" s="114"/>
      <c r="D894" s="114"/>
      <c r="E894" s="114"/>
      <c r="F894" s="114"/>
      <c r="G894" s="114"/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  <c r="AA894" s="114"/>
      <c r="AB894" s="114"/>
      <c r="AC894" s="114"/>
      <c r="AD894" s="114"/>
      <c r="AE894" s="114"/>
      <c r="AF894" s="114"/>
      <c r="AG894" s="114"/>
      <c r="AH894" s="114"/>
      <c r="AI894" s="114"/>
      <c r="AJ894" s="114"/>
      <c r="AK894" s="114"/>
    </row>
    <row r="895" ht="15.75" customHeight="1">
      <c r="A895" s="114"/>
      <c r="B895" s="114"/>
      <c r="C895" s="114"/>
      <c r="D895" s="114"/>
      <c r="E895" s="114"/>
      <c r="F895" s="114"/>
      <c r="G895" s="114"/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  <c r="AA895" s="114"/>
      <c r="AB895" s="114"/>
      <c r="AC895" s="114"/>
      <c r="AD895" s="114"/>
      <c r="AE895" s="114"/>
      <c r="AF895" s="114"/>
      <c r="AG895" s="114"/>
      <c r="AH895" s="114"/>
      <c r="AI895" s="114"/>
      <c r="AJ895" s="114"/>
      <c r="AK895" s="114"/>
    </row>
    <row r="896" ht="15.75" customHeight="1">
      <c r="A896" s="114"/>
      <c r="B896" s="114"/>
      <c r="C896" s="114"/>
      <c r="D896" s="114"/>
      <c r="E896" s="114"/>
      <c r="F896" s="114"/>
      <c r="G896" s="114"/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  <c r="AA896" s="114"/>
      <c r="AB896" s="114"/>
      <c r="AC896" s="114"/>
      <c r="AD896" s="114"/>
      <c r="AE896" s="114"/>
      <c r="AF896" s="114"/>
      <c r="AG896" s="114"/>
      <c r="AH896" s="114"/>
      <c r="AI896" s="114"/>
      <c r="AJ896" s="114"/>
      <c r="AK896" s="114"/>
    </row>
    <row r="897" ht="15.75" customHeight="1">
      <c r="A897" s="114"/>
      <c r="B897" s="114"/>
      <c r="C897" s="114"/>
      <c r="D897" s="114"/>
      <c r="E897" s="114"/>
      <c r="F897" s="114"/>
      <c r="G897" s="114"/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  <c r="AA897" s="114"/>
      <c r="AB897" s="114"/>
      <c r="AC897" s="114"/>
      <c r="AD897" s="114"/>
      <c r="AE897" s="114"/>
      <c r="AF897" s="114"/>
      <c r="AG897" s="114"/>
      <c r="AH897" s="114"/>
      <c r="AI897" s="114"/>
      <c r="AJ897" s="114"/>
      <c r="AK897" s="114"/>
    </row>
    <row r="898" ht="15.75" customHeight="1">
      <c r="A898" s="114"/>
      <c r="B898" s="114"/>
      <c r="C898" s="114"/>
      <c r="D898" s="114"/>
      <c r="E898" s="114"/>
      <c r="F898" s="114"/>
      <c r="G898" s="114"/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  <c r="AA898" s="114"/>
      <c r="AB898" s="114"/>
      <c r="AC898" s="114"/>
      <c r="AD898" s="114"/>
      <c r="AE898" s="114"/>
      <c r="AF898" s="114"/>
      <c r="AG898" s="114"/>
      <c r="AH898" s="114"/>
      <c r="AI898" s="114"/>
      <c r="AJ898" s="114"/>
      <c r="AK898" s="114"/>
    </row>
    <row r="899" ht="15.75" customHeight="1">
      <c r="A899" s="114"/>
      <c r="B899" s="114"/>
      <c r="C899" s="114"/>
      <c r="D899" s="114"/>
      <c r="E899" s="114"/>
      <c r="F899" s="114"/>
      <c r="G899" s="114"/>
      <c r="H899" s="114"/>
      <c r="I899" s="114"/>
      <c r="J899" s="114"/>
      <c r="K899" s="114"/>
      <c r="L899" s="114"/>
      <c r="M899" s="114"/>
      <c r="N899" s="114"/>
      <c r="O899" s="114"/>
      <c r="P899" s="114"/>
      <c r="Q899" s="114"/>
      <c r="R899" s="114"/>
      <c r="S899" s="114"/>
      <c r="T899" s="114"/>
      <c r="U899" s="114"/>
      <c r="V899" s="114"/>
      <c r="W899" s="114"/>
      <c r="X899" s="114"/>
      <c r="Y899" s="114"/>
      <c r="Z899" s="114"/>
      <c r="AA899" s="114"/>
      <c r="AB899" s="114"/>
      <c r="AC899" s="114"/>
      <c r="AD899" s="114"/>
      <c r="AE899" s="114"/>
      <c r="AF899" s="114"/>
      <c r="AG899" s="114"/>
      <c r="AH899" s="114"/>
      <c r="AI899" s="114"/>
      <c r="AJ899" s="114"/>
      <c r="AK899" s="114"/>
    </row>
    <row r="900" ht="15.75" customHeight="1">
      <c r="A900" s="114"/>
      <c r="B900" s="114"/>
      <c r="C900" s="114"/>
      <c r="D900" s="114"/>
      <c r="E900" s="114"/>
      <c r="F900" s="114"/>
      <c r="G900" s="114"/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  <c r="AA900" s="114"/>
      <c r="AB900" s="114"/>
      <c r="AC900" s="114"/>
      <c r="AD900" s="114"/>
      <c r="AE900" s="114"/>
      <c r="AF900" s="114"/>
      <c r="AG900" s="114"/>
      <c r="AH900" s="114"/>
      <c r="AI900" s="114"/>
      <c r="AJ900" s="114"/>
      <c r="AK900" s="114"/>
    </row>
    <row r="901" ht="15.75" customHeight="1">
      <c r="A901" s="114"/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  <c r="AA901" s="114"/>
      <c r="AB901" s="114"/>
      <c r="AC901" s="114"/>
      <c r="AD901" s="114"/>
      <c r="AE901" s="114"/>
      <c r="AF901" s="114"/>
      <c r="AG901" s="114"/>
      <c r="AH901" s="114"/>
      <c r="AI901" s="114"/>
      <c r="AJ901" s="114"/>
      <c r="AK901" s="114"/>
    </row>
    <row r="902" ht="15.75" customHeight="1">
      <c r="A902" s="114"/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  <c r="AA902" s="114"/>
      <c r="AB902" s="114"/>
      <c r="AC902" s="114"/>
      <c r="AD902" s="114"/>
      <c r="AE902" s="114"/>
      <c r="AF902" s="114"/>
      <c r="AG902" s="114"/>
      <c r="AH902" s="114"/>
      <c r="AI902" s="114"/>
      <c r="AJ902" s="114"/>
      <c r="AK902" s="114"/>
    </row>
    <row r="903" ht="15.75" customHeight="1">
      <c r="A903" s="114"/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  <c r="AA903" s="114"/>
      <c r="AB903" s="114"/>
      <c r="AC903" s="114"/>
      <c r="AD903" s="114"/>
      <c r="AE903" s="114"/>
      <c r="AF903" s="114"/>
      <c r="AG903" s="114"/>
      <c r="AH903" s="114"/>
      <c r="AI903" s="114"/>
      <c r="AJ903" s="114"/>
      <c r="AK903" s="114"/>
    </row>
    <row r="904" ht="15.75" customHeight="1">
      <c r="A904" s="114"/>
      <c r="B904" s="114"/>
      <c r="C904" s="114"/>
      <c r="D904" s="114"/>
      <c r="E904" s="114"/>
      <c r="F904" s="114"/>
      <c r="G904" s="114"/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  <c r="AA904" s="114"/>
      <c r="AB904" s="114"/>
      <c r="AC904" s="114"/>
      <c r="AD904" s="114"/>
      <c r="AE904" s="114"/>
      <c r="AF904" s="114"/>
      <c r="AG904" s="114"/>
      <c r="AH904" s="114"/>
      <c r="AI904" s="114"/>
      <c r="AJ904" s="114"/>
      <c r="AK904" s="114"/>
    </row>
    <row r="905" ht="15.75" customHeight="1">
      <c r="A905" s="114"/>
      <c r="B905" s="114"/>
      <c r="C905" s="114"/>
      <c r="D905" s="114"/>
      <c r="E905" s="114"/>
      <c r="F905" s="114"/>
      <c r="G905" s="114"/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  <c r="AA905" s="114"/>
      <c r="AB905" s="114"/>
      <c r="AC905" s="114"/>
      <c r="AD905" s="114"/>
      <c r="AE905" s="114"/>
      <c r="AF905" s="114"/>
      <c r="AG905" s="114"/>
      <c r="AH905" s="114"/>
      <c r="AI905" s="114"/>
      <c r="AJ905" s="114"/>
      <c r="AK905" s="114"/>
    </row>
    <row r="906" ht="15.75" customHeight="1">
      <c r="A906" s="114"/>
      <c r="B906" s="114"/>
      <c r="C906" s="114"/>
      <c r="D906" s="114"/>
      <c r="E906" s="114"/>
      <c r="F906" s="114"/>
      <c r="G906" s="114"/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  <c r="AA906" s="114"/>
      <c r="AB906" s="114"/>
      <c r="AC906" s="114"/>
      <c r="AD906" s="114"/>
      <c r="AE906" s="114"/>
      <c r="AF906" s="114"/>
      <c r="AG906" s="114"/>
      <c r="AH906" s="114"/>
      <c r="AI906" s="114"/>
      <c r="AJ906" s="114"/>
      <c r="AK906" s="114"/>
    </row>
    <row r="907" ht="15.75" customHeight="1">
      <c r="A907" s="114"/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  <c r="AA907" s="114"/>
      <c r="AB907" s="114"/>
      <c r="AC907" s="114"/>
      <c r="AD907" s="114"/>
      <c r="AE907" s="114"/>
      <c r="AF907" s="114"/>
      <c r="AG907" s="114"/>
      <c r="AH907" s="114"/>
      <c r="AI907" s="114"/>
      <c r="AJ907" s="114"/>
      <c r="AK907" s="114"/>
    </row>
    <row r="908" ht="15.75" customHeight="1">
      <c r="A908" s="114"/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  <c r="AA908" s="114"/>
      <c r="AB908" s="114"/>
      <c r="AC908" s="114"/>
      <c r="AD908" s="114"/>
      <c r="AE908" s="114"/>
      <c r="AF908" s="114"/>
      <c r="AG908" s="114"/>
      <c r="AH908" s="114"/>
      <c r="AI908" s="114"/>
      <c r="AJ908" s="114"/>
      <c r="AK908" s="114"/>
    </row>
    <row r="909" ht="15.75" customHeight="1">
      <c r="A909" s="114"/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  <c r="AA909" s="114"/>
      <c r="AB909" s="114"/>
      <c r="AC909" s="114"/>
      <c r="AD909" s="114"/>
      <c r="AE909" s="114"/>
      <c r="AF909" s="114"/>
      <c r="AG909" s="114"/>
      <c r="AH909" s="114"/>
      <c r="AI909" s="114"/>
      <c r="AJ909" s="114"/>
      <c r="AK909" s="114"/>
    </row>
    <row r="910" ht="15.75" customHeight="1">
      <c r="A910" s="114"/>
      <c r="B910" s="114"/>
      <c r="C910" s="114"/>
      <c r="D910" s="114"/>
      <c r="E910" s="114"/>
      <c r="F910" s="114"/>
      <c r="G910" s="114"/>
      <c r="H910" s="114"/>
      <c r="I910" s="114"/>
      <c r="J910" s="114"/>
      <c r="K910" s="114"/>
      <c r="L910" s="114"/>
      <c r="M910" s="114"/>
      <c r="N910" s="114"/>
      <c r="O910" s="114"/>
      <c r="P910" s="114"/>
      <c r="Q910" s="114"/>
      <c r="R910" s="114"/>
      <c r="S910" s="114"/>
      <c r="T910" s="114"/>
      <c r="U910" s="114"/>
      <c r="V910" s="114"/>
      <c r="W910" s="114"/>
      <c r="X910" s="114"/>
      <c r="Y910" s="114"/>
      <c r="Z910" s="114"/>
      <c r="AA910" s="114"/>
      <c r="AB910" s="114"/>
      <c r="AC910" s="114"/>
      <c r="AD910" s="114"/>
      <c r="AE910" s="114"/>
      <c r="AF910" s="114"/>
      <c r="AG910" s="114"/>
      <c r="AH910" s="114"/>
      <c r="AI910" s="114"/>
      <c r="AJ910" s="114"/>
      <c r="AK910" s="114"/>
    </row>
    <row r="911" ht="15.75" customHeight="1">
      <c r="A911" s="114"/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4"/>
      <c r="X911" s="114"/>
      <c r="Y911" s="114"/>
      <c r="Z911" s="114"/>
      <c r="AA911" s="114"/>
      <c r="AB911" s="114"/>
      <c r="AC911" s="114"/>
      <c r="AD911" s="114"/>
      <c r="AE911" s="114"/>
      <c r="AF911" s="114"/>
      <c r="AG911" s="114"/>
      <c r="AH911" s="114"/>
      <c r="AI911" s="114"/>
      <c r="AJ911" s="114"/>
      <c r="AK911" s="114"/>
    </row>
    <row r="912" ht="15.75" customHeight="1">
      <c r="A912" s="114"/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4"/>
      <c r="X912" s="114"/>
      <c r="Y912" s="114"/>
      <c r="Z912" s="114"/>
      <c r="AA912" s="114"/>
      <c r="AB912" s="114"/>
      <c r="AC912" s="114"/>
      <c r="AD912" s="114"/>
      <c r="AE912" s="114"/>
      <c r="AF912" s="114"/>
      <c r="AG912" s="114"/>
      <c r="AH912" s="114"/>
      <c r="AI912" s="114"/>
      <c r="AJ912" s="114"/>
      <c r="AK912" s="114"/>
    </row>
    <row r="913" ht="15.75" customHeight="1">
      <c r="A913" s="114"/>
      <c r="B913" s="114"/>
      <c r="C913" s="114"/>
      <c r="D913" s="114"/>
      <c r="E913" s="114"/>
      <c r="F913" s="114"/>
      <c r="G913" s="114"/>
      <c r="H913" s="114"/>
      <c r="I913" s="114"/>
      <c r="J913" s="114"/>
      <c r="K913" s="114"/>
      <c r="L913" s="114"/>
      <c r="M913" s="114"/>
      <c r="N913" s="114"/>
      <c r="O913" s="114"/>
      <c r="P913" s="114"/>
      <c r="Q913" s="114"/>
      <c r="R913" s="114"/>
      <c r="S913" s="114"/>
      <c r="T913" s="114"/>
      <c r="U913" s="114"/>
      <c r="V913" s="114"/>
      <c r="W913" s="114"/>
      <c r="X913" s="114"/>
      <c r="Y913" s="114"/>
      <c r="Z913" s="114"/>
      <c r="AA913" s="114"/>
      <c r="AB913" s="114"/>
      <c r="AC913" s="114"/>
      <c r="AD913" s="114"/>
      <c r="AE913" s="114"/>
      <c r="AF913" s="114"/>
      <c r="AG913" s="114"/>
      <c r="AH913" s="114"/>
      <c r="AI913" s="114"/>
      <c r="AJ913" s="114"/>
      <c r="AK913" s="114"/>
    </row>
    <row r="914" ht="15.75" customHeight="1">
      <c r="A914" s="114"/>
      <c r="B914" s="114"/>
      <c r="C914" s="114"/>
      <c r="D914" s="114"/>
      <c r="E914" s="114"/>
      <c r="F914" s="114"/>
      <c r="G914" s="114"/>
      <c r="H914" s="114"/>
      <c r="I914" s="114"/>
      <c r="J914" s="114"/>
      <c r="K914" s="114"/>
      <c r="L914" s="114"/>
      <c r="M914" s="114"/>
      <c r="N914" s="114"/>
      <c r="O914" s="114"/>
      <c r="P914" s="114"/>
      <c r="Q914" s="114"/>
      <c r="R914" s="114"/>
      <c r="S914" s="114"/>
      <c r="T914" s="114"/>
      <c r="U914" s="114"/>
      <c r="V914" s="114"/>
      <c r="W914" s="114"/>
      <c r="X914" s="114"/>
      <c r="Y914" s="114"/>
      <c r="Z914" s="114"/>
      <c r="AA914" s="114"/>
      <c r="AB914" s="114"/>
      <c r="AC914" s="114"/>
      <c r="AD914" s="114"/>
      <c r="AE914" s="114"/>
      <c r="AF914" s="114"/>
      <c r="AG914" s="114"/>
      <c r="AH914" s="114"/>
      <c r="AI914" s="114"/>
      <c r="AJ914" s="114"/>
      <c r="AK914" s="114"/>
    </row>
    <row r="915" ht="15.75" customHeight="1">
      <c r="A915" s="114"/>
      <c r="B915" s="114"/>
      <c r="C915" s="114"/>
      <c r="D915" s="114"/>
      <c r="E915" s="114"/>
      <c r="F915" s="114"/>
      <c r="G915" s="114"/>
      <c r="H915" s="114"/>
      <c r="I915" s="114"/>
      <c r="J915" s="114"/>
      <c r="K915" s="114"/>
      <c r="L915" s="114"/>
      <c r="M915" s="114"/>
      <c r="N915" s="114"/>
      <c r="O915" s="114"/>
      <c r="P915" s="114"/>
      <c r="Q915" s="114"/>
      <c r="R915" s="114"/>
      <c r="S915" s="114"/>
      <c r="T915" s="114"/>
      <c r="U915" s="114"/>
      <c r="V915" s="114"/>
      <c r="W915" s="114"/>
      <c r="X915" s="114"/>
      <c r="Y915" s="114"/>
      <c r="Z915" s="114"/>
      <c r="AA915" s="114"/>
      <c r="AB915" s="114"/>
      <c r="AC915" s="114"/>
      <c r="AD915" s="114"/>
      <c r="AE915" s="114"/>
      <c r="AF915" s="114"/>
      <c r="AG915" s="114"/>
      <c r="AH915" s="114"/>
      <c r="AI915" s="114"/>
      <c r="AJ915" s="114"/>
      <c r="AK915" s="114"/>
    </row>
    <row r="916" ht="15.75" customHeight="1">
      <c r="A916" s="114"/>
      <c r="B916" s="114"/>
      <c r="C916" s="114"/>
      <c r="D916" s="114"/>
      <c r="E916" s="114"/>
      <c r="F916" s="114"/>
      <c r="G916" s="114"/>
      <c r="H916" s="114"/>
      <c r="I916" s="114"/>
      <c r="J916" s="114"/>
      <c r="K916" s="114"/>
      <c r="L916" s="114"/>
      <c r="M916" s="114"/>
      <c r="N916" s="114"/>
      <c r="O916" s="114"/>
      <c r="P916" s="114"/>
      <c r="Q916" s="114"/>
      <c r="R916" s="114"/>
      <c r="S916" s="114"/>
      <c r="T916" s="114"/>
      <c r="U916" s="114"/>
      <c r="V916" s="114"/>
      <c r="W916" s="114"/>
      <c r="X916" s="114"/>
      <c r="Y916" s="114"/>
      <c r="Z916" s="114"/>
      <c r="AA916" s="114"/>
      <c r="AB916" s="114"/>
      <c r="AC916" s="114"/>
      <c r="AD916" s="114"/>
      <c r="AE916" s="114"/>
      <c r="AF916" s="114"/>
      <c r="AG916" s="114"/>
      <c r="AH916" s="114"/>
      <c r="AI916" s="114"/>
      <c r="AJ916" s="114"/>
      <c r="AK916" s="114"/>
    </row>
    <row r="917" ht="15.75" customHeight="1">
      <c r="A917" s="114"/>
      <c r="B917" s="114"/>
      <c r="C917" s="114"/>
      <c r="D917" s="114"/>
      <c r="E917" s="114"/>
      <c r="F917" s="114"/>
      <c r="G917" s="114"/>
      <c r="H917" s="114"/>
      <c r="I917" s="114"/>
      <c r="J917" s="114"/>
      <c r="K917" s="114"/>
      <c r="L917" s="114"/>
      <c r="M917" s="114"/>
      <c r="N917" s="114"/>
      <c r="O917" s="114"/>
      <c r="P917" s="114"/>
      <c r="Q917" s="114"/>
      <c r="R917" s="114"/>
      <c r="S917" s="114"/>
      <c r="T917" s="114"/>
      <c r="U917" s="114"/>
      <c r="V917" s="114"/>
      <c r="W917" s="114"/>
      <c r="X917" s="114"/>
      <c r="Y917" s="114"/>
      <c r="Z917" s="114"/>
      <c r="AA917" s="114"/>
      <c r="AB917" s="114"/>
      <c r="AC917" s="114"/>
      <c r="AD917" s="114"/>
      <c r="AE917" s="114"/>
      <c r="AF917" s="114"/>
      <c r="AG917" s="114"/>
      <c r="AH917" s="114"/>
      <c r="AI917" s="114"/>
      <c r="AJ917" s="114"/>
      <c r="AK917" s="114"/>
    </row>
    <row r="918" ht="15.75" customHeight="1">
      <c r="A918" s="114"/>
      <c r="B918" s="114"/>
      <c r="C918" s="114"/>
      <c r="D918" s="114"/>
      <c r="E918" s="114"/>
      <c r="F918" s="114"/>
      <c r="G918" s="114"/>
      <c r="H918" s="114"/>
      <c r="I918" s="114"/>
      <c r="J918" s="114"/>
      <c r="K918" s="114"/>
      <c r="L918" s="114"/>
      <c r="M918" s="114"/>
      <c r="N918" s="114"/>
      <c r="O918" s="114"/>
      <c r="P918" s="114"/>
      <c r="Q918" s="114"/>
      <c r="R918" s="114"/>
      <c r="S918" s="114"/>
      <c r="T918" s="114"/>
      <c r="U918" s="114"/>
      <c r="V918" s="114"/>
      <c r="W918" s="114"/>
      <c r="X918" s="114"/>
      <c r="Y918" s="114"/>
      <c r="Z918" s="114"/>
      <c r="AA918" s="114"/>
      <c r="AB918" s="114"/>
      <c r="AC918" s="114"/>
      <c r="AD918" s="114"/>
      <c r="AE918" s="114"/>
      <c r="AF918" s="114"/>
      <c r="AG918" s="114"/>
      <c r="AH918" s="114"/>
      <c r="AI918" s="114"/>
      <c r="AJ918" s="114"/>
      <c r="AK918" s="114"/>
    </row>
    <row r="919" ht="15.75" customHeight="1">
      <c r="A919" s="114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  <c r="O919" s="114"/>
      <c r="P919" s="114"/>
      <c r="Q919" s="114"/>
      <c r="R919" s="114"/>
      <c r="S919" s="114"/>
      <c r="T919" s="114"/>
      <c r="U919" s="114"/>
      <c r="V919" s="114"/>
      <c r="W919" s="114"/>
      <c r="X919" s="114"/>
      <c r="Y919" s="114"/>
      <c r="Z919" s="114"/>
      <c r="AA919" s="114"/>
      <c r="AB919" s="114"/>
      <c r="AC919" s="114"/>
      <c r="AD919" s="114"/>
      <c r="AE919" s="114"/>
      <c r="AF919" s="114"/>
      <c r="AG919" s="114"/>
      <c r="AH919" s="114"/>
      <c r="AI919" s="114"/>
      <c r="AJ919" s="114"/>
      <c r="AK919" s="114"/>
    </row>
    <row r="920" ht="15.75" customHeight="1">
      <c r="A920" s="114"/>
      <c r="B920" s="114"/>
      <c r="C920" s="114"/>
      <c r="D920" s="114"/>
      <c r="E920" s="114"/>
      <c r="F920" s="114"/>
      <c r="G920" s="114"/>
      <c r="H920" s="114"/>
      <c r="I920" s="114"/>
      <c r="J920" s="114"/>
      <c r="K920" s="114"/>
      <c r="L920" s="114"/>
      <c r="M920" s="114"/>
      <c r="N920" s="114"/>
      <c r="O920" s="114"/>
      <c r="P920" s="114"/>
      <c r="Q920" s="114"/>
      <c r="R920" s="114"/>
      <c r="S920" s="114"/>
      <c r="T920" s="114"/>
      <c r="U920" s="114"/>
      <c r="V920" s="114"/>
      <c r="W920" s="114"/>
      <c r="X920" s="114"/>
      <c r="Y920" s="114"/>
      <c r="Z920" s="114"/>
      <c r="AA920" s="114"/>
      <c r="AB920" s="114"/>
      <c r="AC920" s="114"/>
      <c r="AD920" s="114"/>
      <c r="AE920" s="114"/>
      <c r="AF920" s="114"/>
      <c r="AG920" s="114"/>
      <c r="AH920" s="114"/>
      <c r="AI920" s="114"/>
      <c r="AJ920" s="114"/>
      <c r="AK920" s="114"/>
    </row>
    <row r="921" ht="15.75" customHeight="1">
      <c r="A921" s="114"/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4"/>
      <c r="M921" s="114"/>
      <c r="N921" s="114"/>
      <c r="O921" s="114"/>
      <c r="P921" s="114"/>
      <c r="Q921" s="114"/>
      <c r="R921" s="114"/>
      <c r="S921" s="114"/>
      <c r="T921" s="114"/>
      <c r="U921" s="114"/>
      <c r="V921" s="114"/>
      <c r="W921" s="114"/>
      <c r="X921" s="114"/>
      <c r="Y921" s="114"/>
      <c r="Z921" s="114"/>
      <c r="AA921" s="114"/>
      <c r="AB921" s="114"/>
      <c r="AC921" s="114"/>
      <c r="AD921" s="114"/>
      <c r="AE921" s="114"/>
      <c r="AF921" s="114"/>
      <c r="AG921" s="114"/>
      <c r="AH921" s="114"/>
      <c r="AI921" s="114"/>
      <c r="AJ921" s="114"/>
      <c r="AK921" s="114"/>
    </row>
    <row r="922" ht="15.75" customHeight="1">
      <c r="A922" s="114"/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4"/>
      <c r="N922" s="114"/>
      <c r="O922" s="114"/>
      <c r="P922" s="114"/>
      <c r="Q922" s="114"/>
      <c r="R922" s="114"/>
      <c r="S922" s="114"/>
      <c r="T922" s="114"/>
      <c r="U922" s="114"/>
      <c r="V922" s="114"/>
      <c r="W922" s="114"/>
      <c r="X922" s="114"/>
      <c r="Y922" s="114"/>
      <c r="Z922" s="114"/>
      <c r="AA922" s="114"/>
      <c r="AB922" s="114"/>
      <c r="AC922" s="114"/>
      <c r="AD922" s="114"/>
      <c r="AE922" s="114"/>
      <c r="AF922" s="114"/>
      <c r="AG922" s="114"/>
      <c r="AH922" s="114"/>
      <c r="AI922" s="114"/>
      <c r="AJ922" s="114"/>
      <c r="AK922" s="114"/>
    </row>
    <row r="923" ht="15.75" customHeight="1">
      <c r="A923" s="114"/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4"/>
      <c r="M923" s="114"/>
      <c r="N923" s="114"/>
      <c r="O923" s="114"/>
      <c r="P923" s="114"/>
      <c r="Q923" s="114"/>
      <c r="R923" s="114"/>
      <c r="S923" s="114"/>
      <c r="T923" s="114"/>
      <c r="U923" s="114"/>
      <c r="V923" s="114"/>
      <c r="W923" s="114"/>
      <c r="X923" s="114"/>
      <c r="Y923" s="114"/>
      <c r="Z923" s="114"/>
      <c r="AA923" s="114"/>
      <c r="AB923" s="114"/>
      <c r="AC923" s="114"/>
      <c r="AD923" s="114"/>
      <c r="AE923" s="114"/>
      <c r="AF923" s="114"/>
      <c r="AG923" s="114"/>
      <c r="AH923" s="114"/>
      <c r="AI923" s="114"/>
      <c r="AJ923" s="114"/>
      <c r="AK923" s="114"/>
    </row>
    <row r="924" ht="15.75" customHeight="1">
      <c r="A924" s="114"/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4"/>
      <c r="M924" s="114"/>
      <c r="N924" s="114"/>
      <c r="O924" s="114"/>
      <c r="P924" s="114"/>
      <c r="Q924" s="114"/>
      <c r="R924" s="114"/>
      <c r="S924" s="114"/>
      <c r="T924" s="114"/>
      <c r="U924" s="114"/>
      <c r="V924" s="114"/>
      <c r="W924" s="114"/>
      <c r="X924" s="114"/>
      <c r="Y924" s="114"/>
      <c r="Z924" s="114"/>
      <c r="AA924" s="114"/>
      <c r="AB924" s="114"/>
      <c r="AC924" s="114"/>
      <c r="AD924" s="114"/>
      <c r="AE924" s="114"/>
      <c r="AF924" s="114"/>
      <c r="AG924" s="114"/>
      <c r="AH924" s="114"/>
      <c r="AI924" s="114"/>
      <c r="AJ924" s="114"/>
      <c r="AK924" s="114"/>
    </row>
    <row r="925" ht="15.75" customHeight="1">
      <c r="A925" s="114"/>
      <c r="B925" s="114"/>
      <c r="C925" s="114"/>
      <c r="D925" s="114"/>
      <c r="E925" s="114"/>
      <c r="F925" s="114"/>
      <c r="G925" s="114"/>
      <c r="H925" s="114"/>
      <c r="I925" s="114"/>
      <c r="J925" s="114"/>
      <c r="K925" s="114"/>
      <c r="L925" s="114"/>
      <c r="M925" s="114"/>
      <c r="N925" s="114"/>
      <c r="O925" s="114"/>
      <c r="P925" s="114"/>
      <c r="Q925" s="114"/>
      <c r="R925" s="114"/>
      <c r="S925" s="114"/>
      <c r="T925" s="114"/>
      <c r="U925" s="114"/>
      <c r="V925" s="114"/>
      <c r="W925" s="114"/>
      <c r="X925" s="114"/>
      <c r="Y925" s="114"/>
      <c r="Z925" s="114"/>
      <c r="AA925" s="114"/>
      <c r="AB925" s="114"/>
      <c r="AC925" s="114"/>
      <c r="AD925" s="114"/>
      <c r="AE925" s="114"/>
      <c r="AF925" s="114"/>
      <c r="AG925" s="114"/>
      <c r="AH925" s="114"/>
      <c r="AI925" s="114"/>
      <c r="AJ925" s="114"/>
      <c r="AK925" s="114"/>
    </row>
    <row r="926" ht="15.75" customHeight="1">
      <c r="A926" s="114"/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4"/>
      <c r="M926" s="114"/>
      <c r="N926" s="114"/>
      <c r="O926" s="114"/>
      <c r="P926" s="114"/>
      <c r="Q926" s="114"/>
      <c r="R926" s="114"/>
      <c r="S926" s="114"/>
      <c r="T926" s="114"/>
      <c r="U926" s="114"/>
      <c r="V926" s="114"/>
      <c r="W926" s="114"/>
      <c r="X926" s="114"/>
      <c r="Y926" s="114"/>
      <c r="Z926" s="114"/>
      <c r="AA926" s="114"/>
      <c r="AB926" s="114"/>
      <c r="AC926" s="114"/>
      <c r="AD926" s="114"/>
      <c r="AE926" s="114"/>
      <c r="AF926" s="114"/>
      <c r="AG926" s="114"/>
      <c r="AH926" s="114"/>
      <c r="AI926" s="114"/>
      <c r="AJ926" s="114"/>
      <c r="AK926" s="114"/>
    </row>
    <row r="927" ht="15.75" customHeight="1">
      <c r="A927" s="114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  <c r="O927" s="114"/>
      <c r="P927" s="114"/>
      <c r="Q927" s="114"/>
      <c r="R927" s="114"/>
      <c r="S927" s="114"/>
      <c r="T927" s="114"/>
      <c r="U927" s="114"/>
      <c r="V927" s="114"/>
      <c r="W927" s="114"/>
      <c r="X927" s="114"/>
      <c r="Y927" s="114"/>
      <c r="Z927" s="114"/>
      <c r="AA927" s="114"/>
      <c r="AB927" s="114"/>
      <c r="AC927" s="114"/>
      <c r="AD927" s="114"/>
      <c r="AE927" s="114"/>
      <c r="AF927" s="114"/>
      <c r="AG927" s="114"/>
      <c r="AH927" s="114"/>
      <c r="AI927" s="114"/>
      <c r="AJ927" s="114"/>
      <c r="AK927" s="114"/>
    </row>
    <row r="928" ht="15.75" customHeight="1">
      <c r="A928" s="114"/>
      <c r="B928" s="114"/>
      <c r="C928" s="114"/>
      <c r="D928" s="114"/>
      <c r="E928" s="114"/>
      <c r="F928" s="114"/>
      <c r="G928" s="114"/>
      <c r="H928" s="114"/>
      <c r="I928" s="114"/>
      <c r="J928" s="114"/>
      <c r="K928" s="114"/>
      <c r="L928" s="114"/>
      <c r="M928" s="114"/>
      <c r="N928" s="114"/>
      <c r="O928" s="114"/>
      <c r="P928" s="114"/>
      <c r="Q928" s="114"/>
      <c r="R928" s="114"/>
      <c r="S928" s="114"/>
      <c r="T928" s="114"/>
      <c r="U928" s="114"/>
      <c r="V928" s="114"/>
      <c r="W928" s="114"/>
      <c r="X928" s="114"/>
      <c r="Y928" s="114"/>
      <c r="Z928" s="114"/>
      <c r="AA928" s="114"/>
      <c r="AB928" s="114"/>
      <c r="AC928" s="114"/>
      <c r="AD928" s="114"/>
      <c r="AE928" s="114"/>
      <c r="AF928" s="114"/>
      <c r="AG928" s="114"/>
      <c r="AH928" s="114"/>
      <c r="AI928" s="114"/>
      <c r="AJ928" s="114"/>
      <c r="AK928" s="114"/>
    </row>
    <row r="929" ht="15.75" customHeight="1">
      <c r="A929" s="114"/>
      <c r="B929" s="114"/>
      <c r="C929" s="114"/>
      <c r="D929" s="114"/>
      <c r="E929" s="114"/>
      <c r="F929" s="114"/>
      <c r="G929" s="114"/>
      <c r="H929" s="114"/>
      <c r="I929" s="114"/>
      <c r="J929" s="114"/>
      <c r="K929" s="114"/>
      <c r="L929" s="114"/>
      <c r="M929" s="114"/>
      <c r="N929" s="114"/>
      <c r="O929" s="114"/>
      <c r="P929" s="114"/>
      <c r="Q929" s="114"/>
      <c r="R929" s="114"/>
      <c r="S929" s="114"/>
      <c r="T929" s="114"/>
      <c r="U929" s="114"/>
      <c r="V929" s="114"/>
      <c r="W929" s="114"/>
      <c r="X929" s="114"/>
      <c r="Y929" s="114"/>
      <c r="Z929" s="114"/>
      <c r="AA929" s="114"/>
      <c r="AB929" s="114"/>
      <c r="AC929" s="114"/>
      <c r="AD929" s="114"/>
      <c r="AE929" s="114"/>
      <c r="AF929" s="114"/>
      <c r="AG929" s="114"/>
      <c r="AH929" s="114"/>
      <c r="AI929" s="114"/>
      <c r="AJ929" s="114"/>
      <c r="AK929" s="114"/>
    </row>
    <row r="930" ht="15.75" customHeight="1">
      <c r="A930" s="114"/>
      <c r="B930" s="114"/>
      <c r="C930" s="114"/>
      <c r="D930" s="114"/>
      <c r="E930" s="114"/>
      <c r="F930" s="114"/>
      <c r="G930" s="114"/>
      <c r="H930" s="114"/>
      <c r="I930" s="114"/>
      <c r="J930" s="114"/>
      <c r="K930" s="114"/>
      <c r="L930" s="114"/>
      <c r="M930" s="114"/>
      <c r="N930" s="114"/>
      <c r="O930" s="114"/>
      <c r="P930" s="114"/>
      <c r="Q930" s="114"/>
      <c r="R930" s="114"/>
      <c r="S930" s="114"/>
      <c r="T930" s="114"/>
      <c r="U930" s="114"/>
      <c r="V930" s="114"/>
      <c r="W930" s="114"/>
      <c r="X930" s="114"/>
      <c r="Y930" s="114"/>
      <c r="Z930" s="114"/>
      <c r="AA930" s="114"/>
      <c r="AB930" s="114"/>
      <c r="AC930" s="114"/>
      <c r="AD930" s="114"/>
      <c r="AE930" s="114"/>
      <c r="AF930" s="114"/>
      <c r="AG930" s="114"/>
      <c r="AH930" s="114"/>
      <c r="AI930" s="114"/>
      <c r="AJ930" s="114"/>
      <c r="AK930" s="114"/>
    </row>
    <row r="931" ht="15.75" customHeight="1">
      <c r="A931" s="114"/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4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4"/>
      <c r="X931" s="114"/>
      <c r="Y931" s="114"/>
      <c r="Z931" s="114"/>
      <c r="AA931" s="114"/>
      <c r="AB931" s="114"/>
      <c r="AC931" s="114"/>
      <c r="AD931" s="114"/>
      <c r="AE931" s="114"/>
      <c r="AF931" s="114"/>
      <c r="AG931" s="114"/>
      <c r="AH931" s="114"/>
      <c r="AI931" s="114"/>
      <c r="AJ931" s="114"/>
      <c r="AK931" s="114"/>
    </row>
    <row r="932" ht="15.75" customHeight="1">
      <c r="A932" s="114"/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4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4"/>
      <c r="X932" s="114"/>
      <c r="Y932" s="114"/>
      <c r="Z932" s="114"/>
      <c r="AA932" s="114"/>
      <c r="AB932" s="114"/>
      <c r="AC932" s="114"/>
      <c r="AD932" s="114"/>
      <c r="AE932" s="114"/>
      <c r="AF932" s="114"/>
      <c r="AG932" s="114"/>
      <c r="AH932" s="114"/>
      <c r="AI932" s="114"/>
      <c r="AJ932" s="114"/>
      <c r="AK932" s="114"/>
    </row>
    <row r="933" ht="15.75" customHeight="1">
      <c r="A933" s="114"/>
      <c r="B933" s="114"/>
      <c r="C933" s="114"/>
      <c r="D933" s="114"/>
      <c r="E933" s="114"/>
      <c r="F933" s="114"/>
      <c r="G933" s="114"/>
      <c r="H933" s="114"/>
      <c r="I933" s="114"/>
      <c r="J933" s="114"/>
      <c r="K933" s="114"/>
      <c r="L933" s="114"/>
      <c r="M933" s="114"/>
      <c r="N933" s="114"/>
      <c r="O933" s="114"/>
      <c r="P933" s="114"/>
      <c r="Q933" s="114"/>
      <c r="R933" s="114"/>
      <c r="S933" s="114"/>
      <c r="T933" s="114"/>
      <c r="U933" s="114"/>
      <c r="V933" s="114"/>
      <c r="W933" s="114"/>
      <c r="X933" s="114"/>
      <c r="Y933" s="114"/>
      <c r="Z933" s="114"/>
      <c r="AA933" s="114"/>
      <c r="AB933" s="114"/>
      <c r="AC933" s="114"/>
      <c r="AD933" s="114"/>
      <c r="AE933" s="114"/>
      <c r="AF933" s="114"/>
      <c r="AG933" s="114"/>
      <c r="AH933" s="114"/>
      <c r="AI933" s="114"/>
      <c r="AJ933" s="114"/>
      <c r="AK933" s="114"/>
    </row>
    <row r="934" ht="15.75" customHeight="1">
      <c r="A934" s="114"/>
      <c r="B934" s="114"/>
      <c r="C934" s="114"/>
      <c r="D934" s="114"/>
      <c r="E934" s="114"/>
      <c r="F934" s="114"/>
      <c r="G934" s="114"/>
      <c r="H934" s="114"/>
      <c r="I934" s="114"/>
      <c r="J934" s="114"/>
      <c r="K934" s="114"/>
      <c r="L934" s="114"/>
      <c r="M934" s="114"/>
      <c r="N934" s="114"/>
      <c r="O934" s="114"/>
      <c r="P934" s="114"/>
      <c r="Q934" s="114"/>
      <c r="R934" s="114"/>
      <c r="S934" s="114"/>
      <c r="T934" s="114"/>
      <c r="U934" s="114"/>
      <c r="V934" s="114"/>
      <c r="W934" s="114"/>
      <c r="X934" s="114"/>
      <c r="Y934" s="114"/>
      <c r="Z934" s="114"/>
      <c r="AA934" s="114"/>
      <c r="AB934" s="114"/>
      <c r="AC934" s="114"/>
      <c r="AD934" s="114"/>
      <c r="AE934" s="114"/>
      <c r="AF934" s="114"/>
      <c r="AG934" s="114"/>
      <c r="AH934" s="114"/>
      <c r="AI934" s="114"/>
      <c r="AJ934" s="114"/>
      <c r="AK934" s="114"/>
    </row>
    <row r="935" ht="15.75" customHeight="1">
      <c r="A935" s="114"/>
      <c r="B935" s="114"/>
      <c r="C935" s="114"/>
      <c r="D935" s="114"/>
      <c r="E935" s="114"/>
      <c r="F935" s="114"/>
      <c r="G935" s="114"/>
      <c r="H935" s="114"/>
      <c r="I935" s="114"/>
      <c r="J935" s="114"/>
      <c r="K935" s="114"/>
      <c r="L935" s="114"/>
      <c r="M935" s="114"/>
      <c r="N935" s="114"/>
      <c r="O935" s="114"/>
      <c r="P935" s="114"/>
      <c r="Q935" s="114"/>
      <c r="R935" s="114"/>
      <c r="S935" s="114"/>
      <c r="T935" s="114"/>
      <c r="U935" s="114"/>
      <c r="V935" s="114"/>
      <c r="W935" s="114"/>
      <c r="X935" s="114"/>
      <c r="Y935" s="114"/>
      <c r="Z935" s="114"/>
      <c r="AA935" s="114"/>
      <c r="AB935" s="114"/>
      <c r="AC935" s="114"/>
      <c r="AD935" s="114"/>
      <c r="AE935" s="114"/>
      <c r="AF935" s="114"/>
      <c r="AG935" s="114"/>
      <c r="AH935" s="114"/>
      <c r="AI935" s="114"/>
      <c r="AJ935" s="114"/>
      <c r="AK935" s="114"/>
    </row>
    <row r="936" ht="15.75" customHeight="1">
      <c r="A936" s="114"/>
      <c r="B936" s="114"/>
      <c r="C936" s="114"/>
      <c r="D936" s="114"/>
      <c r="E936" s="114"/>
      <c r="F936" s="114"/>
      <c r="G936" s="114"/>
      <c r="H936" s="114"/>
      <c r="I936" s="114"/>
      <c r="J936" s="114"/>
      <c r="K936" s="114"/>
      <c r="L936" s="114"/>
      <c r="M936" s="114"/>
      <c r="N936" s="114"/>
      <c r="O936" s="114"/>
      <c r="P936" s="114"/>
      <c r="Q936" s="114"/>
      <c r="R936" s="114"/>
      <c r="S936" s="114"/>
      <c r="T936" s="114"/>
      <c r="U936" s="114"/>
      <c r="V936" s="114"/>
      <c r="W936" s="114"/>
      <c r="X936" s="114"/>
      <c r="Y936" s="114"/>
      <c r="Z936" s="114"/>
      <c r="AA936" s="114"/>
      <c r="AB936" s="114"/>
      <c r="AC936" s="114"/>
      <c r="AD936" s="114"/>
      <c r="AE936" s="114"/>
      <c r="AF936" s="114"/>
      <c r="AG936" s="114"/>
      <c r="AH936" s="114"/>
      <c r="AI936" s="114"/>
      <c r="AJ936" s="114"/>
      <c r="AK936" s="114"/>
    </row>
    <row r="937" ht="15.75" customHeight="1">
      <c r="A937" s="114"/>
      <c r="B937" s="114"/>
      <c r="C937" s="114"/>
      <c r="D937" s="114"/>
      <c r="E937" s="114"/>
      <c r="F937" s="114"/>
      <c r="G937" s="114"/>
      <c r="H937" s="114"/>
      <c r="I937" s="114"/>
      <c r="J937" s="114"/>
      <c r="K937" s="114"/>
      <c r="L937" s="114"/>
      <c r="M937" s="114"/>
      <c r="N937" s="114"/>
      <c r="O937" s="114"/>
      <c r="P937" s="114"/>
      <c r="Q937" s="114"/>
      <c r="R937" s="114"/>
      <c r="S937" s="114"/>
      <c r="T937" s="114"/>
      <c r="U937" s="114"/>
      <c r="V937" s="114"/>
      <c r="W937" s="114"/>
      <c r="X937" s="114"/>
      <c r="Y937" s="114"/>
      <c r="Z937" s="114"/>
      <c r="AA937" s="114"/>
      <c r="AB937" s="114"/>
      <c r="AC937" s="114"/>
      <c r="AD937" s="114"/>
      <c r="AE937" s="114"/>
      <c r="AF937" s="114"/>
      <c r="AG937" s="114"/>
      <c r="AH937" s="114"/>
      <c r="AI937" s="114"/>
      <c r="AJ937" s="114"/>
      <c r="AK937" s="114"/>
    </row>
    <row r="938" ht="15.75" customHeight="1">
      <c r="A938" s="114"/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4"/>
      <c r="M938" s="114"/>
      <c r="N938" s="114"/>
      <c r="O938" s="114"/>
      <c r="P938" s="114"/>
      <c r="Q938" s="114"/>
      <c r="R938" s="114"/>
      <c r="S938" s="114"/>
      <c r="T938" s="114"/>
      <c r="U938" s="114"/>
      <c r="V938" s="114"/>
      <c r="W938" s="114"/>
      <c r="X938" s="114"/>
      <c r="Y938" s="114"/>
      <c r="Z938" s="114"/>
      <c r="AA938" s="114"/>
      <c r="AB938" s="114"/>
      <c r="AC938" s="114"/>
      <c r="AD938" s="114"/>
      <c r="AE938" s="114"/>
      <c r="AF938" s="114"/>
      <c r="AG938" s="114"/>
      <c r="AH938" s="114"/>
      <c r="AI938" s="114"/>
      <c r="AJ938" s="114"/>
      <c r="AK938" s="114"/>
    </row>
    <row r="939" ht="15.75" customHeight="1">
      <c r="A939" s="114"/>
      <c r="B939" s="114"/>
      <c r="C939" s="114"/>
      <c r="D939" s="114"/>
      <c r="E939" s="114"/>
      <c r="F939" s="114"/>
      <c r="G939" s="114"/>
      <c r="H939" s="114"/>
      <c r="I939" s="114"/>
      <c r="J939" s="114"/>
      <c r="K939" s="114"/>
      <c r="L939" s="114"/>
      <c r="M939" s="114"/>
      <c r="N939" s="114"/>
      <c r="O939" s="114"/>
      <c r="P939" s="114"/>
      <c r="Q939" s="114"/>
      <c r="R939" s="114"/>
      <c r="S939" s="114"/>
      <c r="T939" s="114"/>
      <c r="U939" s="114"/>
      <c r="V939" s="114"/>
      <c r="W939" s="114"/>
      <c r="X939" s="114"/>
      <c r="Y939" s="114"/>
      <c r="Z939" s="114"/>
      <c r="AA939" s="114"/>
      <c r="AB939" s="114"/>
      <c r="AC939" s="114"/>
      <c r="AD939" s="114"/>
      <c r="AE939" s="114"/>
      <c r="AF939" s="114"/>
      <c r="AG939" s="114"/>
      <c r="AH939" s="114"/>
      <c r="AI939" s="114"/>
      <c r="AJ939" s="114"/>
      <c r="AK939" s="114"/>
    </row>
    <row r="940" ht="15.75" customHeight="1">
      <c r="A940" s="114"/>
      <c r="B940" s="114"/>
      <c r="C940" s="114"/>
      <c r="D940" s="114"/>
      <c r="E940" s="114"/>
      <c r="F940" s="114"/>
      <c r="G940" s="114"/>
      <c r="H940" s="114"/>
      <c r="I940" s="114"/>
      <c r="J940" s="114"/>
      <c r="K940" s="114"/>
      <c r="L940" s="114"/>
      <c r="M940" s="114"/>
      <c r="N940" s="114"/>
      <c r="O940" s="114"/>
      <c r="P940" s="114"/>
      <c r="Q940" s="114"/>
      <c r="R940" s="114"/>
      <c r="S940" s="114"/>
      <c r="T940" s="114"/>
      <c r="U940" s="114"/>
      <c r="V940" s="114"/>
      <c r="W940" s="114"/>
      <c r="X940" s="114"/>
      <c r="Y940" s="114"/>
      <c r="Z940" s="114"/>
      <c r="AA940" s="114"/>
      <c r="AB940" s="114"/>
      <c r="AC940" s="114"/>
      <c r="AD940" s="114"/>
      <c r="AE940" s="114"/>
      <c r="AF940" s="114"/>
      <c r="AG940" s="114"/>
      <c r="AH940" s="114"/>
      <c r="AI940" s="114"/>
      <c r="AJ940" s="114"/>
      <c r="AK940" s="114"/>
    </row>
    <row r="941" ht="15.75" customHeight="1">
      <c r="A941" s="114"/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4"/>
      <c r="M941" s="114"/>
      <c r="N941" s="114"/>
      <c r="O941" s="114"/>
      <c r="P941" s="114"/>
      <c r="Q941" s="114"/>
      <c r="R941" s="114"/>
      <c r="S941" s="114"/>
      <c r="T941" s="114"/>
      <c r="U941" s="114"/>
      <c r="V941" s="114"/>
      <c r="W941" s="114"/>
      <c r="X941" s="114"/>
      <c r="Y941" s="114"/>
      <c r="Z941" s="114"/>
      <c r="AA941" s="114"/>
      <c r="AB941" s="114"/>
      <c r="AC941" s="114"/>
      <c r="AD941" s="114"/>
      <c r="AE941" s="114"/>
      <c r="AF941" s="114"/>
      <c r="AG941" s="114"/>
      <c r="AH941" s="114"/>
      <c r="AI941" s="114"/>
      <c r="AJ941" s="114"/>
      <c r="AK941" s="114"/>
    </row>
    <row r="942" ht="15.75" customHeight="1">
      <c r="A942" s="114"/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4"/>
      <c r="X942" s="114"/>
      <c r="Y942" s="114"/>
      <c r="Z942" s="114"/>
      <c r="AA942" s="114"/>
      <c r="AB942" s="114"/>
      <c r="AC942" s="114"/>
      <c r="AD942" s="114"/>
      <c r="AE942" s="114"/>
      <c r="AF942" s="114"/>
      <c r="AG942" s="114"/>
      <c r="AH942" s="114"/>
      <c r="AI942" s="114"/>
      <c r="AJ942" s="114"/>
      <c r="AK942" s="114"/>
    </row>
    <row r="943" ht="15.75" customHeight="1">
      <c r="A943" s="114"/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4"/>
      <c r="M943" s="114"/>
      <c r="N943" s="114"/>
      <c r="O943" s="114"/>
      <c r="P943" s="114"/>
      <c r="Q943" s="114"/>
      <c r="R943" s="114"/>
      <c r="S943" s="114"/>
      <c r="T943" s="114"/>
      <c r="U943" s="114"/>
      <c r="V943" s="114"/>
      <c r="W943" s="114"/>
      <c r="X943" s="114"/>
      <c r="Y943" s="114"/>
      <c r="Z943" s="114"/>
      <c r="AA943" s="114"/>
      <c r="AB943" s="114"/>
      <c r="AC943" s="114"/>
      <c r="AD943" s="114"/>
      <c r="AE943" s="114"/>
      <c r="AF943" s="114"/>
      <c r="AG943" s="114"/>
      <c r="AH943" s="114"/>
      <c r="AI943" s="114"/>
      <c r="AJ943" s="114"/>
      <c r="AK943" s="114"/>
    </row>
    <row r="944" ht="15.75" customHeight="1">
      <c r="A944" s="114"/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4"/>
      <c r="M944" s="114"/>
      <c r="N944" s="114"/>
      <c r="O944" s="114"/>
      <c r="P944" s="114"/>
      <c r="Q944" s="114"/>
      <c r="R944" s="114"/>
      <c r="S944" s="114"/>
      <c r="T944" s="114"/>
      <c r="U944" s="114"/>
      <c r="V944" s="114"/>
      <c r="W944" s="114"/>
      <c r="X944" s="114"/>
      <c r="Y944" s="114"/>
      <c r="Z944" s="114"/>
      <c r="AA944" s="114"/>
      <c r="AB944" s="114"/>
      <c r="AC944" s="114"/>
      <c r="AD944" s="114"/>
      <c r="AE944" s="114"/>
      <c r="AF944" s="114"/>
      <c r="AG944" s="114"/>
      <c r="AH944" s="114"/>
      <c r="AI944" s="114"/>
      <c r="AJ944" s="114"/>
      <c r="AK944" s="114"/>
    </row>
    <row r="945" ht="15.75" customHeight="1">
      <c r="A945" s="114"/>
      <c r="B945" s="114"/>
      <c r="C945" s="114"/>
      <c r="D945" s="114"/>
      <c r="E945" s="114"/>
      <c r="F945" s="114"/>
      <c r="G945" s="114"/>
      <c r="H945" s="114"/>
      <c r="I945" s="114"/>
      <c r="J945" s="114"/>
      <c r="K945" s="114"/>
      <c r="L945" s="114"/>
      <c r="M945" s="114"/>
      <c r="N945" s="114"/>
      <c r="O945" s="114"/>
      <c r="P945" s="114"/>
      <c r="Q945" s="114"/>
      <c r="R945" s="114"/>
      <c r="S945" s="114"/>
      <c r="T945" s="114"/>
      <c r="U945" s="114"/>
      <c r="V945" s="114"/>
      <c r="W945" s="114"/>
      <c r="X945" s="114"/>
      <c r="Y945" s="114"/>
      <c r="Z945" s="114"/>
      <c r="AA945" s="114"/>
      <c r="AB945" s="114"/>
      <c r="AC945" s="114"/>
      <c r="AD945" s="114"/>
      <c r="AE945" s="114"/>
      <c r="AF945" s="114"/>
      <c r="AG945" s="114"/>
      <c r="AH945" s="114"/>
      <c r="AI945" s="114"/>
      <c r="AJ945" s="114"/>
      <c r="AK945" s="114"/>
    </row>
    <row r="946" ht="15.75" customHeight="1">
      <c r="A946" s="114"/>
      <c r="B946" s="114"/>
      <c r="C946" s="114"/>
      <c r="D946" s="114"/>
      <c r="E946" s="114"/>
      <c r="F946" s="114"/>
      <c r="G946" s="114"/>
      <c r="H946" s="114"/>
      <c r="I946" s="114"/>
      <c r="J946" s="114"/>
      <c r="K946" s="114"/>
      <c r="L946" s="114"/>
      <c r="M946" s="114"/>
      <c r="N946" s="114"/>
      <c r="O946" s="114"/>
      <c r="P946" s="114"/>
      <c r="Q946" s="114"/>
      <c r="R946" s="114"/>
      <c r="S946" s="114"/>
      <c r="T946" s="114"/>
      <c r="U946" s="114"/>
      <c r="V946" s="114"/>
      <c r="W946" s="114"/>
      <c r="X946" s="114"/>
      <c r="Y946" s="114"/>
      <c r="Z946" s="114"/>
      <c r="AA946" s="114"/>
      <c r="AB946" s="114"/>
      <c r="AC946" s="114"/>
      <c r="AD946" s="114"/>
      <c r="AE946" s="114"/>
      <c r="AF946" s="114"/>
      <c r="AG946" s="114"/>
      <c r="AH946" s="114"/>
      <c r="AI946" s="114"/>
      <c r="AJ946" s="114"/>
      <c r="AK946" s="114"/>
    </row>
    <row r="947" ht="15.75" customHeight="1">
      <c r="A947" s="114"/>
      <c r="B947" s="114"/>
      <c r="C947" s="114"/>
      <c r="D947" s="114"/>
      <c r="E947" s="114"/>
      <c r="F947" s="114"/>
      <c r="G947" s="114"/>
      <c r="H947" s="114"/>
      <c r="I947" s="114"/>
      <c r="J947" s="114"/>
      <c r="K947" s="114"/>
      <c r="L947" s="114"/>
      <c r="M947" s="114"/>
      <c r="N947" s="114"/>
      <c r="O947" s="114"/>
      <c r="P947" s="114"/>
      <c r="Q947" s="114"/>
      <c r="R947" s="114"/>
      <c r="S947" s="114"/>
      <c r="T947" s="114"/>
      <c r="U947" s="114"/>
      <c r="V947" s="114"/>
      <c r="W947" s="114"/>
      <c r="X947" s="114"/>
      <c r="Y947" s="114"/>
      <c r="Z947" s="114"/>
      <c r="AA947" s="114"/>
      <c r="AB947" s="114"/>
      <c r="AC947" s="114"/>
      <c r="AD947" s="114"/>
      <c r="AE947" s="114"/>
      <c r="AF947" s="114"/>
      <c r="AG947" s="114"/>
      <c r="AH947" s="114"/>
      <c r="AI947" s="114"/>
      <c r="AJ947" s="114"/>
      <c r="AK947" s="114"/>
    </row>
    <row r="948" ht="15.75" customHeight="1">
      <c r="A948" s="114"/>
      <c r="B948" s="114"/>
      <c r="C948" s="114"/>
      <c r="D948" s="114"/>
      <c r="E948" s="114"/>
      <c r="F948" s="114"/>
      <c r="G948" s="114"/>
      <c r="H948" s="114"/>
      <c r="I948" s="114"/>
      <c r="J948" s="114"/>
      <c r="K948" s="114"/>
      <c r="L948" s="114"/>
      <c r="M948" s="114"/>
      <c r="N948" s="114"/>
      <c r="O948" s="114"/>
      <c r="P948" s="114"/>
      <c r="Q948" s="114"/>
      <c r="R948" s="114"/>
      <c r="S948" s="114"/>
      <c r="T948" s="114"/>
      <c r="U948" s="114"/>
      <c r="V948" s="114"/>
      <c r="W948" s="114"/>
      <c r="X948" s="114"/>
      <c r="Y948" s="114"/>
      <c r="Z948" s="114"/>
      <c r="AA948" s="114"/>
      <c r="AB948" s="114"/>
      <c r="AC948" s="114"/>
      <c r="AD948" s="114"/>
      <c r="AE948" s="114"/>
      <c r="AF948" s="114"/>
      <c r="AG948" s="114"/>
      <c r="AH948" s="114"/>
      <c r="AI948" s="114"/>
      <c r="AJ948" s="114"/>
      <c r="AK948" s="114"/>
    </row>
    <row r="949" ht="15.75" customHeight="1">
      <c r="A949" s="114"/>
      <c r="B949" s="114"/>
      <c r="C949" s="114"/>
      <c r="D949" s="114"/>
      <c r="E949" s="114"/>
      <c r="F949" s="114"/>
      <c r="G949" s="114"/>
      <c r="H949" s="114"/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  <c r="Z949" s="114"/>
      <c r="AA949" s="114"/>
      <c r="AB949" s="114"/>
      <c r="AC949" s="114"/>
      <c r="AD949" s="114"/>
      <c r="AE949" s="114"/>
      <c r="AF949" s="114"/>
      <c r="AG949" s="114"/>
      <c r="AH949" s="114"/>
      <c r="AI949" s="114"/>
      <c r="AJ949" s="114"/>
      <c r="AK949" s="114"/>
    </row>
    <row r="950" ht="15.75" customHeight="1">
      <c r="A950" s="114"/>
      <c r="B950" s="114"/>
      <c r="C950" s="114"/>
      <c r="D950" s="114"/>
      <c r="E950" s="114"/>
      <c r="F950" s="114"/>
      <c r="G950" s="114"/>
      <c r="H950" s="114"/>
      <c r="I950" s="114"/>
      <c r="J950" s="114"/>
      <c r="K950" s="114"/>
      <c r="L950" s="114"/>
      <c r="M950" s="114"/>
      <c r="N950" s="114"/>
      <c r="O950" s="114"/>
      <c r="P950" s="114"/>
      <c r="Q950" s="114"/>
      <c r="R950" s="114"/>
      <c r="S950" s="114"/>
      <c r="T950" s="114"/>
      <c r="U950" s="114"/>
      <c r="V950" s="114"/>
      <c r="W950" s="114"/>
      <c r="X950" s="114"/>
      <c r="Y950" s="114"/>
      <c r="Z950" s="114"/>
      <c r="AA950" s="114"/>
      <c r="AB950" s="114"/>
      <c r="AC950" s="114"/>
      <c r="AD950" s="114"/>
      <c r="AE950" s="114"/>
      <c r="AF950" s="114"/>
      <c r="AG950" s="114"/>
      <c r="AH950" s="114"/>
      <c r="AI950" s="114"/>
      <c r="AJ950" s="114"/>
      <c r="AK950" s="114"/>
    </row>
    <row r="951" ht="15.75" customHeight="1">
      <c r="A951" s="114"/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4"/>
      <c r="X951" s="114"/>
      <c r="Y951" s="114"/>
      <c r="Z951" s="114"/>
      <c r="AA951" s="114"/>
      <c r="AB951" s="114"/>
      <c r="AC951" s="114"/>
      <c r="AD951" s="114"/>
      <c r="AE951" s="114"/>
      <c r="AF951" s="114"/>
      <c r="AG951" s="114"/>
      <c r="AH951" s="114"/>
      <c r="AI951" s="114"/>
      <c r="AJ951" s="114"/>
      <c r="AK951" s="114"/>
    </row>
    <row r="952" ht="15.75" customHeight="1">
      <c r="A952" s="114"/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4"/>
      <c r="X952" s="114"/>
      <c r="Y952" s="114"/>
      <c r="Z952" s="114"/>
      <c r="AA952" s="114"/>
      <c r="AB952" s="114"/>
      <c r="AC952" s="114"/>
      <c r="AD952" s="114"/>
      <c r="AE952" s="114"/>
      <c r="AF952" s="114"/>
      <c r="AG952" s="114"/>
      <c r="AH952" s="114"/>
      <c r="AI952" s="114"/>
      <c r="AJ952" s="114"/>
      <c r="AK952" s="114"/>
    </row>
    <row r="953" ht="15.75" customHeight="1">
      <c r="A953" s="114"/>
      <c r="B953" s="114"/>
      <c r="C953" s="114"/>
      <c r="D953" s="114"/>
      <c r="E953" s="114"/>
      <c r="F953" s="114"/>
      <c r="G953" s="114"/>
      <c r="H953" s="114"/>
      <c r="I953" s="114"/>
      <c r="J953" s="114"/>
      <c r="K953" s="114"/>
      <c r="L953" s="114"/>
      <c r="M953" s="114"/>
      <c r="N953" s="114"/>
      <c r="O953" s="114"/>
      <c r="P953" s="114"/>
      <c r="Q953" s="114"/>
      <c r="R953" s="114"/>
      <c r="S953" s="114"/>
      <c r="T953" s="114"/>
      <c r="U953" s="114"/>
      <c r="V953" s="114"/>
      <c r="W953" s="114"/>
      <c r="X953" s="114"/>
      <c r="Y953" s="114"/>
      <c r="Z953" s="114"/>
      <c r="AA953" s="114"/>
      <c r="AB953" s="114"/>
      <c r="AC953" s="114"/>
      <c r="AD953" s="114"/>
      <c r="AE953" s="114"/>
      <c r="AF953" s="114"/>
      <c r="AG953" s="114"/>
      <c r="AH953" s="114"/>
      <c r="AI953" s="114"/>
      <c r="AJ953" s="114"/>
      <c r="AK953" s="114"/>
    </row>
    <row r="954" ht="15.75" customHeight="1">
      <c r="A954" s="114"/>
      <c r="B954" s="114"/>
      <c r="C954" s="114"/>
      <c r="D954" s="114"/>
      <c r="E954" s="114"/>
      <c r="F954" s="114"/>
      <c r="G954" s="114"/>
      <c r="H954" s="114"/>
      <c r="I954" s="114"/>
      <c r="J954" s="114"/>
      <c r="K954" s="114"/>
      <c r="L954" s="114"/>
      <c r="M954" s="114"/>
      <c r="N954" s="114"/>
      <c r="O954" s="114"/>
      <c r="P954" s="114"/>
      <c r="Q954" s="114"/>
      <c r="R954" s="114"/>
      <c r="S954" s="114"/>
      <c r="T954" s="114"/>
      <c r="U954" s="114"/>
      <c r="V954" s="114"/>
      <c r="W954" s="114"/>
      <c r="X954" s="114"/>
      <c r="Y954" s="114"/>
      <c r="Z954" s="114"/>
      <c r="AA954" s="114"/>
      <c r="AB954" s="114"/>
      <c r="AC954" s="114"/>
      <c r="AD954" s="114"/>
      <c r="AE954" s="114"/>
      <c r="AF954" s="114"/>
      <c r="AG954" s="114"/>
      <c r="AH954" s="114"/>
      <c r="AI954" s="114"/>
      <c r="AJ954" s="114"/>
      <c r="AK954" s="114"/>
    </row>
    <row r="955" ht="15.75" customHeight="1">
      <c r="A955" s="114"/>
      <c r="B955" s="114"/>
      <c r="C955" s="114"/>
      <c r="D955" s="114"/>
      <c r="E955" s="114"/>
      <c r="F955" s="114"/>
      <c r="G955" s="114"/>
      <c r="H955" s="114"/>
      <c r="I955" s="114"/>
      <c r="J955" s="114"/>
      <c r="K955" s="114"/>
      <c r="L955" s="114"/>
      <c r="M955" s="114"/>
      <c r="N955" s="114"/>
      <c r="O955" s="114"/>
      <c r="P955" s="114"/>
      <c r="Q955" s="114"/>
      <c r="R955" s="114"/>
      <c r="S955" s="114"/>
      <c r="T955" s="114"/>
      <c r="U955" s="114"/>
      <c r="V955" s="114"/>
      <c r="W955" s="114"/>
      <c r="X955" s="114"/>
      <c r="Y955" s="114"/>
      <c r="Z955" s="114"/>
      <c r="AA955" s="114"/>
      <c r="AB955" s="114"/>
      <c r="AC955" s="114"/>
      <c r="AD955" s="114"/>
      <c r="AE955" s="114"/>
      <c r="AF955" s="114"/>
      <c r="AG955" s="114"/>
      <c r="AH955" s="114"/>
      <c r="AI955" s="114"/>
      <c r="AJ955" s="114"/>
      <c r="AK955" s="114"/>
    </row>
    <row r="956" ht="15.75" customHeight="1">
      <c r="A956" s="114"/>
      <c r="B956" s="114"/>
      <c r="C956" s="114"/>
      <c r="D956" s="114"/>
      <c r="E956" s="114"/>
      <c r="F956" s="114"/>
      <c r="G956" s="114"/>
      <c r="H956" s="114"/>
      <c r="I956" s="114"/>
      <c r="J956" s="114"/>
      <c r="K956" s="114"/>
      <c r="L956" s="114"/>
      <c r="M956" s="114"/>
      <c r="N956" s="114"/>
      <c r="O956" s="114"/>
      <c r="P956" s="114"/>
      <c r="Q956" s="114"/>
      <c r="R956" s="114"/>
      <c r="S956" s="114"/>
      <c r="T956" s="114"/>
      <c r="U956" s="114"/>
      <c r="V956" s="114"/>
      <c r="W956" s="114"/>
      <c r="X956" s="114"/>
      <c r="Y956" s="114"/>
      <c r="Z956" s="114"/>
      <c r="AA956" s="114"/>
      <c r="AB956" s="114"/>
      <c r="AC956" s="114"/>
      <c r="AD956" s="114"/>
      <c r="AE956" s="114"/>
      <c r="AF956" s="114"/>
      <c r="AG956" s="114"/>
      <c r="AH956" s="114"/>
      <c r="AI956" s="114"/>
      <c r="AJ956" s="114"/>
      <c r="AK956" s="114"/>
    </row>
    <row r="957" ht="15.75" customHeight="1">
      <c r="A957" s="114"/>
      <c r="B957" s="114"/>
      <c r="C957" s="114"/>
      <c r="D957" s="114"/>
      <c r="E957" s="114"/>
      <c r="F957" s="114"/>
      <c r="G957" s="114"/>
      <c r="H957" s="114"/>
      <c r="I957" s="114"/>
      <c r="J957" s="114"/>
      <c r="K957" s="114"/>
      <c r="L957" s="114"/>
      <c r="M957" s="114"/>
      <c r="N957" s="114"/>
      <c r="O957" s="114"/>
      <c r="P957" s="114"/>
      <c r="Q957" s="114"/>
      <c r="R957" s="114"/>
      <c r="S957" s="114"/>
      <c r="T957" s="114"/>
      <c r="U957" s="114"/>
      <c r="V957" s="114"/>
      <c r="W957" s="114"/>
      <c r="X957" s="114"/>
      <c r="Y957" s="114"/>
      <c r="Z957" s="114"/>
      <c r="AA957" s="114"/>
      <c r="AB957" s="114"/>
      <c r="AC957" s="114"/>
      <c r="AD957" s="114"/>
      <c r="AE957" s="114"/>
      <c r="AF957" s="114"/>
      <c r="AG957" s="114"/>
      <c r="AH957" s="114"/>
      <c r="AI957" s="114"/>
      <c r="AJ957" s="114"/>
      <c r="AK957" s="114"/>
    </row>
    <row r="958" ht="15.75" customHeight="1">
      <c r="A958" s="114"/>
      <c r="B958" s="114"/>
      <c r="C958" s="114"/>
      <c r="D958" s="114"/>
      <c r="E958" s="114"/>
      <c r="F958" s="114"/>
      <c r="G958" s="114"/>
      <c r="H958" s="114"/>
      <c r="I958" s="114"/>
      <c r="J958" s="114"/>
      <c r="K958" s="114"/>
      <c r="L958" s="114"/>
      <c r="M958" s="114"/>
      <c r="N958" s="114"/>
      <c r="O958" s="114"/>
      <c r="P958" s="114"/>
      <c r="Q958" s="114"/>
      <c r="R958" s="114"/>
      <c r="S958" s="114"/>
      <c r="T958" s="114"/>
      <c r="U958" s="114"/>
      <c r="V958" s="114"/>
      <c r="W958" s="114"/>
      <c r="X958" s="114"/>
      <c r="Y958" s="114"/>
      <c r="Z958" s="114"/>
      <c r="AA958" s="114"/>
      <c r="AB958" s="114"/>
      <c r="AC958" s="114"/>
      <c r="AD958" s="114"/>
      <c r="AE958" s="114"/>
      <c r="AF958" s="114"/>
      <c r="AG958" s="114"/>
      <c r="AH958" s="114"/>
      <c r="AI958" s="114"/>
      <c r="AJ958" s="114"/>
      <c r="AK958" s="114"/>
    </row>
    <row r="959" ht="15.75" customHeight="1">
      <c r="A959" s="114"/>
      <c r="B959" s="114"/>
      <c r="C959" s="114"/>
      <c r="D959" s="114"/>
      <c r="E959" s="114"/>
      <c r="F959" s="114"/>
      <c r="G959" s="114"/>
      <c r="H959" s="114"/>
      <c r="I959" s="114"/>
      <c r="J959" s="114"/>
      <c r="K959" s="114"/>
      <c r="L959" s="114"/>
      <c r="M959" s="114"/>
      <c r="N959" s="114"/>
      <c r="O959" s="114"/>
      <c r="P959" s="114"/>
      <c r="Q959" s="114"/>
      <c r="R959" s="114"/>
      <c r="S959" s="114"/>
      <c r="T959" s="114"/>
      <c r="U959" s="114"/>
      <c r="V959" s="114"/>
      <c r="W959" s="114"/>
      <c r="X959" s="114"/>
      <c r="Y959" s="114"/>
      <c r="Z959" s="114"/>
      <c r="AA959" s="114"/>
      <c r="AB959" s="114"/>
      <c r="AC959" s="114"/>
      <c r="AD959" s="114"/>
      <c r="AE959" s="114"/>
      <c r="AF959" s="114"/>
      <c r="AG959" s="114"/>
      <c r="AH959" s="114"/>
      <c r="AI959" s="114"/>
      <c r="AJ959" s="114"/>
      <c r="AK959" s="114"/>
    </row>
    <row r="960" ht="15.75" customHeight="1">
      <c r="A960" s="114"/>
      <c r="B960" s="114"/>
      <c r="C960" s="114"/>
      <c r="D960" s="114"/>
      <c r="E960" s="114"/>
      <c r="F960" s="114"/>
      <c r="G960" s="114"/>
      <c r="H960" s="114"/>
      <c r="I960" s="114"/>
      <c r="J960" s="114"/>
      <c r="K960" s="114"/>
      <c r="L960" s="114"/>
      <c r="M960" s="114"/>
      <c r="N960" s="114"/>
      <c r="O960" s="114"/>
      <c r="P960" s="114"/>
      <c r="Q960" s="114"/>
      <c r="R960" s="114"/>
      <c r="S960" s="114"/>
      <c r="T960" s="114"/>
      <c r="U960" s="114"/>
      <c r="V960" s="114"/>
      <c r="W960" s="114"/>
      <c r="X960" s="114"/>
      <c r="Y960" s="114"/>
      <c r="Z960" s="114"/>
      <c r="AA960" s="114"/>
      <c r="AB960" s="114"/>
      <c r="AC960" s="114"/>
      <c r="AD960" s="114"/>
      <c r="AE960" s="114"/>
      <c r="AF960" s="114"/>
      <c r="AG960" s="114"/>
      <c r="AH960" s="114"/>
      <c r="AI960" s="114"/>
      <c r="AJ960" s="114"/>
      <c r="AK960" s="114"/>
    </row>
    <row r="961" ht="15.75" customHeight="1">
      <c r="A961" s="114"/>
      <c r="B961" s="114"/>
      <c r="C961" s="114"/>
      <c r="D961" s="114"/>
      <c r="E961" s="114"/>
      <c r="F961" s="114"/>
      <c r="G961" s="114"/>
      <c r="H961" s="114"/>
      <c r="I961" s="114"/>
      <c r="J961" s="114"/>
      <c r="K961" s="114"/>
      <c r="L961" s="114"/>
      <c r="M961" s="114"/>
      <c r="N961" s="114"/>
      <c r="O961" s="114"/>
      <c r="P961" s="114"/>
      <c r="Q961" s="114"/>
      <c r="R961" s="114"/>
      <c r="S961" s="114"/>
      <c r="T961" s="114"/>
      <c r="U961" s="114"/>
      <c r="V961" s="114"/>
      <c r="W961" s="114"/>
      <c r="X961" s="114"/>
      <c r="Y961" s="114"/>
      <c r="Z961" s="114"/>
      <c r="AA961" s="114"/>
      <c r="AB961" s="114"/>
      <c r="AC961" s="114"/>
      <c r="AD961" s="114"/>
      <c r="AE961" s="114"/>
      <c r="AF961" s="114"/>
      <c r="AG961" s="114"/>
      <c r="AH961" s="114"/>
      <c r="AI961" s="114"/>
      <c r="AJ961" s="114"/>
      <c r="AK961" s="114"/>
    </row>
    <row r="962" ht="15.75" customHeight="1">
      <c r="A962" s="114"/>
      <c r="B962" s="114"/>
      <c r="C962" s="114"/>
      <c r="D962" s="114"/>
      <c r="E962" s="114"/>
      <c r="F962" s="114"/>
      <c r="G962" s="114"/>
      <c r="H962" s="114"/>
      <c r="I962" s="114"/>
      <c r="J962" s="114"/>
      <c r="K962" s="114"/>
      <c r="L962" s="114"/>
      <c r="M962" s="114"/>
      <c r="N962" s="114"/>
      <c r="O962" s="114"/>
      <c r="P962" s="114"/>
      <c r="Q962" s="114"/>
      <c r="R962" s="114"/>
      <c r="S962" s="114"/>
      <c r="T962" s="114"/>
      <c r="U962" s="114"/>
      <c r="V962" s="114"/>
      <c r="W962" s="114"/>
      <c r="X962" s="114"/>
      <c r="Y962" s="114"/>
      <c r="Z962" s="114"/>
      <c r="AA962" s="114"/>
      <c r="AB962" s="114"/>
      <c r="AC962" s="114"/>
      <c r="AD962" s="114"/>
      <c r="AE962" s="114"/>
      <c r="AF962" s="114"/>
      <c r="AG962" s="114"/>
      <c r="AH962" s="114"/>
      <c r="AI962" s="114"/>
      <c r="AJ962" s="114"/>
      <c r="AK962" s="114"/>
    </row>
    <row r="963" ht="15.75" customHeight="1">
      <c r="A963" s="114"/>
      <c r="B963" s="114"/>
      <c r="C963" s="114"/>
      <c r="D963" s="114"/>
      <c r="E963" s="114"/>
      <c r="F963" s="114"/>
      <c r="G963" s="114"/>
      <c r="H963" s="114"/>
      <c r="I963" s="114"/>
      <c r="J963" s="114"/>
      <c r="K963" s="114"/>
      <c r="L963" s="114"/>
      <c r="M963" s="114"/>
      <c r="N963" s="114"/>
      <c r="O963" s="114"/>
      <c r="P963" s="114"/>
      <c r="Q963" s="114"/>
      <c r="R963" s="114"/>
      <c r="S963" s="114"/>
      <c r="T963" s="114"/>
      <c r="U963" s="114"/>
      <c r="V963" s="114"/>
      <c r="W963" s="114"/>
      <c r="X963" s="114"/>
      <c r="Y963" s="114"/>
      <c r="Z963" s="114"/>
      <c r="AA963" s="114"/>
      <c r="AB963" s="114"/>
      <c r="AC963" s="114"/>
      <c r="AD963" s="114"/>
      <c r="AE963" s="114"/>
      <c r="AF963" s="114"/>
      <c r="AG963" s="114"/>
      <c r="AH963" s="114"/>
      <c r="AI963" s="114"/>
      <c r="AJ963" s="114"/>
      <c r="AK963" s="114"/>
    </row>
    <row r="964" ht="15.75" customHeight="1">
      <c r="A964" s="114"/>
      <c r="B964" s="114"/>
      <c r="C964" s="114"/>
      <c r="D964" s="114"/>
      <c r="E964" s="114"/>
      <c r="F964" s="114"/>
      <c r="G964" s="114"/>
      <c r="H964" s="114"/>
      <c r="I964" s="114"/>
      <c r="J964" s="114"/>
      <c r="K964" s="114"/>
      <c r="L964" s="114"/>
      <c r="M964" s="114"/>
      <c r="N964" s="114"/>
      <c r="O964" s="114"/>
      <c r="P964" s="114"/>
      <c r="Q964" s="114"/>
      <c r="R964" s="114"/>
      <c r="S964" s="114"/>
      <c r="T964" s="114"/>
      <c r="U964" s="114"/>
      <c r="V964" s="114"/>
      <c r="W964" s="114"/>
      <c r="X964" s="114"/>
      <c r="Y964" s="114"/>
      <c r="Z964" s="114"/>
      <c r="AA964" s="114"/>
      <c r="AB964" s="114"/>
      <c r="AC964" s="114"/>
      <c r="AD964" s="114"/>
      <c r="AE964" s="114"/>
      <c r="AF964" s="114"/>
      <c r="AG964" s="114"/>
      <c r="AH964" s="114"/>
      <c r="AI964" s="114"/>
      <c r="AJ964" s="114"/>
      <c r="AK964" s="114"/>
    </row>
    <row r="965" ht="15.75" customHeight="1">
      <c r="A965" s="114"/>
      <c r="B965" s="114"/>
      <c r="C965" s="114"/>
      <c r="D965" s="114"/>
      <c r="E965" s="114"/>
      <c r="F965" s="114"/>
      <c r="G965" s="114"/>
      <c r="H965" s="114"/>
      <c r="I965" s="114"/>
      <c r="J965" s="114"/>
      <c r="K965" s="114"/>
      <c r="L965" s="114"/>
      <c r="M965" s="114"/>
      <c r="N965" s="114"/>
      <c r="O965" s="114"/>
      <c r="P965" s="114"/>
      <c r="Q965" s="114"/>
      <c r="R965" s="114"/>
      <c r="S965" s="114"/>
      <c r="T965" s="114"/>
      <c r="U965" s="114"/>
      <c r="V965" s="114"/>
      <c r="W965" s="114"/>
      <c r="X965" s="114"/>
      <c r="Y965" s="114"/>
      <c r="Z965" s="114"/>
      <c r="AA965" s="114"/>
      <c r="AB965" s="114"/>
      <c r="AC965" s="114"/>
      <c r="AD965" s="114"/>
      <c r="AE965" s="114"/>
      <c r="AF965" s="114"/>
      <c r="AG965" s="114"/>
      <c r="AH965" s="114"/>
      <c r="AI965" s="114"/>
      <c r="AJ965" s="114"/>
      <c r="AK965" s="114"/>
    </row>
    <row r="966" ht="15.75" customHeight="1">
      <c r="A966" s="114"/>
      <c r="B966" s="114"/>
      <c r="C966" s="114"/>
      <c r="D966" s="114"/>
      <c r="E966" s="114"/>
      <c r="F966" s="114"/>
      <c r="G966" s="114"/>
      <c r="H966" s="114"/>
      <c r="I966" s="114"/>
      <c r="J966" s="114"/>
      <c r="K966" s="114"/>
      <c r="L966" s="114"/>
      <c r="M966" s="114"/>
      <c r="N966" s="114"/>
      <c r="O966" s="114"/>
      <c r="P966" s="114"/>
      <c r="Q966" s="114"/>
      <c r="R966" s="114"/>
      <c r="S966" s="114"/>
      <c r="T966" s="114"/>
      <c r="U966" s="114"/>
      <c r="V966" s="114"/>
      <c r="W966" s="114"/>
      <c r="X966" s="114"/>
      <c r="Y966" s="114"/>
      <c r="Z966" s="114"/>
      <c r="AA966" s="114"/>
      <c r="AB966" s="114"/>
      <c r="AC966" s="114"/>
      <c r="AD966" s="114"/>
      <c r="AE966" s="114"/>
      <c r="AF966" s="114"/>
      <c r="AG966" s="114"/>
      <c r="AH966" s="114"/>
      <c r="AI966" s="114"/>
      <c r="AJ966" s="114"/>
      <c r="AK966" s="114"/>
    </row>
    <row r="967" ht="15.75" customHeight="1">
      <c r="A967" s="114"/>
      <c r="B967" s="114"/>
      <c r="C967" s="114"/>
      <c r="D967" s="114"/>
      <c r="E967" s="114"/>
      <c r="F967" s="114"/>
      <c r="G967" s="114"/>
      <c r="H967" s="114"/>
      <c r="I967" s="114"/>
      <c r="J967" s="114"/>
      <c r="K967" s="114"/>
      <c r="L967" s="114"/>
      <c r="M967" s="114"/>
      <c r="N967" s="114"/>
      <c r="O967" s="114"/>
      <c r="P967" s="114"/>
      <c r="Q967" s="114"/>
      <c r="R967" s="114"/>
      <c r="S967" s="114"/>
      <c r="T967" s="114"/>
      <c r="U967" s="114"/>
      <c r="V967" s="114"/>
      <c r="W967" s="114"/>
      <c r="X967" s="114"/>
      <c r="Y967" s="114"/>
      <c r="Z967" s="114"/>
      <c r="AA967" s="114"/>
      <c r="AB967" s="114"/>
      <c r="AC967" s="114"/>
      <c r="AD967" s="114"/>
      <c r="AE967" s="114"/>
      <c r="AF967" s="114"/>
      <c r="AG967" s="114"/>
      <c r="AH967" s="114"/>
      <c r="AI967" s="114"/>
      <c r="AJ967" s="114"/>
      <c r="AK967" s="114"/>
    </row>
    <row r="968" ht="15.75" customHeight="1">
      <c r="A968" s="114"/>
      <c r="B968" s="114"/>
      <c r="C968" s="114"/>
      <c r="D968" s="114"/>
      <c r="E968" s="114"/>
      <c r="F968" s="114"/>
      <c r="G968" s="114"/>
      <c r="H968" s="114"/>
      <c r="I968" s="114"/>
      <c r="J968" s="114"/>
      <c r="K968" s="114"/>
      <c r="L968" s="114"/>
      <c r="M968" s="114"/>
      <c r="N968" s="114"/>
      <c r="O968" s="114"/>
      <c r="P968" s="114"/>
      <c r="Q968" s="114"/>
      <c r="R968" s="114"/>
      <c r="S968" s="114"/>
      <c r="T968" s="114"/>
      <c r="U968" s="114"/>
      <c r="V968" s="114"/>
      <c r="W968" s="114"/>
      <c r="X968" s="114"/>
      <c r="Y968" s="114"/>
      <c r="Z968" s="114"/>
      <c r="AA968" s="114"/>
      <c r="AB968" s="114"/>
      <c r="AC968" s="114"/>
      <c r="AD968" s="114"/>
      <c r="AE968" s="114"/>
      <c r="AF968" s="114"/>
      <c r="AG968" s="114"/>
      <c r="AH968" s="114"/>
      <c r="AI968" s="114"/>
      <c r="AJ968" s="114"/>
      <c r="AK968" s="114"/>
    </row>
    <row r="969" ht="15.75" customHeight="1">
      <c r="A969" s="114"/>
      <c r="B969" s="114"/>
      <c r="C969" s="114"/>
      <c r="D969" s="114"/>
      <c r="E969" s="114"/>
      <c r="F969" s="114"/>
      <c r="G969" s="114"/>
      <c r="H969" s="114"/>
      <c r="I969" s="114"/>
      <c r="J969" s="114"/>
      <c r="K969" s="114"/>
      <c r="L969" s="114"/>
      <c r="M969" s="114"/>
      <c r="N969" s="114"/>
      <c r="O969" s="114"/>
      <c r="P969" s="114"/>
      <c r="Q969" s="114"/>
      <c r="R969" s="114"/>
      <c r="S969" s="114"/>
      <c r="T969" s="114"/>
      <c r="U969" s="114"/>
      <c r="V969" s="114"/>
      <c r="W969" s="114"/>
      <c r="X969" s="114"/>
      <c r="Y969" s="114"/>
      <c r="Z969" s="114"/>
      <c r="AA969" s="114"/>
      <c r="AB969" s="114"/>
      <c r="AC969" s="114"/>
      <c r="AD969" s="114"/>
      <c r="AE969" s="114"/>
      <c r="AF969" s="114"/>
      <c r="AG969" s="114"/>
      <c r="AH969" s="114"/>
      <c r="AI969" s="114"/>
      <c r="AJ969" s="114"/>
      <c r="AK969" s="114"/>
    </row>
    <row r="970" ht="15.75" customHeight="1">
      <c r="A970" s="114"/>
      <c r="B970" s="114"/>
      <c r="C970" s="114"/>
      <c r="D970" s="114"/>
      <c r="E970" s="114"/>
      <c r="F970" s="114"/>
      <c r="G970" s="114"/>
      <c r="H970" s="114"/>
      <c r="I970" s="114"/>
      <c r="J970" s="114"/>
      <c r="K970" s="114"/>
      <c r="L970" s="114"/>
      <c r="M970" s="114"/>
      <c r="N970" s="114"/>
      <c r="O970" s="114"/>
      <c r="P970" s="114"/>
      <c r="Q970" s="114"/>
      <c r="R970" s="114"/>
      <c r="S970" s="114"/>
      <c r="T970" s="114"/>
      <c r="U970" s="114"/>
      <c r="V970" s="114"/>
      <c r="W970" s="114"/>
      <c r="X970" s="114"/>
      <c r="Y970" s="114"/>
      <c r="Z970" s="114"/>
      <c r="AA970" s="114"/>
      <c r="AB970" s="114"/>
      <c r="AC970" s="114"/>
      <c r="AD970" s="114"/>
      <c r="AE970" s="114"/>
      <c r="AF970" s="114"/>
      <c r="AG970" s="114"/>
      <c r="AH970" s="114"/>
      <c r="AI970" s="114"/>
      <c r="AJ970" s="114"/>
      <c r="AK970" s="114"/>
    </row>
    <row r="971" ht="15.75" customHeight="1">
      <c r="A971" s="114"/>
      <c r="B971" s="114"/>
      <c r="C971" s="114"/>
      <c r="D971" s="114"/>
      <c r="E971" s="114"/>
      <c r="F971" s="114"/>
      <c r="G971" s="114"/>
      <c r="H971" s="114"/>
      <c r="I971" s="114"/>
      <c r="J971" s="114"/>
      <c r="K971" s="114"/>
      <c r="L971" s="114"/>
      <c r="M971" s="114"/>
      <c r="N971" s="114"/>
      <c r="O971" s="114"/>
      <c r="P971" s="114"/>
      <c r="Q971" s="114"/>
      <c r="R971" s="114"/>
      <c r="S971" s="114"/>
      <c r="T971" s="114"/>
      <c r="U971" s="114"/>
      <c r="V971" s="114"/>
      <c r="W971" s="114"/>
      <c r="X971" s="114"/>
      <c r="Y971" s="114"/>
      <c r="Z971" s="114"/>
      <c r="AA971" s="114"/>
      <c r="AB971" s="114"/>
      <c r="AC971" s="114"/>
      <c r="AD971" s="114"/>
      <c r="AE971" s="114"/>
      <c r="AF971" s="114"/>
      <c r="AG971" s="114"/>
      <c r="AH971" s="114"/>
      <c r="AI971" s="114"/>
      <c r="AJ971" s="114"/>
      <c r="AK971" s="114"/>
    </row>
    <row r="972" ht="15.75" customHeight="1">
      <c r="A972" s="114"/>
      <c r="B972" s="114"/>
      <c r="C972" s="114"/>
      <c r="D972" s="114"/>
      <c r="E972" s="114"/>
      <c r="F972" s="114"/>
      <c r="G972" s="114"/>
      <c r="H972" s="114"/>
      <c r="I972" s="114"/>
      <c r="J972" s="114"/>
      <c r="K972" s="114"/>
      <c r="L972" s="114"/>
      <c r="M972" s="114"/>
      <c r="N972" s="114"/>
      <c r="O972" s="114"/>
      <c r="P972" s="114"/>
      <c r="Q972" s="114"/>
      <c r="R972" s="114"/>
      <c r="S972" s="114"/>
      <c r="T972" s="114"/>
      <c r="U972" s="114"/>
      <c r="V972" s="114"/>
      <c r="W972" s="114"/>
      <c r="X972" s="114"/>
      <c r="Y972" s="114"/>
      <c r="Z972" s="114"/>
      <c r="AA972" s="114"/>
      <c r="AB972" s="114"/>
      <c r="AC972" s="114"/>
      <c r="AD972" s="114"/>
      <c r="AE972" s="114"/>
      <c r="AF972" s="114"/>
      <c r="AG972" s="114"/>
      <c r="AH972" s="114"/>
      <c r="AI972" s="114"/>
      <c r="AJ972" s="114"/>
      <c r="AK972" s="114"/>
    </row>
    <row r="973" ht="15.75" customHeight="1">
      <c r="A973" s="114"/>
      <c r="B973" s="114"/>
      <c r="C973" s="114"/>
      <c r="D973" s="114"/>
      <c r="E973" s="114"/>
      <c r="F973" s="114"/>
      <c r="G973" s="114"/>
      <c r="H973" s="114"/>
      <c r="I973" s="114"/>
      <c r="J973" s="114"/>
      <c r="K973" s="114"/>
      <c r="L973" s="114"/>
      <c r="M973" s="114"/>
      <c r="N973" s="114"/>
      <c r="O973" s="114"/>
      <c r="P973" s="114"/>
      <c r="Q973" s="114"/>
      <c r="R973" s="114"/>
      <c r="S973" s="114"/>
      <c r="T973" s="114"/>
      <c r="U973" s="114"/>
      <c r="V973" s="114"/>
      <c r="W973" s="114"/>
      <c r="X973" s="114"/>
      <c r="Y973" s="114"/>
      <c r="Z973" s="114"/>
      <c r="AA973" s="114"/>
      <c r="AB973" s="114"/>
      <c r="AC973" s="114"/>
      <c r="AD973" s="114"/>
      <c r="AE973" s="114"/>
      <c r="AF973" s="114"/>
      <c r="AG973" s="114"/>
      <c r="AH973" s="114"/>
      <c r="AI973" s="114"/>
      <c r="AJ973" s="114"/>
      <c r="AK973" s="114"/>
    </row>
    <row r="974" ht="15.75" customHeight="1">
      <c r="A974" s="114"/>
      <c r="B974" s="114"/>
      <c r="C974" s="114"/>
      <c r="D974" s="114"/>
      <c r="E974" s="114"/>
      <c r="F974" s="114"/>
      <c r="G974" s="114"/>
      <c r="H974" s="114"/>
      <c r="I974" s="114"/>
      <c r="J974" s="114"/>
      <c r="K974" s="114"/>
      <c r="L974" s="114"/>
      <c r="M974" s="114"/>
      <c r="N974" s="114"/>
      <c r="O974" s="114"/>
      <c r="P974" s="114"/>
      <c r="Q974" s="114"/>
      <c r="R974" s="114"/>
      <c r="S974" s="114"/>
      <c r="T974" s="114"/>
      <c r="U974" s="114"/>
      <c r="V974" s="114"/>
      <c r="W974" s="114"/>
      <c r="X974" s="114"/>
      <c r="Y974" s="114"/>
      <c r="Z974" s="114"/>
      <c r="AA974" s="114"/>
      <c r="AB974" s="114"/>
      <c r="AC974" s="114"/>
      <c r="AD974" s="114"/>
      <c r="AE974" s="114"/>
      <c r="AF974" s="114"/>
      <c r="AG974" s="114"/>
      <c r="AH974" s="114"/>
      <c r="AI974" s="114"/>
      <c r="AJ974" s="114"/>
      <c r="AK974" s="114"/>
    </row>
    <row r="975" ht="15.75" customHeight="1">
      <c r="A975" s="114"/>
      <c r="B975" s="114"/>
      <c r="C975" s="114"/>
      <c r="D975" s="114"/>
      <c r="E975" s="114"/>
      <c r="F975" s="114"/>
      <c r="G975" s="114"/>
      <c r="H975" s="114"/>
      <c r="I975" s="114"/>
      <c r="J975" s="114"/>
      <c r="K975" s="114"/>
      <c r="L975" s="114"/>
      <c r="M975" s="114"/>
      <c r="N975" s="114"/>
      <c r="O975" s="114"/>
      <c r="P975" s="114"/>
      <c r="Q975" s="114"/>
      <c r="R975" s="114"/>
      <c r="S975" s="114"/>
      <c r="T975" s="114"/>
      <c r="U975" s="114"/>
      <c r="V975" s="114"/>
      <c r="W975" s="114"/>
      <c r="X975" s="114"/>
      <c r="Y975" s="114"/>
      <c r="Z975" s="114"/>
      <c r="AA975" s="114"/>
      <c r="AB975" s="114"/>
      <c r="AC975" s="114"/>
      <c r="AD975" s="114"/>
      <c r="AE975" s="114"/>
      <c r="AF975" s="114"/>
      <c r="AG975" s="114"/>
      <c r="AH975" s="114"/>
      <c r="AI975" s="114"/>
      <c r="AJ975" s="114"/>
      <c r="AK975" s="114"/>
    </row>
    <row r="976" ht="15.75" customHeight="1">
      <c r="A976" s="114"/>
      <c r="B976" s="114"/>
      <c r="C976" s="114"/>
      <c r="D976" s="114"/>
      <c r="E976" s="114"/>
      <c r="F976" s="114"/>
      <c r="G976" s="114"/>
      <c r="H976" s="114"/>
      <c r="I976" s="114"/>
      <c r="J976" s="114"/>
      <c r="K976" s="114"/>
      <c r="L976" s="114"/>
      <c r="M976" s="114"/>
      <c r="N976" s="114"/>
      <c r="O976" s="114"/>
      <c r="P976" s="114"/>
      <c r="Q976" s="114"/>
      <c r="R976" s="114"/>
      <c r="S976" s="114"/>
      <c r="T976" s="114"/>
      <c r="U976" s="114"/>
      <c r="V976" s="114"/>
      <c r="W976" s="114"/>
      <c r="X976" s="114"/>
      <c r="Y976" s="114"/>
      <c r="Z976" s="114"/>
      <c r="AA976" s="114"/>
      <c r="AB976" s="114"/>
      <c r="AC976" s="114"/>
      <c r="AD976" s="114"/>
      <c r="AE976" s="114"/>
      <c r="AF976" s="114"/>
      <c r="AG976" s="114"/>
      <c r="AH976" s="114"/>
      <c r="AI976" s="114"/>
      <c r="AJ976" s="114"/>
      <c r="AK976" s="114"/>
    </row>
    <row r="977" ht="15.75" customHeight="1">
      <c r="A977" s="114"/>
      <c r="B977" s="114"/>
      <c r="C977" s="114"/>
      <c r="D977" s="114"/>
      <c r="E977" s="114"/>
      <c r="F977" s="114"/>
      <c r="G977" s="114"/>
      <c r="H977" s="114"/>
      <c r="I977" s="114"/>
      <c r="J977" s="114"/>
      <c r="K977" s="114"/>
      <c r="L977" s="114"/>
      <c r="M977" s="114"/>
      <c r="N977" s="114"/>
      <c r="O977" s="114"/>
      <c r="P977" s="114"/>
      <c r="Q977" s="114"/>
      <c r="R977" s="114"/>
      <c r="S977" s="114"/>
      <c r="T977" s="114"/>
      <c r="U977" s="114"/>
      <c r="V977" s="114"/>
      <c r="W977" s="114"/>
      <c r="X977" s="114"/>
      <c r="Y977" s="114"/>
      <c r="Z977" s="114"/>
      <c r="AA977" s="114"/>
      <c r="AB977" s="114"/>
      <c r="AC977" s="114"/>
      <c r="AD977" s="114"/>
      <c r="AE977" s="114"/>
      <c r="AF977" s="114"/>
      <c r="AG977" s="114"/>
      <c r="AH977" s="114"/>
      <c r="AI977" s="114"/>
      <c r="AJ977" s="114"/>
      <c r="AK977" s="114"/>
    </row>
    <row r="978" ht="15.75" customHeight="1">
      <c r="A978" s="114"/>
      <c r="B978" s="114"/>
      <c r="C978" s="114"/>
      <c r="D978" s="114"/>
      <c r="E978" s="114"/>
      <c r="F978" s="114"/>
      <c r="G978" s="114"/>
      <c r="H978" s="114"/>
      <c r="I978" s="114"/>
      <c r="J978" s="114"/>
      <c r="K978" s="114"/>
      <c r="L978" s="114"/>
      <c r="M978" s="114"/>
      <c r="N978" s="114"/>
      <c r="O978" s="114"/>
      <c r="P978" s="114"/>
      <c r="Q978" s="114"/>
      <c r="R978" s="114"/>
      <c r="S978" s="114"/>
      <c r="T978" s="114"/>
      <c r="U978" s="114"/>
      <c r="V978" s="114"/>
      <c r="W978" s="114"/>
      <c r="X978" s="114"/>
      <c r="Y978" s="114"/>
      <c r="Z978" s="114"/>
      <c r="AA978" s="114"/>
      <c r="AB978" s="114"/>
      <c r="AC978" s="114"/>
      <c r="AD978" s="114"/>
      <c r="AE978" s="114"/>
      <c r="AF978" s="114"/>
      <c r="AG978" s="114"/>
      <c r="AH978" s="114"/>
      <c r="AI978" s="114"/>
      <c r="AJ978" s="114"/>
      <c r="AK978" s="114"/>
    </row>
    <row r="979" ht="15.75" customHeight="1">
      <c r="A979" s="114"/>
      <c r="B979" s="114"/>
      <c r="C979" s="114"/>
      <c r="D979" s="114"/>
      <c r="E979" s="114"/>
      <c r="F979" s="114"/>
      <c r="G979" s="114"/>
      <c r="H979" s="114"/>
      <c r="I979" s="114"/>
      <c r="J979" s="114"/>
      <c r="K979" s="114"/>
      <c r="L979" s="114"/>
      <c r="M979" s="114"/>
      <c r="N979" s="114"/>
      <c r="O979" s="114"/>
      <c r="P979" s="114"/>
      <c r="Q979" s="114"/>
      <c r="R979" s="114"/>
      <c r="S979" s="114"/>
      <c r="T979" s="114"/>
      <c r="U979" s="114"/>
      <c r="V979" s="114"/>
      <c r="W979" s="114"/>
      <c r="X979" s="114"/>
      <c r="Y979" s="114"/>
      <c r="Z979" s="114"/>
      <c r="AA979" s="114"/>
      <c r="AB979" s="114"/>
      <c r="AC979" s="114"/>
      <c r="AD979" s="114"/>
      <c r="AE979" s="114"/>
      <c r="AF979" s="114"/>
      <c r="AG979" s="114"/>
      <c r="AH979" s="114"/>
      <c r="AI979" s="114"/>
      <c r="AJ979" s="114"/>
      <c r="AK979" s="114"/>
    </row>
    <row r="980" ht="15.75" customHeight="1">
      <c r="A980" s="114"/>
      <c r="B980" s="114"/>
      <c r="C980" s="114"/>
      <c r="D980" s="114"/>
      <c r="E980" s="114"/>
      <c r="F980" s="114"/>
      <c r="G980" s="114"/>
      <c r="H980" s="114"/>
      <c r="I980" s="114"/>
      <c r="J980" s="114"/>
      <c r="K980" s="114"/>
      <c r="L980" s="114"/>
      <c r="M980" s="114"/>
      <c r="N980" s="114"/>
      <c r="O980" s="114"/>
      <c r="P980" s="114"/>
      <c r="Q980" s="114"/>
      <c r="R980" s="114"/>
      <c r="S980" s="114"/>
      <c r="T980" s="114"/>
      <c r="U980" s="114"/>
      <c r="V980" s="114"/>
      <c r="W980" s="114"/>
      <c r="X980" s="114"/>
      <c r="Y980" s="114"/>
      <c r="Z980" s="114"/>
      <c r="AA980" s="114"/>
      <c r="AB980" s="114"/>
      <c r="AC980" s="114"/>
      <c r="AD980" s="114"/>
      <c r="AE980" s="114"/>
      <c r="AF980" s="114"/>
      <c r="AG980" s="114"/>
      <c r="AH980" s="114"/>
      <c r="AI980" s="114"/>
      <c r="AJ980" s="114"/>
      <c r="AK980" s="114"/>
    </row>
    <row r="981" ht="15.75" customHeight="1">
      <c r="A981" s="114"/>
      <c r="B981" s="114"/>
      <c r="C981" s="114"/>
      <c r="D981" s="114"/>
      <c r="E981" s="114"/>
      <c r="F981" s="114"/>
      <c r="G981" s="114"/>
      <c r="H981" s="114"/>
      <c r="I981" s="114"/>
      <c r="J981" s="114"/>
      <c r="K981" s="114"/>
      <c r="L981" s="114"/>
      <c r="M981" s="114"/>
      <c r="N981" s="114"/>
      <c r="O981" s="114"/>
      <c r="P981" s="114"/>
      <c r="Q981" s="114"/>
      <c r="R981" s="114"/>
      <c r="S981" s="114"/>
      <c r="T981" s="114"/>
      <c r="U981" s="114"/>
      <c r="V981" s="114"/>
      <c r="W981" s="114"/>
      <c r="X981" s="114"/>
      <c r="Y981" s="114"/>
      <c r="Z981" s="114"/>
      <c r="AA981" s="114"/>
      <c r="AB981" s="114"/>
      <c r="AC981" s="114"/>
      <c r="AD981" s="114"/>
      <c r="AE981" s="114"/>
      <c r="AF981" s="114"/>
      <c r="AG981" s="114"/>
      <c r="AH981" s="114"/>
      <c r="AI981" s="114"/>
      <c r="AJ981" s="114"/>
      <c r="AK981" s="114"/>
    </row>
    <row r="982" ht="15.75" customHeight="1">
      <c r="A982" s="114"/>
      <c r="B982" s="114"/>
      <c r="C982" s="114"/>
      <c r="D982" s="114"/>
      <c r="E982" s="114"/>
      <c r="F982" s="114"/>
      <c r="G982" s="114"/>
      <c r="H982" s="114"/>
      <c r="I982" s="114"/>
      <c r="J982" s="114"/>
      <c r="K982" s="114"/>
      <c r="L982" s="114"/>
      <c r="M982" s="114"/>
      <c r="N982" s="114"/>
      <c r="O982" s="114"/>
      <c r="P982" s="114"/>
      <c r="Q982" s="114"/>
      <c r="R982" s="114"/>
      <c r="S982" s="114"/>
      <c r="T982" s="114"/>
      <c r="U982" s="114"/>
      <c r="V982" s="114"/>
      <c r="W982" s="114"/>
      <c r="X982" s="114"/>
      <c r="Y982" s="114"/>
      <c r="Z982" s="114"/>
      <c r="AA982" s="114"/>
      <c r="AB982" s="114"/>
      <c r="AC982" s="114"/>
      <c r="AD982" s="114"/>
      <c r="AE982" s="114"/>
      <c r="AF982" s="114"/>
      <c r="AG982" s="114"/>
      <c r="AH982" s="114"/>
      <c r="AI982" s="114"/>
      <c r="AJ982" s="114"/>
      <c r="AK982" s="114"/>
    </row>
    <row r="983" ht="15.75" customHeight="1">
      <c r="A983" s="114"/>
      <c r="B983" s="114"/>
      <c r="C983" s="114"/>
      <c r="D983" s="114"/>
      <c r="E983" s="114"/>
      <c r="F983" s="114"/>
      <c r="G983" s="114"/>
      <c r="H983" s="114"/>
      <c r="I983" s="114"/>
      <c r="J983" s="114"/>
      <c r="K983" s="114"/>
      <c r="L983" s="114"/>
      <c r="M983" s="114"/>
      <c r="N983" s="114"/>
      <c r="O983" s="114"/>
      <c r="P983" s="114"/>
      <c r="Q983" s="114"/>
      <c r="R983" s="114"/>
      <c r="S983" s="114"/>
      <c r="T983" s="114"/>
      <c r="U983" s="114"/>
      <c r="V983" s="114"/>
      <c r="W983" s="114"/>
      <c r="X983" s="114"/>
      <c r="Y983" s="114"/>
      <c r="Z983" s="114"/>
      <c r="AA983" s="114"/>
      <c r="AB983" s="114"/>
      <c r="AC983" s="114"/>
      <c r="AD983" s="114"/>
      <c r="AE983" s="114"/>
      <c r="AF983" s="114"/>
      <c r="AG983" s="114"/>
      <c r="AH983" s="114"/>
      <c r="AI983" s="114"/>
      <c r="AJ983" s="114"/>
      <c r="AK983" s="114"/>
    </row>
    <row r="984" ht="15.75" customHeight="1">
      <c r="A984" s="114"/>
      <c r="B984" s="114"/>
      <c r="C984" s="114"/>
      <c r="D984" s="114"/>
      <c r="E984" s="114"/>
      <c r="F984" s="114"/>
      <c r="G984" s="114"/>
      <c r="H984" s="114"/>
      <c r="I984" s="114"/>
      <c r="J984" s="114"/>
      <c r="K984" s="114"/>
      <c r="L984" s="114"/>
      <c r="M984" s="114"/>
      <c r="N984" s="114"/>
      <c r="O984" s="114"/>
      <c r="P984" s="114"/>
      <c r="Q984" s="114"/>
      <c r="R984" s="114"/>
      <c r="S984" s="114"/>
      <c r="T984" s="114"/>
      <c r="U984" s="114"/>
      <c r="V984" s="114"/>
      <c r="W984" s="114"/>
      <c r="X984" s="114"/>
      <c r="Y984" s="114"/>
      <c r="Z984" s="114"/>
      <c r="AA984" s="114"/>
      <c r="AB984" s="114"/>
      <c r="AC984" s="114"/>
      <c r="AD984" s="114"/>
      <c r="AE984" s="114"/>
      <c r="AF984" s="114"/>
      <c r="AG984" s="114"/>
      <c r="AH984" s="114"/>
      <c r="AI984" s="114"/>
      <c r="AJ984" s="114"/>
      <c r="AK984" s="114"/>
    </row>
    <row r="985" ht="15.75" customHeight="1">
      <c r="A985" s="114"/>
      <c r="B985" s="114"/>
      <c r="C985" s="114"/>
      <c r="D985" s="114"/>
      <c r="E985" s="114"/>
      <c r="F985" s="114"/>
      <c r="G985" s="114"/>
      <c r="H985" s="114"/>
      <c r="I985" s="114"/>
      <c r="J985" s="114"/>
      <c r="K985" s="114"/>
      <c r="L985" s="114"/>
      <c r="M985" s="114"/>
      <c r="N985" s="114"/>
      <c r="O985" s="114"/>
      <c r="P985" s="114"/>
      <c r="Q985" s="114"/>
      <c r="R985" s="114"/>
      <c r="S985" s="114"/>
      <c r="T985" s="114"/>
      <c r="U985" s="114"/>
      <c r="V985" s="114"/>
      <c r="W985" s="114"/>
      <c r="X985" s="114"/>
      <c r="Y985" s="114"/>
      <c r="Z985" s="114"/>
      <c r="AA985" s="114"/>
      <c r="AB985" s="114"/>
      <c r="AC985" s="114"/>
      <c r="AD985" s="114"/>
      <c r="AE985" s="114"/>
      <c r="AF985" s="114"/>
      <c r="AG985" s="114"/>
      <c r="AH985" s="114"/>
      <c r="AI985" s="114"/>
      <c r="AJ985" s="114"/>
      <c r="AK985" s="114"/>
    </row>
    <row r="986" ht="15.75" customHeight="1">
      <c r="A986" s="114"/>
      <c r="B986" s="114"/>
      <c r="C986" s="114"/>
      <c r="D986" s="114"/>
      <c r="E986" s="114"/>
      <c r="F986" s="114"/>
      <c r="G986" s="114"/>
      <c r="H986" s="114"/>
      <c r="I986" s="114"/>
      <c r="J986" s="114"/>
      <c r="K986" s="114"/>
      <c r="L986" s="114"/>
      <c r="M986" s="114"/>
      <c r="N986" s="114"/>
      <c r="O986" s="114"/>
      <c r="P986" s="114"/>
      <c r="Q986" s="114"/>
      <c r="R986" s="114"/>
      <c r="S986" s="114"/>
      <c r="T986" s="114"/>
      <c r="U986" s="114"/>
      <c r="V986" s="114"/>
      <c r="W986" s="114"/>
      <c r="X986" s="114"/>
      <c r="Y986" s="114"/>
      <c r="Z986" s="114"/>
      <c r="AA986" s="114"/>
      <c r="AB986" s="114"/>
      <c r="AC986" s="114"/>
      <c r="AD986" s="114"/>
      <c r="AE986" s="114"/>
      <c r="AF986" s="114"/>
      <c r="AG986" s="114"/>
      <c r="AH986" s="114"/>
      <c r="AI986" s="114"/>
      <c r="AJ986" s="114"/>
      <c r="AK986" s="114"/>
    </row>
    <row r="987" ht="15.75" customHeight="1">
      <c r="A987" s="114"/>
      <c r="B987" s="114"/>
      <c r="C987" s="114"/>
      <c r="D987" s="114"/>
      <c r="E987" s="114"/>
      <c r="F987" s="114"/>
      <c r="G987" s="114"/>
      <c r="H987" s="114"/>
      <c r="I987" s="114"/>
      <c r="J987" s="114"/>
      <c r="K987" s="114"/>
      <c r="L987" s="114"/>
      <c r="M987" s="114"/>
      <c r="N987" s="114"/>
      <c r="O987" s="114"/>
      <c r="P987" s="114"/>
      <c r="Q987" s="114"/>
      <c r="R987" s="114"/>
      <c r="S987" s="114"/>
      <c r="T987" s="114"/>
      <c r="U987" s="114"/>
      <c r="V987" s="114"/>
      <c r="W987" s="114"/>
      <c r="X987" s="114"/>
      <c r="Y987" s="114"/>
      <c r="Z987" s="114"/>
      <c r="AA987" s="114"/>
      <c r="AB987" s="114"/>
      <c r="AC987" s="114"/>
      <c r="AD987" s="114"/>
      <c r="AE987" s="114"/>
      <c r="AF987" s="114"/>
      <c r="AG987" s="114"/>
      <c r="AH987" s="114"/>
      <c r="AI987" s="114"/>
      <c r="AJ987" s="114"/>
      <c r="AK987" s="114"/>
    </row>
    <row r="988" ht="15.75" customHeight="1">
      <c r="A988" s="114"/>
      <c r="B988" s="114"/>
      <c r="C988" s="114"/>
      <c r="D988" s="114"/>
      <c r="E988" s="114"/>
      <c r="F988" s="114"/>
      <c r="G988" s="114"/>
      <c r="H988" s="114"/>
      <c r="I988" s="114"/>
      <c r="J988" s="114"/>
      <c r="K988" s="114"/>
      <c r="L988" s="114"/>
      <c r="M988" s="114"/>
      <c r="N988" s="114"/>
      <c r="O988" s="114"/>
      <c r="P988" s="114"/>
      <c r="Q988" s="114"/>
      <c r="R988" s="114"/>
      <c r="S988" s="114"/>
      <c r="T988" s="114"/>
      <c r="U988" s="114"/>
      <c r="V988" s="114"/>
      <c r="W988" s="114"/>
      <c r="X988" s="114"/>
      <c r="Y988" s="114"/>
      <c r="Z988" s="114"/>
      <c r="AA988" s="114"/>
      <c r="AB988" s="114"/>
      <c r="AC988" s="114"/>
      <c r="AD988" s="114"/>
      <c r="AE988" s="114"/>
      <c r="AF988" s="114"/>
      <c r="AG988" s="114"/>
      <c r="AH988" s="114"/>
      <c r="AI988" s="114"/>
      <c r="AJ988" s="114"/>
      <c r="AK988" s="114"/>
    </row>
    <row r="989" ht="15.75" customHeight="1">
      <c r="A989" s="114"/>
      <c r="B989" s="114"/>
      <c r="C989" s="114"/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O989" s="114"/>
      <c r="P989" s="114"/>
      <c r="Q989" s="114"/>
      <c r="R989" s="114"/>
      <c r="S989" s="114"/>
      <c r="T989" s="114"/>
      <c r="U989" s="114"/>
      <c r="V989" s="114"/>
      <c r="W989" s="114"/>
      <c r="X989" s="114"/>
      <c r="Y989" s="114"/>
      <c r="Z989" s="114"/>
      <c r="AA989" s="114"/>
      <c r="AB989" s="114"/>
      <c r="AC989" s="114"/>
      <c r="AD989" s="114"/>
      <c r="AE989" s="114"/>
      <c r="AF989" s="114"/>
      <c r="AG989" s="114"/>
      <c r="AH989" s="114"/>
      <c r="AI989" s="114"/>
      <c r="AJ989" s="114"/>
      <c r="AK989" s="114"/>
    </row>
    <row r="990" ht="15.75" customHeight="1">
      <c r="A990" s="114"/>
      <c r="B990" s="114"/>
      <c r="C990" s="114"/>
      <c r="D990" s="114"/>
      <c r="E990" s="114"/>
      <c r="F990" s="114"/>
      <c r="G990" s="114"/>
      <c r="H990" s="114"/>
      <c r="I990" s="114"/>
      <c r="J990" s="114"/>
      <c r="K990" s="114"/>
      <c r="L990" s="114"/>
      <c r="M990" s="114"/>
      <c r="N990" s="114"/>
      <c r="O990" s="114"/>
      <c r="P990" s="114"/>
      <c r="Q990" s="114"/>
      <c r="R990" s="114"/>
      <c r="S990" s="114"/>
      <c r="T990" s="114"/>
      <c r="U990" s="114"/>
      <c r="V990" s="114"/>
      <c r="W990" s="114"/>
      <c r="X990" s="114"/>
      <c r="Y990" s="114"/>
      <c r="Z990" s="114"/>
      <c r="AA990" s="114"/>
      <c r="AB990" s="114"/>
      <c r="AC990" s="114"/>
      <c r="AD990" s="114"/>
      <c r="AE990" s="114"/>
      <c r="AF990" s="114"/>
      <c r="AG990" s="114"/>
      <c r="AH990" s="114"/>
      <c r="AI990" s="114"/>
      <c r="AJ990" s="114"/>
      <c r="AK990" s="114"/>
    </row>
    <row r="991" ht="15.75" customHeight="1">
      <c r="A991" s="114"/>
      <c r="B991" s="114"/>
      <c r="C991" s="114"/>
      <c r="D991" s="114"/>
      <c r="E991" s="114"/>
      <c r="F991" s="114"/>
      <c r="G991" s="114"/>
      <c r="H991" s="114"/>
      <c r="I991" s="114"/>
      <c r="J991" s="114"/>
      <c r="K991" s="114"/>
      <c r="L991" s="114"/>
      <c r="M991" s="114"/>
      <c r="N991" s="114"/>
      <c r="O991" s="114"/>
      <c r="P991" s="114"/>
      <c r="Q991" s="114"/>
      <c r="R991" s="114"/>
      <c r="S991" s="114"/>
      <c r="T991" s="114"/>
      <c r="U991" s="114"/>
      <c r="V991" s="114"/>
      <c r="W991" s="114"/>
      <c r="X991" s="114"/>
      <c r="Y991" s="114"/>
      <c r="Z991" s="114"/>
      <c r="AA991" s="114"/>
      <c r="AB991" s="114"/>
      <c r="AC991" s="114"/>
      <c r="AD991" s="114"/>
      <c r="AE991" s="114"/>
      <c r="AF991" s="114"/>
      <c r="AG991" s="114"/>
      <c r="AH991" s="114"/>
      <c r="AI991" s="114"/>
      <c r="AJ991" s="114"/>
      <c r="AK991" s="114"/>
    </row>
    <row r="992" ht="15.75" customHeight="1">
      <c r="A992" s="114"/>
      <c r="B992" s="114"/>
      <c r="C992" s="114"/>
      <c r="D992" s="114"/>
      <c r="E992" s="114"/>
      <c r="F992" s="114"/>
      <c r="G992" s="114"/>
      <c r="H992" s="114"/>
      <c r="I992" s="114"/>
      <c r="J992" s="114"/>
      <c r="K992" s="114"/>
      <c r="L992" s="114"/>
      <c r="M992" s="114"/>
      <c r="N992" s="114"/>
      <c r="O992" s="114"/>
      <c r="P992" s="114"/>
      <c r="Q992" s="114"/>
      <c r="R992" s="114"/>
      <c r="S992" s="114"/>
      <c r="T992" s="114"/>
      <c r="U992" s="114"/>
      <c r="V992" s="114"/>
      <c r="W992" s="114"/>
      <c r="X992" s="114"/>
      <c r="Y992" s="114"/>
      <c r="Z992" s="114"/>
      <c r="AA992" s="114"/>
      <c r="AB992" s="114"/>
      <c r="AC992" s="114"/>
      <c r="AD992" s="114"/>
      <c r="AE992" s="114"/>
      <c r="AF992" s="114"/>
      <c r="AG992" s="114"/>
      <c r="AH992" s="114"/>
      <c r="AI992" s="114"/>
      <c r="AJ992" s="114"/>
      <c r="AK992" s="114"/>
    </row>
    <row r="993" ht="15.75" customHeight="1">
      <c r="A993" s="114"/>
      <c r="B993" s="114"/>
      <c r="C993" s="114"/>
      <c r="D993" s="114"/>
      <c r="E993" s="114"/>
      <c r="F993" s="114"/>
      <c r="G993" s="114"/>
      <c r="H993" s="114"/>
      <c r="I993" s="114"/>
      <c r="J993" s="114"/>
      <c r="K993" s="114"/>
      <c r="L993" s="114"/>
      <c r="M993" s="114"/>
      <c r="N993" s="114"/>
      <c r="O993" s="114"/>
      <c r="P993" s="114"/>
      <c r="Q993" s="114"/>
      <c r="R993" s="114"/>
      <c r="S993" s="114"/>
      <c r="T993" s="114"/>
      <c r="U993" s="114"/>
      <c r="V993" s="114"/>
      <c r="W993" s="114"/>
      <c r="X993" s="114"/>
      <c r="Y993" s="114"/>
      <c r="Z993" s="114"/>
      <c r="AA993" s="114"/>
      <c r="AB993" s="114"/>
      <c r="AC993" s="114"/>
      <c r="AD993" s="114"/>
      <c r="AE993" s="114"/>
      <c r="AF993" s="114"/>
      <c r="AG993" s="114"/>
      <c r="AH993" s="114"/>
      <c r="AI993" s="114"/>
      <c r="AJ993" s="114"/>
      <c r="AK993" s="114"/>
    </row>
    <row r="994" ht="15.75" customHeight="1">
      <c r="A994" s="114"/>
      <c r="B994" s="114"/>
      <c r="C994" s="114"/>
      <c r="D994" s="114"/>
      <c r="E994" s="114"/>
      <c r="F994" s="114"/>
      <c r="G994" s="114"/>
      <c r="H994" s="114"/>
      <c r="I994" s="114"/>
      <c r="J994" s="114"/>
      <c r="K994" s="114"/>
      <c r="L994" s="114"/>
      <c r="M994" s="114"/>
      <c r="N994" s="114"/>
      <c r="O994" s="114"/>
      <c r="P994" s="114"/>
      <c r="Q994" s="114"/>
      <c r="R994" s="114"/>
      <c r="S994" s="114"/>
      <c r="T994" s="114"/>
      <c r="U994" s="114"/>
      <c r="V994" s="114"/>
      <c r="W994" s="114"/>
      <c r="X994" s="114"/>
      <c r="Y994" s="114"/>
      <c r="Z994" s="114"/>
      <c r="AA994" s="114"/>
      <c r="AB994" s="114"/>
      <c r="AC994" s="114"/>
      <c r="AD994" s="114"/>
      <c r="AE994" s="114"/>
      <c r="AF994" s="114"/>
      <c r="AG994" s="114"/>
      <c r="AH994" s="114"/>
      <c r="AI994" s="114"/>
      <c r="AJ994" s="114"/>
      <c r="AK994" s="114"/>
    </row>
    <row r="995" ht="15.75" customHeight="1">
      <c r="A995" s="114"/>
      <c r="B995" s="114"/>
      <c r="C995" s="114"/>
      <c r="D995" s="114"/>
      <c r="E995" s="114"/>
      <c r="F995" s="114"/>
      <c r="G995" s="114"/>
      <c r="H995" s="114"/>
      <c r="I995" s="114"/>
      <c r="J995" s="114"/>
      <c r="K995" s="114"/>
      <c r="L995" s="114"/>
      <c r="M995" s="114"/>
      <c r="N995" s="114"/>
      <c r="O995" s="114"/>
      <c r="P995" s="114"/>
      <c r="Q995" s="114"/>
      <c r="R995" s="114"/>
      <c r="S995" s="114"/>
      <c r="T995" s="114"/>
      <c r="U995" s="114"/>
      <c r="V995" s="114"/>
      <c r="W995" s="114"/>
      <c r="X995" s="114"/>
      <c r="Y995" s="114"/>
      <c r="Z995" s="114"/>
      <c r="AA995" s="114"/>
      <c r="AB995" s="114"/>
      <c r="AC995" s="114"/>
      <c r="AD995" s="114"/>
      <c r="AE995" s="114"/>
      <c r="AF995" s="114"/>
      <c r="AG995" s="114"/>
      <c r="AH995" s="114"/>
      <c r="AI995" s="114"/>
      <c r="AJ995" s="114"/>
      <c r="AK995" s="114"/>
    </row>
    <row r="996" ht="15.75" customHeight="1">
      <c r="A996" s="114"/>
      <c r="B996" s="114"/>
      <c r="C996" s="114"/>
      <c r="D996" s="114"/>
      <c r="E996" s="114"/>
      <c r="F996" s="114"/>
      <c r="G996" s="114"/>
      <c r="H996" s="114"/>
      <c r="I996" s="114"/>
      <c r="J996" s="114"/>
      <c r="K996" s="114"/>
      <c r="L996" s="114"/>
      <c r="M996" s="114"/>
      <c r="N996" s="114"/>
      <c r="O996" s="114"/>
      <c r="P996" s="114"/>
      <c r="Q996" s="114"/>
      <c r="R996" s="114"/>
      <c r="S996" s="114"/>
      <c r="T996" s="114"/>
      <c r="U996" s="114"/>
      <c r="V996" s="114"/>
      <c r="W996" s="114"/>
      <c r="X996" s="114"/>
      <c r="Y996" s="114"/>
      <c r="Z996" s="114"/>
      <c r="AA996" s="114"/>
      <c r="AB996" s="114"/>
      <c r="AC996" s="114"/>
      <c r="AD996" s="114"/>
      <c r="AE996" s="114"/>
      <c r="AF996" s="114"/>
      <c r="AG996" s="114"/>
      <c r="AH996" s="114"/>
      <c r="AI996" s="114"/>
      <c r="AJ996" s="114"/>
      <c r="AK996" s="114"/>
    </row>
    <row r="997" ht="15.75" customHeight="1">
      <c r="A997" s="114"/>
      <c r="B997" s="114"/>
      <c r="C997" s="114"/>
      <c r="D997" s="114"/>
      <c r="E997" s="114"/>
      <c r="F997" s="114"/>
      <c r="G997" s="114"/>
      <c r="H997" s="114"/>
      <c r="I997" s="114"/>
      <c r="J997" s="114"/>
      <c r="K997" s="114"/>
      <c r="L997" s="114"/>
      <c r="M997" s="114"/>
      <c r="N997" s="114"/>
      <c r="O997" s="114"/>
      <c r="P997" s="114"/>
      <c r="Q997" s="114"/>
      <c r="R997" s="114"/>
      <c r="S997" s="114"/>
      <c r="T997" s="114"/>
      <c r="U997" s="114"/>
      <c r="V997" s="114"/>
      <c r="W997" s="114"/>
      <c r="X997" s="114"/>
      <c r="Y997" s="114"/>
      <c r="Z997" s="114"/>
      <c r="AA997" s="114"/>
      <c r="AB997" s="114"/>
      <c r="AC997" s="114"/>
      <c r="AD997" s="114"/>
      <c r="AE997" s="114"/>
      <c r="AF997" s="114"/>
      <c r="AG997" s="114"/>
      <c r="AH997" s="114"/>
      <c r="AI997" s="114"/>
      <c r="AJ997" s="114"/>
      <c r="AK997" s="114"/>
    </row>
    <row r="998" ht="15.75" customHeight="1">
      <c r="A998" s="114"/>
      <c r="B998" s="114"/>
      <c r="C998" s="114"/>
      <c r="D998" s="114"/>
      <c r="E998" s="114"/>
      <c r="F998" s="114"/>
      <c r="G998" s="114"/>
      <c r="H998" s="114"/>
      <c r="I998" s="114"/>
      <c r="J998" s="114"/>
      <c r="K998" s="114"/>
      <c r="L998" s="114"/>
      <c r="M998" s="114"/>
      <c r="N998" s="114"/>
      <c r="O998" s="114"/>
      <c r="P998" s="114"/>
      <c r="Q998" s="114"/>
      <c r="R998" s="114"/>
      <c r="S998" s="114"/>
      <c r="T998" s="114"/>
      <c r="U998" s="114"/>
      <c r="V998" s="114"/>
      <c r="W998" s="114"/>
      <c r="X998" s="114"/>
      <c r="Y998" s="114"/>
      <c r="Z998" s="114"/>
      <c r="AA998" s="114"/>
      <c r="AB998" s="114"/>
      <c r="AC998" s="114"/>
      <c r="AD998" s="114"/>
      <c r="AE998" s="114"/>
      <c r="AF998" s="114"/>
      <c r="AG998" s="114"/>
      <c r="AH998" s="114"/>
      <c r="AI998" s="114"/>
      <c r="AJ998" s="114"/>
      <c r="AK998" s="114"/>
    </row>
    <row r="999" ht="15.75" customHeight="1">
      <c r="A999" s="114"/>
      <c r="B999" s="114"/>
      <c r="C999" s="114"/>
      <c r="D999" s="114"/>
      <c r="E999" s="114"/>
      <c r="F999" s="114"/>
      <c r="G999" s="114"/>
      <c r="H999" s="114"/>
      <c r="I999" s="114"/>
      <c r="J999" s="114"/>
      <c r="K999" s="114"/>
      <c r="L999" s="114"/>
      <c r="M999" s="114"/>
      <c r="N999" s="114"/>
      <c r="O999" s="114"/>
      <c r="P999" s="114"/>
      <c r="Q999" s="114"/>
      <c r="R999" s="114"/>
      <c r="S999" s="114"/>
      <c r="T999" s="114"/>
      <c r="U999" s="114"/>
      <c r="V999" s="114"/>
      <c r="W999" s="114"/>
      <c r="X999" s="114"/>
      <c r="Y999" s="114"/>
      <c r="Z999" s="114"/>
      <c r="AA999" s="114"/>
      <c r="AB999" s="114"/>
      <c r="AC999" s="114"/>
      <c r="AD999" s="114"/>
      <c r="AE999" s="114"/>
      <c r="AF999" s="114"/>
      <c r="AG999" s="114"/>
      <c r="AH999" s="114"/>
      <c r="AI999" s="114"/>
      <c r="AJ999" s="114"/>
      <c r="AK999" s="114"/>
    </row>
  </sheetData>
  <conditionalFormatting sqref="B2:B48">
    <cfRule type="containsText" dxfId="0" priority="1" operator="containsText" text="0">
      <formula>NOT(ISERROR(SEARCH(("0"),(B2))))</formula>
    </cfRule>
  </conditionalFormatting>
  <conditionalFormatting sqref="B122:B126">
    <cfRule type="containsText" dxfId="0" priority="2" operator="containsText" text="0">
      <formula>NOT(ISERROR(SEARCH(("0"),(B122))))</formula>
    </cfRule>
  </conditionalFormatting>
  <conditionalFormatting sqref="B122:B126">
    <cfRule type="containsText" dxfId="0" priority="3" operator="containsText" text="0">
      <formula>NOT(ISERROR(SEARCH(("0"),(B122))))</formula>
    </cfRule>
  </conditionalFormatting>
  <conditionalFormatting sqref="B122:B126">
    <cfRule type="containsText" dxfId="0" priority="4" operator="containsText" text="0">
      <formula>NOT(ISERROR(SEARCH(("0"),(B122))))</formula>
    </cfRule>
  </conditionalFormatting>
  <printOptions/>
  <pageMargins bottom="0.75" footer="0.0" header="0.0" left="0.7" right="0.7" top="0.75"/>
  <pageSetup paperSize="9" orientation="portrait"/>
  <drawing r:id="rId1"/>
  <tableParts count="2">
    <tablePart r:id="rId4"/>
    <tablePart r:id="rId5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8D08D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148" t="s">
        <v>168</v>
      </c>
      <c r="B1" s="149" t="s">
        <v>197</v>
      </c>
      <c r="C1" s="150" t="s">
        <v>169</v>
      </c>
      <c r="D1" s="151" t="s">
        <v>198</v>
      </c>
      <c r="E1" s="152" t="s">
        <v>199</v>
      </c>
      <c r="G1" s="153" t="s">
        <v>200</v>
      </c>
      <c r="H1" s="121">
        <f>MATCH("",A2:A1001,-1)</f>
        <v>48</v>
      </c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</row>
    <row r="2" ht="14.25" customHeight="1">
      <c r="A2" s="155" t="str">
        <f>IFERROR(__xludf.DUMMYFUNCTION(" IMPORTRANGE(""https://docs.google.com/spreadsheets/d/1BwGeDc6Yf5NMoEf1SYodPKi3dTi9wrfgGBJuimiAzbY/edit#gid=695545632"",""Roller Coaster!A2:A161"")"),"Pachavi")</f>
        <v>Pachavi</v>
      </c>
      <c r="B2" s="156">
        <v>1.0</v>
      </c>
      <c r="C2" s="157">
        <f t="shared" ref="C2:C160" si="1">525*(1-(B2/($H$1+1)))*POWER((SQRT(($H$1+1)/B2)),1/2)</f>
        <v>1360.672103</v>
      </c>
      <c r="D2" s="158" t="str">
        <f>VLOOKUP(A2,'Classement RoC'!$B$2:$C$149,1,0)</f>
        <v>Pachavi</v>
      </c>
      <c r="E2" s="159" t="str">
        <f t="shared" ref="E2:E160" si="2">IF(D2=A2,"","erreur")</f>
        <v/>
      </c>
      <c r="F2" s="120" t="str">
        <f>VLOOKUP(A2,'Classement Général'!$B$2:$B$146,1,0)</f>
        <v>Pachavi</v>
      </c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ht="14.25" customHeight="1">
      <c r="A3" s="160" t="str">
        <f>IFERROR(__xludf.DUMMYFUNCTION("""COMPUTED_VALUE"""),"chatouill86")</f>
        <v>chatouill86</v>
      </c>
      <c r="B3" s="161">
        <v>2.0</v>
      </c>
      <c r="C3" s="157">
        <f t="shared" si="1"/>
        <v>1120.347121</v>
      </c>
      <c r="D3" s="158" t="str">
        <f>VLOOKUP(A3,'Classement RoC'!$B$2:$C$149,1,0)</f>
        <v>chatouill86</v>
      </c>
      <c r="E3" s="159" t="str">
        <f t="shared" si="2"/>
        <v/>
      </c>
      <c r="F3" s="120" t="str">
        <f>VLOOKUP(A3,'Classement Général'!$B$2:$B$146,1,0)</f>
        <v>chatouill86</v>
      </c>
      <c r="G3" s="162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ht="14.25" customHeight="1">
      <c r="A4" s="160" t="str">
        <f>IFERROR(__xludf.DUMMYFUNCTION("""COMPUTED_VALUE"""),"Mako Lemore")</f>
        <v>Mako Lemore</v>
      </c>
      <c r="B4" s="156">
        <v>3.0</v>
      </c>
      <c r="C4" s="157">
        <f t="shared" si="1"/>
        <v>990.808586</v>
      </c>
      <c r="D4" s="158" t="str">
        <f>VLOOKUP(A4,'Classement RoC'!$B$2:$C$149,1,0)</f>
        <v>Mako Lemore</v>
      </c>
      <c r="E4" s="159" t="str">
        <f t="shared" si="2"/>
        <v/>
      </c>
      <c r="F4" s="120" t="str">
        <f>VLOOKUP(A4,'Classement Général'!$B$2:$B$146,1,0)</f>
        <v>Mako Lemore</v>
      </c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ht="14.25" customHeight="1">
      <c r="A5" s="160" t="str">
        <f>IFERROR(__xludf.DUMMYFUNCTION("""COMPUTED_VALUE"""),"Shrekozor")</f>
        <v>Shrekozor</v>
      </c>
      <c r="B5" s="161">
        <v>4.0</v>
      </c>
      <c r="C5" s="157">
        <f t="shared" si="1"/>
        <v>902.0066915</v>
      </c>
      <c r="D5" s="158" t="str">
        <f>VLOOKUP(A5,'Classement RoC'!$B$2:$C$149,1,0)</f>
        <v>Shrekozor</v>
      </c>
      <c r="E5" s="163" t="str">
        <f t="shared" si="2"/>
        <v/>
      </c>
      <c r="F5" s="120" t="str">
        <f>VLOOKUP(A5,'Classement Général'!$B$2:$B$146,1,0)</f>
        <v>Shrekozor</v>
      </c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ht="14.25" customHeight="1">
      <c r="A6" s="160" t="str">
        <f>IFERROR(__xludf.DUMMYFUNCTION("""COMPUTED_VALUE"""),"FridAKahlo")</f>
        <v>FridAKahlo</v>
      </c>
      <c r="B6" s="156">
        <v>5.0</v>
      </c>
      <c r="C6" s="157">
        <f t="shared" si="1"/>
        <v>834.1082539</v>
      </c>
      <c r="D6" s="158" t="str">
        <f>VLOOKUP(A6,'Classement RoC'!$B$2:$C$149,1,0)</f>
        <v>FridAKahlo</v>
      </c>
      <c r="E6" s="163" t="str">
        <f t="shared" si="2"/>
        <v/>
      </c>
      <c r="F6" s="120" t="str">
        <f>VLOOKUP(A6,'Classement Général'!$B$2:$B$146,1,0)</f>
        <v>FridAKahlo</v>
      </c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</row>
    <row r="7" ht="14.25" customHeight="1">
      <c r="A7" s="160" t="str">
        <f>IFERROR(__xludf.DUMMYFUNCTION("""COMPUTED_VALUE"""),"Patgaret")</f>
        <v>Patgaret</v>
      </c>
      <c r="B7" s="161">
        <v>6.0</v>
      </c>
      <c r="C7" s="157">
        <f t="shared" si="1"/>
        <v>778.8303846</v>
      </c>
      <c r="D7" s="158" t="str">
        <f>VLOOKUP(A7,'Classement RoC'!$B$2:$C$149,1,0)</f>
        <v>Patgaret</v>
      </c>
      <c r="E7" s="163" t="str">
        <f t="shared" si="2"/>
        <v/>
      </c>
      <c r="F7" s="120" t="str">
        <f>VLOOKUP(A7,'Classement Général'!$B$2:$B$146,1,0)</f>
        <v>Patgaret</v>
      </c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</row>
    <row r="8" ht="14.25" customHeight="1">
      <c r="A8" s="160" t="str">
        <f>IFERROR(__xludf.DUMMYFUNCTION("""COMPUTED_VALUE"""),". BARBAPAPA66")</f>
        <v>. BARBAPAPA66</v>
      </c>
      <c r="B8" s="156">
        <v>7.0</v>
      </c>
      <c r="C8" s="157">
        <f t="shared" si="1"/>
        <v>731.9594528</v>
      </c>
      <c r="D8" s="158" t="str">
        <f>VLOOKUP(A8,'Classement RoC'!$B$2:$C$149,1,0)</f>
        <v>. BARBAPAPA66</v>
      </c>
      <c r="E8" s="163" t="str">
        <f t="shared" si="2"/>
        <v/>
      </c>
      <c r="F8" s="120" t="str">
        <f>VLOOKUP(A8,'Classement Général'!$B$2:$B$146,1,0)</f>
        <v>. BARBAPAPA66</v>
      </c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</row>
    <row r="9" ht="14.25" customHeight="1">
      <c r="A9" s="160" t="str">
        <f>IFERROR(__xludf.DUMMYFUNCTION("""COMPUTED_VALUE"""),"8kinder6")</f>
        <v>8kinder6</v>
      </c>
      <c r="B9" s="161">
        <v>8.0</v>
      </c>
      <c r="C9" s="157">
        <f t="shared" si="1"/>
        <v>691.0724873</v>
      </c>
      <c r="D9" s="158" t="str">
        <f>VLOOKUP(A9,'Classement RoC'!$B$2:$C$149,1,0)</f>
        <v>8kinder6</v>
      </c>
      <c r="E9" s="163" t="str">
        <f t="shared" si="2"/>
        <v/>
      </c>
      <c r="F9" s="120" t="str">
        <f>VLOOKUP(A9,'Classement Général'!$B$2:$B$146,1,0)</f>
        <v>8kinder6</v>
      </c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</row>
    <row r="10" ht="14.25" customHeight="1">
      <c r="A10" s="160" t="str">
        <f>IFERROR(__xludf.DUMMYFUNCTION("""COMPUTED_VALUE"""),"lifeofpark")</f>
        <v>lifeofpark</v>
      </c>
      <c r="B10" s="156">
        <v>9.0</v>
      </c>
      <c r="C10" s="157">
        <f t="shared" si="1"/>
        <v>654.6536707</v>
      </c>
      <c r="D10" s="158" t="str">
        <f>VLOOKUP(A10,'Classement RoC'!$B$2:$C$149,1,0)</f>
        <v>lifeofpark</v>
      </c>
      <c r="E10" s="163" t="str">
        <f t="shared" si="2"/>
        <v/>
      </c>
      <c r="F10" s="120" t="str">
        <f>VLOOKUP(A10,'Classement Général'!$B$2:$B$146,1,0)</f>
        <v>lifeofpark</v>
      </c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ht="14.25" customHeight="1">
      <c r="A11" s="160" t="str">
        <f>IFERROR(__xludf.DUMMYFUNCTION("""COMPUTED_VALUE"""),"cassius-86")</f>
        <v>cassius-86</v>
      </c>
      <c r="B11" s="161">
        <v>10.0</v>
      </c>
      <c r="C11" s="157">
        <f t="shared" si="1"/>
        <v>621.6942497</v>
      </c>
      <c r="D11" s="158" t="str">
        <f>VLOOKUP(A11,'Classement RoC'!$B$2:$C$149,1,0)</f>
        <v>cassius-86</v>
      </c>
      <c r="E11" s="163" t="str">
        <f t="shared" si="2"/>
        <v/>
      </c>
      <c r="F11" s="120" t="str">
        <f>VLOOKUP(A11,'Classement Général'!$B$2:$B$146,1,0)</f>
        <v>cassius-86</v>
      </c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</row>
    <row r="12" ht="14.25" customHeight="1">
      <c r="A12" s="160" t="str">
        <f>IFERROR(__xludf.DUMMYFUNCTION("""COMPUTED_VALUE"""),"Sab86360")</f>
        <v>Sab86360</v>
      </c>
      <c r="B12" s="156">
        <v>11.0</v>
      </c>
      <c r="C12" s="157">
        <f t="shared" si="1"/>
        <v>591.4903569</v>
      </c>
      <c r="D12" s="158" t="str">
        <f>VLOOKUP(A12,'Classement RoC'!$B$2:$C$149,1,0)</f>
        <v>Sab86360</v>
      </c>
      <c r="E12" s="163" t="str">
        <f t="shared" si="2"/>
        <v/>
      </c>
      <c r="F12" s="120" t="str">
        <f>VLOOKUP(A12,'Classement Général'!$B$2:$B$146,1,0)</f>
        <v>Sab86360</v>
      </c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ht="14.25" customHeight="1">
      <c r="A13" s="160" t="str">
        <f>IFERROR(__xludf.DUMMYFUNCTION("""COMPUTED_VALUE"""),"Redblood92")</f>
        <v>Redblood92</v>
      </c>
      <c r="B13" s="161">
        <v>12.0</v>
      </c>
      <c r="C13" s="157">
        <f t="shared" si="1"/>
        <v>563.5320955</v>
      </c>
      <c r="D13" s="158" t="str">
        <f>VLOOKUP(A13,'Classement RoC'!$B$2:$C$149,1,0)</f>
        <v>Redblood92</v>
      </c>
      <c r="E13" s="163" t="str">
        <f t="shared" si="2"/>
        <v/>
      </c>
      <c r="F13" s="120" t="str">
        <f>VLOOKUP(A13,'Classement Général'!$B$2:$B$146,1,0)</f>
        <v>Redblood92</v>
      </c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ht="14.25" customHeight="1">
      <c r="A14" s="160" t="str">
        <f>IFERROR(__xludf.DUMMYFUNCTION("""COMPUTED_VALUE"""),"Phil1308")</f>
        <v>Phil1308</v>
      </c>
      <c r="B14" s="156">
        <v>13.0</v>
      </c>
      <c r="C14" s="157">
        <f t="shared" si="1"/>
        <v>537.438663</v>
      </c>
      <c r="D14" s="158" t="str">
        <f>VLOOKUP(A14,'Classement RoC'!$B$2:$C$149,1,0)</f>
        <v>Phil1308</v>
      </c>
      <c r="E14" s="163" t="str">
        <f t="shared" si="2"/>
        <v/>
      </c>
      <c r="F14" s="120" t="str">
        <f>VLOOKUP(A14,'Classement Général'!$B$2:$B$146,1,0)</f>
        <v>Phil1308</v>
      </c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</row>
    <row r="15" ht="14.25" customHeight="1">
      <c r="A15" s="160" t="str">
        <f>IFERROR(__xludf.DUMMYFUNCTION("""COMPUTED_VALUE"""),"christ86000")</f>
        <v>christ86000</v>
      </c>
      <c r="B15" s="161">
        <v>14.0</v>
      </c>
      <c r="C15" s="157">
        <f t="shared" si="1"/>
        <v>512.9184</v>
      </c>
      <c r="D15" s="158" t="str">
        <f>VLOOKUP(A15,'Classement RoC'!$B$2:$C$149,1,0)</f>
        <v>christ86000</v>
      </c>
      <c r="E15" s="163" t="str">
        <f t="shared" si="2"/>
        <v/>
      </c>
      <c r="F15" s="120" t="str">
        <f>VLOOKUP(A15,'Classement Général'!$B$2:$B$146,1,0)</f>
        <v>christ86000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</row>
    <row r="16" ht="14.25" customHeight="1">
      <c r="A16" s="160" t="str">
        <f>IFERROR(__xludf.DUMMYFUNCTION("""COMPUTED_VALUE"""),"kiki86 x")</f>
        <v>kiki86 x</v>
      </c>
      <c r="B16" s="156">
        <v>15.0</v>
      </c>
      <c r="C16" s="157">
        <f t="shared" si="1"/>
        <v>489.7431223</v>
      </c>
      <c r="D16" s="158" t="str">
        <f>VLOOKUP(A16,'Classement RoC'!$B$2:$C$149,1,0)</f>
        <v>kiki86 x</v>
      </c>
      <c r="E16" s="163" t="str">
        <f t="shared" si="2"/>
        <v/>
      </c>
      <c r="F16" s="120" t="str">
        <f>VLOOKUP(A16,'Classement Général'!$B$2:$B$146,1,0)</f>
        <v>kiki86 x</v>
      </c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ht="14.25" customHeight="1">
      <c r="A17" s="160" t="str">
        <f>IFERROR(__xludf.DUMMYFUNCTION("""COMPUTED_VALUE"""),"m86600b")</f>
        <v>m86600b</v>
      </c>
      <c r="B17" s="161">
        <v>16.0</v>
      </c>
      <c r="C17" s="157">
        <f t="shared" si="1"/>
        <v>467.7310353</v>
      </c>
      <c r="D17" s="158" t="str">
        <f>VLOOKUP(A17,'Classement RoC'!$B$2:$C$149,1,0)</f>
        <v>m86600b</v>
      </c>
      <c r="E17" s="163" t="str">
        <f t="shared" si="2"/>
        <v/>
      </c>
      <c r="F17" s="120" t="str">
        <f>VLOOKUP(A17,'Classement Général'!$B$2:$B$146,1,0)</f>
        <v>m86600b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</row>
    <row r="18" ht="14.25" customHeight="1">
      <c r="A18" s="160" t="str">
        <f>IFERROR(__xludf.DUMMYFUNCTION("""COMPUTED_VALUE"""),"immond")</f>
        <v>immond</v>
      </c>
      <c r="B18" s="156">
        <v>17.0</v>
      </c>
      <c r="C18" s="157">
        <f t="shared" si="1"/>
        <v>446.7350126</v>
      </c>
      <c r="D18" s="158" t="str">
        <f>VLOOKUP(A18,'Classement RoC'!$B$2:$C$149,1,0)</f>
        <v>immond</v>
      </c>
      <c r="E18" s="163" t="str">
        <f t="shared" si="2"/>
        <v/>
      </c>
      <c r="F18" s="120" t="str">
        <f>VLOOKUP(A18,'Classement Général'!$B$2:$B$146,1,0)</f>
        <v>immond</v>
      </c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</row>
    <row r="19" ht="14.25" customHeight="1">
      <c r="A19" s="160" t="str">
        <f>IFERROR(__xludf.DUMMYFUNCTION("""COMPUTED_VALUE"""),"UnPetitJaune")</f>
        <v>UnPetitJaune</v>
      </c>
      <c r="B19" s="161">
        <v>18.0</v>
      </c>
      <c r="C19" s="157">
        <f t="shared" si="1"/>
        <v>426.6343418</v>
      </c>
      <c r="D19" s="158" t="str">
        <f>VLOOKUP(A19,'Classement RoC'!$B$2:$C$149,1,0)</f>
        <v>UnPetitJaune</v>
      </c>
      <c r="E19" s="163" t="str">
        <f t="shared" si="2"/>
        <v/>
      </c>
      <c r="F19" s="120" t="str">
        <f>VLOOKUP(A19,'Classement Général'!$B$2:$B$146,1,0)</f>
        <v>UnPetitJaune</v>
      </c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</row>
    <row r="20" ht="14.25" customHeight="1">
      <c r="A20" s="160" t="str">
        <f>IFERROR(__xludf.DUMMYFUNCTION("""COMPUTED_VALUE"""),"Manu8671")</f>
        <v>Manu8671</v>
      </c>
      <c r="B20" s="156">
        <v>19.0</v>
      </c>
      <c r="C20" s="157">
        <f t="shared" si="1"/>
        <v>407.3287813</v>
      </c>
      <c r="D20" s="158" t="str">
        <f>VLOOKUP(A20,'Classement RoC'!$B$2:$C$149,1,0)</f>
        <v>Manu8671</v>
      </c>
      <c r="E20" s="163" t="str">
        <f t="shared" si="2"/>
        <v/>
      </c>
      <c r="F20" s="120" t="str">
        <f>VLOOKUP(A20,'Classement Général'!$B$2:$B$146,1,0)</f>
        <v>Manu8671</v>
      </c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</row>
    <row r="21" ht="14.25" customHeight="1">
      <c r="A21" s="160" t="str">
        <f>IFERROR(__xludf.DUMMYFUNCTION("""COMPUTED_VALUE"""),"KamehamehAS")</f>
        <v>KamehamehAS</v>
      </c>
      <c r="B21" s="161">
        <v>20.0</v>
      </c>
      <c r="C21" s="157">
        <f t="shared" si="1"/>
        <v>388.7341926</v>
      </c>
      <c r="D21" s="158" t="str">
        <f>VLOOKUP(A21,'Classement RoC'!$B$2:$C$149,1,0)</f>
        <v>KamehamehAS</v>
      </c>
      <c r="E21" s="163" t="str">
        <f t="shared" si="2"/>
        <v/>
      </c>
      <c r="F21" s="120" t="str">
        <f>VLOOKUP(A21,'Classement Général'!$B$2:$B$146,1,0)</f>
        <v>KamehamehAS</v>
      </c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</row>
    <row r="22" ht="14.25" customHeight="1">
      <c r="A22" s="160" t="str">
        <f>IFERROR(__xludf.DUMMYFUNCTION("""COMPUTED_VALUE"""),"vicmackey86")</f>
        <v>vicmackey86</v>
      </c>
      <c r="B22" s="156">
        <v>21.0</v>
      </c>
      <c r="C22" s="157">
        <f t="shared" si="1"/>
        <v>370.7792751</v>
      </c>
      <c r="D22" s="158" t="str">
        <f>VLOOKUP(A22,'Classement RoC'!$B$2:$C$149,1,0)</f>
        <v>vicmackey86</v>
      </c>
      <c r="E22" s="163" t="str">
        <f t="shared" si="2"/>
        <v/>
      </c>
      <c r="F22" s="120" t="str">
        <f>VLOOKUP(A22,'Classement Général'!$B$2:$B$146,1,0)</f>
        <v>vicmackey86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</row>
    <row r="23" ht="14.25" customHeight="1">
      <c r="A23" s="160" t="str">
        <f>IFERROR(__xludf.DUMMYFUNCTION("""COMPUTED_VALUE"""),"Forzouille57")</f>
        <v>Forzouille57</v>
      </c>
      <c r="B23" s="161">
        <v>22.0</v>
      </c>
      <c r="C23" s="157">
        <f t="shared" si="1"/>
        <v>353.4030858</v>
      </c>
      <c r="D23" s="158" t="str">
        <f>VLOOKUP(A23,'Classement RoC'!$B$2:$C$149,1,0)</f>
        <v>Forzouille57</v>
      </c>
      <c r="E23" s="163" t="str">
        <f t="shared" si="2"/>
        <v/>
      </c>
      <c r="F23" s="120" t="str">
        <f>VLOOKUP(A23,'Classement Général'!$B$2:$B$146,1,0)</f>
        <v>Forzouille57</v>
      </c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</row>
    <row r="24" ht="14.25" customHeight="1">
      <c r="A24" s="160" t="str">
        <f>IFERROR(__xludf.DUMMYFUNCTION("""COMPUTED_VALUE"""),"_Sale-Bet_")</f>
        <v>_Sale-Bet_</v>
      </c>
      <c r="B24" s="156">
        <v>23.0</v>
      </c>
      <c r="C24" s="157">
        <f t="shared" si="1"/>
        <v>336.5531288</v>
      </c>
      <c r="D24" s="158" t="str">
        <f>VLOOKUP(A24,'Classement RoC'!$B$2:$C$149,1,0)</f>
        <v>_Sale-Bet_</v>
      </c>
      <c r="E24" s="163" t="str">
        <f t="shared" si="2"/>
        <v/>
      </c>
      <c r="F24" s="120" t="str">
        <f>VLOOKUP(A24,'Classement Général'!$B$2:$B$146,1,0)</f>
        <v>_Sale-Bet_</v>
      </c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</row>
    <row r="25" ht="14.25" customHeight="1">
      <c r="A25" s="160" t="str">
        <f>IFERROR(__xludf.DUMMYFUNCTION("""COMPUTED_VALUE"""),"PrendmAmAin")</f>
        <v>PrendmAmAin</v>
      </c>
      <c r="B25" s="161">
        <v>24.0</v>
      </c>
      <c r="C25" s="157">
        <f t="shared" si="1"/>
        <v>320.1838642</v>
      </c>
      <c r="D25" s="158" t="str">
        <f>VLOOKUP(A25,'Classement RoC'!$B$2:$C$149,1,0)</f>
        <v>PrendmAmAin</v>
      </c>
      <c r="E25" s="163" t="str">
        <f t="shared" si="2"/>
        <v/>
      </c>
      <c r="F25" s="120" t="str">
        <f>VLOOKUP(A25,'Classement Général'!$B$2:$B$146,1,0)</f>
        <v>PrendmAmAin</v>
      </c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</row>
    <row r="26" ht="14.25" customHeight="1">
      <c r="A26" s="160" t="str">
        <f>IFERROR(__xludf.DUMMYFUNCTION("""COMPUTED_VALUE"""),"Butterfly-as")</f>
        <v>Butterfly-as</v>
      </c>
      <c r="B26" s="156">
        <v>25.0</v>
      </c>
      <c r="C26" s="157">
        <f t="shared" si="1"/>
        <v>304.2555317</v>
      </c>
      <c r="D26" s="158" t="str">
        <f>VLOOKUP(A26,'Classement RoC'!$B$2:$C$149,1,0)</f>
        <v>Butterfly-as</v>
      </c>
      <c r="E26" s="163" t="str">
        <f t="shared" si="2"/>
        <v/>
      </c>
      <c r="F26" s="120" t="str">
        <f>VLOOKUP(A26,'Classement Général'!$B$2:$B$146,1,0)</f>
        <v>Butterfly-as</v>
      </c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</row>
    <row r="27" ht="14.25" customHeight="1">
      <c r="A27" s="160" t="str">
        <f>IFERROR(__xludf.DUMMYFUNCTION("""COMPUTED_VALUE"""),"Mar1desbois")</f>
        <v>Mar1desbois</v>
      </c>
      <c r="B27" s="161">
        <v>26.0</v>
      </c>
      <c r="C27" s="157">
        <f t="shared" si="1"/>
        <v>288.7332122</v>
      </c>
      <c r="D27" s="158" t="str">
        <f>VLOOKUP(A27,'Classement RoC'!$B$2:$C$149,1,0)</f>
        <v>Mar1desbois</v>
      </c>
      <c r="E27" s="163" t="str">
        <f t="shared" si="2"/>
        <v/>
      </c>
      <c r="F27" s="120" t="str">
        <f>VLOOKUP(A27,'Classement Général'!$B$2:$B$146,1,0)</f>
        <v>Mar1desbois</v>
      </c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</row>
    <row r="28" ht="14.25" customHeight="1">
      <c r="A28" s="160" t="str">
        <f>IFERROR(__xludf.DUMMYFUNCTION("""COMPUTED_VALUE"""),"UniThe")</f>
        <v>UniThe</v>
      </c>
      <c r="B28" s="156">
        <v>27.0</v>
      </c>
      <c r="C28" s="157">
        <f t="shared" si="1"/>
        <v>273.5860714</v>
      </c>
      <c r="D28" s="158" t="str">
        <f>VLOOKUP(A28,'Classement RoC'!$B$2:$C$149,1,0)</f>
        <v>UniThe</v>
      </c>
      <c r="E28" s="163" t="str">
        <f t="shared" si="2"/>
        <v/>
      </c>
      <c r="F28" s="120" t="str">
        <f>VLOOKUP(A28,'Classement Général'!$B$2:$B$146,1,0)</f>
        <v>UniThe</v>
      </c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</row>
    <row r="29" ht="14.25" customHeight="1">
      <c r="A29" s="160" t="str">
        <f>IFERROR(__xludf.DUMMYFUNCTION("""COMPUTED_VALUE"""),"_8-6_")</f>
        <v>_8-6_</v>
      </c>
      <c r="B29" s="161">
        <v>28.0</v>
      </c>
      <c r="C29" s="157">
        <f t="shared" si="1"/>
        <v>258.7867463</v>
      </c>
      <c r="D29" s="158" t="str">
        <f>VLOOKUP(A29,'Classement RoC'!$B$2:$C$149,1,0)</f>
        <v>_8-6_</v>
      </c>
      <c r="E29" s="163" t="str">
        <f t="shared" si="2"/>
        <v/>
      </c>
      <c r="F29" s="120" t="str">
        <f>VLOOKUP(A29,'Classement Général'!$B$2:$B$146,1,0)</f>
        <v>_8-6_</v>
      </c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</row>
    <row r="30" ht="14.25" customHeight="1">
      <c r="A30" s="160" t="str">
        <f>IFERROR(__xludf.DUMMYFUNCTION("""COMPUTED_VALUE"""),"Legabodu86")</f>
        <v>Legabodu86</v>
      </c>
      <c r="B30" s="156">
        <v>29.0</v>
      </c>
      <c r="C30" s="157">
        <f t="shared" si="1"/>
        <v>244.3108415</v>
      </c>
      <c r="D30" s="158" t="str">
        <f>VLOOKUP(A30,'Classement RoC'!$B$2:$C$149,1,0)</f>
        <v>Legabodu86</v>
      </c>
      <c r="E30" s="163" t="str">
        <f t="shared" si="2"/>
        <v/>
      </c>
      <c r="F30" s="120" t="str">
        <f>VLOOKUP(A30,'Classement Général'!$B$2:$B$146,1,0)</f>
        <v>Legabodu86</v>
      </c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</row>
    <row r="31" ht="14.25" customHeight="1">
      <c r="A31" s="160" t="str">
        <f>IFERROR(__xludf.DUMMYFUNCTION("""COMPUTED_VALUE"""),"VietNems86")</f>
        <v>VietNems86</v>
      </c>
      <c r="B31" s="161">
        <v>30.0</v>
      </c>
      <c r="C31" s="157">
        <f t="shared" si="1"/>
        <v>230.1365142</v>
      </c>
      <c r="D31" s="158" t="str">
        <f>VLOOKUP(A31,'Classement RoC'!$B$2:$C$149,1,0)</f>
        <v>VietNems86</v>
      </c>
      <c r="E31" s="163" t="str">
        <f t="shared" si="2"/>
        <v/>
      </c>
      <c r="F31" s="120" t="str">
        <f>VLOOKUP(A31,'Classement Général'!$B$2:$B$146,1,0)</f>
        <v>VietNems86</v>
      </c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</row>
    <row r="32" ht="14.25" customHeight="1">
      <c r="A32" s="160" t="str">
        <f>IFERROR(__xludf.DUMMYFUNCTION("""COMPUTED_VALUE"""),"gregmoore")</f>
        <v>gregmoore</v>
      </c>
      <c r="B32" s="156">
        <v>31.0</v>
      </c>
      <c r="C32" s="157">
        <f t="shared" si="1"/>
        <v>216.2441289</v>
      </c>
      <c r="D32" s="158" t="str">
        <f>VLOOKUP(A32,'Classement RoC'!$B$2:$C$149,1,0)</f>
        <v>gregmoore</v>
      </c>
      <c r="E32" s="163" t="str">
        <f t="shared" si="2"/>
        <v/>
      </c>
      <c r="F32" s="120" t="str">
        <f>VLOOKUP(A32,'Classement Général'!$B$2:$B$146,1,0)</f>
        <v>gregmoore</v>
      </c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</row>
    <row r="33" ht="14.25" customHeight="1">
      <c r="A33" s="160" t="str">
        <f>IFERROR(__xludf.DUMMYFUNCTION("""COMPUTED_VALUE"""),"ariba")</f>
        <v>ariba</v>
      </c>
      <c r="B33" s="161">
        <v>32.0</v>
      </c>
      <c r="C33" s="157">
        <f t="shared" si="1"/>
        <v>202.6159687</v>
      </c>
      <c r="D33" s="158" t="str">
        <f>VLOOKUP(A33,'Classement RoC'!$B$2:$C$149,1,0)</f>
        <v>ariba</v>
      </c>
      <c r="E33" s="163" t="str">
        <f t="shared" si="2"/>
        <v/>
      </c>
      <c r="F33" s="120" t="str">
        <f>VLOOKUP(A33,'Classement Général'!$B$2:$B$146,1,0)</f>
        <v>ariba</v>
      </c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</row>
    <row r="34" ht="14.25" customHeight="1">
      <c r="A34" s="160" t="str">
        <f>IFERROR(__xludf.DUMMYFUNCTION("""COMPUTED_VALUE"""),"hmnyocleaver")</f>
        <v>hmnyocleaver</v>
      </c>
      <c r="B34" s="156">
        <v>33.0</v>
      </c>
      <c r="C34" s="157">
        <f t="shared" si="1"/>
        <v>189.235992</v>
      </c>
      <c r="D34" s="158" t="str">
        <f>VLOOKUP(A34,'Classement RoC'!$B$2:$C$149,1,0)</f>
        <v>hmnyocleaver</v>
      </c>
      <c r="E34" s="163" t="str">
        <f t="shared" si="2"/>
        <v/>
      </c>
      <c r="F34" s="120" t="str">
        <f>VLOOKUP(A34,'Classement Général'!$B$2:$B$146,1,0)</f>
        <v>hmnyocleaver</v>
      </c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</row>
    <row r="35" ht="14.25" customHeight="1">
      <c r="A35" s="160" t="str">
        <f>IFERROR(__xludf.DUMMYFUNCTION("""COMPUTED_VALUE"""),"Bratake")</f>
        <v>Bratake</v>
      </c>
      <c r="B35" s="161">
        <v>34.0</v>
      </c>
      <c r="C35" s="157">
        <f t="shared" si="1"/>
        <v>176.0896269</v>
      </c>
      <c r="D35" s="158" t="str">
        <f>VLOOKUP(A35,'Classement RoC'!$B$2:$C$149,1,0)</f>
        <v>Bratake</v>
      </c>
      <c r="E35" s="163" t="str">
        <f t="shared" si="2"/>
        <v/>
      </c>
      <c r="F35" s="120" t="str">
        <f>VLOOKUP(A35,'Classement Général'!$B$2:$B$146,1,0)</f>
        <v>Bratake</v>
      </c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</row>
    <row r="36" ht="14.25" customHeight="1">
      <c r="A36" s="160" t="str">
        <f>IFERROR(__xludf.DUMMYFUNCTION("""COMPUTED_VALUE"""),"NezuKO-demon")</f>
        <v>NezuKO-demon</v>
      </c>
      <c r="B36" s="156">
        <v>35.0</v>
      </c>
      <c r="C36" s="157">
        <f t="shared" si="1"/>
        <v>163.1635959</v>
      </c>
      <c r="D36" s="158" t="str">
        <f>VLOOKUP(A36,'Classement RoC'!$B$2:$C$149,1,0)</f>
        <v>NezuKO-demon</v>
      </c>
      <c r="E36" s="163" t="str">
        <f t="shared" si="2"/>
        <v/>
      </c>
      <c r="F36" s="120" t="str">
        <f>VLOOKUP(A36,'Classement Général'!$B$2:$B$146,1,0)</f>
        <v>NezuKO-demon</v>
      </c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</row>
    <row r="37" ht="14.25" customHeight="1">
      <c r="A37" s="160" t="str">
        <f>IFERROR(__xludf.DUMMYFUNCTION("""COMPUTED_VALUE"""),"_VisMaVie_")</f>
        <v>_VisMaVie_</v>
      </c>
      <c r="B37" s="161">
        <v>36.0</v>
      </c>
      <c r="C37" s="157">
        <f t="shared" si="1"/>
        <v>150.4457662</v>
      </c>
      <c r="D37" s="158" t="str">
        <f>VLOOKUP(A37,'Classement RoC'!$B$2:$C$149,1,0)</f>
        <v>_VisMaVie_</v>
      </c>
      <c r="E37" s="163" t="str">
        <f t="shared" si="2"/>
        <v/>
      </c>
      <c r="F37" s="120" t="str">
        <f>VLOOKUP(A37,'Classement Général'!$B$2:$B$146,1,0)</f>
        <v>_VisMaVie_</v>
      </c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</row>
    <row r="38" ht="14.25" customHeight="1">
      <c r="A38" s="160" t="str">
        <f>IFERROR(__xludf.DUMMYFUNCTION("""COMPUTED_VALUE"""),"erniedog56x")</f>
        <v>erniedog56x</v>
      </c>
      <c r="B38" s="156">
        <v>37.0</v>
      </c>
      <c r="C38" s="157">
        <f t="shared" si="1"/>
        <v>137.9250209</v>
      </c>
      <c r="D38" s="158" t="str">
        <f>VLOOKUP(A38,'Classement RoC'!$B$2:$C$149,1,0)</f>
        <v>erniedog56x</v>
      </c>
      <c r="E38" s="163" t="str">
        <f t="shared" si="2"/>
        <v/>
      </c>
      <c r="F38" s="120" t="str">
        <f>VLOOKUP(A38,'Classement Général'!$B$2:$B$146,1,0)</f>
        <v>erniedog56x</v>
      </c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</row>
    <row r="39" ht="14.25" customHeight="1">
      <c r="A39" s="160" t="str">
        <f>IFERROR(__xludf.DUMMYFUNCTION("""COMPUTED_VALUE"""),"-Feline")</f>
        <v>-Feline</v>
      </c>
      <c r="B39" s="161">
        <v>38.0</v>
      </c>
      <c r="C39" s="157">
        <f t="shared" si="1"/>
        <v>125.5911478</v>
      </c>
      <c r="D39" s="158" t="str">
        <f>VLOOKUP(A39,'Classement RoC'!$B$2:$C$149,1,0)</f>
        <v>-Feline</v>
      </c>
      <c r="E39" s="163" t="str">
        <f t="shared" si="2"/>
        <v/>
      </c>
      <c r="F39" s="120" t="str">
        <f>VLOOKUP(A39,'Classement Général'!$B$2:$B$146,1,0)</f>
        <v>-Feline</v>
      </c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</row>
    <row r="40" ht="14.25" customHeight="1">
      <c r="A40" s="160" t="str">
        <f>IFERROR(__xludf.DUMMYFUNCTION("""COMPUTED_VALUE"""),"SINGE7")</f>
        <v>SINGE7</v>
      </c>
      <c r="B40" s="156">
        <v>39.0</v>
      </c>
      <c r="C40" s="157">
        <f t="shared" si="1"/>
        <v>113.434743</v>
      </c>
      <c r="D40" s="158" t="str">
        <f>VLOOKUP(A40,'Classement RoC'!$B$2:$C$149,1,0)</f>
        <v>SINGE7</v>
      </c>
      <c r="E40" s="163" t="str">
        <f t="shared" si="2"/>
        <v/>
      </c>
      <c r="F40" s="120" t="str">
        <f>VLOOKUP(A40,'Classement Général'!$B$2:$B$146,1,0)</f>
        <v>SINGE7</v>
      </c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</row>
    <row r="41" ht="14.25" customHeight="1">
      <c r="A41" s="160" t="str">
        <f>IFERROR(__xludf.DUMMYFUNCTION("""COMPUTED_VALUE"""),"--WondeR--")</f>
        <v>--WondeR--</v>
      </c>
      <c r="B41" s="161">
        <v>40.0</v>
      </c>
      <c r="C41" s="157">
        <f t="shared" si="1"/>
        <v>101.4471276</v>
      </c>
      <c r="D41" s="158" t="str">
        <f>VLOOKUP(A41,'Classement RoC'!$B$2:$C$149,1,0)</f>
        <v>--WondeR--</v>
      </c>
      <c r="E41" s="163" t="str">
        <f t="shared" si="2"/>
        <v/>
      </c>
      <c r="F41" s="120" t="str">
        <f>VLOOKUP(A41,'Classement Général'!$B$2:$B$146,1,0)</f>
        <v>--WondeR--</v>
      </c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</row>
    <row r="42" ht="14.25" customHeight="1">
      <c r="A42" s="160" t="str">
        <f>IFERROR(__xludf.DUMMYFUNCTION("""COMPUTED_VALUE"""),"Le_Pictavien")</f>
        <v>Le_Pictavien</v>
      </c>
      <c r="B42" s="156">
        <v>41.0</v>
      </c>
      <c r="C42" s="157">
        <f t="shared" si="1"/>
        <v>89.62027376</v>
      </c>
      <c r="D42" s="158" t="str">
        <f>VLOOKUP(A42,'Classement RoC'!$B$2:$C$149,1,0)</f>
        <v>Le_Pictavien</v>
      </c>
      <c r="E42" s="163" t="str">
        <f t="shared" si="2"/>
        <v/>
      </c>
      <c r="F42" s="120" t="str">
        <f>VLOOKUP(A42,'Classement Général'!$B$2:$B$146,1,0)</f>
        <v>Le_Pictavien</v>
      </c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</row>
    <row r="43" ht="14.25" customHeight="1">
      <c r="A43" s="160" t="str">
        <f>IFERROR(__xludf.DUMMYFUNCTION("""COMPUTED_VALUE"""),"Mikalack")</f>
        <v>Mikalack</v>
      </c>
      <c r="B43" s="161">
        <v>42.0</v>
      </c>
      <c r="C43" s="157">
        <f t="shared" si="1"/>
        <v>77.94674082</v>
      </c>
      <c r="D43" s="158" t="str">
        <f>VLOOKUP(A43,'Classement RoC'!$B$2:$C$149,1,0)</f>
        <v>Mikalack</v>
      </c>
      <c r="E43" s="163" t="str">
        <f t="shared" si="2"/>
        <v/>
      </c>
      <c r="F43" s="120" t="str">
        <f>VLOOKUP(A43,'Classement Général'!$B$2:$B$146,1,0)</f>
        <v>Mikalack</v>
      </c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</row>
    <row r="44" ht="14.25" customHeight="1">
      <c r="A44" s="160" t="str">
        <f>IFERROR(__xludf.DUMMYFUNCTION("""COMPUTED_VALUE"""),"Kevfurious")</f>
        <v>Kevfurious</v>
      </c>
      <c r="B44" s="156">
        <v>43.0</v>
      </c>
      <c r="C44" s="157">
        <f t="shared" si="1"/>
        <v>66.41961897</v>
      </c>
      <c r="D44" s="158" t="str">
        <f>VLOOKUP(A44,'Classement RoC'!$B$2:$C$149,1,0)</f>
        <v>Kevfurious</v>
      </c>
      <c r="E44" s="163" t="str">
        <f t="shared" si="2"/>
        <v/>
      </c>
      <c r="F44" s="120" t="str">
        <f>VLOOKUP(A44,'Classement Général'!$B$2:$B$146,1,0)</f>
        <v>Kevfurious</v>
      </c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</row>
    <row r="45" ht="14.25" customHeight="1">
      <c r="A45" s="160" t="str">
        <f>IFERROR(__xludf.DUMMYFUNCTION("""COMPUTED_VALUE"""),"Garou du 86")</f>
        <v>Garou du 86</v>
      </c>
      <c r="B45" s="161">
        <v>44.0</v>
      </c>
      <c r="C45" s="157">
        <f t="shared" si="1"/>
        <v>55.03247926</v>
      </c>
      <c r="D45" s="158" t="str">
        <f>VLOOKUP(A45,'Classement RoC'!$B$2:$C$149,1,0)</f>
        <v>Garou du 86</v>
      </c>
      <c r="E45" s="163" t="str">
        <f t="shared" si="2"/>
        <v/>
      </c>
      <c r="F45" s="120" t="str">
        <f>VLOOKUP(A45,'Classement Général'!$B$2:$B$146,1,0)</f>
        <v>Garou du 86</v>
      </c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</row>
    <row r="46" ht="14.25" customHeight="1">
      <c r="A46" s="160" t="str">
        <f>IFERROR(__xludf.DUMMYFUNCTION("""COMPUTED_VALUE"""),"GooodJooob")</f>
        <v>GooodJooob</v>
      </c>
      <c r="B46" s="156">
        <v>45.0</v>
      </c>
      <c r="C46" s="157">
        <f t="shared" si="1"/>
        <v>43.77932954</v>
      </c>
      <c r="D46" s="158" t="str">
        <f>VLOOKUP(A46,'Classement RoC'!$B$2:$C$149,1,0)</f>
        <v>GooodJooob</v>
      </c>
      <c r="E46" s="163" t="str">
        <f t="shared" si="2"/>
        <v/>
      </c>
      <c r="F46" s="120" t="str">
        <f>VLOOKUP(A46,'Classement Général'!$B$2:$B$146,1,0)</f>
        <v>GooodJooob</v>
      </c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</row>
    <row r="47" ht="14.25" customHeight="1">
      <c r="A47" s="160" t="str">
        <f>IFERROR(__xludf.DUMMYFUNCTION("""COMPUTED_VALUE"""),"KKPTETYO")</f>
        <v>KKPTETYO</v>
      </c>
      <c r="B47" s="161">
        <v>46.0</v>
      </c>
      <c r="C47" s="157">
        <f t="shared" si="1"/>
        <v>32.65457533</v>
      </c>
      <c r="D47" s="158" t="str">
        <f>VLOOKUP(A47,'Classement RoC'!$B$2:$C$149,1,0)</f>
        <v>KKPTETYO</v>
      </c>
      <c r="E47" s="163" t="str">
        <f t="shared" si="2"/>
        <v/>
      </c>
      <c r="F47" s="120" t="str">
        <f>VLOOKUP(A47,'Classement Général'!$B$2:$B$146,1,0)</f>
        <v>KKPTETYO</v>
      </c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</row>
    <row r="48" ht="14.25" customHeight="1">
      <c r="A48" s="160" t="str">
        <f>IFERROR(__xludf.DUMMYFUNCTION("""COMPUTED_VALUE"""),"LEGOLEGOTE")</f>
        <v>LEGOLEGOTE</v>
      </c>
      <c r="B48" s="156">
        <v>47.0</v>
      </c>
      <c r="C48" s="157">
        <f t="shared" si="1"/>
        <v>21.65298498</v>
      </c>
      <c r="D48" s="158" t="str">
        <f>VLOOKUP(A48,'Classement RoC'!$B$2:$C$149,1,0)</f>
        <v>LEGOLEGOTE</v>
      </c>
      <c r="E48" s="163" t="str">
        <f t="shared" si="2"/>
        <v/>
      </c>
      <c r="F48" s="120" t="str">
        <f>VLOOKUP(A48,'Classement Général'!$B$2:$B$146,1,0)</f>
        <v>LEGOLEGOTE</v>
      </c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 ht="14.25" customHeight="1">
      <c r="A49" s="160" t="str">
        <f>IFERROR(__xludf.DUMMYFUNCTION("""COMPUTED_VALUE"""),"Elfy")</f>
        <v>Elfy</v>
      </c>
      <c r="B49" s="161">
        <v>48.0</v>
      </c>
      <c r="C49" s="157">
        <f t="shared" si="1"/>
        <v>10.76965854</v>
      </c>
      <c r="D49" s="158" t="str">
        <f>VLOOKUP(A49,'Classement RoC'!$B$2:$C$149,1,0)</f>
        <v>Elfy</v>
      </c>
      <c r="E49" s="163" t="str">
        <f t="shared" si="2"/>
        <v/>
      </c>
      <c r="F49" s="120" t="str">
        <f>VLOOKUP(A49,'Classement Général'!$B$2:$B$146,1,0)</f>
        <v>Elfy</v>
      </c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50" ht="14.25" customHeight="1">
      <c r="A50" s="160"/>
      <c r="B50" s="156">
        <v>49.0</v>
      </c>
      <c r="C50" s="157">
        <f t="shared" si="1"/>
        <v>0</v>
      </c>
      <c r="D50" s="158" t="str">
        <f>VLOOKUP(A50,'Classement RoC'!$B$2:$C$149,1,0)</f>
        <v>#N/A</v>
      </c>
      <c r="E50" s="163" t="str">
        <f t="shared" si="2"/>
        <v>#N/A</v>
      </c>
      <c r="F50" s="120" t="str">
        <f>VLOOKUP(A50,'Classement Général'!$B$2:$B$146,1,0)</f>
        <v>#N/A</v>
      </c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</row>
    <row r="51" ht="14.25" customHeight="1">
      <c r="A51" s="160"/>
      <c r="B51" s="161">
        <v>50.0</v>
      </c>
      <c r="C51" s="157">
        <f t="shared" si="1"/>
        <v>-10.66030775</v>
      </c>
      <c r="D51" s="158" t="str">
        <f>VLOOKUP(A51,'Classement RoC'!$B$2:$C$149,1,0)</f>
        <v>#N/A</v>
      </c>
      <c r="E51" s="163" t="str">
        <f t="shared" si="2"/>
        <v>#N/A</v>
      </c>
      <c r="F51" s="120" t="str">
        <f>VLOOKUP(A51,'Classement Général'!$B$2:$B$146,1,0)</f>
        <v>#N/A</v>
      </c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</row>
    <row r="52" ht="14.25" customHeight="1">
      <c r="A52" s="160"/>
      <c r="B52" s="156">
        <v>51.0</v>
      </c>
      <c r="C52" s="157">
        <f t="shared" si="1"/>
        <v>-21.21532529</v>
      </c>
      <c r="D52" s="158" t="str">
        <f>VLOOKUP(A52,'Classement RoC'!$B$2:$C$149,1,0)</f>
        <v>#N/A</v>
      </c>
      <c r="E52" s="163" t="str">
        <f t="shared" si="2"/>
        <v>#N/A</v>
      </c>
      <c r="F52" s="120" t="str">
        <f>VLOOKUP(A52,'Classement Général'!$B$2:$B$146,1,0)</f>
        <v>#N/A</v>
      </c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</row>
    <row r="53" ht="14.25" customHeight="1">
      <c r="A53" s="160"/>
      <c r="B53" s="161">
        <v>52.0</v>
      </c>
      <c r="C53" s="157">
        <f t="shared" si="1"/>
        <v>-31.66887692</v>
      </c>
      <c r="D53" s="158" t="str">
        <f>VLOOKUP(A53,'Classement RoC'!$B$2:$C$149,1,0)</f>
        <v>#N/A</v>
      </c>
      <c r="E53" s="163" t="str">
        <f t="shared" si="2"/>
        <v>#N/A</v>
      </c>
      <c r="F53" s="120" t="str">
        <f>VLOOKUP(A53,'Classement Général'!$B$2:$B$146,1,0)</f>
        <v>#N/A</v>
      </c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</row>
    <row r="54" ht="14.25" customHeight="1">
      <c r="A54" s="160"/>
      <c r="B54" s="156">
        <v>53.0</v>
      </c>
      <c r="C54" s="157">
        <f t="shared" si="1"/>
        <v>-42.02456893</v>
      </c>
      <c r="D54" s="158" t="str">
        <f>VLOOKUP(A54,'Classement RoC'!$B$2:$C$149,1,0)</f>
        <v>#N/A</v>
      </c>
      <c r="E54" s="163" t="str">
        <f t="shared" si="2"/>
        <v>#N/A</v>
      </c>
      <c r="F54" s="120" t="str">
        <f>VLOOKUP(A54,'Classement Général'!$B$2:$B$146,1,0)</f>
        <v>#N/A</v>
      </c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</row>
    <row r="55" ht="14.25" customHeight="1">
      <c r="A55" s="160"/>
      <c r="B55" s="161">
        <v>54.0</v>
      </c>
      <c r="C55" s="157">
        <f t="shared" si="1"/>
        <v>-52.28580607</v>
      </c>
      <c r="D55" s="158" t="str">
        <f>VLOOKUP(A55,'Classement RoC'!$B$2:$C$149,1,0)</f>
        <v>#N/A</v>
      </c>
      <c r="E55" s="163" t="str">
        <f t="shared" si="2"/>
        <v>#N/A</v>
      </c>
      <c r="F55" s="120" t="str">
        <f>VLOOKUP(A55,'Classement Général'!$B$2:$B$146,1,0)</f>
        <v>#N/A</v>
      </c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</row>
    <row r="56" ht="14.25" customHeight="1">
      <c r="A56" s="160"/>
      <c r="B56" s="156">
        <v>55.0</v>
      </c>
      <c r="C56" s="157">
        <f t="shared" si="1"/>
        <v>-62.45580658</v>
      </c>
      <c r="D56" s="158" t="str">
        <f>VLOOKUP(A56,'Classement RoC'!$B$2:$C$149,1,0)</f>
        <v>#N/A</v>
      </c>
      <c r="E56" s="163" t="str">
        <f t="shared" si="2"/>
        <v>#N/A</v>
      </c>
      <c r="F56" s="120" t="str">
        <f>VLOOKUP(A56,'Classement Général'!$B$2:$B$146,1,0)</f>
        <v>#N/A</v>
      </c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</row>
    <row r="57" ht="14.25" customHeight="1">
      <c r="A57" s="160"/>
      <c r="B57" s="161">
        <v>56.0</v>
      </c>
      <c r="C57" s="157">
        <f t="shared" si="1"/>
        <v>-72.53761576</v>
      </c>
      <c r="D57" s="158" t="str">
        <f>VLOOKUP(A57,'Classement RoC'!$B$2:$C$149,1,0)</f>
        <v>#N/A</v>
      </c>
      <c r="E57" s="163" t="str">
        <f t="shared" si="2"/>
        <v>#N/A</v>
      </c>
      <c r="F57" s="120" t="str">
        <f>VLOOKUP(A57,'Classement Général'!$B$2:$B$146,1,0)</f>
        <v>#N/A</v>
      </c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</row>
    <row r="58" ht="14.25" customHeight="1">
      <c r="A58" s="160"/>
      <c r="B58" s="156">
        <v>57.0</v>
      </c>
      <c r="C58" s="157">
        <f t="shared" si="1"/>
        <v>-82.53411836</v>
      </c>
      <c r="D58" s="158" t="str">
        <f>VLOOKUP(A58,'Classement RoC'!$B$2:$C$149,1,0)</f>
        <v>#N/A</v>
      </c>
      <c r="E58" s="163" t="str">
        <f t="shared" si="2"/>
        <v>#N/A</v>
      </c>
      <c r="F58" s="120" t="str">
        <f>VLOOKUP(A58,'Classement Général'!$B$2:$B$146,1,0)</f>
        <v>#N/A</v>
      </c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</row>
    <row r="59" ht="14.25" customHeight="1">
      <c r="A59" s="160"/>
      <c r="B59" s="161">
        <v>58.0</v>
      </c>
      <c r="C59" s="157">
        <f t="shared" si="1"/>
        <v>-92.44804987</v>
      </c>
      <c r="D59" s="158" t="str">
        <f>VLOOKUP(A59,'Classement RoC'!$B$2:$C$149,1,0)</f>
        <v>#N/A</v>
      </c>
      <c r="E59" s="163" t="str">
        <f t="shared" si="2"/>
        <v>#N/A</v>
      </c>
      <c r="F59" s="120" t="str">
        <f>VLOOKUP(A59,'Classement Général'!$B$2:$B$146,1,0)</f>
        <v>#N/A</v>
      </c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</row>
    <row r="60" ht="14.25" customHeight="1">
      <c r="A60" s="160"/>
      <c r="B60" s="156">
        <v>59.0</v>
      </c>
      <c r="C60" s="157">
        <f t="shared" si="1"/>
        <v>-102.2820068</v>
      </c>
      <c r="D60" s="158" t="str">
        <f>VLOOKUP(A60,'Classement RoC'!$B$2:$C$149,1,0)</f>
        <v>#N/A</v>
      </c>
      <c r="E60" s="163" t="str">
        <f t="shared" si="2"/>
        <v>#N/A</v>
      </c>
      <c r="F60" s="120" t="str">
        <f>VLOOKUP(A60,'Classement Général'!$B$2:$B$146,1,0)</f>
        <v>#N/A</v>
      </c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</row>
    <row r="61" ht="14.25" customHeight="1">
      <c r="A61" s="160"/>
      <c r="B61" s="161">
        <v>60.0</v>
      </c>
      <c r="C61" s="157">
        <f t="shared" si="1"/>
        <v>-112.0384562</v>
      </c>
      <c r="D61" s="158" t="str">
        <f>VLOOKUP(A61,'Classement RoC'!$B$2:$C$149,1,0)</f>
        <v>#N/A</v>
      </c>
      <c r="E61" s="163" t="str">
        <f t="shared" si="2"/>
        <v>#N/A</v>
      </c>
      <c r="F61" s="120" t="str">
        <f>VLOOKUP(A61,'Classement Général'!$B$2:$B$146,1,0)</f>
        <v>#N/A</v>
      </c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</row>
    <row r="62" ht="14.25" customHeight="1">
      <c r="A62" s="160"/>
      <c r="B62" s="156">
        <v>61.0</v>
      </c>
      <c r="C62" s="157">
        <f t="shared" si="1"/>
        <v>-121.7197441</v>
      </c>
      <c r="D62" s="158" t="str">
        <f>VLOOKUP(A62,'Classement RoC'!$B$2:$C$149,1,0)</f>
        <v>#N/A</v>
      </c>
      <c r="E62" s="163" t="str">
        <f t="shared" si="2"/>
        <v>#N/A</v>
      </c>
      <c r="F62" s="120" t="str">
        <f>VLOOKUP(A62,'Classement Général'!$B$2:$B$146,1,0)</f>
        <v>#N/A</v>
      </c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</row>
    <row r="63" ht="14.25" customHeight="1">
      <c r="A63" s="160"/>
      <c r="B63" s="161">
        <v>62.0</v>
      </c>
      <c r="C63" s="157">
        <f t="shared" si="1"/>
        <v>-131.3281037</v>
      </c>
      <c r="D63" s="158" t="str">
        <f>VLOOKUP(A63,'Classement RoC'!$B$2:$C$149,1,0)</f>
        <v>#N/A</v>
      </c>
      <c r="E63" s="163" t="str">
        <f t="shared" si="2"/>
        <v>#N/A</v>
      </c>
      <c r="F63" s="120" t="str">
        <f>VLOOKUP(A63,'Classement Général'!$B$2:$B$146,1,0)</f>
        <v>#N/A</v>
      </c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</row>
    <row r="64" ht="14.25" customHeight="1">
      <c r="A64" s="160"/>
      <c r="B64" s="156">
        <v>63.0</v>
      </c>
      <c r="C64" s="157">
        <f t="shared" si="1"/>
        <v>-140.8656624</v>
      </c>
      <c r="D64" s="158" t="str">
        <f>VLOOKUP(A64,'Classement RoC'!$B$2:$C$149,1,0)</f>
        <v>#N/A</v>
      </c>
      <c r="E64" s="163" t="str">
        <f t="shared" si="2"/>
        <v>#N/A</v>
      </c>
      <c r="F64" s="120" t="str">
        <f>VLOOKUP(A64,'Classement Général'!$B$2:$B$146,1,0)</f>
        <v>#N/A</v>
      </c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</row>
    <row r="65" ht="14.25" customHeight="1">
      <c r="A65" s="160"/>
      <c r="B65" s="161">
        <v>64.0</v>
      </c>
      <c r="C65" s="157">
        <f t="shared" si="1"/>
        <v>-150.3344486</v>
      </c>
      <c r="D65" s="158" t="str">
        <f>VLOOKUP(A65,'Classement RoC'!$B$2:$C$149,1,0)</f>
        <v>#N/A</v>
      </c>
      <c r="E65" s="163" t="str">
        <f t="shared" si="2"/>
        <v>#N/A</v>
      </c>
      <c r="F65" s="120" t="str">
        <f>VLOOKUP(A65,'Classement Général'!$B$2:$B$146,1,0)</f>
        <v>#N/A</v>
      </c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</row>
    <row r="66" ht="14.25" customHeight="1">
      <c r="A66" s="160"/>
      <c r="B66" s="156">
        <v>65.0</v>
      </c>
      <c r="C66" s="157">
        <f t="shared" si="1"/>
        <v>-159.7363979</v>
      </c>
      <c r="D66" s="158" t="str">
        <f>VLOOKUP(A66,'Classement RoC'!$B$2:$C$149,1,0)</f>
        <v>#N/A</v>
      </c>
      <c r="E66" s="163" t="str">
        <f t="shared" si="2"/>
        <v>#N/A</v>
      </c>
      <c r="F66" s="120" t="str">
        <f>VLOOKUP(A66,'Classement Général'!$B$2:$B$146,1,0)</f>
        <v>#N/A</v>
      </c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</row>
    <row r="67" ht="14.25" customHeight="1">
      <c r="A67" s="160"/>
      <c r="B67" s="161">
        <v>66.0</v>
      </c>
      <c r="C67" s="157">
        <f t="shared" si="1"/>
        <v>-169.073359</v>
      </c>
      <c r="D67" s="158" t="str">
        <f>VLOOKUP(A67,'Classement RoC'!$B$2:$C$149,1,0)</f>
        <v>#N/A</v>
      </c>
      <c r="E67" s="163" t="str">
        <f t="shared" si="2"/>
        <v>#N/A</v>
      </c>
      <c r="F67" s="120" t="str">
        <f>VLOOKUP(A67,'Classement Général'!$B$2:$B$146,1,0)</f>
        <v>#N/A</v>
      </c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</row>
    <row r="68" ht="14.25" customHeight="1">
      <c r="A68" s="160"/>
      <c r="B68" s="156">
        <v>67.0</v>
      </c>
      <c r="C68" s="157">
        <f t="shared" si="1"/>
        <v>-178.3470983</v>
      </c>
      <c r="D68" s="158" t="str">
        <f>VLOOKUP(A68,'Classement RoC'!$B$2:$C$149,1,0)</f>
        <v>#N/A</v>
      </c>
      <c r="E68" s="163" t="str">
        <f t="shared" si="2"/>
        <v>#N/A</v>
      </c>
      <c r="F68" s="120" t="str">
        <f>VLOOKUP(A68,'Classement Général'!$B$2:$B$146,1,0)</f>
        <v>#N/A</v>
      </c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</row>
    <row r="69" ht="14.25" customHeight="1">
      <c r="A69" s="160"/>
      <c r="B69" s="161">
        <v>68.0</v>
      </c>
      <c r="C69" s="157">
        <f t="shared" si="1"/>
        <v>-187.5593056</v>
      </c>
      <c r="D69" s="158" t="str">
        <f>VLOOKUP(A69,'Classement RoC'!$B$2:$C$149,1,0)</f>
        <v>#N/A</v>
      </c>
      <c r="E69" s="163" t="str">
        <f t="shared" si="2"/>
        <v>#N/A</v>
      </c>
      <c r="F69" s="120" t="str">
        <f>VLOOKUP(A69,'Classement Général'!$B$2:$B$146,1,0)</f>
        <v>#N/A</v>
      </c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</row>
    <row r="70" ht="14.25" customHeight="1">
      <c r="A70" s="160"/>
      <c r="B70" s="156">
        <v>69.0</v>
      </c>
      <c r="C70" s="157">
        <f t="shared" si="1"/>
        <v>-196.711598</v>
      </c>
      <c r="D70" s="158" t="str">
        <f>VLOOKUP(A70,'Classement RoC'!$B$2:$C$149,1,0)</f>
        <v>#N/A</v>
      </c>
      <c r="E70" s="163" t="str">
        <f t="shared" si="2"/>
        <v>#N/A</v>
      </c>
      <c r="F70" s="120" t="str">
        <f>VLOOKUP(A70,'Classement Général'!$B$2:$B$146,1,0)</f>
        <v>#N/A</v>
      </c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</row>
    <row r="71" ht="14.25" customHeight="1">
      <c r="A71" s="160"/>
      <c r="B71" s="161">
        <v>70.0</v>
      </c>
      <c r="C71" s="157">
        <f t="shared" si="1"/>
        <v>-205.8055243</v>
      </c>
      <c r="D71" s="158" t="str">
        <f>VLOOKUP(A71,'Classement RoC'!$B$2:$C$149,1,0)</f>
        <v>#N/A</v>
      </c>
      <c r="E71" s="163" t="str">
        <f t="shared" si="2"/>
        <v>#N/A</v>
      </c>
      <c r="F71" s="120" t="str">
        <f>VLOOKUP(A71,'Classement Général'!$B$2:$B$146,1,0)</f>
        <v>#N/A</v>
      </c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</row>
    <row r="72" ht="14.25" customHeight="1">
      <c r="A72" s="160"/>
      <c r="B72" s="156">
        <v>71.0</v>
      </c>
      <c r="C72" s="157">
        <f t="shared" si="1"/>
        <v>-214.8425691</v>
      </c>
      <c r="D72" s="158" t="str">
        <f>VLOOKUP(A72,'Classement RoC'!$B$2:$C$149,1,0)</f>
        <v>#N/A</v>
      </c>
      <c r="E72" s="163" t="str">
        <f t="shared" si="2"/>
        <v>#N/A</v>
      </c>
      <c r="F72" s="120" t="str">
        <f>VLOOKUP(A72,'Classement Général'!$B$2:$B$146,1,0)</f>
        <v>#N/A</v>
      </c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</row>
    <row r="73" ht="14.25" customHeight="1">
      <c r="A73" s="160"/>
      <c r="B73" s="161">
        <v>72.0</v>
      </c>
      <c r="C73" s="157">
        <f t="shared" si="1"/>
        <v>-223.8241559</v>
      </c>
      <c r="D73" s="158" t="str">
        <f>VLOOKUP(A73,'Classement RoC'!$B$2:$C$149,1,0)</f>
        <v>#N/A</v>
      </c>
      <c r="E73" s="163" t="str">
        <f t="shared" si="2"/>
        <v>#N/A</v>
      </c>
      <c r="F73" s="120" t="str">
        <f>VLOOKUP(A73,'Classement Général'!$B$2:$B$146,1,0)</f>
        <v>#N/A</v>
      </c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</row>
    <row r="74" ht="14.25" customHeight="1">
      <c r="A74" s="160"/>
      <c r="B74" s="156">
        <v>73.0</v>
      </c>
      <c r="C74" s="157">
        <f t="shared" si="1"/>
        <v>-232.7516509</v>
      </c>
      <c r="D74" s="158" t="str">
        <f>VLOOKUP(A74,'Classement RoC'!$B$2:$C$149,1,0)</f>
        <v>#N/A</v>
      </c>
      <c r="E74" s="163" t="str">
        <f t="shared" si="2"/>
        <v>#N/A</v>
      </c>
      <c r="F74" s="120" t="str">
        <f>VLOOKUP(A74,'Classement Général'!$B$2:$B$146,1,0)</f>
        <v>#N/A</v>
      </c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</row>
    <row r="75" ht="14.25" customHeight="1">
      <c r="A75" s="160"/>
      <c r="B75" s="161">
        <v>74.0</v>
      </c>
      <c r="C75" s="157">
        <f t="shared" si="1"/>
        <v>-241.6263659</v>
      </c>
      <c r="D75" s="158" t="str">
        <f>VLOOKUP(A75,'Classement RoC'!$B$2:$C$149,1,0)</f>
        <v>#N/A</v>
      </c>
      <c r="E75" s="163" t="str">
        <f t="shared" si="2"/>
        <v>#N/A</v>
      </c>
      <c r="F75" s="120" t="str">
        <f>VLOOKUP(A75,'Classement Général'!$B$2:$B$146,1,0)</f>
        <v>#N/A</v>
      </c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</row>
    <row r="76" ht="14.25" customHeight="1">
      <c r="A76" s="160"/>
      <c r="B76" s="156">
        <v>75.0</v>
      </c>
      <c r="C76" s="157">
        <f t="shared" si="1"/>
        <v>-250.4495614</v>
      </c>
      <c r="D76" s="158" t="str">
        <f>VLOOKUP(A76,'Classement RoC'!$B$2:$C$149,1,0)</f>
        <v>#N/A</v>
      </c>
      <c r="E76" s="163" t="str">
        <f t="shared" si="2"/>
        <v>#N/A</v>
      </c>
      <c r="F76" s="120" t="str">
        <f>VLOOKUP(A76,'Classement Général'!$B$2:$B$146,1,0)</f>
        <v>#N/A</v>
      </c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</row>
    <row r="77" ht="14.25" customHeight="1">
      <c r="A77" s="160"/>
      <c r="B77" s="161">
        <v>76.0</v>
      </c>
      <c r="C77" s="157">
        <f t="shared" si="1"/>
        <v>-259.2224491</v>
      </c>
      <c r="D77" s="158" t="str">
        <f>VLOOKUP(A77,'Classement RoC'!$B$2:$C$149,1,0)</f>
        <v>#N/A</v>
      </c>
      <c r="E77" s="163" t="str">
        <f t="shared" si="2"/>
        <v>#N/A</v>
      </c>
      <c r="F77" s="120" t="str">
        <f>VLOOKUP(A77,'Classement Général'!$B$2:$B$146,1,0)</f>
        <v>#N/A</v>
      </c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</row>
    <row r="78" ht="14.25" customHeight="1">
      <c r="A78" s="160"/>
      <c r="B78" s="156">
        <v>77.0</v>
      </c>
      <c r="C78" s="157">
        <f t="shared" si="1"/>
        <v>-267.9461945</v>
      </c>
      <c r="D78" s="158" t="str">
        <f>VLOOKUP(A78,'Classement RoC'!$B$2:$C$149,1,0)</f>
        <v>#N/A</v>
      </c>
      <c r="E78" s="163" t="str">
        <f t="shared" si="2"/>
        <v>#N/A</v>
      </c>
      <c r="F78" s="120" t="str">
        <f>VLOOKUP(A78,'Classement Général'!$B$2:$B$146,1,0)</f>
        <v>#N/A</v>
      </c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</row>
    <row r="79" ht="14.25" customHeight="1">
      <c r="A79" s="160"/>
      <c r="B79" s="161">
        <v>78.0</v>
      </c>
      <c r="C79" s="157">
        <f t="shared" si="1"/>
        <v>-276.6219195</v>
      </c>
      <c r="D79" s="158" t="str">
        <f>VLOOKUP(A79,'Classement RoC'!$B$2:$C$149,1,0)</f>
        <v>#N/A</v>
      </c>
      <c r="E79" s="163" t="str">
        <f t="shared" si="2"/>
        <v>#N/A</v>
      </c>
      <c r="F79" s="120" t="str">
        <f>VLOOKUP(A79,'Classement Général'!$B$2:$B$146,1,0)</f>
        <v>#N/A</v>
      </c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</row>
    <row r="80" ht="14.25" customHeight="1">
      <c r="A80" s="160"/>
      <c r="B80" s="156">
        <v>79.0</v>
      </c>
      <c r="C80" s="157">
        <f t="shared" si="1"/>
        <v>-285.2507042</v>
      </c>
      <c r="D80" s="158" t="str">
        <f>VLOOKUP(A80,'Classement RoC'!$B$2:$C$149,1,0)</f>
        <v>#N/A</v>
      </c>
      <c r="E80" s="163" t="str">
        <f t="shared" si="2"/>
        <v>#N/A</v>
      </c>
      <c r="F80" s="120" t="str">
        <f>VLOOKUP(A80,'Classement Général'!$B$2:$B$146,1,0)</f>
        <v>#N/A</v>
      </c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</row>
    <row r="81" ht="14.25" customHeight="1">
      <c r="A81" s="160"/>
      <c r="B81" s="161">
        <v>80.0</v>
      </c>
      <c r="C81" s="157">
        <f t="shared" si="1"/>
        <v>-293.8335895</v>
      </c>
      <c r="D81" s="158" t="str">
        <f>VLOOKUP(A81,'Classement RoC'!$B$2:$C$149,1,0)</f>
        <v>#N/A</v>
      </c>
      <c r="E81" s="163" t="str">
        <f t="shared" si="2"/>
        <v>#N/A</v>
      </c>
      <c r="F81" s="120" t="str">
        <f>VLOOKUP(A81,'Classement Général'!$B$2:$B$146,1,0)</f>
        <v>#N/A</v>
      </c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</row>
    <row r="82" ht="14.25" customHeight="1">
      <c r="A82" s="160"/>
      <c r="B82" s="156">
        <v>81.0</v>
      </c>
      <c r="C82" s="157">
        <f t="shared" si="1"/>
        <v>-302.3715784</v>
      </c>
      <c r="D82" s="158" t="str">
        <f>VLOOKUP(A82,'Classement RoC'!$B$2:$C$149,1,0)</f>
        <v>#N/A</v>
      </c>
      <c r="E82" s="163" t="str">
        <f t="shared" si="2"/>
        <v>#N/A</v>
      </c>
      <c r="F82" s="120" t="str">
        <f>VLOOKUP(A82,'Classement Général'!$B$2:$B$146,1,0)</f>
        <v>#N/A</v>
      </c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</row>
    <row r="83" ht="14.25" customHeight="1">
      <c r="A83" s="160"/>
      <c r="B83" s="161">
        <v>82.0</v>
      </c>
      <c r="C83" s="157">
        <f t="shared" si="1"/>
        <v>-310.8656386</v>
      </c>
      <c r="D83" s="158" t="str">
        <f>VLOOKUP(A83,'Classement RoC'!$B$2:$C$149,1,0)</f>
        <v>#N/A</v>
      </c>
      <c r="E83" s="163" t="str">
        <f t="shared" si="2"/>
        <v>#N/A</v>
      </c>
      <c r="F83" s="120" t="str">
        <f>VLOOKUP(A83,'Classement Général'!$B$2:$B$146,1,0)</f>
        <v>#N/A</v>
      </c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</row>
    <row r="84" ht="14.25" customHeight="1">
      <c r="A84" s="160"/>
      <c r="B84" s="156">
        <v>83.0</v>
      </c>
      <c r="C84" s="157">
        <f t="shared" si="1"/>
        <v>-319.3167036</v>
      </c>
      <c r="D84" s="158" t="str">
        <f>VLOOKUP(A84,'Classement RoC'!$B$2:$C$149,1,0)</f>
        <v>#N/A</v>
      </c>
      <c r="E84" s="163" t="str">
        <f t="shared" si="2"/>
        <v>#N/A</v>
      </c>
      <c r="F84" s="120" t="str">
        <f>VLOOKUP(A84,'Classement Général'!$B$2:$B$146,1,0)</f>
        <v>#N/A</v>
      </c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</row>
    <row r="85" ht="14.25" customHeight="1">
      <c r="A85" s="160"/>
      <c r="B85" s="161">
        <v>84.0</v>
      </c>
      <c r="C85" s="157">
        <f t="shared" si="1"/>
        <v>-327.7256747</v>
      </c>
      <c r="D85" s="158" t="str">
        <f>VLOOKUP(A85,'Classement RoC'!$B$2:$C$149,1,0)</f>
        <v>#N/A</v>
      </c>
      <c r="E85" s="163" t="str">
        <f t="shared" si="2"/>
        <v>#N/A</v>
      </c>
      <c r="F85" s="120" t="str">
        <f>VLOOKUP(A85,'Classement Général'!$B$2:$B$146,1,0)</f>
        <v>#N/A</v>
      </c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</row>
    <row r="86" ht="14.25" customHeight="1">
      <c r="A86" s="160"/>
      <c r="B86" s="156">
        <v>85.0</v>
      </c>
      <c r="C86" s="157">
        <f t="shared" si="1"/>
        <v>-336.0934221</v>
      </c>
      <c r="D86" s="158" t="str">
        <f>VLOOKUP(A86,'Classement RoC'!$B$2:$C$149,1,0)</f>
        <v>#N/A</v>
      </c>
      <c r="E86" s="163" t="str">
        <f t="shared" si="2"/>
        <v>#N/A</v>
      </c>
      <c r="F86" s="120" t="str">
        <f>VLOOKUP(A86,'Classement Général'!$B$2:$B$146,1,0)</f>
        <v>#N/A</v>
      </c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</row>
    <row r="87" ht="14.25" customHeight="1">
      <c r="A87" s="160"/>
      <c r="B87" s="161">
        <v>86.0</v>
      </c>
      <c r="C87" s="157">
        <f t="shared" si="1"/>
        <v>-344.4207869</v>
      </c>
      <c r="D87" s="158" t="str">
        <f>VLOOKUP(A87,'Classement RoC'!$B$2:$C$149,1,0)</f>
        <v>#N/A</v>
      </c>
      <c r="E87" s="163" t="str">
        <f t="shared" si="2"/>
        <v>#N/A</v>
      </c>
      <c r="F87" s="120" t="str">
        <f>VLOOKUP(A87,'Classement Général'!$B$2:$B$146,1,0)</f>
        <v>#N/A</v>
      </c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</row>
    <row r="88" ht="14.25" customHeight="1">
      <c r="A88" s="160"/>
      <c r="B88" s="156">
        <v>87.0</v>
      </c>
      <c r="C88" s="157">
        <f t="shared" si="1"/>
        <v>-352.7085819</v>
      </c>
      <c r="D88" s="158" t="str">
        <f>VLOOKUP(A88,'Classement RoC'!$B$2:$C$149,1,0)</f>
        <v>#N/A</v>
      </c>
      <c r="E88" s="163" t="str">
        <f t="shared" si="2"/>
        <v>#N/A</v>
      </c>
      <c r="F88" s="120" t="str">
        <f>VLOOKUP(A88,'Classement Général'!$B$2:$B$146,1,0)</f>
        <v>#N/A</v>
      </c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</row>
    <row r="89" ht="14.25" customHeight="1">
      <c r="A89" s="160"/>
      <c r="B89" s="161">
        <v>88.0</v>
      </c>
      <c r="C89" s="157">
        <f t="shared" si="1"/>
        <v>-360.9575934</v>
      </c>
      <c r="D89" s="158" t="str">
        <f>VLOOKUP(A89,'Classement RoC'!$B$2:$C$149,1,0)</f>
        <v>#N/A</v>
      </c>
      <c r="E89" s="163" t="str">
        <f t="shared" si="2"/>
        <v>#N/A</v>
      </c>
      <c r="F89" s="120" t="str">
        <f>VLOOKUP(A89,'Classement Général'!$B$2:$B$146,1,0)</f>
        <v>#N/A</v>
      </c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</row>
    <row r="90" ht="14.25" customHeight="1">
      <c r="A90" s="160"/>
      <c r="B90" s="156">
        <v>89.0</v>
      </c>
      <c r="C90" s="157">
        <f t="shared" si="1"/>
        <v>-369.1685817</v>
      </c>
      <c r="D90" s="158" t="str">
        <f>VLOOKUP(A90,'Classement RoC'!$B$2:$C$149,1,0)</f>
        <v>#N/A</v>
      </c>
      <c r="E90" s="163" t="str">
        <f t="shared" si="2"/>
        <v>#N/A</v>
      </c>
      <c r="F90" s="120" t="str">
        <f>VLOOKUP(A90,'Classement Général'!$B$2:$B$146,1,0)</f>
        <v>#N/A</v>
      </c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</row>
    <row r="91" ht="14.25" customHeight="1">
      <c r="A91" s="160"/>
      <c r="B91" s="161">
        <v>90.0</v>
      </c>
      <c r="C91" s="157">
        <f t="shared" si="1"/>
        <v>-377.342283</v>
      </c>
      <c r="D91" s="158" t="str">
        <f>VLOOKUP(A91,'Classement RoC'!$B$2:$C$149,1,0)</f>
        <v>#N/A</v>
      </c>
      <c r="E91" s="163" t="str">
        <f t="shared" si="2"/>
        <v>#N/A</v>
      </c>
      <c r="F91" s="120" t="str">
        <f>VLOOKUP(A91,'Classement Général'!$B$2:$B$146,1,0)</f>
        <v>#N/A</v>
      </c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</row>
    <row r="92" ht="14.25" customHeight="1">
      <c r="A92" s="160"/>
      <c r="B92" s="156">
        <v>91.0</v>
      </c>
      <c r="C92" s="157">
        <f t="shared" si="1"/>
        <v>-385.4794101</v>
      </c>
      <c r="D92" s="158" t="str">
        <f>VLOOKUP(A92,'Classement RoC'!$B$2:$C$149,1,0)</f>
        <v>#N/A</v>
      </c>
      <c r="E92" s="163" t="str">
        <f t="shared" si="2"/>
        <v>#N/A</v>
      </c>
      <c r="F92" s="120" t="str">
        <f>VLOOKUP(A92,'Classement Général'!$B$2:$B$146,1,0)</f>
        <v>#N/A</v>
      </c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</row>
    <row r="93" ht="14.25" customHeight="1">
      <c r="A93" s="160"/>
      <c r="B93" s="161">
        <v>92.0</v>
      </c>
      <c r="C93" s="157">
        <f t="shared" si="1"/>
        <v>-393.5806532</v>
      </c>
      <c r="D93" s="158" t="str">
        <f>VLOOKUP(A93,'Classement RoC'!$B$2:$C$149,1,0)</f>
        <v>#N/A</v>
      </c>
      <c r="E93" s="163" t="str">
        <f t="shared" si="2"/>
        <v>#N/A</v>
      </c>
      <c r="F93" s="120" t="str">
        <f>VLOOKUP(A93,'Classement Général'!$B$2:$B$146,1,0)</f>
        <v>#N/A</v>
      </c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</row>
    <row r="94" ht="14.25" customHeight="1">
      <c r="A94" s="160"/>
      <c r="B94" s="156">
        <v>93.0</v>
      </c>
      <c r="C94" s="157">
        <f t="shared" si="1"/>
        <v>-401.6466812</v>
      </c>
      <c r="D94" s="158" t="str">
        <f>VLOOKUP(A94,'Classement RoC'!$B$2:$C$149,1,0)</f>
        <v>#N/A</v>
      </c>
      <c r="E94" s="163" t="str">
        <f t="shared" si="2"/>
        <v>#N/A</v>
      </c>
      <c r="F94" s="120" t="str">
        <f>VLOOKUP(A94,'Classement Général'!$B$2:$B$146,1,0)</f>
        <v>#N/A</v>
      </c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</row>
    <row r="95" ht="14.25" customHeight="1">
      <c r="A95" s="160"/>
      <c r="B95" s="161">
        <v>94.0</v>
      </c>
      <c r="C95" s="157">
        <f t="shared" si="1"/>
        <v>-409.6781425</v>
      </c>
      <c r="D95" s="158" t="str">
        <f>VLOOKUP(A95,'Classement RoC'!$B$2:$C$149,1,0)</f>
        <v>#N/A</v>
      </c>
      <c r="E95" s="163" t="str">
        <f t="shared" si="2"/>
        <v>#N/A</v>
      </c>
      <c r="F95" s="120" t="str">
        <f>VLOOKUP(A95,'Classement Général'!$B$2:$B$146,1,0)</f>
        <v>#N/A</v>
      </c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</row>
    <row r="96" ht="14.25" customHeight="1">
      <c r="A96" s="160"/>
      <c r="B96" s="156">
        <v>95.0</v>
      </c>
      <c r="C96" s="157">
        <f t="shared" si="1"/>
        <v>-417.675666</v>
      </c>
      <c r="D96" s="158" t="str">
        <f>VLOOKUP(A96,'Classement RoC'!$B$2:$C$149,1,0)</f>
        <v>#N/A</v>
      </c>
      <c r="E96" s="163" t="str">
        <f t="shared" si="2"/>
        <v>#N/A</v>
      </c>
      <c r="F96" s="120" t="str">
        <f>VLOOKUP(A96,'Classement Général'!$B$2:$B$146,1,0)</f>
        <v>#N/A</v>
      </c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</row>
    <row r="97" ht="14.25" customHeight="1">
      <c r="A97" s="160"/>
      <c r="B97" s="161">
        <v>96.0</v>
      </c>
      <c r="C97" s="157">
        <f t="shared" si="1"/>
        <v>-425.6398614</v>
      </c>
      <c r="D97" s="158" t="str">
        <f>VLOOKUP(A97,'Classement RoC'!$B$2:$C$149,1,0)</f>
        <v>#N/A</v>
      </c>
      <c r="E97" s="163" t="str">
        <f t="shared" si="2"/>
        <v>#N/A</v>
      </c>
      <c r="F97" s="120" t="str">
        <f>VLOOKUP(A97,'Classement Général'!$B$2:$B$146,1,0)</f>
        <v>#N/A</v>
      </c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</row>
    <row r="98" ht="14.25" customHeight="1">
      <c r="A98" s="160"/>
      <c r="B98" s="156">
        <v>97.0</v>
      </c>
      <c r="C98" s="157">
        <f t="shared" si="1"/>
        <v>-433.5713205</v>
      </c>
      <c r="D98" s="158" t="str">
        <f>VLOOKUP(A98,'Classement RoC'!$B$2:$C$149,1,0)</f>
        <v>#N/A</v>
      </c>
      <c r="E98" s="163" t="str">
        <f t="shared" si="2"/>
        <v>#N/A</v>
      </c>
      <c r="F98" s="120" t="str">
        <f>VLOOKUP(A98,'Classement Général'!$B$2:$B$146,1,0)</f>
        <v>#N/A</v>
      </c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</row>
    <row r="99" ht="14.25" customHeight="1">
      <c r="A99" s="160"/>
      <c r="B99" s="161">
        <v>98.0</v>
      </c>
      <c r="C99" s="157">
        <f t="shared" si="1"/>
        <v>-441.470618</v>
      </c>
      <c r="D99" s="158" t="str">
        <f>VLOOKUP(A99,'Classement RoC'!$B$2:$C$149,1,0)</f>
        <v>#N/A</v>
      </c>
      <c r="E99" s="163" t="str">
        <f t="shared" si="2"/>
        <v>#N/A</v>
      </c>
      <c r="F99" s="120" t="str">
        <f>VLOOKUP(A99,'Classement Général'!$B$2:$B$146,1,0)</f>
        <v>#N/A</v>
      </c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</row>
    <row r="100" ht="14.25" customHeight="1">
      <c r="A100" s="160"/>
      <c r="B100" s="156">
        <v>99.0</v>
      </c>
      <c r="C100" s="157">
        <f t="shared" si="1"/>
        <v>-449.3383116</v>
      </c>
      <c r="D100" s="158" t="str">
        <f>VLOOKUP(A100,'Classement RoC'!$B$2:$C$149,1,0)</f>
        <v>#N/A</v>
      </c>
      <c r="E100" s="163" t="str">
        <f t="shared" si="2"/>
        <v>#N/A</v>
      </c>
      <c r="F100" s="120" t="str">
        <f>VLOOKUP(A100,'Classement Général'!$B$2:$B$146,1,0)</f>
        <v>#N/A</v>
      </c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</row>
    <row r="101" ht="14.25" customHeight="1">
      <c r="A101" s="160"/>
      <c r="B101" s="161">
        <v>100.0</v>
      </c>
      <c r="C101" s="157">
        <f t="shared" si="1"/>
        <v>-457.1749431</v>
      </c>
      <c r="D101" s="158" t="str">
        <f>VLOOKUP(A101,'Classement RoC'!$B$2:$C$149,1,0)</f>
        <v>#N/A</v>
      </c>
      <c r="E101" s="163" t="str">
        <f t="shared" si="2"/>
        <v>#N/A</v>
      </c>
      <c r="F101" s="120" t="str">
        <f>VLOOKUP(A101,'Classement Général'!$B$2:$B$146,1,0)</f>
        <v>#N/A</v>
      </c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</row>
    <row r="102" ht="14.25" customHeight="1">
      <c r="A102" s="160"/>
      <c r="B102" s="156">
        <v>101.0</v>
      </c>
      <c r="C102" s="157">
        <f t="shared" si="1"/>
        <v>-464.981039</v>
      </c>
      <c r="D102" s="158" t="str">
        <f>VLOOKUP(A102,'Classement RoC'!$B$2:$C$149,1,0)</f>
        <v>#N/A</v>
      </c>
      <c r="E102" s="163" t="str">
        <f t="shared" si="2"/>
        <v>#N/A</v>
      </c>
      <c r="F102" s="120" t="str">
        <f>VLOOKUP(A102,'Classement Général'!$B$2:$B$146,1,0)</f>
        <v>#N/A</v>
      </c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</row>
    <row r="103" ht="14.25" customHeight="1">
      <c r="A103" s="160"/>
      <c r="B103" s="161">
        <v>102.0</v>
      </c>
      <c r="C103" s="157">
        <f t="shared" si="1"/>
        <v>-472.757111</v>
      </c>
      <c r="D103" s="158" t="str">
        <f>VLOOKUP(A103,'Classement RoC'!$B$2:$C$149,1,0)</f>
        <v>#N/A</v>
      </c>
      <c r="E103" s="163" t="str">
        <f t="shared" si="2"/>
        <v>#N/A</v>
      </c>
      <c r="F103" s="120" t="str">
        <f>VLOOKUP(A103,'Classement Général'!$B$2:$B$146,1,0)</f>
        <v>#N/A</v>
      </c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</row>
    <row r="104" ht="14.25" customHeight="1">
      <c r="A104" s="160"/>
      <c r="B104" s="156">
        <v>103.0</v>
      </c>
      <c r="C104" s="157">
        <f t="shared" si="1"/>
        <v>-480.5036567</v>
      </c>
      <c r="D104" s="158" t="str">
        <f>VLOOKUP(A104,'Classement RoC'!$B$2:$C$149,1,0)</f>
        <v>#N/A</v>
      </c>
      <c r="E104" s="163" t="str">
        <f t="shared" si="2"/>
        <v>#N/A</v>
      </c>
      <c r="F104" s="120" t="str">
        <f>VLOOKUP(A104,'Classement Général'!$B$2:$B$146,1,0)</f>
        <v>#N/A</v>
      </c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</row>
    <row r="105" ht="14.25" customHeight="1">
      <c r="A105" s="160"/>
      <c r="B105" s="161">
        <v>104.0</v>
      </c>
      <c r="C105" s="157">
        <f t="shared" si="1"/>
        <v>-488.2211598</v>
      </c>
      <c r="D105" s="158" t="str">
        <f>VLOOKUP(A105,'Classement RoC'!$B$2:$C$149,1,0)</f>
        <v>#N/A</v>
      </c>
      <c r="E105" s="163" t="str">
        <f t="shared" si="2"/>
        <v>#N/A</v>
      </c>
      <c r="F105" s="120" t="str">
        <f>VLOOKUP(A105,'Classement Général'!$B$2:$B$146,1,0)</f>
        <v>#N/A</v>
      </c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</row>
    <row r="106" ht="14.25" customHeight="1">
      <c r="A106" s="160"/>
      <c r="B106" s="156">
        <v>105.0</v>
      </c>
      <c r="C106" s="157">
        <f t="shared" si="1"/>
        <v>-495.910091</v>
      </c>
      <c r="D106" s="158" t="str">
        <f>VLOOKUP(A106,'Classement RoC'!$B$2:$C$149,1,0)</f>
        <v>#N/A</v>
      </c>
      <c r="E106" s="163" t="str">
        <f t="shared" si="2"/>
        <v>#N/A</v>
      </c>
      <c r="F106" s="120" t="str">
        <f>VLOOKUP(A106,'Classement Général'!$B$2:$B$146,1,0)</f>
        <v>#N/A</v>
      </c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</row>
    <row r="107" ht="14.25" customHeight="1">
      <c r="A107" s="160"/>
      <c r="B107" s="161">
        <v>106.0</v>
      </c>
      <c r="C107" s="157">
        <f t="shared" si="1"/>
        <v>-503.5709084</v>
      </c>
      <c r="D107" s="158" t="str">
        <f>VLOOKUP(A107,'Classement RoC'!$B$2:$C$149,1,0)</f>
        <v>#N/A</v>
      </c>
      <c r="E107" s="163" t="str">
        <f t="shared" si="2"/>
        <v>#N/A</v>
      </c>
      <c r="F107" s="120" t="str">
        <f>VLOOKUP(A107,'Classement Général'!$B$2:$B$146,1,0)</f>
        <v>#N/A</v>
      </c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</row>
    <row r="108" ht="14.25" customHeight="1">
      <c r="A108" s="160"/>
      <c r="B108" s="156">
        <v>107.0</v>
      </c>
      <c r="C108" s="157">
        <f t="shared" si="1"/>
        <v>-511.2040579</v>
      </c>
      <c r="D108" s="158" t="str">
        <f>VLOOKUP(A108,'Classement RoC'!$B$2:$C$149,1,0)</f>
        <v>#N/A</v>
      </c>
      <c r="E108" s="163" t="str">
        <f t="shared" si="2"/>
        <v>#N/A</v>
      </c>
      <c r="F108" s="120" t="str">
        <f>VLOOKUP(A108,'Classement Général'!$B$2:$B$146,1,0)</f>
        <v>#N/A</v>
      </c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</row>
    <row r="109" ht="14.25" customHeight="1">
      <c r="A109" s="160"/>
      <c r="B109" s="161">
        <v>108.0</v>
      </c>
      <c r="C109" s="157">
        <f t="shared" si="1"/>
        <v>-518.8099733</v>
      </c>
      <c r="D109" s="158" t="str">
        <f>VLOOKUP(A109,'Classement RoC'!$B$2:$C$149,1,0)</f>
        <v>#N/A</v>
      </c>
      <c r="E109" s="163" t="str">
        <f t="shared" si="2"/>
        <v>#N/A</v>
      </c>
      <c r="F109" s="120" t="str">
        <f>VLOOKUP(A109,'Classement Général'!$B$2:$B$146,1,0)</f>
        <v>#N/A</v>
      </c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</row>
    <row r="110" ht="14.25" customHeight="1">
      <c r="A110" s="160"/>
      <c r="B110" s="156">
        <v>109.0</v>
      </c>
      <c r="C110" s="157">
        <f t="shared" si="1"/>
        <v>-526.3890777</v>
      </c>
      <c r="D110" s="158" t="str">
        <f>VLOOKUP(A110,'Classement RoC'!$B$2:$C$149,1,0)</f>
        <v>#N/A</v>
      </c>
      <c r="E110" s="163" t="str">
        <f t="shared" si="2"/>
        <v>#N/A</v>
      </c>
      <c r="F110" s="120" t="str">
        <f>VLOOKUP(A110,'Classement Général'!$B$2:$B$146,1,0)</f>
        <v>#N/A</v>
      </c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</row>
    <row r="111" ht="14.25" customHeight="1">
      <c r="A111" s="160"/>
      <c r="B111" s="161">
        <v>110.0</v>
      </c>
      <c r="C111" s="157">
        <f t="shared" si="1"/>
        <v>-533.9417826</v>
      </c>
      <c r="D111" s="158" t="str">
        <f>VLOOKUP(A111,'Classement RoC'!$B$2:$C$149,1,0)</f>
        <v>#N/A</v>
      </c>
      <c r="E111" s="163" t="str">
        <f t="shared" si="2"/>
        <v>#N/A</v>
      </c>
      <c r="F111" s="120" t="str">
        <f>VLOOKUP(A111,'Classement Général'!$B$2:$B$146,1,0)</f>
        <v>#N/A</v>
      </c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</row>
    <row r="112" ht="14.25" customHeight="1">
      <c r="A112" s="160"/>
      <c r="B112" s="156">
        <v>111.0</v>
      </c>
      <c r="C112" s="157">
        <f t="shared" si="1"/>
        <v>-541.4684896</v>
      </c>
      <c r="D112" s="158" t="str">
        <f>VLOOKUP(A112,'Classement RoC'!$B$2:$C$149,1,0)</f>
        <v>#N/A</v>
      </c>
      <c r="E112" s="163" t="str">
        <f t="shared" si="2"/>
        <v>#N/A</v>
      </c>
      <c r="F112" s="120" t="str">
        <f>VLOOKUP(A112,'Classement Général'!$B$2:$B$146,1,0)</f>
        <v>#N/A</v>
      </c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</row>
    <row r="113" ht="14.25" customHeight="1">
      <c r="A113" s="160"/>
      <c r="B113" s="161">
        <v>112.0</v>
      </c>
      <c r="C113" s="157">
        <f t="shared" si="1"/>
        <v>-548.9695896</v>
      </c>
      <c r="D113" s="158" t="str">
        <f>VLOOKUP(A113,'Classement RoC'!$B$2:$C$149,1,0)</f>
        <v>#N/A</v>
      </c>
      <c r="E113" s="163" t="str">
        <f t="shared" si="2"/>
        <v>#N/A</v>
      </c>
      <c r="F113" s="120" t="str">
        <f>VLOOKUP(A113,'Classement Général'!$B$2:$B$146,1,0)</f>
        <v>#N/A</v>
      </c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</row>
    <row r="114" ht="14.25" customHeight="1">
      <c r="A114" s="160"/>
      <c r="B114" s="156">
        <v>113.0</v>
      </c>
      <c r="C114" s="157">
        <f t="shared" si="1"/>
        <v>-556.445464</v>
      </c>
      <c r="D114" s="158" t="str">
        <f>VLOOKUP(A114,'Classement RoC'!$B$2:$C$149,1,0)</f>
        <v>#N/A</v>
      </c>
      <c r="E114" s="163" t="str">
        <f t="shared" si="2"/>
        <v>#N/A</v>
      </c>
      <c r="F114" s="120" t="str">
        <f>VLOOKUP(A114,'Classement Général'!$B$2:$B$146,1,0)</f>
        <v>#N/A</v>
      </c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</row>
    <row r="115" ht="14.25" customHeight="1">
      <c r="A115" s="160"/>
      <c r="B115" s="161">
        <v>114.0</v>
      </c>
      <c r="C115" s="157">
        <f t="shared" si="1"/>
        <v>-563.8964847</v>
      </c>
      <c r="D115" s="158" t="str">
        <f>VLOOKUP(A115,'Classement RoC'!$B$2:$C$149,1,0)</f>
        <v>#N/A</v>
      </c>
      <c r="E115" s="163" t="str">
        <f t="shared" si="2"/>
        <v>#N/A</v>
      </c>
      <c r="F115" s="120" t="str">
        <f>VLOOKUP(A115,'Classement Général'!$B$2:$B$146,1,0)</f>
        <v>#N/A</v>
      </c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</row>
    <row r="116" ht="14.25" customHeight="1">
      <c r="A116" s="160"/>
      <c r="B116" s="156">
        <v>115.0</v>
      </c>
      <c r="C116" s="157">
        <f t="shared" si="1"/>
        <v>-571.3230143</v>
      </c>
      <c r="D116" s="158" t="str">
        <f>VLOOKUP(A116,'Classement RoC'!$B$2:$C$149,1,0)</f>
        <v>#N/A</v>
      </c>
      <c r="E116" s="163" t="str">
        <f t="shared" si="2"/>
        <v>#N/A</v>
      </c>
      <c r="F116" s="120" t="str">
        <f>VLOOKUP(A116,'Classement Général'!$B$2:$B$146,1,0)</f>
        <v>#N/A</v>
      </c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</row>
    <row r="117" ht="14.25" customHeight="1">
      <c r="A117" s="160"/>
      <c r="B117" s="161">
        <v>116.0</v>
      </c>
      <c r="C117" s="157">
        <f t="shared" si="1"/>
        <v>-578.7254067</v>
      </c>
      <c r="D117" s="158" t="str">
        <f>VLOOKUP(A117,'Classement RoC'!$B$2:$C$149,1,0)</f>
        <v>#N/A</v>
      </c>
      <c r="E117" s="163" t="str">
        <f t="shared" si="2"/>
        <v>#N/A</v>
      </c>
      <c r="F117" s="120" t="str">
        <f>VLOOKUP(A117,'Classement Général'!$B$2:$B$146,1,0)</f>
        <v>#N/A</v>
      </c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</row>
    <row r="118" ht="14.25" customHeight="1">
      <c r="A118" s="160"/>
      <c r="B118" s="156">
        <v>117.0</v>
      </c>
      <c r="C118" s="157">
        <f t="shared" si="1"/>
        <v>-586.1040072</v>
      </c>
      <c r="D118" s="158" t="str">
        <f>VLOOKUP(A118,'Classement RoC'!$B$2:$C$149,1,0)</f>
        <v>#N/A</v>
      </c>
      <c r="E118" s="163" t="str">
        <f t="shared" si="2"/>
        <v>#N/A</v>
      </c>
      <c r="F118" s="120" t="str">
        <f>VLOOKUP(A118,'Classement Général'!$B$2:$B$146,1,0)</f>
        <v>#N/A</v>
      </c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</row>
    <row r="119" ht="14.25" customHeight="1">
      <c r="A119" s="160"/>
      <c r="B119" s="161">
        <v>118.0</v>
      </c>
      <c r="C119" s="157">
        <f t="shared" si="1"/>
        <v>-593.4591528</v>
      </c>
      <c r="D119" s="158" t="str">
        <f>VLOOKUP(A119,'Classement RoC'!$B$2:$C$149,1,0)</f>
        <v>#N/A</v>
      </c>
      <c r="E119" s="163" t="str">
        <f t="shared" si="2"/>
        <v>#N/A</v>
      </c>
      <c r="F119" s="120" t="str">
        <f>VLOOKUP(A119,'Classement Général'!$B$2:$B$146,1,0)</f>
        <v>#N/A</v>
      </c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</row>
    <row r="120" ht="14.25" customHeight="1">
      <c r="A120" s="160"/>
      <c r="B120" s="156">
        <v>119.0</v>
      </c>
      <c r="C120" s="157">
        <f t="shared" si="1"/>
        <v>-600.7911727</v>
      </c>
      <c r="D120" s="158" t="str">
        <f>VLOOKUP(A120,'Classement RoC'!$B$2:$C$149,1,0)</f>
        <v>#N/A</v>
      </c>
      <c r="E120" s="163" t="str">
        <f t="shared" si="2"/>
        <v>#N/A</v>
      </c>
      <c r="F120" s="120" t="str">
        <f>VLOOKUP(A120,'Classement Général'!$B$2:$B$146,1,0)</f>
        <v>#N/A</v>
      </c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</row>
    <row r="121" ht="14.25" customHeight="1">
      <c r="A121" s="160"/>
      <c r="B121" s="161">
        <v>120.0</v>
      </c>
      <c r="C121" s="157">
        <f t="shared" si="1"/>
        <v>-608.1003881</v>
      </c>
      <c r="D121" s="158" t="str">
        <f>VLOOKUP(A121,'Classement RoC'!$B$2:$C$149,1,0)</f>
        <v>#N/A</v>
      </c>
      <c r="E121" s="163" t="str">
        <f t="shared" si="2"/>
        <v>#N/A</v>
      </c>
      <c r="F121" s="120" t="str">
        <f>VLOOKUP(A121,'Classement Général'!$B$2:$B$146,1,0)</f>
        <v>#N/A</v>
      </c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</row>
    <row r="122" ht="14.25" customHeight="1">
      <c r="A122" s="160"/>
      <c r="B122" s="156">
        <v>121.0</v>
      </c>
      <c r="C122" s="157">
        <f t="shared" si="1"/>
        <v>-615.3871129</v>
      </c>
      <c r="D122" s="158" t="str">
        <f>VLOOKUP(A122,'Classement RoC'!$B$2:$C$149,1,0)</f>
        <v>#N/A</v>
      </c>
      <c r="E122" s="163" t="str">
        <f t="shared" si="2"/>
        <v>#N/A</v>
      </c>
      <c r="F122" s="120" t="str">
        <f>VLOOKUP(A122,'Classement Général'!$B$2:$B$146,1,0)</f>
        <v>#N/A</v>
      </c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</row>
    <row r="123" ht="14.25" customHeight="1">
      <c r="A123" s="160"/>
      <c r="B123" s="161">
        <v>122.0</v>
      </c>
      <c r="C123" s="157">
        <f t="shared" si="1"/>
        <v>-622.6516536</v>
      </c>
      <c r="D123" s="158" t="str">
        <f>VLOOKUP(A123,'Classement RoC'!$B$2:$C$149,1,0)</f>
        <v>#N/A</v>
      </c>
      <c r="E123" s="163" t="str">
        <f t="shared" si="2"/>
        <v>#N/A</v>
      </c>
      <c r="F123" s="120" t="str">
        <f>VLOOKUP(A123,'Classement Général'!$B$2:$B$146,1,0)</f>
        <v>#N/A</v>
      </c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</row>
    <row r="124" ht="14.25" customHeight="1">
      <c r="A124" s="160"/>
      <c r="B124" s="156">
        <v>123.0</v>
      </c>
      <c r="C124" s="157">
        <f t="shared" si="1"/>
        <v>-629.89431</v>
      </c>
      <c r="D124" s="158" t="str">
        <f>VLOOKUP(A124,'Classement RoC'!$B$2:$C$149,1,0)</f>
        <v>#N/A</v>
      </c>
      <c r="E124" s="163" t="str">
        <f t="shared" si="2"/>
        <v>#N/A</v>
      </c>
      <c r="F124" s="120" t="str">
        <f>VLOOKUP(A124,'Classement Général'!$B$2:$B$146,1,0)</f>
        <v>#N/A</v>
      </c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</row>
    <row r="125" ht="14.25" customHeight="1">
      <c r="A125" s="160"/>
      <c r="B125" s="161">
        <v>124.0</v>
      </c>
      <c r="C125" s="157">
        <f t="shared" si="1"/>
        <v>-637.1153747</v>
      </c>
      <c r="D125" s="158" t="str">
        <f>VLOOKUP(A125,'Classement RoC'!$B$2:$C$149,1,0)</f>
        <v>#N/A</v>
      </c>
      <c r="E125" s="163" t="str">
        <f t="shared" si="2"/>
        <v>#N/A</v>
      </c>
      <c r="F125" s="120" t="str">
        <f>VLOOKUP(A125,'Classement Général'!$B$2:$B$146,1,0)</f>
        <v>#N/A</v>
      </c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</row>
    <row r="126" ht="14.25" customHeight="1">
      <c r="A126" s="160"/>
      <c r="B126" s="156">
        <v>125.0</v>
      </c>
      <c r="C126" s="157">
        <f t="shared" si="1"/>
        <v>-644.315134</v>
      </c>
      <c r="D126" s="158" t="str">
        <f>VLOOKUP(A126,'Classement RoC'!$B$2:$C$149,1,0)</f>
        <v>#N/A</v>
      </c>
      <c r="E126" s="163" t="str">
        <f t="shared" si="2"/>
        <v>#N/A</v>
      </c>
      <c r="F126" s="120" t="str">
        <f>VLOOKUP(A126,'Classement Général'!$B$2:$B$146,1,0)</f>
        <v>#N/A</v>
      </c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</row>
    <row r="127" ht="14.25" customHeight="1">
      <c r="A127" s="160"/>
      <c r="B127" s="161">
        <v>126.0</v>
      </c>
      <c r="C127" s="157">
        <f t="shared" si="1"/>
        <v>-651.4938678</v>
      </c>
      <c r="D127" s="158" t="str">
        <f>VLOOKUP(A127,'Classement RoC'!$B$2:$C$149,1,0)</f>
        <v>#N/A</v>
      </c>
      <c r="E127" s="163" t="str">
        <f t="shared" si="2"/>
        <v>#N/A</v>
      </c>
      <c r="F127" s="120" t="str">
        <f>VLOOKUP(A127,'Classement Général'!$B$2:$B$146,1,0)</f>
        <v>#N/A</v>
      </c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</row>
    <row r="128" ht="14.25" customHeight="1">
      <c r="A128" s="160"/>
      <c r="B128" s="156">
        <v>127.0</v>
      </c>
      <c r="C128" s="157">
        <f t="shared" si="1"/>
        <v>-658.6518498</v>
      </c>
      <c r="D128" s="158" t="str">
        <f>VLOOKUP(A128,'Classement RoC'!$B$2:$C$149,1,0)</f>
        <v>#N/A</v>
      </c>
      <c r="E128" s="163" t="str">
        <f t="shared" si="2"/>
        <v>#N/A</v>
      </c>
      <c r="F128" s="120" t="str">
        <f>VLOOKUP(A128,'Classement Général'!$B$2:$B$146,1,0)</f>
        <v>#N/A</v>
      </c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</row>
    <row r="129" ht="14.25" customHeight="1">
      <c r="A129" s="160"/>
      <c r="B129" s="161">
        <v>128.0</v>
      </c>
      <c r="C129" s="157">
        <f t="shared" si="1"/>
        <v>-665.7893475</v>
      </c>
      <c r="D129" s="158" t="str">
        <f>VLOOKUP(A129,'Classement RoC'!$B$2:$C$149,1,0)</f>
        <v>#N/A</v>
      </c>
      <c r="E129" s="163" t="str">
        <f t="shared" si="2"/>
        <v>#N/A</v>
      </c>
      <c r="F129" s="120" t="str">
        <f>VLOOKUP(A129,'Classement Général'!$B$2:$B$146,1,0)</f>
        <v>#N/A</v>
      </c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</row>
    <row r="130" ht="14.25" customHeight="1">
      <c r="A130" s="160"/>
      <c r="B130" s="156">
        <v>129.0</v>
      </c>
      <c r="C130" s="157">
        <f t="shared" si="1"/>
        <v>-672.906623</v>
      </c>
      <c r="D130" s="158" t="str">
        <f>VLOOKUP(A130,'Classement RoC'!$B$2:$C$149,1,0)</f>
        <v>#N/A</v>
      </c>
      <c r="E130" s="163" t="str">
        <f t="shared" si="2"/>
        <v>#N/A</v>
      </c>
      <c r="F130" s="120" t="str">
        <f>VLOOKUP(A130,'Classement Général'!$B$2:$B$146,1,0)</f>
        <v>#N/A</v>
      </c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</row>
    <row r="131" ht="14.25" customHeight="1">
      <c r="A131" s="160"/>
      <c r="B131" s="161">
        <v>130.0</v>
      </c>
      <c r="C131" s="157">
        <f t="shared" si="1"/>
        <v>-680.0039324</v>
      </c>
      <c r="D131" s="158" t="str">
        <f>VLOOKUP(A131,'Classement RoC'!$B$2:$C$149,1,0)</f>
        <v>#N/A</v>
      </c>
      <c r="E131" s="163" t="str">
        <f t="shared" si="2"/>
        <v>#N/A</v>
      </c>
      <c r="F131" s="120" t="str">
        <f>VLOOKUP(A131,'Classement Général'!$B$2:$B$146,1,0)</f>
        <v>#N/A</v>
      </c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</row>
    <row r="132" ht="14.25" customHeight="1">
      <c r="A132" s="160"/>
      <c r="B132" s="156">
        <v>131.0</v>
      </c>
      <c r="C132" s="157">
        <f t="shared" si="1"/>
        <v>-687.0815265</v>
      </c>
      <c r="D132" s="158" t="str">
        <f>VLOOKUP(A132,'Classement RoC'!$B$2:$C$149,1,0)</f>
        <v>#N/A</v>
      </c>
      <c r="E132" s="163" t="str">
        <f t="shared" si="2"/>
        <v>#N/A</v>
      </c>
      <c r="F132" s="120" t="str">
        <f>VLOOKUP(A132,'Classement Général'!$B$2:$B$146,1,0)</f>
        <v>#N/A</v>
      </c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</row>
    <row r="133" ht="14.25" customHeight="1">
      <c r="A133" s="160"/>
      <c r="B133" s="161">
        <v>132.0</v>
      </c>
      <c r="C133" s="157">
        <f t="shared" si="1"/>
        <v>-694.1396508</v>
      </c>
      <c r="D133" s="158" t="str">
        <f>VLOOKUP(A133,'Classement RoC'!$B$2:$C$149,1,0)</f>
        <v>#N/A</v>
      </c>
      <c r="E133" s="163" t="str">
        <f t="shared" si="2"/>
        <v>#N/A</v>
      </c>
      <c r="F133" s="120" t="str">
        <f>VLOOKUP(A133,'Classement Général'!$B$2:$B$146,1,0)</f>
        <v>#N/A</v>
      </c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</row>
    <row r="134" ht="14.25" customHeight="1">
      <c r="A134" s="160"/>
      <c r="B134" s="156">
        <v>133.0</v>
      </c>
      <c r="C134" s="157">
        <f t="shared" si="1"/>
        <v>-701.1785455</v>
      </c>
      <c r="D134" s="158" t="str">
        <f>VLOOKUP(A134,'Classement RoC'!$B$2:$C$149,1,0)</f>
        <v>#N/A</v>
      </c>
      <c r="E134" s="163" t="str">
        <f t="shared" si="2"/>
        <v>#N/A</v>
      </c>
      <c r="F134" s="120" t="str">
        <f>VLOOKUP(A134,'Classement Général'!$B$2:$B$146,1,0)</f>
        <v>#N/A</v>
      </c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</row>
    <row r="135" ht="14.25" customHeight="1">
      <c r="A135" s="160"/>
      <c r="B135" s="161">
        <v>134.0</v>
      </c>
      <c r="C135" s="157">
        <f t="shared" si="1"/>
        <v>-708.1984461</v>
      </c>
      <c r="D135" s="158" t="str">
        <f>VLOOKUP(A135,'Classement RoC'!$B$2:$C$149,1,0)</f>
        <v>#N/A</v>
      </c>
      <c r="E135" s="163" t="str">
        <f t="shared" si="2"/>
        <v>#N/A</v>
      </c>
      <c r="F135" s="120" t="str">
        <f>VLOOKUP(A135,'Classement Général'!$B$2:$B$146,1,0)</f>
        <v>#N/A</v>
      </c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</row>
    <row r="136" ht="14.25" customHeight="1">
      <c r="A136" s="160"/>
      <c r="B136" s="156">
        <v>135.0</v>
      </c>
      <c r="C136" s="157">
        <f t="shared" si="1"/>
        <v>-715.1995829</v>
      </c>
      <c r="D136" s="158" t="str">
        <f>VLOOKUP(A136,'Classement RoC'!$B$2:$C$149,1,0)</f>
        <v>#N/A</v>
      </c>
      <c r="E136" s="163" t="str">
        <f t="shared" si="2"/>
        <v>#N/A</v>
      </c>
      <c r="F136" s="120" t="str">
        <f>VLOOKUP(A136,'Classement Général'!$B$2:$B$146,1,0)</f>
        <v>#N/A</v>
      </c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</row>
    <row r="137" ht="14.25" customHeight="1">
      <c r="A137" s="160"/>
      <c r="B137" s="161">
        <v>136.0</v>
      </c>
      <c r="C137" s="157">
        <f t="shared" si="1"/>
        <v>-722.1821817</v>
      </c>
      <c r="D137" s="158" t="str">
        <f>VLOOKUP(A137,'Classement RoC'!$B$2:$C$149,1,0)</f>
        <v>#N/A</v>
      </c>
      <c r="E137" s="163" t="str">
        <f t="shared" si="2"/>
        <v>#N/A</v>
      </c>
      <c r="F137" s="120" t="str">
        <f>VLOOKUP(A137,'Classement Général'!$B$2:$B$146,1,0)</f>
        <v>#N/A</v>
      </c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</row>
    <row r="138" ht="14.25" customHeight="1">
      <c r="A138" s="160"/>
      <c r="B138" s="156">
        <v>137.0</v>
      </c>
      <c r="C138" s="157">
        <f t="shared" si="1"/>
        <v>-729.1464635</v>
      </c>
      <c r="D138" s="158" t="str">
        <f>VLOOKUP(A138,'Classement RoC'!$B$2:$C$149,1,0)</f>
        <v>#N/A</v>
      </c>
      <c r="E138" s="163" t="str">
        <f t="shared" si="2"/>
        <v>#N/A</v>
      </c>
      <c r="F138" s="120" t="str">
        <f>VLOOKUP(A138,'Classement Général'!$B$2:$B$146,1,0)</f>
        <v>#N/A</v>
      </c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</row>
    <row r="139" ht="14.25" customHeight="1">
      <c r="A139" s="160"/>
      <c r="B139" s="161">
        <v>138.0</v>
      </c>
      <c r="C139" s="157">
        <f t="shared" si="1"/>
        <v>-736.0926452</v>
      </c>
      <c r="D139" s="158" t="str">
        <f>VLOOKUP(A139,'Classement RoC'!$B$2:$C$149,1,0)</f>
        <v>#N/A</v>
      </c>
      <c r="E139" s="163" t="str">
        <f t="shared" si="2"/>
        <v>#N/A</v>
      </c>
      <c r="F139" s="120" t="str">
        <f>VLOOKUP(A139,'Classement Général'!$B$2:$B$146,1,0)</f>
        <v>#N/A</v>
      </c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</row>
    <row r="140" ht="14.25" customHeight="1">
      <c r="A140" s="160"/>
      <c r="B140" s="156">
        <v>139.0</v>
      </c>
      <c r="C140" s="157">
        <f t="shared" si="1"/>
        <v>-743.020939</v>
      </c>
      <c r="D140" s="158" t="str">
        <f>VLOOKUP(A140,'Classement RoC'!$B$2:$C$149,1,0)</f>
        <v>#N/A</v>
      </c>
      <c r="E140" s="163" t="str">
        <f t="shared" si="2"/>
        <v>#N/A</v>
      </c>
      <c r="F140" s="120" t="str">
        <f>VLOOKUP(A140,'Classement Général'!$B$2:$B$146,1,0)</f>
        <v>#N/A</v>
      </c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</row>
    <row r="141" ht="14.25" customHeight="1">
      <c r="A141" s="160"/>
      <c r="B141" s="161">
        <v>140.0</v>
      </c>
      <c r="C141" s="157">
        <f t="shared" si="1"/>
        <v>-749.9315531</v>
      </c>
      <c r="D141" s="158" t="str">
        <f>VLOOKUP(A141,'Classement RoC'!$B$2:$C$149,1,0)</f>
        <v>#N/A</v>
      </c>
      <c r="E141" s="163" t="str">
        <f t="shared" si="2"/>
        <v>#N/A</v>
      </c>
      <c r="F141" s="120" t="str">
        <f>VLOOKUP(A141,'Classement Général'!$B$2:$B$146,1,0)</f>
        <v>#N/A</v>
      </c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</row>
    <row r="142" ht="14.25" customHeight="1">
      <c r="A142" s="160"/>
      <c r="B142" s="156">
        <v>141.0</v>
      </c>
      <c r="C142" s="157">
        <f t="shared" si="1"/>
        <v>-756.8246916</v>
      </c>
      <c r="D142" s="158" t="str">
        <f>VLOOKUP(A142,'Classement RoC'!$B$2:$C$149,1,0)</f>
        <v>#N/A</v>
      </c>
      <c r="E142" s="163" t="str">
        <f t="shared" si="2"/>
        <v>#N/A</v>
      </c>
      <c r="F142" s="120" t="str">
        <f>VLOOKUP(A142,'Classement Général'!$B$2:$B$146,1,0)</f>
        <v>#N/A</v>
      </c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</row>
    <row r="143" ht="14.25" customHeight="1">
      <c r="A143" s="160"/>
      <c r="B143" s="161">
        <v>142.0</v>
      </c>
      <c r="C143" s="157">
        <f t="shared" si="1"/>
        <v>-763.7005543</v>
      </c>
      <c r="D143" s="158" t="str">
        <f>VLOOKUP(A143,'Classement RoC'!$B$2:$C$149,1,0)</f>
        <v>#N/A</v>
      </c>
      <c r="E143" s="163" t="str">
        <f t="shared" si="2"/>
        <v>#N/A</v>
      </c>
      <c r="F143" s="120" t="str">
        <f>VLOOKUP(A143,'Classement Général'!$B$2:$B$146,1,0)</f>
        <v>#N/A</v>
      </c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</row>
    <row r="144" ht="14.25" customHeight="1">
      <c r="A144" s="160"/>
      <c r="B144" s="156">
        <v>143.0</v>
      </c>
      <c r="C144" s="157">
        <f t="shared" si="1"/>
        <v>-770.5593377</v>
      </c>
      <c r="D144" s="158" t="str">
        <f>VLOOKUP(A144,'Classement RoC'!$B$2:$C$149,1,0)</f>
        <v>#N/A</v>
      </c>
      <c r="E144" s="163" t="str">
        <f t="shared" si="2"/>
        <v>#N/A</v>
      </c>
      <c r="F144" s="120" t="str">
        <f>VLOOKUP(A144,'Classement Général'!$B$2:$B$146,1,0)</f>
        <v>#N/A</v>
      </c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</row>
    <row r="145" ht="14.25" customHeight="1">
      <c r="A145" s="160"/>
      <c r="B145" s="161">
        <v>144.0</v>
      </c>
      <c r="C145" s="157">
        <f t="shared" si="1"/>
        <v>-777.401234</v>
      </c>
      <c r="D145" s="158" t="str">
        <f>VLOOKUP(A145,'Classement RoC'!$B$2:$C$149,1,0)</f>
        <v>#N/A</v>
      </c>
      <c r="E145" s="163" t="str">
        <f t="shared" si="2"/>
        <v>#N/A</v>
      </c>
      <c r="F145" s="120" t="str">
        <f>VLOOKUP(A145,'Classement Général'!$B$2:$B$146,1,0)</f>
        <v>#N/A</v>
      </c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</row>
    <row r="146" ht="14.25" customHeight="1">
      <c r="A146" s="160"/>
      <c r="B146" s="156">
        <v>145.0</v>
      </c>
      <c r="C146" s="157">
        <f t="shared" si="1"/>
        <v>-784.2264319</v>
      </c>
      <c r="D146" s="158" t="str">
        <f>VLOOKUP(A146,'Classement RoC'!$B$2:$C$149,1,0)</f>
        <v>#N/A</v>
      </c>
      <c r="E146" s="163" t="str">
        <f t="shared" si="2"/>
        <v>#N/A</v>
      </c>
      <c r="F146" s="120" t="str">
        <f>VLOOKUP(A146,'Classement Général'!$B$2:$B$146,1,0)</f>
        <v>#N/A</v>
      </c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</row>
    <row r="147" ht="14.25" customHeight="1">
      <c r="A147" s="160"/>
      <c r="B147" s="161">
        <v>146.0</v>
      </c>
      <c r="C147" s="157">
        <f t="shared" si="1"/>
        <v>-791.0351167</v>
      </c>
      <c r="D147" s="158" t="str">
        <f>VLOOKUP(A147,'Classement RoC'!$B$2:$C$149,1,0)</f>
        <v>#N/A</v>
      </c>
      <c r="E147" s="163" t="str">
        <f t="shared" si="2"/>
        <v>#N/A</v>
      </c>
      <c r="F147" s="120" t="str">
        <f>VLOOKUP(A147,'Classement Général'!$B$2:$B$146,1,0)</f>
        <v>#N/A</v>
      </c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</row>
    <row r="148" ht="14.25" customHeight="1">
      <c r="A148" s="160"/>
      <c r="B148" s="156">
        <v>147.0</v>
      </c>
      <c r="C148" s="157">
        <f t="shared" si="1"/>
        <v>-797.8274699</v>
      </c>
      <c r="D148" s="158" t="str">
        <f>VLOOKUP(A148,'Classement RoC'!$B$2:$C$149,1,0)</f>
        <v>#N/A</v>
      </c>
      <c r="E148" s="163" t="str">
        <f t="shared" si="2"/>
        <v>#N/A</v>
      </c>
      <c r="F148" s="120" t="str">
        <f>VLOOKUP(A148,'Classement Général'!$B$2:$B$146,1,0)</f>
        <v>#N/A</v>
      </c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</row>
    <row r="149" ht="14.25" customHeight="1">
      <c r="A149" s="160"/>
      <c r="B149" s="161">
        <v>148.0</v>
      </c>
      <c r="C149" s="157">
        <f t="shared" si="1"/>
        <v>-804.6036699</v>
      </c>
      <c r="D149" s="158" t="str">
        <f>VLOOKUP(A149,'Classement RoC'!$B$2:$C$149,1,0)</f>
        <v>#N/A</v>
      </c>
      <c r="E149" s="163" t="str">
        <f t="shared" si="2"/>
        <v>#N/A</v>
      </c>
      <c r="F149" s="120" t="str">
        <f>VLOOKUP(A149,'Classement Général'!$B$2:$B$146,1,0)</f>
        <v>#N/A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</row>
    <row r="150" ht="14.25" customHeight="1">
      <c r="A150" s="160"/>
      <c r="B150" s="156">
        <v>149.0</v>
      </c>
      <c r="C150" s="157">
        <f t="shared" si="1"/>
        <v>-811.3638917</v>
      </c>
      <c r="D150" s="158" t="str">
        <f>VLOOKUP(A150,'Classement RoC'!$B$2:$C$149,1,0)</f>
        <v>#N/A</v>
      </c>
      <c r="E150" s="163" t="str">
        <f t="shared" si="2"/>
        <v>#N/A</v>
      </c>
      <c r="F150" s="120" t="str">
        <f>VLOOKUP(A150,'Classement Général'!$B$2:$B$146,1,0)</f>
        <v>#N/A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</row>
    <row r="151" ht="14.25" customHeight="1">
      <c r="A151" s="160"/>
      <c r="B151" s="161">
        <v>150.0</v>
      </c>
      <c r="C151" s="157">
        <f t="shared" si="1"/>
        <v>-818.1083069</v>
      </c>
      <c r="D151" s="158" t="str">
        <f>VLOOKUP(A151,'Classement RoC'!$B$2:$C$149,1,0)</f>
        <v>#N/A</v>
      </c>
      <c r="E151" s="163" t="str">
        <f t="shared" si="2"/>
        <v>#N/A</v>
      </c>
      <c r="F151" s="120" t="str">
        <f>VLOOKUP(A151,'Classement Général'!$B$2:$B$146,1,0)</f>
        <v>#N/A</v>
      </c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</row>
    <row r="152" ht="14.25" customHeight="1">
      <c r="A152" s="160"/>
      <c r="B152" s="156">
        <v>151.0</v>
      </c>
      <c r="C152" s="157">
        <f t="shared" si="1"/>
        <v>-824.8370842</v>
      </c>
      <c r="D152" s="158" t="str">
        <f>VLOOKUP(A152,'Classement RoC'!$B$2:$C$149,1,0)</f>
        <v>#N/A</v>
      </c>
      <c r="E152" s="163" t="str">
        <f t="shared" si="2"/>
        <v>#N/A</v>
      </c>
      <c r="F152" s="120" t="str">
        <f>VLOOKUP(A152,'Classement Général'!$B$2:$B$146,1,0)</f>
        <v>#N/A</v>
      </c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</row>
    <row r="153" ht="14.25" customHeight="1">
      <c r="A153" s="160"/>
      <c r="B153" s="161">
        <v>152.0</v>
      </c>
      <c r="C153" s="157">
        <f t="shared" si="1"/>
        <v>-831.5503891</v>
      </c>
      <c r="D153" s="158" t="str">
        <f>VLOOKUP(A153,'Classement RoC'!$B$2:$C$149,1,0)</f>
        <v>#N/A</v>
      </c>
      <c r="E153" s="163" t="str">
        <f t="shared" si="2"/>
        <v>#N/A</v>
      </c>
      <c r="F153" s="120" t="str">
        <f>VLOOKUP(A153,'Classement Général'!$B$2:$B$146,1,0)</f>
        <v>#N/A</v>
      </c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</row>
    <row r="154" ht="14.25" customHeight="1">
      <c r="A154" s="160"/>
      <c r="B154" s="156">
        <v>153.0</v>
      </c>
      <c r="C154" s="157">
        <f t="shared" si="1"/>
        <v>-838.2483842</v>
      </c>
      <c r="D154" s="158" t="str">
        <f>VLOOKUP(A154,'Classement RoC'!$B$2:$C$149,1,0)</f>
        <v>#N/A</v>
      </c>
      <c r="E154" s="163" t="str">
        <f t="shared" si="2"/>
        <v>#N/A</v>
      </c>
      <c r="F154" s="120" t="str">
        <f>VLOOKUP(A154,'Classement Général'!$B$2:$B$146,1,0)</f>
        <v>#N/A</v>
      </c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</row>
    <row r="155" ht="14.25" customHeight="1">
      <c r="A155" s="160"/>
      <c r="B155" s="161">
        <v>154.0</v>
      </c>
      <c r="C155" s="157">
        <f t="shared" si="1"/>
        <v>-844.9312293</v>
      </c>
      <c r="D155" s="158" t="str">
        <f>VLOOKUP(A155,'Classement RoC'!$B$2:$C$149,1,0)</f>
        <v>#N/A</v>
      </c>
      <c r="E155" s="163" t="str">
        <f t="shared" si="2"/>
        <v>#N/A</v>
      </c>
      <c r="F155" s="120" t="str">
        <f>VLOOKUP(A155,'Classement Général'!$B$2:$B$146,1,0)</f>
        <v>#N/A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</row>
    <row r="156" ht="14.25" customHeight="1">
      <c r="A156" s="160"/>
      <c r="B156" s="156">
        <v>155.0</v>
      </c>
      <c r="C156" s="157">
        <f t="shared" si="1"/>
        <v>-851.599081</v>
      </c>
      <c r="D156" s="158" t="str">
        <f>VLOOKUP(A156,'Classement RoC'!$B$2:$C$149,1,0)</f>
        <v>#N/A</v>
      </c>
      <c r="E156" s="163" t="str">
        <f t="shared" si="2"/>
        <v>#N/A</v>
      </c>
      <c r="F156" s="120" t="str">
        <f>VLOOKUP(A156,'Classement Général'!$B$2:$B$146,1,0)</f>
        <v>#N/A</v>
      </c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</row>
    <row r="157" ht="14.25" customHeight="1">
      <c r="A157" s="160"/>
      <c r="B157" s="161">
        <v>156.0</v>
      </c>
      <c r="C157" s="157">
        <f t="shared" si="1"/>
        <v>-858.2520935</v>
      </c>
      <c r="D157" s="158" t="str">
        <f>VLOOKUP(A157,'Classement RoC'!$B$2:$C$149,1,0)</f>
        <v>#N/A</v>
      </c>
      <c r="E157" s="163" t="str">
        <f t="shared" si="2"/>
        <v>#N/A</v>
      </c>
      <c r="F157" s="120" t="str">
        <f>VLOOKUP(A157,'Classement Général'!$B$2:$B$146,1,0)</f>
        <v>#N/A</v>
      </c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</row>
    <row r="158" ht="14.25" customHeight="1">
      <c r="A158" s="160"/>
      <c r="B158" s="156">
        <v>157.0</v>
      </c>
      <c r="C158" s="157">
        <f t="shared" si="1"/>
        <v>-864.8904182</v>
      </c>
      <c r="D158" s="158" t="str">
        <f>VLOOKUP(A158,'Classement RoC'!$B$2:$C$149,1,0)</f>
        <v>#N/A</v>
      </c>
      <c r="E158" s="163" t="str">
        <f t="shared" si="2"/>
        <v>#N/A</v>
      </c>
      <c r="F158" s="120" t="str">
        <f>VLOOKUP(A158,'Classement Général'!$B$2:$B$146,1,0)</f>
        <v>#N/A</v>
      </c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</row>
    <row r="159" ht="14.25" customHeight="1">
      <c r="A159" s="160"/>
      <c r="B159" s="161">
        <v>158.0</v>
      </c>
      <c r="C159" s="157">
        <f t="shared" si="1"/>
        <v>-871.5142038</v>
      </c>
      <c r="D159" s="158" t="str">
        <f>VLOOKUP(A159,'Classement RoC'!$B$2:$C$149,1,0)</f>
        <v>#N/A</v>
      </c>
      <c r="E159" s="163" t="str">
        <f t="shared" si="2"/>
        <v>#N/A</v>
      </c>
      <c r="F159" s="120" t="str">
        <f>VLOOKUP(A159,'Classement Général'!$B$2:$B$146,1,0)</f>
        <v>#N/A</v>
      </c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</row>
    <row r="160" ht="14.25" customHeight="1">
      <c r="A160" s="160"/>
      <c r="B160" s="156">
        <v>159.0</v>
      </c>
      <c r="C160" s="157">
        <f t="shared" si="1"/>
        <v>-878.1235965</v>
      </c>
      <c r="D160" s="158" t="str">
        <f>VLOOKUP(A160,'Classement RoC'!$B$2:$C$149,1,0)</f>
        <v>#N/A</v>
      </c>
      <c r="E160" s="163" t="str">
        <f t="shared" si="2"/>
        <v>#N/A</v>
      </c>
      <c r="F160" s="120" t="str">
        <f>VLOOKUP(A160,'Classement Général'!$B$2:$B$146,1,0)</f>
        <v>#N/A</v>
      </c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</row>
    <row r="161" ht="14.25" customHeight="1">
      <c r="A161" s="164"/>
      <c r="B161" s="165"/>
      <c r="C161" s="166"/>
      <c r="D161" s="167"/>
      <c r="E161" s="168"/>
      <c r="F161" s="120" t="str">
        <f>VLOOKUP(A161,'Classement Général'!$B$2:$B$146,1,0)</f>
        <v>#N/A</v>
      </c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</row>
    <row r="162" ht="14.25" customHeight="1">
      <c r="A162" s="164"/>
      <c r="B162" s="165"/>
      <c r="C162" s="166"/>
      <c r="D162" s="167"/>
      <c r="E162" s="168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4"/>
    </row>
    <row r="163" ht="14.25" customHeight="1">
      <c r="A163" s="164"/>
      <c r="B163" s="165"/>
      <c r="C163" s="166"/>
      <c r="D163" s="167"/>
      <c r="E163" s="168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</row>
    <row r="164" ht="14.25" customHeight="1">
      <c r="A164" s="164"/>
      <c r="B164" s="165"/>
      <c r="C164" s="166"/>
      <c r="D164" s="167"/>
      <c r="E164" s="168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</row>
    <row r="165" ht="14.25" customHeight="1">
      <c r="A165" s="164"/>
      <c r="B165" s="165"/>
      <c r="C165" s="166"/>
      <c r="D165" s="167"/>
      <c r="E165" s="168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</row>
    <row r="166" ht="14.25" customHeight="1">
      <c r="A166" s="164"/>
      <c r="B166" s="165"/>
      <c r="C166" s="166"/>
      <c r="D166" s="167"/>
      <c r="E166" s="168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</row>
    <row r="167" ht="14.25" customHeight="1">
      <c r="A167" s="164"/>
      <c r="B167" s="165"/>
      <c r="C167" s="166"/>
      <c r="D167" s="167"/>
      <c r="E167" s="168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</row>
    <row r="168" ht="14.25" customHeight="1">
      <c r="A168" s="164"/>
      <c r="B168" s="165"/>
      <c r="C168" s="166"/>
      <c r="D168" s="167"/>
      <c r="E168" s="168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</row>
    <row r="169" ht="14.25" customHeight="1">
      <c r="A169" s="164"/>
      <c r="B169" s="165"/>
      <c r="C169" s="166"/>
      <c r="D169" s="167"/>
      <c r="E169" s="168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</row>
    <row r="170" ht="14.25" customHeight="1">
      <c r="A170" s="164"/>
      <c r="B170" s="165"/>
      <c r="C170" s="166"/>
      <c r="D170" s="167"/>
      <c r="E170" s="168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</row>
    <row r="171" ht="14.25" customHeight="1">
      <c r="A171" s="164"/>
      <c r="B171" s="165"/>
      <c r="C171" s="166"/>
      <c r="D171" s="167"/>
      <c r="E171" s="168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</row>
    <row r="172" ht="14.25" customHeight="1">
      <c r="A172" s="164"/>
      <c r="B172" s="165"/>
      <c r="C172" s="166"/>
      <c r="D172" s="167"/>
      <c r="E172" s="168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</row>
    <row r="173" ht="14.25" customHeight="1">
      <c r="A173" s="164"/>
      <c r="B173" s="165"/>
      <c r="C173" s="166"/>
      <c r="D173" s="167"/>
      <c r="E173" s="168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</row>
    <row r="174" ht="14.25" customHeight="1">
      <c r="A174" s="164"/>
      <c r="B174" s="165"/>
      <c r="C174" s="166"/>
      <c r="D174" s="167"/>
      <c r="E174" s="168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</row>
    <row r="175" ht="14.25" customHeight="1">
      <c r="A175" s="164"/>
      <c r="B175" s="165"/>
      <c r="C175" s="166"/>
      <c r="D175" s="167"/>
      <c r="E175" s="168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</row>
    <row r="176" ht="14.25" customHeight="1">
      <c r="A176" s="164"/>
      <c r="B176" s="165"/>
      <c r="C176" s="166"/>
      <c r="D176" s="167"/>
      <c r="E176" s="168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</row>
    <row r="177" ht="14.25" customHeight="1">
      <c r="A177" s="164"/>
      <c r="B177" s="165"/>
      <c r="C177" s="166"/>
      <c r="D177" s="167"/>
      <c r="E177" s="168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4"/>
    </row>
    <row r="178" ht="14.25" customHeight="1">
      <c r="A178" s="164"/>
      <c r="B178" s="165"/>
      <c r="C178" s="166"/>
      <c r="D178" s="167"/>
      <c r="E178" s="168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</row>
    <row r="179" ht="14.25" customHeight="1">
      <c r="A179" s="164"/>
      <c r="B179" s="165"/>
      <c r="C179" s="166"/>
      <c r="D179" s="167"/>
      <c r="E179" s="168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4"/>
    </row>
    <row r="180" ht="14.25" customHeight="1">
      <c r="A180" s="164"/>
      <c r="B180" s="165"/>
      <c r="C180" s="166"/>
      <c r="D180" s="167"/>
      <c r="E180" s="168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</row>
    <row r="181" ht="14.25" customHeight="1">
      <c r="A181" s="164"/>
      <c r="B181" s="165"/>
      <c r="C181" s="166"/>
      <c r="D181" s="167"/>
      <c r="E181" s="168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</row>
    <row r="182" ht="14.25" customHeight="1">
      <c r="A182" s="164"/>
      <c r="B182" s="165"/>
      <c r="C182" s="166"/>
      <c r="D182" s="167"/>
      <c r="E182" s="168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154"/>
    </row>
    <row r="183" ht="14.25" customHeight="1">
      <c r="A183" s="164"/>
      <c r="B183" s="165"/>
      <c r="C183" s="166"/>
      <c r="D183" s="167"/>
      <c r="E183" s="168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4"/>
    </row>
    <row r="184" ht="14.25" customHeight="1">
      <c r="A184" s="164"/>
      <c r="B184" s="165"/>
      <c r="C184" s="166"/>
      <c r="D184" s="167"/>
      <c r="E184" s="168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</row>
    <row r="185" ht="14.25" customHeight="1">
      <c r="A185" s="164"/>
      <c r="B185" s="165"/>
      <c r="C185" s="166"/>
      <c r="D185" s="167"/>
      <c r="E185" s="168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</row>
    <row r="186" ht="14.25" customHeight="1">
      <c r="A186" s="164"/>
      <c r="B186" s="165"/>
      <c r="C186" s="166"/>
      <c r="D186" s="167"/>
      <c r="E186" s="168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</row>
    <row r="187" ht="14.25" customHeight="1">
      <c r="A187" s="164"/>
      <c r="B187" s="165"/>
      <c r="C187" s="166"/>
      <c r="D187" s="167"/>
      <c r="E187" s="168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</row>
    <row r="188" ht="14.25" customHeight="1">
      <c r="A188" s="164"/>
      <c r="B188" s="165"/>
      <c r="C188" s="166"/>
      <c r="D188" s="167"/>
      <c r="E188" s="168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</row>
    <row r="189" ht="14.25" customHeight="1">
      <c r="A189" s="164"/>
      <c r="B189" s="165"/>
      <c r="C189" s="166"/>
      <c r="D189" s="167"/>
      <c r="E189" s="168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</row>
    <row r="190" ht="14.25" customHeight="1">
      <c r="A190" s="164"/>
      <c r="B190" s="165"/>
      <c r="C190" s="166"/>
      <c r="D190" s="167"/>
      <c r="E190" s="168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</row>
    <row r="191" ht="14.25" customHeight="1">
      <c r="A191" s="164"/>
      <c r="B191" s="165"/>
      <c r="C191" s="166"/>
      <c r="D191" s="167"/>
      <c r="E191" s="168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</row>
    <row r="192" ht="14.25" customHeight="1">
      <c r="A192" s="164"/>
      <c r="B192" s="165"/>
      <c r="C192" s="166"/>
      <c r="D192" s="167"/>
      <c r="E192" s="168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</row>
    <row r="193" ht="14.25" customHeight="1">
      <c r="A193" s="164"/>
      <c r="B193" s="165"/>
      <c r="C193" s="166"/>
      <c r="D193" s="167"/>
      <c r="E193" s="168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</row>
    <row r="194" ht="14.25" customHeight="1">
      <c r="A194" s="164"/>
      <c r="B194" s="165"/>
      <c r="C194" s="166"/>
      <c r="D194" s="167"/>
      <c r="E194" s="168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</row>
    <row r="195" ht="14.25" customHeight="1">
      <c r="A195" s="164"/>
      <c r="B195" s="165"/>
      <c r="C195" s="166"/>
      <c r="D195" s="167"/>
      <c r="E195" s="168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</row>
    <row r="196" ht="14.25" customHeight="1">
      <c r="A196" s="164"/>
      <c r="B196" s="165"/>
      <c r="C196" s="166"/>
      <c r="D196" s="167"/>
      <c r="E196" s="168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</row>
    <row r="197" ht="14.25" customHeight="1">
      <c r="A197" s="164"/>
      <c r="B197" s="165"/>
      <c r="C197" s="166"/>
      <c r="D197" s="167"/>
      <c r="E197" s="168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</row>
    <row r="198" ht="14.25" customHeight="1">
      <c r="A198" s="164"/>
      <c r="B198" s="165"/>
      <c r="C198" s="166"/>
      <c r="D198" s="167"/>
      <c r="E198" s="168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</row>
    <row r="199" ht="14.25" customHeight="1">
      <c r="A199" s="164"/>
      <c r="B199" s="165"/>
      <c r="C199" s="166"/>
      <c r="D199" s="167"/>
      <c r="E199" s="168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154"/>
    </row>
    <row r="200" ht="14.25" customHeight="1">
      <c r="A200" s="164"/>
      <c r="B200" s="165"/>
      <c r="C200" s="166"/>
      <c r="D200" s="167"/>
      <c r="E200" s="168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4"/>
    </row>
    <row r="201" ht="14.25" customHeight="1">
      <c r="A201" s="164"/>
      <c r="B201" s="165"/>
      <c r="C201" s="166"/>
      <c r="D201" s="167"/>
      <c r="E201" s="168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</row>
    <row r="202" ht="14.25" customHeight="1">
      <c r="A202" s="164"/>
      <c r="B202" s="165"/>
      <c r="C202" s="166"/>
      <c r="D202" s="167"/>
      <c r="E202" s="168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4"/>
    </row>
    <row r="203" ht="14.25" customHeight="1">
      <c r="A203" s="164"/>
      <c r="B203" s="165"/>
      <c r="C203" s="166"/>
      <c r="D203" s="167"/>
      <c r="E203" s="168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</row>
    <row r="204" ht="14.25" customHeight="1">
      <c r="A204" s="164"/>
      <c r="B204" s="165"/>
      <c r="C204" s="166"/>
      <c r="D204" s="167"/>
      <c r="E204" s="168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</row>
    <row r="205" ht="14.25" customHeight="1">
      <c r="A205" s="164"/>
      <c r="B205" s="165"/>
      <c r="C205" s="166"/>
      <c r="D205" s="167"/>
      <c r="E205" s="168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</row>
    <row r="206" ht="14.25" customHeight="1">
      <c r="A206" s="164"/>
      <c r="B206" s="165"/>
      <c r="C206" s="166"/>
      <c r="D206" s="167"/>
      <c r="E206" s="168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</row>
    <row r="207" ht="14.25" customHeight="1">
      <c r="A207" s="164"/>
      <c r="B207" s="165"/>
      <c r="C207" s="166"/>
      <c r="D207" s="167"/>
      <c r="E207" s="168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</row>
    <row r="208" ht="14.25" customHeight="1">
      <c r="A208" s="164"/>
      <c r="B208" s="165"/>
      <c r="C208" s="166"/>
      <c r="D208" s="167"/>
      <c r="E208" s="168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</row>
    <row r="209" ht="14.25" customHeight="1">
      <c r="A209" s="164"/>
      <c r="B209" s="165"/>
      <c r="C209" s="166"/>
      <c r="D209" s="167"/>
      <c r="E209" s="168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</row>
    <row r="210" ht="14.25" customHeight="1">
      <c r="A210" s="164"/>
      <c r="B210" s="165"/>
      <c r="C210" s="166"/>
      <c r="D210" s="167"/>
      <c r="E210" s="168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</row>
    <row r="211" ht="14.25" customHeight="1">
      <c r="A211" s="164"/>
      <c r="B211" s="165"/>
      <c r="C211" s="166"/>
      <c r="D211" s="167"/>
      <c r="E211" s="168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</row>
    <row r="212" ht="14.25" customHeight="1">
      <c r="A212" s="164"/>
      <c r="B212" s="165"/>
      <c r="C212" s="166"/>
      <c r="D212" s="167"/>
      <c r="E212" s="168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</row>
    <row r="213" ht="14.25" customHeight="1">
      <c r="A213" s="164"/>
      <c r="B213" s="165"/>
      <c r="C213" s="166"/>
      <c r="D213" s="167"/>
      <c r="E213" s="168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</row>
    <row r="214" ht="14.25" customHeight="1">
      <c r="A214" s="164"/>
      <c r="B214" s="165"/>
      <c r="C214" s="166"/>
      <c r="D214" s="167"/>
      <c r="E214" s="168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</row>
    <row r="215" ht="14.25" customHeight="1">
      <c r="A215" s="164"/>
      <c r="B215" s="165"/>
      <c r="C215" s="166"/>
      <c r="D215" s="167"/>
      <c r="E215" s="168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4"/>
    </row>
    <row r="216" ht="14.25" customHeight="1">
      <c r="A216" s="164"/>
      <c r="B216" s="165"/>
      <c r="C216" s="166"/>
      <c r="D216" s="167"/>
      <c r="E216" s="168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</row>
    <row r="217" ht="14.25" customHeight="1">
      <c r="A217" s="164"/>
      <c r="B217" s="165"/>
      <c r="C217" s="166"/>
      <c r="D217" s="167"/>
      <c r="E217" s="168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</row>
    <row r="218" ht="14.25" customHeight="1">
      <c r="A218" s="164"/>
      <c r="B218" s="165"/>
      <c r="C218" s="166"/>
      <c r="D218" s="167"/>
      <c r="E218" s="168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</row>
    <row r="219" ht="14.25" customHeight="1">
      <c r="A219" s="164"/>
      <c r="B219" s="165"/>
      <c r="C219" s="166"/>
      <c r="D219" s="167"/>
      <c r="E219" s="168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</row>
    <row r="220" ht="14.25" customHeight="1">
      <c r="A220" s="164"/>
      <c r="B220" s="165"/>
      <c r="C220" s="166"/>
      <c r="D220" s="167"/>
      <c r="E220" s="168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</row>
    <row r="221" ht="14.25" customHeight="1">
      <c r="A221" s="164"/>
      <c r="B221" s="165"/>
      <c r="C221" s="166"/>
      <c r="D221" s="167"/>
      <c r="E221" s="168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</row>
    <row r="222" ht="14.25" customHeight="1">
      <c r="A222" s="164"/>
      <c r="B222" s="165"/>
      <c r="C222" s="166"/>
      <c r="D222" s="167"/>
      <c r="E222" s="168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</row>
    <row r="223" ht="14.25" customHeight="1">
      <c r="A223" s="164"/>
      <c r="B223" s="165"/>
      <c r="C223" s="166"/>
      <c r="D223" s="167"/>
      <c r="E223" s="168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</row>
    <row r="224" ht="14.25" customHeight="1">
      <c r="A224" s="164"/>
      <c r="B224" s="165"/>
      <c r="C224" s="166"/>
      <c r="D224" s="167"/>
      <c r="E224" s="168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</row>
    <row r="225" ht="14.25" customHeight="1">
      <c r="A225" s="164"/>
      <c r="B225" s="165"/>
      <c r="C225" s="166"/>
      <c r="D225" s="167"/>
      <c r="E225" s="168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</row>
    <row r="226" ht="14.25" customHeight="1">
      <c r="A226" s="164"/>
      <c r="B226" s="165"/>
      <c r="C226" s="166"/>
      <c r="D226" s="167"/>
      <c r="E226" s="168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</row>
    <row r="227" ht="14.25" customHeight="1">
      <c r="A227" s="164"/>
      <c r="B227" s="165"/>
      <c r="C227" s="166"/>
      <c r="D227" s="167"/>
      <c r="E227" s="168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</row>
    <row r="228" ht="14.25" customHeight="1">
      <c r="A228" s="164"/>
      <c r="B228" s="165"/>
      <c r="C228" s="166"/>
      <c r="D228" s="167"/>
      <c r="E228" s="168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</row>
    <row r="229" ht="14.25" customHeight="1">
      <c r="A229" s="164"/>
      <c r="B229" s="165"/>
      <c r="C229" s="166"/>
      <c r="D229" s="167"/>
      <c r="E229" s="168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</row>
    <row r="230" ht="14.25" customHeight="1">
      <c r="A230" s="164"/>
      <c r="B230" s="165"/>
      <c r="C230" s="166"/>
      <c r="D230" s="167"/>
      <c r="E230" s="168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</row>
    <row r="231" ht="14.25" customHeight="1">
      <c r="A231" s="164"/>
      <c r="B231" s="165"/>
      <c r="C231" s="166"/>
      <c r="D231" s="167"/>
      <c r="E231" s="168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154"/>
    </row>
    <row r="232" ht="14.25" customHeight="1">
      <c r="A232" s="164"/>
      <c r="B232" s="165"/>
      <c r="C232" s="166"/>
      <c r="D232" s="167"/>
      <c r="E232" s="168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154"/>
    </row>
    <row r="233" ht="14.25" customHeight="1">
      <c r="A233" s="164"/>
      <c r="B233" s="165"/>
      <c r="C233" s="166"/>
      <c r="D233" s="167"/>
      <c r="E233" s="168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  <c r="Z233" s="154"/>
    </row>
    <row r="234" ht="14.25" customHeight="1">
      <c r="A234" s="164"/>
      <c r="B234" s="165"/>
      <c r="C234" s="166"/>
      <c r="D234" s="167"/>
      <c r="E234" s="168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</row>
    <row r="235" ht="14.25" customHeight="1">
      <c r="A235" s="164"/>
      <c r="B235" s="165"/>
      <c r="C235" s="166"/>
      <c r="D235" s="167"/>
      <c r="E235" s="168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</row>
    <row r="236" ht="14.25" customHeight="1">
      <c r="A236" s="164"/>
      <c r="B236" s="165"/>
      <c r="C236" s="166"/>
      <c r="D236" s="167"/>
      <c r="E236" s="168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</row>
    <row r="237" ht="14.25" customHeight="1">
      <c r="A237" s="164"/>
      <c r="B237" s="165"/>
      <c r="C237" s="166"/>
      <c r="D237" s="167"/>
      <c r="E237" s="168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</row>
    <row r="238" ht="14.25" customHeight="1">
      <c r="A238" s="164"/>
      <c r="B238" s="165"/>
      <c r="C238" s="166"/>
      <c r="D238" s="167"/>
      <c r="E238" s="168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</row>
    <row r="239" ht="14.25" customHeight="1">
      <c r="A239" s="164"/>
      <c r="B239" s="165"/>
      <c r="C239" s="166"/>
      <c r="D239" s="167"/>
      <c r="E239" s="168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</row>
    <row r="240" ht="14.25" customHeight="1">
      <c r="A240" s="164"/>
      <c r="B240" s="165"/>
      <c r="C240" s="166"/>
      <c r="D240" s="167"/>
      <c r="E240" s="168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</row>
    <row r="241" ht="14.25" customHeight="1">
      <c r="A241" s="164"/>
      <c r="B241" s="165"/>
      <c r="C241" s="166"/>
      <c r="D241" s="167"/>
      <c r="E241" s="168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</row>
    <row r="242" ht="14.25" customHeight="1">
      <c r="A242" s="164"/>
      <c r="B242" s="165"/>
      <c r="C242" s="166"/>
      <c r="D242" s="167"/>
      <c r="E242" s="168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</row>
    <row r="243" ht="14.25" customHeight="1">
      <c r="A243" s="164"/>
      <c r="B243" s="165"/>
      <c r="C243" s="166"/>
      <c r="D243" s="167"/>
      <c r="E243" s="168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</row>
    <row r="244" ht="14.25" customHeight="1">
      <c r="A244" s="164"/>
      <c r="B244" s="165"/>
      <c r="C244" s="166"/>
      <c r="D244" s="167"/>
      <c r="E244" s="168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</row>
    <row r="245" ht="14.25" customHeight="1">
      <c r="A245" s="164"/>
      <c r="B245" s="165"/>
      <c r="C245" s="166"/>
      <c r="D245" s="167"/>
      <c r="E245" s="168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</row>
    <row r="246" ht="14.25" customHeight="1">
      <c r="A246" s="164"/>
      <c r="B246" s="165"/>
      <c r="C246" s="166"/>
      <c r="D246" s="167"/>
      <c r="E246" s="168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</row>
    <row r="247" ht="14.25" customHeight="1">
      <c r="A247" s="164"/>
      <c r="B247" s="165"/>
      <c r="C247" s="166"/>
      <c r="D247" s="167"/>
      <c r="E247" s="168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</row>
    <row r="248" ht="14.25" customHeight="1">
      <c r="A248" s="164"/>
      <c r="B248" s="165"/>
      <c r="C248" s="166"/>
      <c r="D248" s="167"/>
      <c r="E248" s="168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</row>
    <row r="249" ht="14.25" customHeight="1">
      <c r="A249" s="164"/>
      <c r="B249" s="165"/>
      <c r="C249" s="166"/>
      <c r="D249" s="167"/>
      <c r="E249" s="168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154"/>
    </row>
    <row r="250" ht="14.25" customHeight="1">
      <c r="A250" s="164"/>
      <c r="B250" s="165"/>
      <c r="C250" s="166"/>
      <c r="D250" s="167"/>
      <c r="E250" s="168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4"/>
    </row>
    <row r="251" ht="14.25" customHeight="1">
      <c r="A251" s="164"/>
      <c r="B251" s="165"/>
      <c r="C251" s="166"/>
      <c r="D251" s="167"/>
      <c r="E251" s="168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</row>
    <row r="252" ht="14.25" customHeight="1">
      <c r="A252" s="164"/>
      <c r="B252" s="165"/>
      <c r="C252" s="166"/>
      <c r="D252" s="167"/>
      <c r="E252" s="168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4"/>
    </row>
    <row r="253" ht="14.25" customHeight="1">
      <c r="A253" s="164"/>
      <c r="B253" s="165"/>
      <c r="C253" s="166"/>
      <c r="D253" s="167"/>
      <c r="E253" s="168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</row>
    <row r="254" ht="14.25" customHeight="1">
      <c r="A254" s="164"/>
      <c r="B254" s="165"/>
      <c r="C254" s="166"/>
      <c r="D254" s="167"/>
      <c r="E254" s="168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</row>
    <row r="255" ht="14.25" customHeight="1">
      <c r="A255" s="164"/>
      <c r="B255" s="165"/>
      <c r="C255" s="166"/>
      <c r="D255" s="167"/>
      <c r="E255" s="168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54"/>
    </row>
    <row r="256" ht="14.25" customHeight="1">
      <c r="A256" s="164"/>
      <c r="B256" s="165"/>
      <c r="C256" s="166"/>
      <c r="D256" s="167"/>
      <c r="E256" s="168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</row>
    <row r="257" ht="14.25" customHeight="1">
      <c r="A257" s="164"/>
      <c r="B257" s="165"/>
      <c r="C257" s="166"/>
      <c r="D257" s="167"/>
      <c r="E257" s="168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</row>
    <row r="258" ht="14.25" customHeight="1">
      <c r="A258" s="164"/>
      <c r="B258" s="165"/>
      <c r="C258" s="166"/>
      <c r="D258" s="167"/>
      <c r="E258" s="168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</row>
    <row r="259" ht="14.25" customHeight="1">
      <c r="A259" s="164"/>
      <c r="B259" s="165"/>
      <c r="C259" s="166"/>
      <c r="D259" s="167"/>
      <c r="E259" s="168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</row>
    <row r="260" ht="14.25" customHeight="1">
      <c r="A260" s="164"/>
      <c r="B260" s="165"/>
      <c r="C260" s="166"/>
      <c r="D260" s="167"/>
      <c r="E260" s="168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</row>
    <row r="261" ht="14.25" customHeight="1">
      <c r="A261" s="164"/>
      <c r="B261" s="165"/>
      <c r="C261" s="166"/>
      <c r="D261" s="167"/>
      <c r="E261" s="168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</row>
    <row r="262" ht="14.25" customHeight="1">
      <c r="A262" s="164"/>
      <c r="B262" s="165"/>
      <c r="C262" s="166"/>
      <c r="D262" s="167"/>
      <c r="E262" s="168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</row>
    <row r="263" ht="14.25" customHeight="1">
      <c r="A263" s="164"/>
      <c r="B263" s="165"/>
      <c r="C263" s="166"/>
      <c r="D263" s="167"/>
      <c r="E263" s="168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54"/>
    </row>
    <row r="264" ht="14.25" customHeight="1">
      <c r="A264" s="164"/>
      <c r="B264" s="165"/>
      <c r="C264" s="166"/>
      <c r="D264" s="167"/>
      <c r="E264" s="168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</row>
    <row r="265" ht="14.25" customHeight="1">
      <c r="A265" s="164"/>
      <c r="B265" s="165"/>
      <c r="C265" s="166"/>
      <c r="D265" s="167"/>
      <c r="E265" s="168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  <c r="Z265" s="154"/>
    </row>
    <row r="266" ht="14.25" customHeight="1">
      <c r="A266" s="164"/>
      <c r="B266" s="165"/>
      <c r="C266" s="166"/>
      <c r="D266" s="167"/>
      <c r="E266" s="168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  <c r="X266" s="154"/>
      <c r="Y266" s="154"/>
      <c r="Z266" s="154"/>
    </row>
    <row r="267" ht="14.25" customHeight="1">
      <c r="A267" s="164"/>
      <c r="B267" s="165"/>
      <c r="C267" s="166"/>
      <c r="D267" s="167"/>
      <c r="E267" s="168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4"/>
    </row>
    <row r="268" ht="14.25" customHeight="1">
      <c r="A268" s="164"/>
      <c r="B268" s="165"/>
      <c r="C268" s="166"/>
      <c r="D268" s="167"/>
      <c r="E268" s="168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4"/>
    </row>
    <row r="269" ht="14.25" customHeight="1">
      <c r="A269" s="164"/>
      <c r="B269" s="165"/>
      <c r="C269" s="166"/>
      <c r="D269" s="167"/>
      <c r="E269" s="168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4"/>
    </row>
    <row r="270" ht="14.25" customHeight="1">
      <c r="A270" s="164"/>
      <c r="B270" s="165"/>
      <c r="C270" s="166"/>
      <c r="D270" s="167"/>
      <c r="E270" s="168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4"/>
    </row>
    <row r="271" ht="14.25" customHeight="1">
      <c r="A271" s="164"/>
      <c r="B271" s="165"/>
      <c r="C271" s="166"/>
      <c r="D271" s="167"/>
      <c r="E271" s="168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4"/>
    </row>
    <row r="272" ht="14.25" customHeight="1">
      <c r="A272" s="164"/>
      <c r="B272" s="165"/>
      <c r="C272" s="166"/>
      <c r="D272" s="167"/>
      <c r="E272" s="168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154"/>
    </row>
    <row r="273" ht="14.25" customHeight="1">
      <c r="A273" s="164"/>
      <c r="B273" s="165"/>
      <c r="C273" s="166"/>
      <c r="D273" s="167"/>
      <c r="E273" s="168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4"/>
    </row>
    <row r="274" ht="14.25" customHeight="1">
      <c r="A274" s="164"/>
      <c r="B274" s="165"/>
      <c r="C274" s="166"/>
      <c r="D274" s="167"/>
      <c r="E274" s="168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4"/>
    </row>
    <row r="275" ht="14.25" customHeight="1">
      <c r="A275" s="164"/>
      <c r="B275" s="165"/>
      <c r="C275" s="166"/>
      <c r="D275" s="167"/>
      <c r="E275" s="168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4"/>
    </row>
    <row r="276" ht="14.25" customHeight="1">
      <c r="A276" s="164"/>
      <c r="B276" s="165"/>
      <c r="C276" s="166"/>
      <c r="D276" s="167"/>
      <c r="E276" s="168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</row>
    <row r="277" ht="14.25" customHeight="1">
      <c r="A277" s="164"/>
      <c r="B277" s="165"/>
      <c r="C277" s="166"/>
      <c r="D277" s="167"/>
      <c r="E277" s="168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</row>
    <row r="278" ht="14.25" customHeight="1">
      <c r="A278" s="164"/>
      <c r="B278" s="165"/>
      <c r="C278" s="166"/>
      <c r="D278" s="167"/>
      <c r="E278" s="168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</row>
    <row r="279" ht="14.25" customHeight="1">
      <c r="A279" s="164"/>
      <c r="B279" s="165"/>
      <c r="C279" s="166"/>
      <c r="D279" s="167"/>
      <c r="E279" s="168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4"/>
    </row>
    <row r="280" ht="14.25" customHeight="1">
      <c r="A280" s="164"/>
      <c r="B280" s="165"/>
      <c r="C280" s="166"/>
      <c r="D280" s="167"/>
      <c r="E280" s="168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</row>
    <row r="281" ht="14.25" customHeight="1">
      <c r="A281" s="164"/>
      <c r="B281" s="165"/>
      <c r="C281" s="166"/>
      <c r="D281" s="167"/>
      <c r="E281" s="168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</row>
    <row r="282" ht="14.25" customHeight="1">
      <c r="A282" s="164"/>
      <c r="B282" s="165"/>
      <c r="C282" s="166"/>
      <c r="D282" s="167"/>
      <c r="E282" s="168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</row>
    <row r="283" ht="14.25" customHeight="1">
      <c r="A283" s="164"/>
      <c r="B283" s="165"/>
      <c r="C283" s="166"/>
      <c r="D283" s="167"/>
      <c r="E283" s="168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</row>
    <row r="284" ht="14.25" customHeight="1">
      <c r="A284" s="164"/>
      <c r="B284" s="165"/>
      <c r="C284" s="166"/>
      <c r="D284" s="167"/>
      <c r="E284" s="168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</row>
    <row r="285" ht="14.25" customHeight="1">
      <c r="A285" s="164"/>
      <c r="B285" s="165"/>
      <c r="C285" s="166"/>
      <c r="D285" s="167"/>
      <c r="E285" s="168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154"/>
    </row>
    <row r="286" ht="14.25" customHeight="1">
      <c r="A286" s="164"/>
      <c r="B286" s="165"/>
      <c r="C286" s="166"/>
      <c r="D286" s="167"/>
      <c r="E286" s="168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4"/>
    </row>
    <row r="287" ht="14.25" customHeight="1">
      <c r="A287" s="164"/>
      <c r="B287" s="165"/>
      <c r="C287" s="166"/>
      <c r="D287" s="167"/>
      <c r="E287" s="168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</row>
    <row r="288" ht="14.25" customHeight="1">
      <c r="A288" s="164"/>
      <c r="B288" s="165"/>
      <c r="C288" s="166"/>
      <c r="D288" s="167"/>
      <c r="E288" s="168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</row>
    <row r="289" ht="14.25" customHeight="1">
      <c r="A289" s="164"/>
      <c r="B289" s="165"/>
      <c r="C289" s="166"/>
      <c r="D289" s="167"/>
      <c r="E289" s="168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</row>
    <row r="290" ht="14.25" customHeight="1">
      <c r="A290" s="164"/>
      <c r="B290" s="165"/>
      <c r="C290" s="166"/>
      <c r="D290" s="167"/>
      <c r="E290" s="168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4"/>
    </row>
    <row r="291" ht="14.25" customHeight="1">
      <c r="A291" s="164"/>
      <c r="B291" s="165"/>
      <c r="C291" s="166"/>
      <c r="D291" s="167"/>
      <c r="E291" s="168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154"/>
    </row>
    <row r="292" ht="14.25" customHeight="1">
      <c r="A292" s="164"/>
      <c r="B292" s="165"/>
      <c r="C292" s="166"/>
      <c r="D292" s="167"/>
      <c r="E292" s="168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154"/>
    </row>
    <row r="293" ht="14.25" customHeight="1">
      <c r="A293" s="164"/>
      <c r="B293" s="165"/>
      <c r="C293" s="166"/>
      <c r="D293" s="167"/>
      <c r="E293" s="168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154"/>
    </row>
    <row r="294" ht="14.25" customHeight="1">
      <c r="A294" s="164"/>
      <c r="B294" s="165"/>
      <c r="C294" s="166"/>
      <c r="D294" s="167"/>
      <c r="E294" s="168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</row>
    <row r="295" ht="14.25" customHeight="1">
      <c r="A295" s="164"/>
      <c r="B295" s="165"/>
      <c r="C295" s="166"/>
      <c r="D295" s="167"/>
      <c r="E295" s="168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</row>
    <row r="296" ht="14.25" customHeight="1">
      <c r="A296" s="164"/>
      <c r="B296" s="165"/>
      <c r="C296" s="166"/>
      <c r="D296" s="167"/>
      <c r="E296" s="168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</row>
    <row r="297" ht="14.25" customHeight="1">
      <c r="A297" s="164"/>
      <c r="B297" s="165"/>
      <c r="C297" s="166"/>
      <c r="D297" s="167"/>
      <c r="E297" s="168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</row>
    <row r="298" ht="14.25" customHeight="1">
      <c r="A298" s="164"/>
      <c r="B298" s="165"/>
      <c r="C298" s="166"/>
      <c r="D298" s="167"/>
      <c r="E298" s="168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</row>
    <row r="299" ht="14.25" customHeight="1">
      <c r="A299" s="164"/>
      <c r="B299" s="165"/>
      <c r="C299" s="166"/>
      <c r="D299" s="167"/>
      <c r="E299" s="168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</row>
    <row r="300" ht="14.25" customHeight="1">
      <c r="A300" s="164"/>
      <c r="B300" s="165"/>
      <c r="C300" s="166"/>
      <c r="D300" s="167"/>
      <c r="E300" s="168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</row>
    <row r="301" ht="14.25" customHeight="1">
      <c r="A301" s="164"/>
      <c r="B301" s="165"/>
      <c r="C301" s="166"/>
      <c r="D301" s="167"/>
      <c r="E301" s="168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</row>
    <row r="302" ht="14.25" customHeight="1">
      <c r="A302" s="164"/>
      <c r="B302" s="165"/>
      <c r="C302" s="166"/>
      <c r="D302" s="167"/>
      <c r="E302" s="168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</row>
    <row r="303" ht="14.25" customHeight="1">
      <c r="A303" s="164"/>
      <c r="B303" s="165"/>
      <c r="C303" s="166"/>
      <c r="D303" s="167"/>
      <c r="E303" s="168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4"/>
    </row>
    <row r="304" ht="14.25" customHeight="1">
      <c r="A304" s="164"/>
      <c r="B304" s="165"/>
      <c r="C304" s="166"/>
      <c r="D304" s="167"/>
      <c r="E304" s="168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</row>
    <row r="305" ht="14.25" customHeight="1">
      <c r="A305" s="164"/>
      <c r="B305" s="165"/>
      <c r="C305" s="166"/>
      <c r="D305" s="167"/>
      <c r="E305" s="168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</row>
    <row r="306" ht="14.25" customHeight="1">
      <c r="A306" s="164"/>
      <c r="B306" s="165"/>
      <c r="C306" s="166"/>
      <c r="D306" s="167"/>
      <c r="E306" s="168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</row>
    <row r="307" ht="14.25" customHeight="1">
      <c r="A307" s="164"/>
      <c r="B307" s="165"/>
      <c r="C307" s="166"/>
      <c r="D307" s="167"/>
      <c r="E307" s="168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154"/>
    </row>
    <row r="308" ht="14.25" customHeight="1">
      <c r="A308" s="164"/>
      <c r="B308" s="165"/>
      <c r="C308" s="166"/>
      <c r="D308" s="167"/>
      <c r="E308" s="168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4"/>
    </row>
    <row r="309" ht="14.25" customHeight="1">
      <c r="A309" s="164"/>
      <c r="B309" s="165"/>
      <c r="C309" s="166"/>
      <c r="D309" s="167"/>
      <c r="E309" s="168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</row>
    <row r="310" ht="14.25" customHeight="1">
      <c r="A310" s="164"/>
      <c r="B310" s="165"/>
      <c r="C310" s="166"/>
      <c r="D310" s="167"/>
      <c r="E310" s="168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</row>
    <row r="311" ht="14.25" customHeight="1">
      <c r="A311" s="164"/>
      <c r="B311" s="165"/>
      <c r="C311" s="166"/>
      <c r="D311" s="167"/>
      <c r="E311" s="168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</row>
    <row r="312" ht="14.25" customHeight="1">
      <c r="A312" s="164"/>
      <c r="B312" s="165"/>
      <c r="C312" s="166"/>
      <c r="D312" s="167"/>
      <c r="E312" s="168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</row>
    <row r="313" ht="14.25" customHeight="1">
      <c r="A313" s="164"/>
      <c r="B313" s="165"/>
      <c r="C313" s="166"/>
      <c r="D313" s="167"/>
      <c r="E313" s="168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</row>
    <row r="314" ht="14.25" customHeight="1">
      <c r="A314" s="164"/>
      <c r="B314" s="165"/>
      <c r="C314" s="166"/>
      <c r="D314" s="167"/>
      <c r="E314" s="168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</row>
    <row r="315" ht="14.25" customHeight="1">
      <c r="A315" s="164"/>
      <c r="B315" s="165"/>
      <c r="C315" s="166"/>
      <c r="D315" s="167"/>
      <c r="E315" s="168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</row>
    <row r="316" ht="14.25" customHeight="1">
      <c r="A316" s="164"/>
      <c r="B316" s="165"/>
      <c r="C316" s="166"/>
      <c r="D316" s="167"/>
      <c r="E316" s="168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</row>
    <row r="317" ht="14.25" customHeight="1">
      <c r="A317" s="164"/>
      <c r="B317" s="165"/>
      <c r="C317" s="166"/>
      <c r="D317" s="167"/>
      <c r="E317" s="168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</row>
    <row r="318" ht="14.25" customHeight="1">
      <c r="A318" s="164"/>
      <c r="B318" s="165"/>
      <c r="C318" s="166"/>
      <c r="D318" s="167"/>
      <c r="E318" s="168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</row>
    <row r="319" ht="14.25" customHeight="1">
      <c r="A319" s="164"/>
      <c r="B319" s="165"/>
      <c r="C319" s="166"/>
      <c r="D319" s="167"/>
      <c r="E319" s="168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</row>
    <row r="320" ht="14.25" customHeight="1">
      <c r="A320" s="164"/>
      <c r="B320" s="165"/>
      <c r="C320" s="166"/>
      <c r="D320" s="167"/>
      <c r="E320" s="168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</row>
    <row r="321" ht="14.25" customHeight="1">
      <c r="A321" s="164"/>
      <c r="B321" s="165"/>
      <c r="C321" s="166"/>
      <c r="D321" s="167"/>
      <c r="E321" s="168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</row>
    <row r="322" ht="14.25" customHeight="1">
      <c r="A322" s="164"/>
      <c r="B322" s="165"/>
      <c r="C322" s="166"/>
      <c r="D322" s="167"/>
      <c r="E322" s="168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154"/>
    </row>
    <row r="323" ht="14.25" customHeight="1">
      <c r="A323" s="164"/>
      <c r="B323" s="165"/>
      <c r="C323" s="166"/>
      <c r="D323" s="167"/>
      <c r="E323" s="168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</row>
    <row r="324" ht="14.25" customHeight="1">
      <c r="A324" s="164"/>
      <c r="B324" s="165"/>
      <c r="C324" s="166"/>
      <c r="D324" s="167"/>
      <c r="E324" s="168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</row>
    <row r="325" ht="14.25" customHeight="1">
      <c r="A325" s="164"/>
      <c r="B325" s="165"/>
      <c r="C325" s="166"/>
      <c r="D325" s="167"/>
      <c r="E325" s="168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</row>
    <row r="326" ht="14.25" customHeight="1">
      <c r="A326" s="164"/>
      <c r="B326" s="165"/>
      <c r="C326" s="166"/>
      <c r="D326" s="167"/>
      <c r="E326" s="168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</row>
    <row r="327" ht="14.25" customHeight="1">
      <c r="A327" s="164"/>
      <c r="B327" s="165"/>
      <c r="C327" s="166"/>
      <c r="D327" s="167"/>
      <c r="E327" s="168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</row>
    <row r="328" ht="14.25" customHeight="1">
      <c r="A328" s="164"/>
      <c r="B328" s="165"/>
      <c r="C328" s="166"/>
      <c r="D328" s="167"/>
      <c r="E328" s="168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</row>
    <row r="329" ht="14.25" customHeight="1">
      <c r="A329" s="164"/>
      <c r="B329" s="165"/>
      <c r="C329" s="166"/>
      <c r="D329" s="167"/>
      <c r="E329" s="168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154"/>
    </row>
    <row r="330" ht="14.25" customHeight="1">
      <c r="A330" s="164"/>
      <c r="B330" s="165"/>
      <c r="C330" s="166"/>
      <c r="D330" s="167"/>
      <c r="E330" s="168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</row>
    <row r="331" ht="14.25" customHeight="1">
      <c r="A331" s="164"/>
      <c r="B331" s="165"/>
      <c r="C331" s="166"/>
      <c r="D331" s="167"/>
      <c r="E331" s="168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</row>
    <row r="332" ht="14.25" customHeight="1">
      <c r="A332" s="164"/>
      <c r="B332" s="165"/>
      <c r="C332" s="166"/>
      <c r="D332" s="167"/>
      <c r="E332" s="168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</row>
    <row r="333" ht="14.25" customHeight="1">
      <c r="A333" s="164"/>
      <c r="B333" s="165"/>
      <c r="C333" s="166"/>
      <c r="D333" s="167"/>
      <c r="E333" s="168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</row>
    <row r="334" ht="14.25" customHeight="1">
      <c r="A334" s="164"/>
      <c r="B334" s="165"/>
      <c r="C334" s="166"/>
      <c r="D334" s="167"/>
      <c r="E334" s="168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</row>
    <row r="335" ht="14.25" customHeight="1">
      <c r="A335" s="164"/>
      <c r="B335" s="165"/>
      <c r="C335" s="166"/>
      <c r="D335" s="167"/>
      <c r="E335" s="168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</row>
    <row r="336" ht="14.25" customHeight="1">
      <c r="A336" s="164"/>
      <c r="B336" s="165"/>
      <c r="C336" s="166"/>
      <c r="D336" s="167"/>
      <c r="E336" s="168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</row>
    <row r="337" ht="14.25" customHeight="1">
      <c r="A337" s="164"/>
      <c r="B337" s="165"/>
      <c r="C337" s="166"/>
      <c r="D337" s="167"/>
      <c r="E337" s="168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</row>
    <row r="338" ht="14.25" customHeight="1">
      <c r="A338" s="164"/>
      <c r="B338" s="165"/>
      <c r="C338" s="166"/>
      <c r="D338" s="167"/>
      <c r="E338" s="168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</row>
    <row r="339" ht="14.25" customHeight="1">
      <c r="A339" s="164"/>
      <c r="B339" s="165"/>
      <c r="C339" s="166"/>
      <c r="D339" s="167"/>
      <c r="E339" s="168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154"/>
    </row>
    <row r="340" ht="14.25" customHeight="1">
      <c r="A340" s="164"/>
      <c r="B340" s="165"/>
      <c r="C340" s="166"/>
      <c r="D340" s="167"/>
      <c r="E340" s="168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</row>
    <row r="341" ht="14.25" customHeight="1">
      <c r="A341" s="164"/>
      <c r="B341" s="165"/>
      <c r="C341" s="166"/>
      <c r="D341" s="167"/>
      <c r="E341" s="168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</row>
    <row r="342" ht="14.25" customHeight="1">
      <c r="A342" s="164"/>
      <c r="B342" s="165"/>
      <c r="C342" s="166"/>
      <c r="D342" s="167"/>
      <c r="E342" s="168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</row>
    <row r="343" ht="14.25" customHeight="1">
      <c r="A343" s="164"/>
      <c r="B343" s="165"/>
      <c r="C343" s="166"/>
      <c r="D343" s="167"/>
      <c r="E343" s="168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</row>
    <row r="344" ht="14.25" customHeight="1">
      <c r="A344" s="164"/>
      <c r="B344" s="165"/>
      <c r="C344" s="166"/>
      <c r="D344" s="167"/>
      <c r="E344" s="168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154"/>
    </row>
    <row r="345" ht="14.25" customHeight="1">
      <c r="A345" s="164"/>
      <c r="B345" s="165"/>
      <c r="C345" s="166"/>
      <c r="D345" s="167"/>
      <c r="E345" s="168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154"/>
    </row>
    <row r="346" ht="14.25" customHeight="1">
      <c r="A346" s="164"/>
      <c r="B346" s="165"/>
      <c r="C346" s="166"/>
      <c r="D346" s="167"/>
      <c r="E346" s="168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154"/>
    </row>
    <row r="347" ht="14.25" customHeight="1">
      <c r="A347" s="164"/>
      <c r="B347" s="165"/>
      <c r="C347" s="166"/>
      <c r="D347" s="167"/>
      <c r="E347" s="168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</row>
    <row r="348" ht="14.25" customHeight="1">
      <c r="A348" s="164"/>
      <c r="B348" s="165"/>
      <c r="C348" s="166"/>
      <c r="D348" s="167"/>
      <c r="E348" s="168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</row>
    <row r="349" ht="14.25" customHeight="1">
      <c r="A349" s="164"/>
      <c r="B349" s="165"/>
      <c r="C349" s="166"/>
      <c r="D349" s="167"/>
      <c r="E349" s="168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</row>
    <row r="350" ht="14.25" customHeight="1">
      <c r="A350" s="164"/>
      <c r="B350" s="165"/>
      <c r="C350" s="166"/>
      <c r="D350" s="167"/>
      <c r="E350" s="168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</row>
    <row r="351" ht="14.25" customHeight="1">
      <c r="A351" s="164"/>
      <c r="B351" s="165"/>
      <c r="C351" s="166"/>
      <c r="D351" s="167"/>
      <c r="E351" s="168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</row>
    <row r="352" ht="14.25" customHeight="1">
      <c r="A352" s="164"/>
      <c r="B352" s="165"/>
      <c r="C352" s="166"/>
      <c r="D352" s="167"/>
      <c r="E352" s="168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</row>
    <row r="353" ht="14.25" customHeight="1">
      <c r="A353" s="164"/>
      <c r="B353" s="165"/>
      <c r="C353" s="166"/>
      <c r="D353" s="167"/>
      <c r="E353" s="168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</row>
    <row r="354" ht="14.25" customHeight="1">
      <c r="A354" s="164"/>
      <c r="B354" s="165"/>
      <c r="C354" s="166"/>
      <c r="D354" s="167"/>
      <c r="E354" s="168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</row>
    <row r="355" ht="14.25" customHeight="1">
      <c r="A355" s="164"/>
      <c r="B355" s="165"/>
      <c r="C355" s="166"/>
      <c r="D355" s="167"/>
      <c r="E355" s="168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</row>
    <row r="356" ht="14.25" customHeight="1">
      <c r="A356" s="164"/>
      <c r="B356" s="165"/>
      <c r="C356" s="166"/>
      <c r="D356" s="167"/>
      <c r="E356" s="168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</row>
    <row r="357" ht="14.25" customHeight="1">
      <c r="A357" s="164"/>
      <c r="B357" s="165"/>
      <c r="C357" s="166"/>
      <c r="D357" s="167"/>
      <c r="E357" s="168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</row>
    <row r="358" ht="14.25" customHeight="1">
      <c r="A358" s="164"/>
      <c r="B358" s="165"/>
      <c r="C358" s="166"/>
      <c r="D358" s="167"/>
      <c r="E358" s="168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4"/>
    </row>
    <row r="359" ht="14.25" customHeight="1">
      <c r="A359" s="164"/>
      <c r="B359" s="165"/>
      <c r="C359" s="166"/>
      <c r="D359" s="167"/>
      <c r="E359" s="168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</row>
    <row r="360" ht="14.25" customHeight="1">
      <c r="A360" s="164"/>
      <c r="B360" s="165"/>
      <c r="C360" s="166"/>
      <c r="D360" s="167"/>
      <c r="E360" s="168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4"/>
    </row>
    <row r="361" ht="14.25" customHeight="1">
      <c r="A361" s="164"/>
      <c r="B361" s="165"/>
      <c r="C361" s="166"/>
      <c r="D361" s="167"/>
      <c r="E361" s="168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8D08D"/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148" t="s">
        <v>168</v>
      </c>
      <c r="B1" s="149" t="s">
        <v>197</v>
      </c>
      <c r="C1" s="150" t="s">
        <v>169</v>
      </c>
      <c r="D1" s="151" t="s">
        <v>198</v>
      </c>
      <c r="E1" s="152" t="s">
        <v>199</v>
      </c>
      <c r="G1" s="153" t="s">
        <v>200</v>
      </c>
      <c r="H1" s="121">
        <f>MATCH("",A2:A1001,-1)</f>
        <v>58</v>
      </c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</row>
    <row r="2" ht="14.25" customHeight="1">
      <c r="A2" s="155" t="str">
        <f>IFERROR(__xludf.DUMMYFUNCTION(" IMPORTRANGE(""https://docs.google.com/spreadsheets/d/13BXb-JP9w7TossSKyWEWT4AGKWgXihTNUS0NupWw4A4/edit#gid=695545632"",""Roller Coaster!A2:A161"")"),"immond")</f>
        <v>immond</v>
      </c>
      <c r="B2" s="156">
        <v>1.0</v>
      </c>
      <c r="C2" s="157">
        <f t="shared" ref="C2:C160" si="1">525*(1-(B2/($H$1+1)))*POWER((SQRT(($H$1+1)/B2)),1/2)</f>
        <v>1430.369656</v>
      </c>
      <c r="D2" s="158" t="str">
        <f>VLOOKUP(A2,'Classement RoC'!$B$2:$C$149,1,0)</f>
        <v>immond</v>
      </c>
      <c r="E2" s="159" t="str">
        <f t="shared" ref="E2:E160" si="2">IF(D2=A2,"","erreur")</f>
        <v/>
      </c>
      <c r="F2" s="120" t="str">
        <f>VLOOKUP(A2,'Classement Général'!$B$2:$B$146,1,0)</f>
        <v>immond</v>
      </c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ht="14.25" customHeight="1">
      <c r="A3" s="160" t="str">
        <f>IFERROR(__xludf.DUMMYFUNCTION("""COMPUTED_VALUE"""),"Odile2Raise")</f>
        <v>Odile2Raise</v>
      </c>
      <c r="B3" s="161">
        <v>2.0</v>
      </c>
      <c r="C3" s="157">
        <f t="shared" si="1"/>
        <v>1182.05491</v>
      </c>
      <c r="D3" s="158" t="str">
        <f>VLOOKUP(A3,'Classement RoC'!$B$2:$C$149,1,0)</f>
        <v>Odile2Raise</v>
      </c>
      <c r="E3" s="159" t="str">
        <f t="shared" si="2"/>
        <v/>
      </c>
      <c r="F3" s="120" t="str">
        <f>VLOOKUP(A3,'Classement Général'!$B$2:$B$146,1,0)</f>
        <v>Odile2Raise</v>
      </c>
      <c r="G3" s="162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ht="14.25" customHeight="1">
      <c r="A4" s="160" t="str">
        <f>IFERROR(__xludf.DUMMYFUNCTION("""COMPUTED_VALUE"""),"GooodJooob")</f>
        <v>GooodJooob</v>
      </c>
      <c r="B4" s="156">
        <v>3.0</v>
      </c>
      <c r="C4" s="157">
        <f t="shared" si="1"/>
        <v>1049.368463</v>
      </c>
      <c r="D4" s="158" t="str">
        <f>VLOOKUP(A4,'Classement RoC'!$B$2:$C$149,1,0)</f>
        <v>GooodJooob</v>
      </c>
      <c r="E4" s="159" t="str">
        <f t="shared" si="2"/>
        <v/>
      </c>
      <c r="F4" s="120" t="str">
        <f>VLOOKUP(A4,'Classement Général'!$B$2:$B$146,1,0)</f>
        <v>GooodJooob</v>
      </c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ht="14.25" customHeight="1">
      <c r="A5" s="160" t="str">
        <f>IFERROR(__xludf.DUMMYFUNCTION("""COMPUTED_VALUE"""),"POMB1664")</f>
        <v>POMB1664</v>
      </c>
      <c r="B5" s="161">
        <v>4.0</v>
      </c>
      <c r="C5" s="157">
        <f t="shared" si="1"/>
        <v>959.1090442</v>
      </c>
      <c r="D5" s="158" t="str">
        <f>VLOOKUP(A5,'Classement RoC'!$B$2:$C$149,1,0)</f>
        <v>POMB1664</v>
      </c>
      <c r="E5" s="163" t="str">
        <f t="shared" si="2"/>
        <v/>
      </c>
      <c r="F5" s="120" t="str">
        <f>VLOOKUP(A5,'Classement Général'!$B$2:$B$146,1,0)</f>
        <v>POMB1664</v>
      </c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ht="14.25" customHeight="1">
      <c r="A6" s="160" t="str">
        <f>IFERROR(__xludf.DUMMYFUNCTION("""COMPUTED_VALUE"""),"Phil1308")</f>
        <v>Phil1308</v>
      </c>
      <c r="B6" s="156">
        <v>5.0</v>
      </c>
      <c r="C6" s="157">
        <f t="shared" si="1"/>
        <v>890.5771611</v>
      </c>
      <c r="D6" s="158" t="str">
        <f>VLOOKUP(A6,'Classement RoC'!$B$2:$C$149,1,0)</f>
        <v>Phil1308</v>
      </c>
      <c r="E6" s="163" t="str">
        <f t="shared" si="2"/>
        <v/>
      </c>
      <c r="F6" s="120" t="str">
        <f>VLOOKUP(A6,'Classement Général'!$B$2:$B$146,1,0)</f>
        <v>Phil1308</v>
      </c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</row>
    <row r="7" ht="14.25" customHeight="1">
      <c r="A7" s="160" t="str">
        <f>IFERROR(__xludf.DUMMYFUNCTION("""COMPUTED_VALUE"""),"A_iniesta")</f>
        <v>A_iniesta</v>
      </c>
      <c r="B7" s="161">
        <v>6.0</v>
      </c>
      <c r="C7" s="157">
        <f t="shared" si="1"/>
        <v>835.1382048</v>
      </c>
      <c r="D7" s="158" t="str">
        <f>VLOOKUP(A7,'Classement RoC'!$B$2:$C$149,1,0)</f>
        <v>A_iniesta</v>
      </c>
      <c r="E7" s="163" t="str">
        <f t="shared" si="2"/>
        <v/>
      </c>
      <c r="F7" s="120" t="str">
        <f>VLOOKUP(A7,'Classement Général'!$B$2:$B$146,1,0)</f>
        <v>A_iniesta</v>
      </c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</row>
    <row r="8" ht="14.25" customHeight="1">
      <c r="A8" s="160" t="str">
        <f>IFERROR(__xludf.DUMMYFUNCTION("""COMPUTED_VALUE"""),"_VisMaVie_")</f>
        <v>_VisMaVie_</v>
      </c>
      <c r="B8" s="156">
        <v>7.0</v>
      </c>
      <c r="C8" s="157">
        <f t="shared" si="1"/>
        <v>788.4045615</v>
      </c>
      <c r="D8" s="158" t="str">
        <f>VLOOKUP(A8,'Classement RoC'!$B$2:$C$149,1,0)</f>
        <v>_VisMaVie_</v>
      </c>
      <c r="E8" s="163" t="str">
        <f t="shared" si="2"/>
        <v/>
      </c>
      <c r="F8" s="120" t="str">
        <f>VLOOKUP(A8,'Classement Général'!$B$2:$B$146,1,0)</f>
        <v>_VisMaVie_</v>
      </c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</row>
    <row r="9" ht="14.25" customHeight="1">
      <c r="A9" s="160" t="str">
        <f>IFERROR(__xludf.DUMMYFUNCTION("""COMPUTED_VALUE"""),"Tontonzgueg")</f>
        <v>Tontonzgueg</v>
      </c>
      <c r="B9" s="161">
        <v>8.0</v>
      </c>
      <c r="C9" s="157">
        <f t="shared" si="1"/>
        <v>747.8559857</v>
      </c>
      <c r="D9" s="158" t="str">
        <f>VLOOKUP(A9,'Classement RoC'!$B$2:$C$149,1,0)</f>
        <v>Tontonzgueg</v>
      </c>
      <c r="E9" s="163" t="str">
        <f t="shared" si="2"/>
        <v/>
      </c>
      <c r="F9" s="120" t="str">
        <f>VLOOKUP(A9,'Classement Général'!$B$2:$B$146,1,0)</f>
        <v>Tontonzgueg</v>
      </c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</row>
    <row r="10" ht="14.25" customHeight="1">
      <c r="A10" s="160" t="str">
        <f>IFERROR(__xludf.DUMMYFUNCTION("""COMPUTED_VALUE"""),"Or&amp;l1")</f>
        <v>Or&amp;l1</v>
      </c>
      <c r="B10" s="156">
        <v>9.0</v>
      </c>
      <c r="C10" s="157">
        <f t="shared" si="1"/>
        <v>711.9175049</v>
      </c>
      <c r="D10" s="158" t="str">
        <f>VLOOKUP(A10,'Classement RoC'!$B$2:$C$149,1,0)</f>
        <v>Or&amp;l1</v>
      </c>
      <c r="E10" s="163" t="str">
        <f t="shared" si="2"/>
        <v/>
      </c>
      <c r="F10" s="120" t="str">
        <f>VLOOKUP(A10,'Classement Général'!$B$2:$B$146,1,0)</f>
        <v>Or&amp;l1</v>
      </c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ht="14.25" customHeight="1">
      <c r="A11" s="160" t="str">
        <f>IFERROR(__xludf.DUMMYFUNCTION("""COMPUTED_VALUE"""),"KamehamehAS")</f>
        <v>KamehamehAS</v>
      </c>
      <c r="B11" s="161">
        <v>10.0</v>
      </c>
      <c r="C11" s="157">
        <f t="shared" si="1"/>
        <v>679.5421106</v>
      </c>
      <c r="D11" s="158" t="str">
        <f>VLOOKUP(A11,'Classement RoC'!$B$2:$C$149,1,0)</f>
        <v>KamehamehAS</v>
      </c>
      <c r="E11" s="163" t="str">
        <f t="shared" si="2"/>
        <v/>
      </c>
      <c r="F11" s="120" t="str">
        <f>VLOOKUP(A11,'Classement Général'!$B$2:$B$146,1,0)</f>
        <v>KamehamehAS</v>
      </c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</row>
    <row r="12" ht="14.25" customHeight="1">
      <c r="A12" s="160" t="str">
        <f>IFERROR(__xludf.DUMMYFUNCTION("""COMPUTED_VALUE"""),"SINGE7")</f>
        <v>SINGE7</v>
      </c>
      <c r="B12" s="156">
        <v>11.0</v>
      </c>
      <c r="C12" s="157">
        <f t="shared" si="1"/>
        <v>650.0000062</v>
      </c>
      <c r="D12" s="158" t="str">
        <f>VLOOKUP(A12,'Classement RoC'!$B$2:$C$149,1,0)</f>
        <v>SINGE7</v>
      </c>
      <c r="E12" s="163" t="str">
        <f t="shared" si="2"/>
        <v/>
      </c>
      <c r="F12" s="120" t="str">
        <f>VLOOKUP(A12,'Classement Général'!$B$2:$B$146,1,0)</f>
        <v>SINGE7</v>
      </c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ht="14.25" customHeight="1">
      <c r="A13" s="160" t="str">
        <f>IFERROR(__xludf.DUMMYFUNCTION("""COMPUTED_VALUE"""),"Belussac")</f>
        <v>Belussac</v>
      </c>
      <c r="B13" s="161">
        <v>12.0</v>
      </c>
      <c r="C13" s="157">
        <f t="shared" si="1"/>
        <v>622.763056</v>
      </c>
      <c r="D13" s="158" t="str">
        <f>VLOOKUP(A13,'Classement RoC'!$B$2:$C$149,1,0)</f>
        <v>Belussac</v>
      </c>
      <c r="E13" s="163" t="str">
        <f t="shared" si="2"/>
        <v/>
      </c>
      <c r="F13" s="120" t="str">
        <f>VLOOKUP(A13,'Classement Général'!$B$2:$B$146,1,0)</f>
        <v>belussac</v>
      </c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ht="14.25" customHeight="1">
      <c r="A14" s="160" t="str">
        <f>IFERROR(__xludf.DUMMYFUNCTION("""COMPUTED_VALUE"""),"StephBoss05")</f>
        <v>StephBoss05</v>
      </c>
      <c r="B14" s="156">
        <v>13.0</v>
      </c>
      <c r="C14" s="157">
        <f t="shared" si="1"/>
        <v>597.4372377</v>
      </c>
      <c r="D14" s="158" t="str">
        <f>VLOOKUP(A14,'Classement RoC'!$B$2:$C$149,1,0)</f>
        <v>StephBoss05</v>
      </c>
      <c r="E14" s="163" t="str">
        <f t="shared" si="2"/>
        <v/>
      </c>
      <c r="F14" s="120" t="str">
        <f>VLOOKUP(A14,'Classement Général'!$B$2:$B$146,1,0)</f>
        <v>StephBoss05</v>
      </c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</row>
    <row r="15" ht="14.25" customHeight="1">
      <c r="A15" s="160" t="str">
        <f>IFERROR(__xludf.DUMMYFUNCTION("""COMPUTED_VALUE"""),". BARBAPAPA66")</f>
        <v>. BARBAPAPA66</v>
      </c>
      <c r="B15" s="161">
        <v>14.0</v>
      </c>
      <c r="C15" s="157">
        <f t="shared" si="1"/>
        <v>573.7210698</v>
      </c>
      <c r="D15" s="158" t="str">
        <f>VLOOKUP(A15,'Classement RoC'!$B$2:$C$149,1,0)</f>
        <v>. BARBAPAPA66</v>
      </c>
      <c r="E15" s="163" t="str">
        <f t="shared" si="2"/>
        <v/>
      </c>
      <c r="F15" s="120" t="str">
        <f>VLOOKUP(A15,'Classement Général'!$B$2:$B$146,1,0)</f>
        <v>. BARBAPAPA66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</row>
    <row r="16" ht="14.25" customHeight="1">
      <c r="A16" s="160" t="str">
        <f>IFERROR(__xludf.DUMMYFUNCTION("""COMPUTED_VALUE"""),"Patgaret")</f>
        <v>Patgaret</v>
      </c>
      <c r="B16" s="156">
        <v>15.0</v>
      </c>
      <c r="C16" s="157">
        <f t="shared" si="1"/>
        <v>551.3789175</v>
      </c>
      <c r="D16" s="158" t="str">
        <f>VLOOKUP(A16,'Classement RoC'!$B$2:$C$149,1,0)</f>
        <v>Patgaret</v>
      </c>
      <c r="E16" s="163" t="str">
        <f t="shared" si="2"/>
        <v/>
      </c>
      <c r="F16" s="120" t="str">
        <f>VLOOKUP(A16,'Classement Général'!$B$2:$B$146,1,0)</f>
        <v>Patgaret</v>
      </c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ht="14.25" customHeight="1">
      <c r="A17" s="160" t="str">
        <f>IFERROR(__xludf.DUMMYFUNCTION("""COMPUTED_VALUE"""),"NezuKO-demon")</f>
        <v>NezuKO-demon</v>
      </c>
      <c r="B17" s="161">
        <v>16.0</v>
      </c>
      <c r="C17" s="157">
        <f t="shared" si="1"/>
        <v>530.2232344</v>
      </c>
      <c r="D17" s="158" t="str">
        <f>VLOOKUP(A17,'Classement RoC'!$B$2:$C$149,1,0)</f>
        <v>NezuKO-demon</v>
      </c>
      <c r="E17" s="163" t="str">
        <f t="shared" si="2"/>
        <v/>
      </c>
      <c r="F17" s="120" t="str">
        <f>VLOOKUP(A17,'Classement Général'!$B$2:$B$146,1,0)</f>
        <v>NezuKO-demon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</row>
    <row r="18" ht="14.25" customHeight="1">
      <c r="A18" s="160" t="str">
        <f>IFERROR(__xludf.DUMMYFUNCTION("""COMPUTED_VALUE"""),"Redblood92")</f>
        <v>Redblood92</v>
      </c>
      <c r="B18" s="156">
        <v>17.0</v>
      </c>
      <c r="C18" s="157">
        <f t="shared" si="1"/>
        <v>510.1023857</v>
      </c>
      <c r="D18" s="158" t="str">
        <f>VLOOKUP(A18,'Classement RoC'!$B$2:$C$149,1,0)</f>
        <v>Redblood92</v>
      </c>
      <c r="E18" s="163" t="str">
        <f t="shared" si="2"/>
        <v/>
      </c>
      <c r="F18" s="120" t="str">
        <f>VLOOKUP(A18,'Classement Général'!$B$2:$B$146,1,0)</f>
        <v>Redblood92</v>
      </c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</row>
    <row r="19" ht="14.25" customHeight="1">
      <c r="A19" s="160" t="str">
        <f>IFERROR(__xludf.DUMMYFUNCTION("""COMPUTED_VALUE"""),"PocketBike")</f>
        <v>PocketBike</v>
      </c>
      <c r="B19" s="161">
        <v>18.0</v>
      </c>
      <c r="C19" s="157">
        <f t="shared" si="1"/>
        <v>490.8920798</v>
      </c>
      <c r="D19" s="158" t="str">
        <f>VLOOKUP(A19,'Classement RoC'!$B$2:$C$149,1,0)</f>
        <v>PocketBike</v>
      </c>
      <c r="E19" s="163" t="str">
        <f t="shared" si="2"/>
        <v/>
      </c>
      <c r="F19" s="120" t="str">
        <f>VLOOKUP(A19,'Classement Général'!$B$2:$B$146,1,0)</f>
        <v>PocketBike</v>
      </c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</row>
    <row r="20" ht="14.25" customHeight="1">
      <c r="A20" s="160" t="str">
        <f>IFERROR(__xludf.DUMMYFUNCTION("""COMPUTED_VALUE"""),"FridAKahlo")</f>
        <v>FridAKahlo</v>
      </c>
      <c r="B20" s="156">
        <v>19.0</v>
      </c>
      <c r="C20" s="157">
        <f t="shared" si="1"/>
        <v>472.4891997</v>
      </c>
      <c r="D20" s="158" t="str">
        <f>VLOOKUP(A20,'Classement RoC'!$B$2:$C$149,1,0)</f>
        <v>FridAKahlo</v>
      </c>
      <c r="E20" s="163" t="str">
        <f t="shared" si="2"/>
        <v/>
      </c>
      <c r="F20" s="120" t="str">
        <f>VLOOKUP(A20,'Classement Général'!$B$2:$B$146,1,0)</f>
        <v>FridAKahlo</v>
      </c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</row>
    <row r="21" ht="14.25" customHeight="1">
      <c r="A21" s="160" t="str">
        <f>IFERROR(__xludf.DUMMYFUNCTION("""COMPUTED_VALUE"""),"DonnesTchips")</f>
        <v>DonnesTchips</v>
      </c>
      <c r="B21" s="161">
        <v>20.0</v>
      </c>
      <c r="C21" s="157">
        <f t="shared" si="1"/>
        <v>454.8072748</v>
      </c>
      <c r="D21" s="158" t="str">
        <f>VLOOKUP(A21,'Classement RoC'!$B$2:$C$149,1,0)</f>
        <v>DonnesTchips</v>
      </c>
      <c r="E21" s="163" t="str">
        <f t="shared" si="2"/>
        <v/>
      </c>
      <c r="F21" s="120" t="str">
        <f>VLOOKUP(A21,'Classement Général'!$B$2:$B$146,1,0)</f>
        <v>DonnesTchips</v>
      </c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</row>
    <row r="22" ht="14.25" customHeight="1">
      <c r="A22" s="160" t="str">
        <f>IFERROR(__xludf.DUMMYFUNCTION("""COMPUTED_VALUE"""),"Titounio")</f>
        <v>Titounio</v>
      </c>
      <c r="B22" s="156">
        <v>21.0</v>
      </c>
      <c r="C22" s="157">
        <f t="shared" si="1"/>
        <v>437.7730958</v>
      </c>
      <c r="D22" s="158" t="str">
        <f>VLOOKUP(A22,'Classement RoC'!$B$2:$C$149,1,0)</f>
        <v>Titounio</v>
      </c>
      <c r="E22" s="163" t="str">
        <f t="shared" si="2"/>
        <v/>
      </c>
      <c r="F22" s="120" t="str">
        <f>VLOOKUP(A22,'Classement Général'!$B$2:$B$146,1,0)</f>
        <v>Titounio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</row>
    <row r="23" ht="14.25" customHeight="1">
      <c r="A23" s="160" t="str">
        <f>IFERROR(__xludf.DUMMYFUNCTION("""COMPUTED_VALUE"""),"Sab86360")</f>
        <v>Sab86360</v>
      </c>
      <c r="B23" s="161">
        <v>22.0</v>
      </c>
      <c r="C23" s="157">
        <f t="shared" si="1"/>
        <v>421.3241454</v>
      </c>
      <c r="D23" s="158" t="str">
        <f>VLOOKUP(A23,'Classement RoC'!$B$2:$C$149,1,0)</f>
        <v>Sab86360</v>
      </c>
      <c r="E23" s="163" t="str">
        <f t="shared" si="2"/>
        <v/>
      </c>
      <c r="F23" s="120" t="str">
        <f>VLOOKUP(A23,'Classement Général'!$B$2:$B$146,1,0)</f>
        <v>Sab86360</v>
      </c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</row>
    <row r="24" ht="14.25" customHeight="1">
      <c r="A24" s="160" t="str">
        <f>IFERROR(__xludf.DUMMYFUNCTION("""COMPUTED_VALUE"""),"8kinder6")</f>
        <v>8kinder6</v>
      </c>
      <c r="B24" s="156">
        <v>23.0</v>
      </c>
      <c r="C24" s="157">
        <f t="shared" si="1"/>
        <v>405.4066203</v>
      </c>
      <c r="D24" s="158" t="str">
        <f>VLOOKUP(A24,'Classement RoC'!$B$2:$C$149,1,0)</f>
        <v>8kinder6</v>
      </c>
      <c r="E24" s="163" t="str">
        <f t="shared" si="2"/>
        <v/>
      </c>
      <c r="F24" s="120" t="str">
        <f>VLOOKUP(A24,'Classement Général'!$B$2:$B$146,1,0)</f>
        <v>8kinder6</v>
      </c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</row>
    <row r="25" ht="14.25" customHeight="1">
      <c r="A25" s="160" t="str">
        <f>IFERROR(__xludf.DUMMYFUNCTION("""COMPUTED_VALUE"""),"BnHuR_MarCL.")</f>
        <v>BnHuR_MarCL.</v>
      </c>
      <c r="B25" s="161">
        <v>24.0</v>
      </c>
      <c r="C25" s="157">
        <f t="shared" si="1"/>
        <v>389.9738882</v>
      </c>
      <c r="D25" s="158" t="str">
        <f>VLOOKUP(A25,'Classement RoC'!$B$2:$C$149,1,0)</f>
        <v>BnHuR_MarCL.</v>
      </c>
      <c r="E25" s="163" t="str">
        <f t="shared" si="2"/>
        <v/>
      </c>
      <c r="F25" s="120" t="str">
        <f>VLOOKUP(A25,'Classement Général'!$B$2:$B$146,1,0)</f>
        <v>BnHuR_MarCL.</v>
      </c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</row>
    <row r="26" ht="14.25" customHeight="1">
      <c r="A26" s="160" t="str">
        <f>IFERROR(__xludf.DUMMYFUNCTION("""COMPUTED_VALUE"""),"Like_A_Fish")</f>
        <v>Like_A_Fish</v>
      </c>
      <c r="B26" s="156">
        <v>25.0</v>
      </c>
      <c r="C26" s="157">
        <f t="shared" si="1"/>
        <v>374.9852711</v>
      </c>
      <c r="D26" s="158" t="str">
        <f>VLOOKUP(A26,'Classement RoC'!$B$2:$C$149,1,0)</f>
        <v>Like_A_Fish</v>
      </c>
      <c r="E26" s="163" t="str">
        <f t="shared" si="2"/>
        <v/>
      </c>
      <c r="F26" s="120" t="str">
        <f>VLOOKUP(A26,'Classement Général'!$B$2:$B$146,1,0)</f>
        <v>Like_A_Fish</v>
      </c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</row>
    <row r="27" ht="14.25" customHeight="1">
      <c r="A27" s="160" t="str">
        <f>IFERROR(__xludf.DUMMYFUNCTION("""COMPUTED_VALUE"""),"BBH 75")</f>
        <v>BBH 75</v>
      </c>
      <c r="B27" s="161">
        <v>26.0</v>
      </c>
      <c r="C27" s="157">
        <f t="shared" si="1"/>
        <v>360.4050748</v>
      </c>
      <c r="D27" s="158" t="str">
        <f>VLOOKUP(A27,'Classement RoC'!$B$2:$C$149,1,0)</f>
        <v>BBH 75</v>
      </c>
      <c r="E27" s="163" t="str">
        <f t="shared" si="2"/>
        <v/>
      </c>
      <c r="F27" s="120" t="str">
        <f>VLOOKUP(A27,'Classement Général'!$B$2:$B$146,1,0)</f>
        <v>BBH 75</v>
      </c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</row>
    <row r="28" ht="14.25" customHeight="1">
      <c r="A28" s="160" t="str">
        <f>IFERROR(__xludf.DUMMYFUNCTION("""COMPUTED_VALUE"""),"gregmoore")</f>
        <v>gregmoore</v>
      </c>
      <c r="B28" s="156">
        <v>27.0</v>
      </c>
      <c r="C28" s="157">
        <f t="shared" si="1"/>
        <v>346.2018083</v>
      </c>
      <c r="D28" s="158" t="str">
        <f>VLOOKUP(A28,'Classement RoC'!$B$2:$C$149,1,0)</f>
        <v>gregmoore</v>
      </c>
      <c r="E28" s="163" t="str">
        <f t="shared" si="2"/>
        <v/>
      </c>
      <c r="F28" s="120" t="str">
        <f>VLOOKUP(A28,'Classement Général'!$B$2:$B$146,1,0)</f>
        <v>gregmoore</v>
      </c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</row>
    <row r="29" ht="14.25" customHeight="1">
      <c r="A29" s="160" t="str">
        <f>IFERROR(__xludf.DUMMYFUNCTION("""COMPUTED_VALUE"""),"UniThe")</f>
        <v>UniThe</v>
      </c>
      <c r="B29" s="161">
        <v>28.0</v>
      </c>
      <c r="C29" s="157">
        <f t="shared" si="1"/>
        <v>332.3475493</v>
      </c>
      <c r="D29" s="158" t="str">
        <f>VLOOKUP(A29,'Classement RoC'!$B$2:$C$149,1,0)</f>
        <v>UniThe</v>
      </c>
      <c r="E29" s="163" t="str">
        <f t="shared" si="2"/>
        <v/>
      </c>
      <c r="F29" s="120" t="str">
        <f>VLOOKUP(A29,'Classement Général'!$B$2:$B$146,1,0)</f>
        <v>UniThe</v>
      </c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</row>
    <row r="30" ht="14.25" customHeight="1">
      <c r="A30" s="160" t="str">
        <f>IFERROR(__xludf.DUMMYFUNCTION("""COMPUTED_VALUE"""),"christ86000")</f>
        <v>christ86000</v>
      </c>
      <c r="B30" s="156">
        <v>29.0</v>
      </c>
      <c r="C30" s="157">
        <f t="shared" si="1"/>
        <v>318.8174251</v>
      </c>
      <c r="D30" s="158" t="str">
        <f>VLOOKUP(A30,'Classement RoC'!$B$2:$C$149,1,0)</f>
        <v>christ86000</v>
      </c>
      <c r="E30" s="163" t="str">
        <f t="shared" si="2"/>
        <v/>
      </c>
      <c r="F30" s="120" t="str">
        <f>VLOOKUP(A30,'Classement Général'!$B$2:$B$146,1,0)</f>
        <v>christ86000</v>
      </c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</row>
    <row r="31" ht="14.25" customHeight="1">
      <c r="A31" s="160" t="str">
        <f>IFERROR(__xludf.DUMMYFUNCTION("""COMPUTED_VALUE"""),"Legabodu86")</f>
        <v>Legabodu86</v>
      </c>
      <c r="B31" s="161">
        <v>30.0</v>
      </c>
      <c r="C31" s="157">
        <f t="shared" si="1"/>
        <v>305.5891841</v>
      </c>
      <c r="D31" s="158" t="str">
        <f>VLOOKUP(A31,'Classement RoC'!$B$2:$C$149,1,0)</f>
        <v>Legabodu86</v>
      </c>
      <c r="E31" s="163" t="str">
        <f t="shared" si="2"/>
        <v/>
      </c>
      <c r="F31" s="120" t="str">
        <f>VLOOKUP(A31,'Classement Général'!$B$2:$B$146,1,0)</f>
        <v>Legabodu86</v>
      </c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</row>
    <row r="32" ht="14.25" customHeight="1">
      <c r="A32" s="160" t="str">
        <f>IFERROR(__xludf.DUMMYFUNCTION("""COMPUTED_VALUE"""),"erniedog56x")</f>
        <v>erniedog56x</v>
      </c>
      <c r="B32" s="156">
        <v>31.0</v>
      </c>
      <c r="C32" s="157">
        <f t="shared" si="1"/>
        <v>292.6428398</v>
      </c>
      <c r="D32" s="158" t="str">
        <f>VLOOKUP(A32,'Classement RoC'!$B$2:$C$149,1,0)</f>
        <v>erniedog56x</v>
      </c>
      <c r="E32" s="163" t="str">
        <f t="shared" si="2"/>
        <v/>
      </c>
      <c r="F32" s="120" t="str">
        <f>VLOOKUP(A32,'Classement Général'!$B$2:$B$146,1,0)</f>
        <v>erniedog56x</v>
      </c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</row>
    <row r="33" ht="14.25" customHeight="1">
      <c r="A33" s="160" t="str">
        <f>IFERROR(__xludf.DUMMYFUNCTION("""COMPUTED_VALUE"""),"Vaillant 86")</f>
        <v>Vaillant 86</v>
      </c>
      <c r="B33" s="161">
        <v>32.0</v>
      </c>
      <c r="C33" s="157">
        <f t="shared" si="1"/>
        <v>279.9603735</v>
      </c>
      <c r="D33" s="158" t="str">
        <f>VLOOKUP(A33,'Classement RoC'!$B$2:$C$149,1,0)</f>
        <v>Vaillant 86</v>
      </c>
      <c r="E33" s="163" t="str">
        <f t="shared" si="2"/>
        <v/>
      </c>
      <c r="F33" s="120" t="str">
        <f>VLOOKUP(A33,'Classement Général'!$B$2:$B$146,1,0)</f>
        <v>Vaillant 86</v>
      </c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</row>
    <row r="34" ht="14.25" customHeight="1">
      <c r="A34" s="160" t="str">
        <f>IFERROR(__xludf.DUMMYFUNCTION("""COMPUTED_VALUE"""),"-bartman-")</f>
        <v>-bartman-</v>
      </c>
      <c r="B34" s="156">
        <v>33.0</v>
      </c>
      <c r="C34" s="157">
        <f t="shared" si="1"/>
        <v>267.5254835</v>
      </c>
      <c r="D34" s="158" t="str">
        <f>VLOOKUP(A34,'Classement RoC'!$B$2:$C$149,1,0)</f>
        <v>-bartman-</v>
      </c>
      <c r="E34" s="163" t="str">
        <f t="shared" si="2"/>
        <v/>
      </c>
      <c r="F34" s="120" t="str">
        <f>VLOOKUP(A34,'Classement Général'!$B$2:$B$146,1,0)</f>
        <v>-bartman-</v>
      </c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</row>
    <row r="35" ht="14.25" customHeight="1">
      <c r="A35" s="160" t="str">
        <f>IFERROR(__xludf.DUMMYFUNCTION("""COMPUTED_VALUE"""),"Bratake")</f>
        <v>Bratake</v>
      </c>
      <c r="B35" s="161">
        <v>34.0</v>
      </c>
      <c r="C35" s="157">
        <f t="shared" si="1"/>
        <v>255.3233736</v>
      </c>
      <c r="D35" s="158" t="str">
        <f>VLOOKUP(A35,'Classement RoC'!$B$2:$C$149,1,0)</f>
        <v>Bratake</v>
      </c>
      <c r="E35" s="163" t="str">
        <f t="shared" si="2"/>
        <v/>
      </c>
      <c r="F35" s="120" t="str">
        <f>VLOOKUP(A35,'Classement Général'!$B$2:$B$146,1,0)</f>
        <v>Bratake</v>
      </c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</row>
    <row r="36" ht="14.25" customHeight="1">
      <c r="A36" s="160" t="str">
        <f>IFERROR(__xludf.DUMMYFUNCTION("""COMPUTED_VALUE"""),"kiki86 x")</f>
        <v>kiki86 x</v>
      </c>
      <c r="B36" s="156">
        <v>35.0</v>
      </c>
      <c r="C36" s="157">
        <f t="shared" si="1"/>
        <v>243.3405724</v>
      </c>
      <c r="D36" s="158" t="str">
        <f>VLOOKUP(A36,'Classement RoC'!$B$2:$C$149,1,0)</f>
        <v>kiki86 x</v>
      </c>
      <c r="E36" s="163" t="str">
        <f t="shared" si="2"/>
        <v/>
      </c>
      <c r="F36" s="120" t="str">
        <f>VLOOKUP(A36,'Classement Général'!$B$2:$B$146,1,0)</f>
        <v>kiki86 x</v>
      </c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</row>
    <row r="37" ht="14.25" customHeight="1">
      <c r="A37" s="160" t="str">
        <f>IFERROR(__xludf.DUMMYFUNCTION("""COMPUTED_VALUE"""),"Chuckzim")</f>
        <v>Chuckzim</v>
      </c>
      <c r="B37" s="161">
        <v>36.0</v>
      </c>
      <c r="C37" s="157">
        <f t="shared" si="1"/>
        <v>231.5647799</v>
      </c>
      <c r="D37" s="158" t="str">
        <f>VLOOKUP(A37,'Classement RoC'!$B$2:$C$149,1,0)</f>
        <v>Chuckzim</v>
      </c>
      <c r="E37" s="163" t="str">
        <f t="shared" si="2"/>
        <v/>
      </c>
      <c r="F37" s="120" t="str">
        <f>VLOOKUP(A37,'Classement Général'!$B$2:$B$146,1,0)</f>
        <v>Chuckzim</v>
      </c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</row>
    <row r="38" ht="14.25" customHeight="1">
      <c r="A38" s="160" t="str">
        <f>IFERROR(__xludf.DUMMYFUNCTION("""COMPUTED_VALUE"""),".choco")</f>
        <v>.choco</v>
      </c>
      <c r="B38" s="156">
        <v>37.0</v>
      </c>
      <c r="C38" s="157">
        <f t="shared" si="1"/>
        <v>219.9847344</v>
      </c>
      <c r="D38" s="158" t="str">
        <f>VLOOKUP(A38,'Classement RoC'!$B$2:$C$149,1,0)</f>
        <v>.choco</v>
      </c>
      <c r="E38" s="163" t="str">
        <f t="shared" si="2"/>
        <v/>
      </c>
      <c r="F38" s="120" t="str">
        <f>VLOOKUP(A38,'Classement Général'!$B$2:$B$146,1,0)</f>
        <v>.choco</v>
      </c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</row>
    <row r="39" ht="14.25" customHeight="1">
      <c r="A39" s="160" t="str">
        <f>IFERROR(__xludf.DUMMYFUNCTION("""COMPUTED_VALUE"""),"_Sale-Bet_")</f>
        <v>_Sale-Bet_</v>
      </c>
      <c r="B39" s="161">
        <v>38.0</v>
      </c>
      <c r="C39" s="157">
        <f t="shared" si="1"/>
        <v>208.590099</v>
      </c>
      <c r="D39" s="158" t="str">
        <f>VLOOKUP(A39,'Classement RoC'!$B$2:$C$149,1,0)</f>
        <v>_Sale-Bet_</v>
      </c>
      <c r="E39" s="163" t="str">
        <f t="shared" si="2"/>
        <v/>
      </c>
      <c r="F39" s="120" t="str">
        <f>VLOOKUP(A39,'Classement Général'!$B$2:$B$146,1,0)</f>
        <v>_Sale-Bet_</v>
      </c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</row>
    <row r="40" ht="14.25" customHeight="1">
      <c r="A40" s="160" t="str">
        <f>IFERROR(__xludf.DUMMYFUNCTION("""COMPUTED_VALUE"""),"Fistipanda")</f>
        <v>Fistipanda</v>
      </c>
      <c r="B40" s="156">
        <v>39.0</v>
      </c>
      <c r="C40" s="157">
        <f t="shared" si="1"/>
        <v>197.3713622</v>
      </c>
      <c r="D40" s="158" t="str">
        <f>VLOOKUP(A40,'Classement RoC'!$B$2:$C$149,1,0)</f>
        <v>Fistipanda</v>
      </c>
      <c r="E40" s="163" t="str">
        <f t="shared" si="2"/>
        <v/>
      </c>
      <c r="F40" s="120" t="str">
        <f>VLOOKUP(A40,'Classement Général'!$B$2:$B$146,1,0)</f>
        <v>Fistipanda</v>
      </c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</row>
    <row r="41" ht="14.25" customHeight="1">
      <c r="A41" s="160" t="str">
        <f>IFERROR(__xludf.DUMMYFUNCTION("""COMPUTED_VALUE"""),"Elfy")</f>
        <v>Elfy</v>
      </c>
      <c r="B41" s="161">
        <v>40.0</v>
      </c>
      <c r="C41" s="157">
        <f t="shared" si="1"/>
        <v>186.3197521</v>
      </c>
      <c r="D41" s="158" t="str">
        <f>VLOOKUP(A41,'Classement RoC'!$B$2:$C$149,1,0)</f>
        <v>Elfy</v>
      </c>
      <c r="E41" s="163" t="str">
        <f t="shared" si="2"/>
        <v/>
      </c>
      <c r="F41" s="120" t="str">
        <f>VLOOKUP(A41,'Classement Général'!$B$2:$B$146,1,0)</f>
        <v>Elfy</v>
      </c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</row>
    <row r="42" ht="14.25" customHeight="1">
      <c r="A42" s="160" t="str">
        <f>IFERROR(__xludf.DUMMYFUNCTION("""COMPUTED_VALUE"""),"Mako Lemore")</f>
        <v>Mako Lemore</v>
      </c>
      <c r="B42" s="156">
        <v>41.0</v>
      </c>
      <c r="C42" s="157">
        <f t="shared" si="1"/>
        <v>175.4271612</v>
      </c>
      <c r="D42" s="158" t="str">
        <f>VLOOKUP(A42,'Classement RoC'!$B$2:$C$149,1,0)</f>
        <v>Mako Lemore</v>
      </c>
      <c r="E42" s="163" t="str">
        <f t="shared" si="2"/>
        <v/>
      </c>
      <c r="F42" s="120" t="str">
        <f>VLOOKUP(A42,'Classement Général'!$B$2:$B$146,1,0)</f>
        <v>Mako Lemore</v>
      </c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</row>
    <row r="43" ht="14.25" customHeight="1">
      <c r="A43" s="160" t="str">
        <f>IFERROR(__xludf.DUMMYFUNCTION("""COMPUTED_VALUE"""),"Pachavi")</f>
        <v>Pachavi</v>
      </c>
      <c r="B43" s="161">
        <v>42.0</v>
      </c>
      <c r="C43" s="157">
        <f t="shared" si="1"/>
        <v>164.6860805</v>
      </c>
      <c r="D43" s="158" t="str">
        <f>VLOOKUP(A43,'Classement RoC'!$B$2:$C$149,1,0)</f>
        <v>Pachavi</v>
      </c>
      <c r="E43" s="163" t="str">
        <f t="shared" si="2"/>
        <v/>
      </c>
      <c r="F43" s="120" t="str">
        <f>VLOOKUP(A43,'Classement Général'!$B$2:$B$146,1,0)</f>
        <v>Pachavi</v>
      </c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</row>
    <row r="44" ht="14.25" customHeight="1">
      <c r="A44" s="160" t="str">
        <f>IFERROR(__xludf.DUMMYFUNCTION("""COMPUTED_VALUE"""),"chatouill86")</f>
        <v>chatouill86</v>
      </c>
      <c r="B44" s="156">
        <v>43.0</v>
      </c>
      <c r="C44" s="157">
        <f t="shared" si="1"/>
        <v>154.0895417</v>
      </c>
      <c r="D44" s="158" t="str">
        <f>VLOOKUP(A44,'Classement RoC'!$B$2:$C$149,1,0)</f>
        <v>chatouill86</v>
      </c>
      <c r="E44" s="163" t="str">
        <f t="shared" si="2"/>
        <v/>
      </c>
      <c r="F44" s="120" t="str">
        <f>VLOOKUP(A44,'Classement Général'!$B$2:$B$146,1,0)</f>
        <v>chatouill86</v>
      </c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</row>
    <row r="45" ht="14.25" customHeight="1">
      <c r="A45" s="160" t="str">
        <f>IFERROR(__xludf.DUMMYFUNCTION("""COMPUTED_VALUE"""),"Blochedu86")</f>
        <v>Blochedu86</v>
      </c>
      <c r="B45" s="161">
        <v>44.0</v>
      </c>
      <c r="C45" s="157">
        <f t="shared" si="1"/>
        <v>143.6310663</v>
      </c>
      <c r="D45" s="158" t="str">
        <f>VLOOKUP(A45,'Classement RoC'!$B$2:$C$149,1,0)</f>
        <v>Blochedu86</v>
      </c>
      <c r="E45" s="163" t="str">
        <f t="shared" si="2"/>
        <v/>
      </c>
      <c r="F45" s="120" t="str">
        <f>VLOOKUP(A45,'Classement Général'!$B$2:$B$146,1,0)</f>
        <v>Blochedu86</v>
      </c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</row>
    <row r="46" ht="14.25" customHeight="1">
      <c r="A46" s="160" t="str">
        <f>IFERROR(__xludf.DUMMYFUNCTION("""COMPUTED_VALUE"""),"Le_Pictavien")</f>
        <v>Le_Pictavien</v>
      </c>
      <c r="B46" s="156">
        <v>45.0</v>
      </c>
      <c r="C46" s="157">
        <f t="shared" si="1"/>
        <v>133.3046202</v>
      </c>
      <c r="D46" s="158" t="str">
        <f>VLOOKUP(A46,'Classement RoC'!$B$2:$C$149,1,0)</f>
        <v>Le_Pictavien</v>
      </c>
      <c r="E46" s="163" t="str">
        <f t="shared" si="2"/>
        <v/>
      </c>
      <c r="F46" s="120" t="str">
        <f>VLOOKUP(A46,'Classement Général'!$B$2:$B$146,1,0)</f>
        <v>Le_Pictavien</v>
      </c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</row>
    <row r="47" ht="14.25" customHeight="1">
      <c r="A47" s="160" t="str">
        <f>IFERROR(__xludf.DUMMYFUNCTION("""COMPUTED_VALUE"""),"Garou du 86")</f>
        <v>Garou du 86</v>
      </c>
      <c r="B47" s="161">
        <v>46.0</v>
      </c>
      <c r="C47" s="157">
        <f t="shared" si="1"/>
        <v>123.1045738</v>
      </c>
      <c r="D47" s="158" t="str">
        <f>VLOOKUP(A47,'Classement RoC'!$B$2:$C$149,1,0)</f>
        <v>Garou du 86</v>
      </c>
      <c r="E47" s="163" t="str">
        <f t="shared" si="2"/>
        <v/>
      </c>
      <c r="F47" s="120" t="str">
        <f>VLOOKUP(A47,'Classement Général'!$B$2:$B$146,1,0)</f>
        <v>Garou du 86</v>
      </c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</row>
    <row r="48" ht="14.25" customHeight="1">
      <c r="A48" s="160" t="str">
        <f>IFERROR(__xludf.DUMMYFUNCTION("""COMPUTED_VALUE"""),"Kevfurious")</f>
        <v>Kevfurious</v>
      </c>
      <c r="B48" s="156">
        <v>47.0</v>
      </c>
      <c r="C48" s="157">
        <f t="shared" si="1"/>
        <v>113.0256664</v>
      </c>
      <c r="D48" s="158" t="str">
        <f>VLOOKUP(A48,'Classement RoC'!$B$2:$C$149,1,0)</f>
        <v>Kevfurious</v>
      </c>
      <c r="E48" s="163" t="str">
        <f t="shared" si="2"/>
        <v/>
      </c>
      <c r="F48" s="120" t="str">
        <f>VLOOKUP(A48,'Classement Général'!$B$2:$B$146,1,0)</f>
        <v>Kevfurious</v>
      </c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 ht="14.25" customHeight="1">
      <c r="A49" s="160" t="str">
        <f>IFERROR(__xludf.DUMMYFUNCTION("""COMPUTED_VALUE"""),"PSGJM")</f>
        <v>PSGJM</v>
      </c>
      <c r="B49" s="161">
        <v>48.0</v>
      </c>
      <c r="C49" s="157">
        <f t="shared" si="1"/>
        <v>103.062974</v>
      </c>
      <c r="D49" s="158" t="str">
        <f>VLOOKUP(A49,'Classement RoC'!$B$2:$C$149,1,0)</f>
        <v>PSGJM</v>
      </c>
      <c r="E49" s="163" t="str">
        <f t="shared" si="2"/>
        <v/>
      </c>
      <c r="F49" s="120" t="str">
        <f>VLOOKUP(A49,'Classement Général'!$B$2:$B$146,1,0)</f>
        <v>PSGJM</v>
      </c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50" ht="14.25" customHeight="1">
      <c r="A50" s="160" t="str">
        <f>IFERROR(__xludf.DUMMYFUNCTION("""COMPUTED_VALUE"""),"m86600b")</f>
        <v>m86600b</v>
      </c>
      <c r="B50" s="156">
        <v>49.0</v>
      </c>
      <c r="C50" s="157">
        <f t="shared" si="1"/>
        <v>93.21188156</v>
      </c>
      <c r="D50" s="158" t="str">
        <f>VLOOKUP(A50,'Classement RoC'!$B$2:$C$149,1,0)</f>
        <v>m86600b</v>
      </c>
      <c r="E50" s="163" t="str">
        <f t="shared" si="2"/>
        <v/>
      </c>
      <c r="F50" s="120" t="str">
        <f>VLOOKUP(A50,'Classement Général'!$B$2:$B$146,1,0)</f>
        <v>m86600b</v>
      </c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</row>
    <row r="51" ht="14.25" customHeight="1">
      <c r="A51" s="160" t="str">
        <f>IFERROR(__xludf.DUMMYFUNCTION("""COMPUTED_VALUE"""),"Marypops64")</f>
        <v>Marypops64</v>
      </c>
      <c r="B51" s="161">
        <v>50.0</v>
      </c>
      <c r="C51" s="157">
        <f t="shared" si="1"/>
        <v>83.46805682</v>
      </c>
      <c r="D51" s="158" t="str">
        <f>VLOOKUP(A51,'Classement RoC'!$B$2:$C$149,1,0)</f>
        <v>Marypops64</v>
      </c>
      <c r="E51" s="163" t="str">
        <f t="shared" si="2"/>
        <v/>
      </c>
      <c r="F51" s="120" t="str">
        <f>VLOOKUP(A51,'Classement Général'!$B$2:$B$146,1,0)</f>
        <v>marypops64</v>
      </c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</row>
    <row r="52" ht="14.25" customHeight="1">
      <c r="A52" s="160" t="str">
        <f>IFERROR(__xludf.DUMMYFUNCTION("""COMPUTED_VALUE"""),"Butterfly-as")</f>
        <v>Butterfly-as</v>
      </c>
      <c r="B52" s="156">
        <v>51.0</v>
      </c>
      <c r="C52" s="157">
        <f t="shared" si="1"/>
        <v>73.82742781</v>
      </c>
      <c r="D52" s="158" t="str">
        <f>VLOOKUP(A52,'Classement RoC'!$B$2:$C$149,1,0)</f>
        <v>Butterfly-as</v>
      </c>
      <c r="E52" s="163" t="str">
        <f t="shared" si="2"/>
        <v/>
      </c>
      <c r="F52" s="120" t="str">
        <f>VLOOKUP(A52,'Classement Général'!$B$2:$B$146,1,0)</f>
        <v>Butterfly-as</v>
      </c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</row>
    <row r="53" ht="14.25" customHeight="1">
      <c r="A53" s="160" t="str">
        <f>IFERROR(__xludf.DUMMYFUNCTION("""COMPUTED_VALUE"""),"KKPTETYO")</f>
        <v>KKPTETYO</v>
      </c>
      <c r="B53" s="161">
        <v>52.0</v>
      </c>
      <c r="C53" s="157">
        <f t="shared" si="1"/>
        <v>64.28616206</v>
      </c>
      <c r="D53" s="158" t="str">
        <f>VLOOKUP(A53,'Classement RoC'!$B$2:$C$149,1,0)</f>
        <v>KKPTETYO</v>
      </c>
      <c r="E53" s="163" t="str">
        <f t="shared" si="2"/>
        <v/>
      </c>
      <c r="F53" s="120" t="str">
        <f>VLOOKUP(A53,'Classement Général'!$B$2:$B$146,1,0)</f>
        <v>KKPTETYO</v>
      </c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</row>
    <row r="54" ht="14.25" customHeight="1">
      <c r="A54" s="160" t="str">
        <f>IFERROR(__xludf.DUMMYFUNCTION("""COMPUTED_VALUE"""),"lifeofpark")</f>
        <v>lifeofpark</v>
      </c>
      <c r="B54" s="156">
        <v>53.0</v>
      </c>
      <c r="C54" s="157">
        <f t="shared" si="1"/>
        <v>54.84064798</v>
      </c>
      <c r="D54" s="158" t="str">
        <f>VLOOKUP(A54,'Classement RoC'!$B$2:$C$149,1,0)</f>
        <v>lifeofpark</v>
      </c>
      <c r="E54" s="163" t="str">
        <f t="shared" si="2"/>
        <v/>
      </c>
      <c r="F54" s="120" t="str">
        <f>VLOOKUP(A54,'Classement Général'!$B$2:$B$146,1,0)</f>
        <v>lifeofpark</v>
      </c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</row>
    <row r="55" ht="14.25" customHeight="1">
      <c r="A55" s="160" t="str">
        <f>IFERROR(__xludf.DUMMYFUNCTION("""COMPUTED_VALUE"""),"dent2lait")</f>
        <v>dent2lait</v>
      </c>
      <c r="B55" s="161">
        <v>54.0</v>
      </c>
      <c r="C55" s="157">
        <f t="shared" si="1"/>
        <v>45.48747805</v>
      </c>
      <c r="D55" s="158" t="str">
        <f>VLOOKUP(A55,'Classement RoC'!$B$2:$C$149,1,0)</f>
        <v>dent2lait</v>
      </c>
      <c r="E55" s="163" t="str">
        <f t="shared" si="2"/>
        <v/>
      </c>
      <c r="F55" s="120" t="str">
        <f>VLOOKUP(A55,'Classement Général'!$B$2:$B$146,1,0)</f>
        <v>dent2lait</v>
      </c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</row>
    <row r="56" ht="14.25" customHeight="1">
      <c r="A56" s="160" t="str">
        <f>IFERROR(__xludf.DUMMYFUNCTION("""COMPUTED_VALUE"""),"LEGOLEGOTE")</f>
        <v>LEGOLEGOTE</v>
      </c>
      <c r="B56" s="156">
        <v>55.0</v>
      </c>
      <c r="C56" s="157">
        <f t="shared" si="1"/>
        <v>36.22343353</v>
      </c>
      <c r="D56" s="158" t="str">
        <f>VLOOKUP(A56,'Classement RoC'!$B$2:$C$149,1,0)</f>
        <v>LEGOLEGOTE</v>
      </c>
      <c r="E56" s="163" t="str">
        <f t="shared" si="2"/>
        <v/>
      </c>
      <c r="F56" s="120" t="str">
        <f>VLOOKUP(A56,'Classement Général'!$B$2:$B$146,1,0)</f>
        <v>LEGOLEGOTE</v>
      </c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</row>
    <row r="57" ht="14.25" customHeight="1">
      <c r="A57" s="160" t="str">
        <f>IFERROR(__xludf.DUMMYFUNCTION("""COMPUTED_VALUE"""),"hmnyocleaver")</f>
        <v>hmnyocleaver</v>
      </c>
      <c r="B57" s="161">
        <v>56.0</v>
      </c>
      <c r="C57" s="157">
        <f t="shared" si="1"/>
        <v>27.0454706</v>
      </c>
      <c r="D57" s="158" t="str">
        <f>VLOOKUP(A57,'Classement RoC'!$B$2:$C$149,1,0)</f>
        <v>hmnyocleaver</v>
      </c>
      <c r="E57" s="163" t="str">
        <f t="shared" si="2"/>
        <v/>
      </c>
      <c r="F57" s="120" t="str">
        <f>VLOOKUP(A57,'Classement Général'!$B$2:$B$146,1,0)</f>
        <v>hmnyocleaver</v>
      </c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</row>
    <row r="58" ht="14.25" customHeight="1">
      <c r="A58" s="160" t="str">
        <f>IFERROR(__xludf.DUMMYFUNCTION("""COMPUTED_VALUE"""),"Mikalack")</f>
        <v>Mikalack</v>
      </c>
      <c r="B58" s="156">
        <v>57.0</v>
      </c>
      <c r="C58" s="157">
        <f t="shared" si="1"/>
        <v>17.95070775</v>
      </c>
      <c r="D58" s="158" t="str">
        <f>VLOOKUP(A58,'Classement RoC'!$B$2:$C$149,1,0)</f>
        <v>Mikalack</v>
      </c>
      <c r="E58" s="163" t="str">
        <f t="shared" si="2"/>
        <v/>
      </c>
      <c r="F58" s="120" t="str">
        <f>VLOOKUP(A58,'Classement Général'!$B$2:$B$146,1,0)</f>
        <v>Mikalack</v>
      </c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</row>
    <row r="59" ht="14.25" customHeight="1">
      <c r="A59" s="160" t="str">
        <f>IFERROR(__xludf.DUMMYFUNCTION("""COMPUTED_VALUE"""),"fiodor86")</f>
        <v>fiodor86</v>
      </c>
      <c r="B59" s="161">
        <v>58.0</v>
      </c>
      <c r="C59" s="157">
        <f t="shared" si="1"/>
        <v>8.93641433</v>
      </c>
      <c r="D59" s="158" t="str">
        <f>VLOOKUP(A59,'Classement RoC'!$B$2:$C$149,1,0)</f>
        <v>fiodor86</v>
      </c>
      <c r="E59" s="163" t="str">
        <f t="shared" si="2"/>
        <v/>
      </c>
      <c r="F59" s="120" t="str">
        <f>VLOOKUP(A59,'Classement Général'!$B$2:$B$146,1,0)</f>
        <v>fiodor86</v>
      </c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</row>
    <row r="60" ht="14.25" customHeight="1">
      <c r="A60" s="160"/>
      <c r="B60" s="156">
        <v>59.0</v>
      </c>
      <c r="C60" s="157">
        <f t="shared" si="1"/>
        <v>0</v>
      </c>
      <c r="D60" s="158" t="str">
        <f>VLOOKUP(A60,'Classement RoC'!$B$2:$C$149,1,0)</f>
        <v>#N/A</v>
      </c>
      <c r="E60" s="163" t="str">
        <f t="shared" si="2"/>
        <v>#N/A</v>
      </c>
      <c r="F60" s="120" t="str">
        <f>VLOOKUP(A60,'Classement Général'!$B$2:$B$146,1,0)</f>
        <v>#N/A</v>
      </c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</row>
    <row r="61" ht="14.25" customHeight="1">
      <c r="A61" s="160"/>
      <c r="B61" s="161">
        <v>60.0</v>
      </c>
      <c r="C61" s="157">
        <f t="shared" si="1"/>
        <v>-8.860994808</v>
      </c>
      <c r="D61" s="158" t="str">
        <f>VLOOKUP(A61,'Classement RoC'!$B$2:$C$149,1,0)</f>
        <v>#N/A</v>
      </c>
      <c r="E61" s="163" t="str">
        <f t="shared" si="2"/>
        <v>#N/A</v>
      </c>
      <c r="F61" s="120" t="str">
        <f>VLOOKUP(A61,'Classement Général'!$B$2:$B$146,1,0)</f>
        <v>#N/A</v>
      </c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</row>
    <row r="62" ht="14.25" customHeight="1">
      <c r="A62" s="160"/>
      <c r="B62" s="156">
        <v>61.0</v>
      </c>
      <c r="C62" s="157">
        <f t="shared" si="1"/>
        <v>-17.64890769</v>
      </c>
      <c r="D62" s="158" t="str">
        <f>VLOOKUP(A62,'Classement RoC'!$B$2:$C$149,1,0)</f>
        <v>#N/A</v>
      </c>
      <c r="E62" s="163" t="str">
        <f t="shared" si="2"/>
        <v>#N/A</v>
      </c>
      <c r="F62" s="120" t="str">
        <f>VLOOKUP(A62,'Classement Général'!$B$2:$B$146,1,0)</f>
        <v>#N/A</v>
      </c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</row>
    <row r="63" ht="14.25" customHeight="1">
      <c r="A63" s="160"/>
      <c r="B63" s="161">
        <v>62.0</v>
      </c>
      <c r="C63" s="157">
        <f t="shared" si="1"/>
        <v>-26.36596232</v>
      </c>
      <c r="D63" s="158" t="str">
        <f>VLOOKUP(A63,'Classement RoC'!$B$2:$C$149,1,0)</f>
        <v>#N/A</v>
      </c>
      <c r="E63" s="163" t="str">
        <f t="shared" si="2"/>
        <v>#N/A</v>
      </c>
      <c r="F63" s="120" t="str">
        <f>VLOOKUP(A63,'Classement Général'!$B$2:$B$146,1,0)</f>
        <v>#N/A</v>
      </c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</row>
    <row r="64" ht="14.25" customHeight="1">
      <c r="A64" s="160"/>
      <c r="B64" s="156">
        <v>63.0</v>
      </c>
      <c r="C64" s="157">
        <f t="shared" si="1"/>
        <v>-35.01427583</v>
      </c>
      <c r="D64" s="158" t="str">
        <f>VLOOKUP(A64,'Classement RoC'!$B$2:$C$149,1,0)</f>
        <v>#N/A</v>
      </c>
      <c r="E64" s="163" t="str">
        <f t="shared" si="2"/>
        <v>#N/A</v>
      </c>
      <c r="F64" s="120" t="str">
        <f>VLOOKUP(A64,'Classement Général'!$B$2:$B$146,1,0)</f>
        <v>#N/A</v>
      </c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</row>
    <row r="65" ht="14.25" customHeight="1">
      <c r="A65" s="160"/>
      <c r="B65" s="161">
        <v>64.0</v>
      </c>
      <c r="C65" s="157">
        <f t="shared" si="1"/>
        <v>-43.59586565</v>
      </c>
      <c r="D65" s="158" t="str">
        <f>VLOOKUP(A65,'Classement RoC'!$B$2:$C$149,1,0)</f>
        <v>#N/A</v>
      </c>
      <c r="E65" s="163" t="str">
        <f t="shared" si="2"/>
        <v>#N/A</v>
      </c>
      <c r="F65" s="120" t="str">
        <f>VLOOKUP(A65,'Classement Général'!$B$2:$B$146,1,0)</f>
        <v>#N/A</v>
      </c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</row>
    <row r="66" ht="14.25" customHeight="1">
      <c r="A66" s="160"/>
      <c r="B66" s="156">
        <v>65.0</v>
      </c>
      <c r="C66" s="157">
        <f t="shared" si="1"/>
        <v>-52.11265572</v>
      </c>
      <c r="D66" s="158" t="str">
        <f>VLOOKUP(A66,'Classement RoC'!$B$2:$C$149,1,0)</f>
        <v>#N/A</v>
      </c>
      <c r="E66" s="163" t="str">
        <f t="shared" si="2"/>
        <v>#N/A</v>
      </c>
      <c r="F66" s="120" t="str">
        <f>VLOOKUP(A66,'Classement Général'!$B$2:$B$146,1,0)</f>
        <v>#N/A</v>
      </c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</row>
    <row r="67" ht="14.25" customHeight="1">
      <c r="A67" s="160"/>
      <c r="B67" s="161">
        <v>66.0</v>
      </c>
      <c r="C67" s="157">
        <f t="shared" si="1"/>
        <v>-60.56648233</v>
      </c>
      <c r="D67" s="158" t="str">
        <f>VLOOKUP(A67,'Classement RoC'!$B$2:$C$149,1,0)</f>
        <v>#N/A</v>
      </c>
      <c r="E67" s="163" t="str">
        <f t="shared" si="2"/>
        <v>#N/A</v>
      </c>
      <c r="F67" s="120" t="str">
        <f>VLOOKUP(A67,'Classement Général'!$B$2:$B$146,1,0)</f>
        <v>#N/A</v>
      </c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</row>
    <row r="68" ht="14.25" customHeight="1">
      <c r="A68" s="160"/>
      <c r="B68" s="156">
        <v>67.0</v>
      </c>
      <c r="C68" s="157">
        <f t="shared" si="1"/>
        <v>-68.9590994</v>
      </c>
      <c r="D68" s="158" t="str">
        <f>VLOOKUP(A68,'Classement RoC'!$B$2:$C$149,1,0)</f>
        <v>#N/A</v>
      </c>
      <c r="E68" s="163" t="str">
        <f t="shared" si="2"/>
        <v>#N/A</v>
      </c>
      <c r="F68" s="120" t="str">
        <f>VLOOKUP(A68,'Classement Général'!$B$2:$B$146,1,0)</f>
        <v>#N/A</v>
      </c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</row>
    <row r="69" ht="14.25" customHeight="1">
      <c r="A69" s="160"/>
      <c r="B69" s="161">
        <v>68.0</v>
      </c>
      <c r="C69" s="157">
        <f t="shared" si="1"/>
        <v>-77.29218344</v>
      </c>
      <c r="D69" s="158" t="str">
        <f>VLOOKUP(A69,'Classement RoC'!$B$2:$C$149,1,0)</f>
        <v>#N/A</v>
      </c>
      <c r="E69" s="163" t="str">
        <f t="shared" si="2"/>
        <v>#N/A</v>
      </c>
      <c r="F69" s="120" t="str">
        <f>VLOOKUP(A69,'Classement Général'!$B$2:$B$146,1,0)</f>
        <v>#N/A</v>
      </c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</row>
    <row r="70" ht="14.25" customHeight="1">
      <c r="A70" s="160"/>
      <c r="B70" s="156">
        <v>69.0</v>
      </c>
      <c r="C70" s="157">
        <f t="shared" si="1"/>
        <v>-85.56733814</v>
      </c>
      <c r="D70" s="158" t="str">
        <f>VLOOKUP(A70,'Classement RoC'!$B$2:$C$149,1,0)</f>
        <v>#N/A</v>
      </c>
      <c r="E70" s="163" t="str">
        <f t="shared" si="2"/>
        <v>#N/A</v>
      </c>
      <c r="F70" s="120" t="str">
        <f>VLOOKUP(A70,'Classement Général'!$B$2:$B$146,1,0)</f>
        <v>#N/A</v>
      </c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</row>
    <row r="71" ht="14.25" customHeight="1">
      <c r="A71" s="160"/>
      <c r="B71" s="161">
        <v>70.0</v>
      </c>
      <c r="C71" s="157">
        <f t="shared" si="1"/>
        <v>-93.78609855</v>
      </c>
      <c r="D71" s="158" t="str">
        <f>VLOOKUP(A71,'Classement RoC'!$B$2:$C$149,1,0)</f>
        <v>#N/A</v>
      </c>
      <c r="E71" s="163" t="str">
        <f t="shared" si="2"/>
        <v>#N/A</v>
      </c>
      <c r="F71" s="120" t="str">
        <f>VLOOKUP(A71,'Classement Général'!$B$2:$B$146,1,0)</f>
        <v>#N/A</v>
      </c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</row>
    <row r="72" ht="14.25" customHeight="1">
      <c r="A72" s="160"/>
      <c r="B72" s="156">
        <v>71.0</v>
      </c>
      <c r="C72" s="157">
        <f t="shared" si="1"/>
        <v>-101.9499351</v>
      </c>
      <c r="D72" s="158" t="str">
        <f>VLOOKUP(A72,'Classement RoC'!$B$2:$C$149,1,0)</f>
        <v>#N/A</v>
      </c>
      <c r="E72" s="163" t="str">
        <f t="shared" si="2"/>
        <v>#N/A</v>
      </c>
      <c r="F72" s="120" t="str">
        <f>VLOOKUP(A72,'Classement Général'!$B$2:$B$146,1,0)</f>
        <v>#N/A</v>
      </c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</row>
    <row r="73" ht="14.25" customHeight="1">
      <c r="A73" s="160"/>
      <c r="B73" s="161">
        <v>72.0</v>
      </c>
      <c r="C73" s="157">
        <f t="shared" si="1"/>
        <v>-110.0602571</v>
      </c>
      <c r="D73" s="158" t="str">
        <f>VLOOKUP(A73,'Classement RoC'!$B$2:$C$149,1,0)</f>
        <v>#N/A</v>
      </c>
      <c r="E73" s="163" t="str">
        <f t="shared" si="2"/>
        <v>#N/A</v>
      </c>
      <c r="F73" s="120" t="str">
        <f>VLOOKUP(A73,'Classement Général'!$B$2:$B$146,1,0)</f>
        <v>#N/A</v>
      </c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</row>
    <row r="74" ht="14.25" customHeight="1">
      <c r="A74" s="160"/>
      <c r="B74" s="156">
        <v>73.0</v>
      </c>
      <c r="C74" s="157">
        <f t="shared" si="1"/>
        <v>-118.1184163</v>
      </c>
      <c r="D74" s="158" t="str">
        <f>VLOOKUP(A74,'Classement RoC'!$B$2:$C$149,1,0)</f>
        <v>#N/A</v>
      </c>
      <c r="E74" s="163" t="str">
        <f t="shared" si="2"/>
        <v>#N/A</v>
      </c>
      <c r="F74" s="120" t="str">
        <f>VLOOKUP(A74,'Classement Général'!$B$2:$B$146,1,0)</f>
        <v>#N/A</v>
      </c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</row>
    <row r="75" ht="14.25" customHeight="1">
      <c r="A75" s="160"/>
      <c r="B75" s="161">
        <v>74.0</v>
      </c>
      <c r="C75" s="157">
        <f t="shared" si="1"/>
        <v>-126.1257099</v>
      </c>
      <c r="D75" s="158" t="str">
        <f>VLOOKUP(A75,'Classement RoC'!$B$2:$C$149,1,0)</f>
        <v>#N/A</v>
      </c>
      <c r="E75" s="163" t="str">
        <f t="shared" si="2"/>
        <v>#N/A</v>
      </c>
      <c r="F75" s="120" t="str">
        <f>VLOOKUP(A75,'Classement Général'!$B$2:$B$146,1,0)</f>
        <v>#N/A</v>
      </c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</row>
    <row r="76" ht="14.25" customHeight="1">
      <c r="A76" s="160"/>
      <c r="B76" s="156">
        <v>75.0</v>
      </c>
      <c r="C76" s="157">
        <f t="shared" si="1"/>
        <v>-134.0833838</v>
      </c>
      <c r="D76" s="158" t="str">
        <f>VLOOKUP(A76,'Classement RoC'!$B$2:$C$149,1,0)</f>
        <v>#N/A</v>
      </c>
      <c r="E76" s="163" t="str">
        <f t="shared" si="2"/>
        <v>#N/A</v>
      </c>
      <c r="F76" s="120" t="str">
        <f>VLOOKUP(A76,'Classement Général'!$B$2:$B$146,1,0)</f>
        <v>#N/A</v>
      </c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</row>
    <row r="77" ht="14.25" customHeight="1">
      <c r="A77" s="160"/>
      <c r="B77" s="161">
        <v>76.0</v>
      </c>
      <c r="C77" s="157">
        <f t="shared" si="1"/>
        <v>-141.9926348</v>
      </c>
      <c r="D77" s="158" t="str">
        <f>VLOOKUP(A77,'Classement RoC'!$B$2:$C$149,1,0)</f>
        <v>#N/A</v>
      </c>
      <c r="E77" s="163" t="str">
        <f t="shared" si="2"/>
        <v>#N/A</v>
      </c>
      <c r="F77" s="120" t="str">
        <f>VLOOKUP(A77,'Classement Général'!$B$2:$B$146,1,0)</f>
        <v>#N/A</v>
      </c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</row>
    <row r="78" ht="14.25" customHeight="1">
      <c r="A78" s="160"/>
      <c r="B78" s="156">
        <v>77.0</v>
      </c>
      <c r="C78" s="157">
        <f t="shared" si="1"/>
        <v>-149.8546137</v>
      </c>
      <c r="D78" s="158" t="str">
        <f>VLOOKUP(A78,'Classement RoC'!$B$2:$C$149,1,0)</f>
        <v>#N/A</v>
      </c>
      <c r="E78" s="163" t="str">
        <f t="shared" si="2"/>
        <v>#N/A</v>
      </c>
      <c r="F78" s="120" t="str">
        <f>VLOOKUP(A78,'Classement Général'!$B$2:$B$146,1,0)</f>
        <v>#N/A</v>
      </c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</row>
    <row r="79" ht="14.25" customHeight="1">
      <c r="A79" s="160"/>
      <c r="B79" s="161">
        <v>78.0</v>
      </c>
      <c r="C79" s="157">
        <f t="shared" si="1"/>
        <v>-157.6704274</v>
      </c>
      <c r="D79" s="158" t="str">
        <f>VLOOKUP(A79,'Classement RoC'!$B$2:$C$149,1,0)</f>
        <v>#N/A</v>
      </c>
      <c r="E79" s="163" t="str">
        <f t="shared" si="2"/>
        <v>#N/A</v>
      </c>
      <c r="F79" s="120" t="str">
        <f>VLOOKUP(A79,'Classement Général'!$B$2:$B$146,1,0)</f>
        <v>#N/A</v>
      </c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</row>
    <row r="80" ht="14.25" customHeight="1">
      <c r="A80" s="160"/>
      <c r="B80" s="156">
        <v>79.0</v>
      </c>
      <c r="C80" s="157">
        <f t="shared" si="1"/>
        <v>-165.4411413</v>
      </c>
      <c r="D80" s="158" t="str">
        <f>VLOOKUP(A80,'Classement RoC'!$B$2:$C$149,1,0)</f>
        <v>#N/A</v>
      </c>
      <c r="E80" s="163" t="str">
        <f t="shared" si="2"/>
        <v>#N/A</v>
      </c>
      <c r="F80" s="120" t="str">
        <f>VLOOKUP(A80,'Classement Général'!$B$2:$B$146,1,0)</f>
        <v>#N/A</v>
      </c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</row>
    <row r="81" ht="14.25" customHeight="1">
      <c r="A81" s="160"/>
      <c r="B81" s="161">
        <v>80.0</v>
      </c>
      <c r="C81" s="157">
        <f t="shared" si="1"/>
        <v>-173.1677813</v>
      </c>
      <c r="D81" s="158" t="str">
        <f>VLOOKUP(A81,'Classement RoC'!$B$2:$C$149,1,0)</f>
        <v>#N/A</v>
      </c>
      <c r="E81" s="163" t="str">
        <f t="shared" si="2"/>
        <v>#N/A</v>
      </c>
      <c r="F81" s="120" t="str">
        <f>VLOOKUP(A81,'Classement Général'!$B$2:$B$146,1,0)</f>
        <v>#N/A</v>
      </c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</row>
    <row r="82" ht="14.25" customHeight="1">
      <c r="A82" s="160"/>
      <c r="B82" s="156">
        <v>81.0</v>
      </c>
      <c r="C82" s="157">
        <f t="shared" si="1"/>
        <v>-180.8513358</v>
      </c>
      <c r="D82" s="158" t="str">
        <f>VLOOKUP(A82,'Classement RoC'!$B$2:$C$149,1,0)</f>
        <v>#N/A</v>
      </c>
      <c r="E82" s="163" t="str">
        <f t="shared" si="2"/>
        <v>#N/A</v>
      </c>
      <c r="F82" s="120" t="str">
        <f>VLOOKUP(A82,'Classement Général'!$B$2:$B$146,1,0)</f>
        <v>#N/A</v>
      </c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</row>
    <row r="83" ht="14.25" customHeight="1">
      <c r="A83" s="160"/>
      <c r="B83" s="161">
        <v>82.0</v>
      </c>
      <c r="C83" s="157">
        <f t="shared" si="1"/>
        <v>-188.4927574</v>
      </c>
      <c r="D83" s="158" t="str">
        <f>VLOOKUP(A83,'Classement RoC'!$B$2:$C$149,1,0)</f>
        <v>#N/A</v>
      </c>
      <c r="E83" s="163" t="str">
        <f t="shared" si="2"/>
        <v>#N/A</v>
      </c>
      <c r="F83" s="120" t="str">
        <f>VLOOKUP(A83,'Classement Général'!$B$2:$B$146,1,0)</f>
        <v>#N/A</v>
      </c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</row>
    <row r="84" ht="14.25" customHeight="1">
      <c r="A84" s="160"/>
      <c r="B84" s="156">
        <v>83.0</v>
      </c>
      <c r="C84" s="157">
        <f t="shared" si="1"/>
        <v>-196.092965</v>
      </c>
      <c r="D84" s="158" t="str">
        <f>VLOOKUP(A84,'Classement RoC'!$B$2:$C$149,1,0)</f>
        <v>#N/A</v>
      </c>
      <c r="E84" s="163" t="str">
        <f t="shared" si="2"/>
        <v>#N/A</v>
      </c>
      <c r="F84" s="120" t="str">
        <f>VLOOKUP(A84,'Classement Général'!$B$2:$B$146,1,0)</f>
        <v>#N/A</v>
      </c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</row>
    <row r="85" ht="14.25" customHeight="1">
      <c r="A85" s="160"/>
      <c r="B85" s="161">
        <v>84.0</v>
      </c>
      <c r="C85" s="157">
        <f t="shared" si="1"/>
        <v>-203.6528452</v>
      </c>
      <c r="D85" s="158" t="str">
        <f>VLOOKUP(A85,'Classement RoC'!$B$2:$C$149,1,0)</f>
        <v>#N/A</v>
      </c>
      <c r="E85" s="163" t="str">
        <f t="shared" si="2"/>
        <v>#N/A</v>
      </c>
      <c r="F85" s="120" t="str">
        <f>VLOOKUP(A85,'Classement Général'!$B$2:$B$146,1,0)</f>
        <v>#N/A</v>
      </c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</row>
    <row r="86" ht="14.25" customHeight="1">
      <c r="A86" s="160"/>
      <c r="B86" s="156">
        <v>85.0</v>
      </c>
      <c r="C86" s="157">
        <f t="shared" si="1"/>
        <v>-211.1732536</v>
      </c>
      <c r="D86" s="158" t="str">
        <f>VLOOKUP(A86,'Classement RoC'!$B$2:$C$149,1,0)</f>
        <v>#N/A</v>
      </c>
      <c r="E86" s="163" t="str">
        <f t="shared" si="2"/>
        <v>#N/A</v>
      </c>
      <c r="F86" s="120" t="str">
        <f>VLOOKUP(A86,'Classement Général'!$B$2:$B$146,1,0)</f>
        <v>#N/A</v>
      </c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</row>
    <row r="87" ht="14.25" customHeight="1">
      <c r="A87" s="160"/>
      <c r="B87" s="161">
        <v>86.0</v>
      </c>
      <c r="C87" s="157">
        <f t="shared" si="1"/>
        <v>-218.6550167</v>
      </c>
      <c r="D87" s="158" t="str">
        <f>VLOOKUP(A87,'Classement RoC'!$B$2:$C$149,1,0)</f>
        <v>#N/A</v>
      </c>
      <c r="E87" s="163" t="str">
        <f t="shared" si="2"/>
        <v>#N/A</v>
      </c>
      <c r="F87" s="120" t="str">
        <f>VLOOKUP(A87,'Classement Général'!$B$2:$B$146,1,0)</f>
        <v>#N/A</v>
      </c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</row>
    <row r="88" ht="14.25" customHeight="1">
      <c r="A88" s="160"/>
      <c r="B88" s="156">
        <v>87.0</v>
      </c>
      <c r="C88" s="157">
        <f t="shared" si="1"/>
        <v>-226.098933</v>
      </c>
      <c r="D88" s="158" t="str">
        <f>VLOOKUP(A88,'Classement RoC'!$B$2:$C$149,1,0)</f>
        <v>#N/A</v>
      </c>
      <c r="E88" s="163" t="str">
        <f t="shared" si="2"/>
        <v>#N/A</v>
      </c>
      <c r="F88" s="120" t="str">
        <f>VLOOKUP(A88,'Classement Général'!$B$2:$B$146,1,0)</f>
        <v>#N/A</v>
      </c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</row>
    <row r="89" ht="14.25" customHeight="1">
      <c r="A89" s="160"/>
      <c r="B89" s="161">
        <v>88.0</v>
      </c>
      <c r="C89" s="157">
        <f t="shared" si="1"/>
        <v>-233.5057743</v>
      </c>
      <c r="D89" s="158" t="str">
        <f>VLOOKUP(A89,'Classement RoC'!$B$2:$C$149,1,0)</f>
        <v>#N/A</v>
      </c>
      <c r="E89" s="163" t="str">
        <f t="shared" si="2"/>
        <v>#N/A</v>
      </c>
      <c r="F89" s="120" t="str">
        <f>VLOOKUP(A89,'Classement Général'!$B$2:$B$146,1,0)</f>
        <v>#N/A</v>
      </c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</row>
    <row r="90" ht="14.25" customHeight="1">
      <c r="A90" s="160"/>
      <c r="B90" s="156">
        <v>89.0</v>
      </c>
      <c r="C90" s="157">
        <f t="shared" si="1"/>
        <v>-240.8762868</v>
      </c>
      <c r="D90" s="158" t="str">
        <f>VLOOKUP(A90,'Classement RoC'!$B$2:$C$149,1,0)</f>
        <v>#N/A</v>
      </c>
      <c r="E90" s="163" t="str">
        <f t="shared" si="2"/>
        <v>#N/A</v>
      </c>
      <c r="F90" s="120" t="str">
        <f>VLOOKUP(A90,'Classement Général'!$B$2:$B$146,1,0)</f>
        <v>#N/A</v>
      </c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</row>
    <row r="91" ht="14.25" customHeight="1">
      <c r="A91" s="160"/>
      <c r="B91" s="161">
        <v>90.0</v>
      </c>
      <c r="C91" s="157">
        <f t="shared" si="1"/>
        <v>-248.2111925</v>
      </c>
      <c r="D91" s="158" t="str">
        <f>VLOOKUP(A91,'Classement RoC'!$B$2:$C$149,1,0)</f>
        <v>#N/A</v>
      </c>
      <c r="E91" s="163" t="str">
        <f t="shared" si="2"/>
        <v>#N/A</v>
      </c>
      <c r="F91" s="120" t="str">
        <f>VLOOKUP(A91,'Classement Général'!$B$2:$B$146,1,0)</f>
        <v>#N/A</v>
      </c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</row>
    <row r="92" ht="14.25" customHeight="1">
      <c r="A92" s="160"/>
      <c r="B92" s="156">
        <v>91.0</v>
      </c>
      <c r="C92" s="157">
        <f t="shared" si="1"/>
        <v>-255.5111902</v>
      </c>
      <c r="D92" s="158" t="str">
        <f>VLOOKUP(A92,'Classement RoC'!$B$2:$C$149,1,0)</f>
        <v>#N/A</v>
      </c>
      <c r="E92" s="163" t="str">
        <f t="shared" si="2"/>
        <v>#N/A</v>
      </c>
      <c r="F92" s="120" t="str">
        <f>VLOOKUP(A92,'Classement Général'!$B$2:$B$146,1,0)</f>
        <v>#N/A</v>
      </c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</row>
    <row r="93" ht="14.25" customHeight="1">
      <c r="A93" s="160"/>
      <c r="B93" s="161">
        <v>92.0</v>
      </c>
      <c r="C93" s="157">
        <f t="shared" si="1"/>
        <v>-262.7769561</v>
      </c>
      <c r="D93" s="158" t="str">
        <f>VLOOKUP(A93,'Classement RoC'!$B$2:$C$149,1,0)</f>
        <v>#N/A</v>
      </c>
      <c r="E93" s="163" t="str">
        <f t="shared" si="2"/>
        <v>#N/A</v>
      </c>
      <c r="F93" s="120" t="str">
        <f>VLOOKUP(A93,'Classement Général'!$B$2:$B$146,1,0)</f>
        <v>#N/A</v>
      </c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</row>
    <row r="94" ht="14.25" customHeight="1">
      <c r="A94" s="160"/>
      <c r="B94" s="156">
        <v>93.0</v>
      </c>
      <c r="C94" s="157">
        <f t="shared" si="1"/>
        <v>-270.0091456</v>
      </c>
      <c r="D94" s="158" t="str">
        <f>VLOOKUP(A94,'Classement RoC'!$B$2:$C$149,1,0)</f>
        <v>#N/A</v>
      </c>
      <c r="E94" s="163" t="str">
        <f t="shared" si="2"/>
        <v>#N/A</v>
      </c>
      <c r="F94" s="120" t="str">
        <f>VLOOKUP(A94,'Classement Général'!$B$2:$B$146,1,0)</f>
        <v>#N/A</v>
      </c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</row>
    <row r="95" ht="14.25" customHeight="1">
      <c r="A95" s="160"/>
      <c r="B95" s="161">
        <v>94.0</v>
      </c>
      <c r="C95" s="157">
        <f t="shared" si="1"/>
        <v>-277.2083933</v>
      </c>
      <c r="D95" s="158" t="str">
        <f>VLOOKUP(A95,'Classement RoC'!$B$2:$C$149,1,0)</f>
        <v>#N/A</v>
      </c>
      <c r="E95" s="163" t="str">
        <f t="shared" si="2"/>
        <v>#N/A</v>
      </c>
      <c r="F95" s="120" t="str">
        <f>VLOOKUP(A95,'Classement Général'!$B$2:$B$146,1,0)</f>
        <v>#N/A</v>
      </c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</row>
    <row r="96" ht="14.25" customHeight="1">
      <c r="A96" s="160"/>
      <c r="B96" s="156">
        <v>95.0</v>
      </c>
      <c r="C96" s="157">
        <f t="shared" si="1"/>
        <v>-284.3753144</v>
      </c>
      <c r="D96" s="158" t="str">
        <f>VLOOKUP(A96,'Classement RoC'!$B$2:$C$149,1,0)</f>
        <v>#N/A</v>
      </c>
      <c r="E96" s="163" t="str">
        <f t="shared" si="2"/>
        <v>#N/A</v>
      </c>
      <c r="F96" s="120" t="str">
        <f>VLOOKUP(A96,'Classement Général'!$B$2:$B$146,1,0)</f>
        <v>#N/A</v>
      </c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</row>
    <row r="97" ht="14.25" customHeight="1">
      <c r="A97" s="160"/>
      <c r="B97" s="161">
        <v>96.0</v>
      </c>
      <c r="C97" s="157">
        <f t="shared" si="1"/>
        <v>-291.5105055</v>
      </c>
      <c r="D97" s="158" t="str">
        <f>VLOOKUP(A97,'Classement RoC'!$B$2:$C$149,1,0)</f>
        <v>#N/A</v>
      </c>
      <c r="E97" s="163" t="str">
        <f t="shared" si="2"/>
        <v>#N/A</v>
      </c>
      <c r="F97" s="120" t="str">
        <f>VLOOKUP(A97,'Classement Général'!$B$2:$B$146,1,0)</f>
        <v>#N/A</v>
      </c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</row>
    <row r="98" ht="14.25" customHeight="1">
      <c r="A98" s="160"/>
      <c r="B98" s="156">
        <v>97.0</v>
      </c>
      <c r="C98" s="157">
        <f t="shared" si="1"/>
        <v>-298.6145451</v>
      </c>
      <c r="D98" s="158" t="str">
        <f>VLOOKUP(A98,'Classement RoC'!$B$2:$C$149,1,0)</f>
        <v>#N/A</v>
      </c>
      <c r="E98" s="163" t="str">
        <f t="shared" si="2"/>
        <v>#N/A</v>
      </c>
      <c r="F98" s="120" t="str">
        <f>VLOOKUP(A98,'Classement Général'!$B$2:$B$146,1,0)</f>
        <v>#N/A</v>
      </c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</row>
    <row r="99" ht="14.25" customHeight="1">
      <c r="A99" s="160"/>
      <c r="B99" s="161">
        <v>98.0</v>
      </c>
      <c r="C99" s="157">
        <f t="shared" si="1"/>
        <v>-305.6879945</v>
      </c>
      <c r="D99" s="158" t="str">
        <f>VLOOKUP(A99,'Classement RoC'!$B$2:$C$149,1,0)</f>
        <v>#N/A</v>
      </c>
      <c r="E99" s="163" t="str">
        <f t="shared" si="2"/>
        <v>#N/A</v>
      </c>
      <c r="F99" s="120" t="str">
        <f>VLOOKUP(A99,'Classement Général'!$B$2:$B$146,1,0)</f>
        <v>#N/A</v>
      </c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</row>
    <row r="100" ht="14.25" customHeight="1">
      <c r="A100" s="160"/>
      <c r="B100" s="156">
        <v>99.0</v>
      </c>
      <c r="C100" s="157">
        <f t="shared" si="1"/>
        <v>-312.7313988</v>
      </c>
      <c r="D100" s="158" t="str">
        <f>VLOOKUP(A100,'Classement RoC'!$B$2:$C$149,1,0)</f>
        <v>#N/A</v>
      </c>
      <c r="E100" s="163" t="str">
        <f t="shared" si="2"/>
        <v>#N/A</v>
      </c>
      <c r="F100" s="120" t="str">
        <f>VLOOKUP(A100,'Classement Général'!$B$2:$B$146,1,0)</f>
        <v>#N/A</v>
      </c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</row>
    <row r="101" ht="14.25" customHeight="1">
      <c r="A101" s="160"/>
      <c r="B101" s="161">
        <v>100.0</v>
      </c>
      <c r="C101" s="157">
        <f t="shared" si="1"/>
        <v>-319.7452867</v>
      </c>
      <c r="D101" s="158" t="str">
        <f>VLOOKUP(A101,'Classement RoC'!$B$2:$C$149,1,0)</f>
        <v>#N/A</v>
      </c>
      <c r="E101" s="163" t="str">
        <f t="shared" si="2"/>
        <v>#N/A</v>
      </c>
      <c r="F101" s="120" t="str">
        <f>VLOOKUP(A101,'Classement Général'!$B$2:$B$146,1,0)</f>
        <v>#N/A</v>
      </c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</row>
    <row r="102" ht="14.25" customHeight="1">
      <c r="A102" s="160"/>
      <c r="B102" s="156">
        <v>101.0</v>
      </c>
      <c r="C102" s="157">
        <f t="shared" si="1"/>
        <v>-326.7301722</v>
      </c>
      <c r="D102" s="158" t="str">
        <f>VLOOKUP(A102,'Classement RoC'!$B$2:$C$149,1,0)</f>
        <v>#N/A</v>
      </c>
      <c r="E102" s="163" t="str">
        <f t="shared" si="2"/>
        <v>#N/A</v>
      </c>
      <c r="F102" s="120" t="str">
        <f>VLOOKUP(A102,'Classement Général'!$B$2:$B$146,1,0)</f>
        <v>#N/A</v>
      </c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</row>
    <row r="103" ht="14.25" customHeight="1">
      <c r="A103" s="160"/>
      <c r="B103" s="161">
        <v>102.0</v>
      </c>
      <c r="C103" s="157">
        <f t="shared" si="1"/>
        <v>-333.6865543</v>
      </c>
      <c r="D103" s="158" t="str">
        <f>VLOOKUP(A103,'Classement RoC'!$B$2:$C$149,1,0)</f>
        <v>#N/A</v>
      </c>
      <c r="E103" s="163" t="str">
        <f t="shared" si="2"/>
        <v>#N/A</v>
      </c>
      <c r="F103" s="120" t="str">
        <f>VLOOKUP(A103,'Classement Général'!$B$2:$B$146,1,0)</f>
        <v>#N/A</v>
      </c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</row>
    <row r="104" ht="14.25" customHeight="1">
      <c r="A104" s="160"/>
      <c r="B104" s="156">
        <v>103.0</v>
      </c>
      <c r="C104" s="157">
        <f t="shared" si="1"/>
        <v>-340.614918</v>
      </c>
      <c r="D104" s="158" t="str">
        <f>VLOOKUP(A104,'Classement RoC'!$B$2:$C$149,1,0)</f>
        <v>#N/A</v>
      </c>
      <c r="E104" s="163" t="str">
        <f t="shared" si="2"/>
        <v>#N/A</v>
      </c>
      <c r="F104" s="120" t="str">
        <f>VLOOKUP(A104,'Classement Général'!$B$2:$B$146,1,0)</f>
        <v>#N/A</v>
      </c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</row>
    <row r="105" ht="14.25" customHeight="1">
      <c r="A105" s="160"/>
      <c r="B105" s="161">
        <v>104.0</v>
      </c>
      <c r="C105" s="157">
        <f t="shared" si="1"/>
        <v>-347.515735</v>
      </c>
      <c r="D105" s="158" t="str">
        <f>VLOOKUP(A105,'Classement RoC'!$B$2:$C$149,1,0)</f>
        <v>#N/A</v>
      </c>
      <c r="E105" s="163" t="str">
        <f t="shared" si="2"/>
        <v>#N/A</v>
      </c>
      <c r="F105" s="120" t="str">
        <f>VLOOKUP(A105,'Classement Général'!$B$2:$B$146,1,0)</f>
        <v>#N/A</v>
      </c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</row>
    <row r="106" ht="14.25" customHeight="1">
      <c r="A106" s="160"/>
      <c r="B106" s="156">
        <v>105.0</v>
      </c>
      <c r="C106" s="157">
        <f t="shared" si="1"/>
        <v>-354.3894638</v>
      </c>
      <c r="D106" s="158" t="str">
        <f>VLOOKUP(A106,'Classement RoC'!$B$2:$C$149,1,0)</f>
        <v>#N/A</v>
      </c>
      <c r="E106" s="163" t="str">
        <f t="shared" si="2"/>
        <v>#N/A</v>
      </c>
      <c r="F106" s="120" t="str">
        <f>VLOOKUP(A106,'Classement Général'!$B$2:$B$146,1,0)</f>
        <v>#N/A</v>
      </c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</row>
    <row r="107" ht="14.25" customHeight="1">
      <c r="A107" s="160"/>
      <c r="B107" s="161">
        <v>106.0</v>
      </c>
      <c r="C107" s="157">
        <f t="shared" si="1"/>
        <v>-361.2365503</v>
      </c>
      <c r="D107" s="158" t="str">
        <f>VLOOKUP(A107,'Classement RoC'!$B$2:$C$149,1,0)</f>
        <v>#N/A</v>
      </c>
      <c r="E107" s="163" t="str">
        <f t="shared" si="2"/>
        <v>#N/A</v>
      </c>
      <c r="F107" s="120" t="str">
        <f>VLOOKUP(A107,'Classement Général'!$B$2:$B$146,1,0)</f>
        <v>#N/A</v>
      </c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</row>
    <row r="108" ht="14.25" customHeight="1">
      <c r="A108" s="160"/>
      <c r="B108" s="156">
        <v>107.0</v>
      </c>
      <c r="C108" s="157">
        <f t="shared" si="1"/>
        <v>-368.0574286</v>
      </c>
      <c r="D108" s="158" t="str">
        <f>VLOOKUP(A108,'Classement RoC'!$B$2:$C$149,1,0)</f>
        <v>#N/A</v>
      </c>
      <c r="E108" s="163" t="str">
        <f t="shared" si="2"/>
        <v>#N/A</v>
      </c>
      <c r="F108" s="120" t="str">
        <f>VLOOKUP(A108,'Classement Général'!$B$2:$B$146,1,0)</f>
        <v>#N/A</v>
      </c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</row>
    <row r="109" ht="14.25" customHeight="1">
      <c r="A109" s="160"/>
      <c r="B109" s="161">
        <v>108.0</v>
      </c>
      <c r="C109" s="157">
        <f t="shared" si="1"/>
        <v>-374.8525209</v>
      </c>
      <c r="D109" s="158" t="str">
        <f>VLOOKUP(A109,'Classement RoC'!$B$2:$C$149,1,0)</f>
        <v>#N/A</v>
      </c>
      <c r="E109" s="163" t="str">
        <f t="shared" si="2"/>
        <v>#N/A</v>
      </c>
      <c r="F109" s="120" t="str">
        <f>VLOOKUP(A109,'Classement Général'!$B$2:$B$146,1,0)</f>
        <v>#N/A</v>
      </c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</row>
    <row r="110" ht="14.25" customHeight="1">
      <c r="A110" s="160"/>
      <c r="B110" s="156">
        <v>109.0</v>
      </c>
      <c r="C110" s="157">
        <f t="shared" si="1"/>
        <v>-381.6222384</v>
      </c>
      <c r="D110" s="158" t="str">
        <f>VLOOKUP(A110,'Classement RoC'!$B$2:$C$149,1,0)</f>
        <v>#N/A</v>
      </c>
      <c r="E110" s="163" t="str">
        <f t="shared" si="2"/>
        <v>#N/A</v>
      </c>
      <c r="F110" s="120" t="str">
        <f>VLOOKUP(A110,'Classement Général'!$B$2:$B$146,1,0)</f>
        <v>#N/A</v>
      </c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</row>
    <row r="111" ht="14.25" customHeight="1">
      <c r="A111" s="160"/>
      <c r="B111" s="161">
        <v>110.0</v>
      </c>
      <c r="C111" s="157">
        <f t="shared" si="1"/>
        <v>-388.3669814</v>
      </c>
      <c r="D111" s="158" t="str">
        <f>VLOOKUP(A111,'Classement RoC'!$B$2:$C$149,1,0)</f>
        <v>#N/A</v>
      </c>
      <c r="E111" s="163" t="str">
        <f t="shared" si="2"/>
        <v>#N/A</v>
      </c>
      <c r="F111" s="120" t="str">
        <f>VLOOKUP(A111,'Classement Général'!$B$2:$B$146,1,0)</f>
        <v>#N/A</v>
      </c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</row>
    <row r="112" ht="14.25" customHeight="1">
      <c r="A112" s="160"/>
      <c r="B112" s="156">
        <v>111.0</v>
      </c>
      <c r="C112" s="157">
        <f t="shared" si="1"/>
        <v>-395.0871399</v>
      </c>
      <c r="D112" s="158" t="str">
        <f>VLOOKUP(A112,'Classement RoC'!$B$2:$C$149,1,0)</f>
        <v>#N/A</v>
      </c>
      <c r="E112" s="163" t="str">
        <f t="shared" si="2"/>
        <v>#N/A</v>
      </c>
      <c r="F112" s="120" t="str">
        <f>VLOOKUP(A112,'Classement Général'!$B$2:$B$146,1,0)</f>
        <v>#N/A</v>
      </c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</row>
    <row r="113" ht="14.25" customHeight="1">
      <c r="A113" s="160"/>
      <c r="B113" s="161">
        <v>112.0</v>
      </c>
      <c r="C113" s="157">
        <f t="shared" si="1"/>
        <v>-401.7830938</v>
      </c>
      <c r="D113" s="158" t="str">
        <f>VLOOKUP(A113,'Classement RoC'!$B$2:$C$149,1,0)</f>
        <v>#N/A</v>
      </c>
      <c r="E113" s="163" t="str">
        <f t="shared" si="2"/>
        <v>#N/A</v>
      </c>
      <c r="F113" s="120" t="str">
        <f>VLOOKUP(A113,'Classement Général'!$B$2:$B$146,1,0)</f>
        <v>#N/A</v>
      </c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</row>
    <row r="114" ht="14.25" customHeight="1">
      <c r="A114" s="160"/>
      <c r="B114" s="156">
        <v>113.0</v>
      </c>
      <c r="C114" s="157">
        <f t="shared" si="1"/>
        <v>-408.4552134</v>
      </c>
      <c r="D114" s="158" t="str">
        <f>VLOOKUP(A114,'Classement RoC'!$B$2:$C$149,1,0)</f>
        <v>#N/A</v>
      </c>
      <c r="E114" s="163" t="str">
        <f t="shared" si="2"/>
        <v>#N/A</v>
      </c>
      <c r="F114" s="120" t="str">
        <f>VLOOKUP(A114,'Classement Général'!$B$2:$B$146,1,0)</f>
        <v>#N/A</v>
      </c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</row>
    <row r="115" ht="14.25" customHeight="1">
      <c r="A115" s="160"/>
      <c r="B115" s="161">
        <v>114.0</v>
      </c>
      <c r="C115" s="157">
        <f t="shared" si="1"/>
        <v>-415.1038595</v>
      </c>
      <c r="D115" s="158" t="str">
        <f>VLOOKUP(A115,'Classement RoC'!$B$2:$C$149,1,0)</f>
        <v>#N/A</v>
      </c>
      <c r="E115" s="163" t="str">
        <f t="shared" si="2"/>
        <v>#N/A</v>
      </c>
      <c r="F115" s="120" t="str">
        <f>VLOOKUP(A115,'Classement Général'!$B$2:$B$146,1,0)</f>
        <v>#N/A</v>
      </c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</row>
    <row r="116" ht="14.25" customHeight="1">
      <c r="A116" s="160"/>
      <c r="B116" s="156">
        <v>115.0</v>
      </c>
      <c r="C116" s="157">
        <f t="shared" si="1"/>
        <v>-421.729384</v>
      </c>
      <c r="D116" s="158" t="str">
        <f>VLOOKUP(A116,'Classement RoC'!$B$2:$C$149,1,0)</f>
        <v>#N/A</v>
      </c>
      <c r="E116" s="163" t="str">
        <f t="shared" si="2"/>
        <v>#N/A</v>
      </c>
      <c r="F116" s="120" t="str">
        <f>VLOOKUP(A116,'Classement Général'!$B$2:$B$146,1,0)</f>
        <v>#N/A</v>
      </c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</row>
    <row r="117" ht="14.25" customHeight="1">
      <c r="A117" s="160"/>
      <c r="B117" s="161">
        <v>116.0</v>
      </c>
      <c r="C117" s="157">
        <f t="shared" si="1"/>
        <v>-428.3321302</v>
      </c>
      <c r="D117" s="158" t="str">
        <f>VLOOKUP(A117,'Classement RoC'!$B$2:$C$149,1,0)</f>
        <v>#N/A</v>
      </c>
      <c r="E117" s="163" t="str">
        <f t="shared" si="2"/>
        <v>#N/A</v>
      </c>
      <c r="F117" s="120" t="str">
        <f>VLOOKUP(A117,'Classement Général'!$B$2:$B$146,1,0)</f>
        <v>#N/A</v>
      </c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</row>
    <row r="118" ht="14.25" customHeight="1">
      <c r="A118" s="160"/>
      <c r="B118" s="156">
        <v>117.0</v>
      </c>
      <c r="C118" s="157">
        <f t="shared" si="1"/>
        <v>-434.9124326</v>
      </c>
      <c r="D118" s="158" t="str">
        <f>VLOOKUP(A118,'Classement RoC'!$B$2:$C$149,1,0)</f>
        <v>#N/A</v>
      </c>
      <c r="E118" s="163" t="str">
        <f t="shared" si="2"/>
        <v>#N/A</v>
      </c>
      <c r="F118" s="120" t="str">
        <f>VLOOKUP(A118,'Classement Général'!$B$2:$B$146,1,0)</f>
        <v>#N/A</v>
      </c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</row>
    <row r="119" ht="14.25" customHeight="1">
      <c r="A119" s="160"/>
      <c r="B119" s="161">
        <v>118.0</v>
      </c>
      <c r="C119" s="157">
        <f t="shared" si="1"/>
        <v>-441.470618</v>
      </c>
      <c r="D119" s="158" t="str">
        <f>VLOOKUP(A119,'Classement RoC'!$B$2:$C$149,1,0)</f>
        <v>#N/A</v>
      </c>
      <c r="E119" s="163" t="str">
        <f t="shared" si="2"/>
        <v>#N/A</v>
      </c>
      <c r="F119" s="120" t="str">
        <f>VLOOKUP(A119,'Classement Général'!$B$2:$B$146,1,0)</f>
        <v>#N/A</v>
      </c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</row>
    <row r="120" ht="14.25" customHeight="1">
      <c r="A120" s="160"/>
      <c r="B120" s="156">
        <v>119.0</v>
      </c>
      <c r="C120" s="157">
        <f t="shared" si="1"/>
        <v>-448.0070051</v>
      </c>
      <c r="D120" s="158" t="str">
        <f>VLOOKUP(A120,'Classement RoC'!$B$2:$C$149,1,0)</f>
        <v>#N/A</v>
      </c>
      <c r="E120" s="163" t="str">
        <f t="shared" si="2"/>
        <v>#N/A</v>
      </c>
      <c r="F120" s="120" t="str">
        <f>VLOOKUP(A120,'Classement Général'!$B$2:$B$146,1,0)</f>
        <v>#N/A</v>
      </c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</row>
    <row r="121" ht="14.25" customHeight="1">
      <c r="A121" s="160"/>
      <c r="B121" s="161">
        <v>120.0</v>
      </c>
      <c r="C121" s="157">
        <f t="shared" si="1"/>
        <v>-454.5219049</v>
      </c>
      <c r="D121" s="158" t="str">
        <f>VLOOKUP(A121,'Classement RoC'!$B$2:$C$149,1,0)</f>
        <v>#N/A</v>
      </c>
      <c r="E121" s="163" t="str">
        <f t="shared" si="2"/>
        <v>#N/A</v>
      </c>
      <c r="F121" s="120" t="str">
        <f>VLOOKUP(A121,'Classement Général'!$B$2:$B$146,1,0)</f>
        <v>#N/A</v>
      </c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</row>
    <row r="122" ht="14.25" customHeight="1">
      <c r="A122" s="160"/>
      <c r="B122" s="156">
        <v>121.0</v>
      </c>
      <c r="C122" s="157">
        <f t="shared" si="1"/>
        <v>-461.0156214</v>
      </c>
      <c r="D122" s="158" t="str">
        <f>VLOOKUP(A122,'Classement RoC'!$B$2:$C$149,1,0)</f>
        <v>#N/A</v>
      </c>
      <c r="E122" s="163" t="str">
        <f t="shared" si="2"/>
        <v>#N/A</v>
      </c>
      <c r="F122" s="120" t="str">
        <f>VLOOKUP(A122,'Classement Général'!$B$2:$B$146,1,0)</f>
        <v>#N/A</v>
      </c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</row>
    <row r="123" ht="14.25" customHeight="1">
      <c r="A123" s="160"/>
      <c r="B123" s="161">
        <v>122.0</v>
      </c>
      <c r="C123" s="157">
        <f t="shared" si="1"/>
        <v>-467.4884511</v>
      </c>
      <c r="D123" s="158" t="str">
        <f>VLOOKUP(A123,'Classement RoC'!$B$2:$C$149,1,0)</f>
        <v>#N/A</v>
      </c>
      <c r="E123" s="163" t="str">
        <f t="shared" si="2"/>
        <v>#N/A</v>
      </c>
      <c r="F123" s="120" t="str">
        <f>VLOOKUP(A123,'Classement Général'!$B$2:$B$146,1,0)</f>
        <v>#N/A</v>
      </c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</row>
    <row r="124" ht="14.25" customHeight="1">
      <c r="A124" s="160"/>
      <c r="B124" s="156">
        <v>123.0</v>
      </c>
      <c r="C124" s="157">
        <f t="shared" si="1"/>
        <v>-473.9406838</v>
      </c>
      <c r="D124" s="158" t="str">
        <f>VLOOKUP(A124,'Classement RoC'!$B$2:$C$149,1,0)</f>
        <v>#N/A</v>
      </c>
      <c r="E124" s="163" t="str">
        <f t="shared" si="2"/>
        <v>#N/A</v>
      </c>
      <c r="F124" s="120" t="str">
        <f>VLOOKUP(A124,'Classement Général'!$B$2:$B$146,1,0)</f>
        <v>#N/A</v>
      </c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</row>
    <row r="125" ht="14.25" customHeight="1">
      <c r="A125" s="160"/>
      <c r="B125" s="161">
        <v>124.0</v>
      </c>
      <c r="C125" s="157">
        <f t="shared" si="1"/>
        <v>-480.3726026</v>
      </c>
      <c r="D125" s="158" t="str">
        <f>VLOOKUP(A125,'Classement RoC'!$B$2:$C$149,1,0)</f>
        <v>#N/A</v>
      </c>
      <c r="E125" s="163" t="str">
        <f t="shared" si="2"/>
        <v>#N/A</v>
      </c>
      <c r="F125" s="120" t="str">
        <f>VLOOKUP(A125,'Classement Général'!$B$2:$B$146,1,0)</f>
        <v>#N/A</v>
      </c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</row>
    <row r="126" ht="14.25" customHeight="1">
      <c r="A126" s="160"/>
      <c r="B126" s="156">
        <v>125.0</v>
      </c>
      <c r="C126" s="157">
        <f t="shared" si="1"/>
        <v>-486.7844841</v>
      </c>
      <c r="D126" s="158" t="str">
        <f>VLOOKUP(A126,'Classement RoC'!$B$2:$C$149,1,0)</f>
        <v>#N/A</v>
      </c>
      <c r="E126" s="163" t="str">
        <f t="shared" si="2"/>
        <v>#N/A</v>
      </c>
      <c r="F126" s="120" t="str">
        <f>VLOOKUP(A126,'Classement Général'!$B$2:$B$146,1,0)</f>
        <v>#N/A</v>
      </c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</row>
    <row r="127" ht="14.25" customHeight="1">
      <c r="A127" s="160"/>
      <c r="B127" s="161">
        <v>126.0</v>
      </c>
      <c r="C127" s="157">
        <f t="shared" si="1"/>
        <v>-493.1765987</v>
      </c>
      <c r="D127" s="158" t="str">
        <f>VLOOKUP(A127,'Classement RoC'!$B$2:$C$149,1,0)</f>
        <v>#N/A</v>
      </c>
      <c r="E127" s="163" t="str">
        <f t="shared" si="2"/>
        <v>#N/A</v>
      </c>
      <c r="F127" s="120" t="str">
        <f>VLOOKUP(A127,'Classement Général'!$B$2:$B$146,1,0)</f>
        <v>#N/A</v>
      </c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</row>
    <row r="128" ht="14.25" customHeight="1">
      <c r="A128" s="160"/>
      <c r="B128" s="156">
        <v>127.0</v>
      </c>
      <c r="C128" s="157">
        <f t="shared" si="1"/>
        <v>-499.5492107</v>
      </c>
      <c r="D128" s="158" t="str">
        <f>VLOOKUP(A128,'Classement RoC'!$B$2:$C$149,1,0)</f>
        <v>#N/A</v>
      </c>
      <c r="E128" s="163" t="str">
        <f t="shared" si="2"/>
        <v>#N/A</v>
      </c>
      <c r="F128" s="120" t="str">
        <f>VLOOKUP(A128,'Classement Général'!$B$2:$B$146,1,0)</f>
        <v>#N/A</v>
      </c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</row>
    <row r="129" ht="14.25" customHeight="1">
      <c r="A129" s="160"/>
      <c r="B129" s="161">
        <v>128.0</v>
      </c>
      <c r="C129" s="157">
        <f t="shared" si="1"/>
        <v>-505.9025786</v>
      </c>
      <c r="D129" s="158" t="str">
        <f>VLOOKUP(A129,'Classement RoC'!$B$2:$C$149,1,0)</f>
        <v>#N/A</v>
      </c>
      <c r="E129" s="163" t="str">
        <f t="shared" si="2"/>
        <v>#N/A</v>
      </c>
      <c r="F129" s="120" t="str">
        <f>VLOOKUP(A129,'Classement Général'!$B$2:$B$146,1,0)</f>
        <v>#N/A</v>
      </c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</row>
    <row r="130" ht="14.25" customHeight="1">
      <c r="A130" s="160"/>
      <c r="B130" s="156">
        <v>129.0</v>
      </c>
      <c r="C130" s="157">
        <f t="shared" si="1"/>
        <v>-512.236955</v>
      </c>
      <c r="D130" s="158" t="str">
        <f>VLOOKUP(A130,'Classement RoC'!$B$2:$C$149,1,0)</f>
        <v>#N/A</v>
      </c>
      <c r="E130" s="163" t="str">
        <f t="shared" si="2"/>
        <v>#N/A</v>
      </c>
      <c r="F130" s="120" t="str">
        <f>VLOOKUP(A130,'Classement Général'!$B$2:$B$146,1,0)</f>
        <v>#N/A</v>
      </c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</row>
    <row r="131" ht="14.25" customHeight="1">
      <c r="A131" s="160"/>
      <c r="B131" s="161">
        <v>130.0</v>
      </c>
      <c r="C131" s="157">
        <f t="shared" si="1"/>
        <v>-518.5525871</v>
      </c>
      <c r="D131" s="158" t="str">
        <f>VLOOKUP(A131,'Classement RoC'!$B$2:$C$149,1,0)</f>
        <v>#N/A</v>
      </c>
      <c r="E131" s="163" t="str">
        <f t="shared" si="2"/>
        <v>#N/A</v>
      </c>
      <c r="F131" s="120" t="str">
        <f>VLOOKUP(A131,'Classement Général'!$B$2:$B$146,1,0)</f>
        <v>#N/A</v>
      </c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</row>
    <row r="132" ht="14.25" customHeight="1">
      <c r="A132" s="160"/>
      <c r="B132" s="156">
        <v>131.0</v>
      </c>
      <c r="C132" s="157">
        <f t="shared" si="1"/>
        <v>-524.8497168</v>
      </c>
      <c r="D132" s="158" t="str">
        <f>VLOOKUP(A132,'Classement RoC'!$B$2:$C$149,1,0)</f>
        <v>#N/A</v>
      </c>
      <c r="E132" s="163" t="str">
        <f t="shared" si="2"/>
        <v>#N/A</v>
      </c>
      <c r="F132" s="120" t="str">
        <f>VLOOKUP(A132,'Classement Général'!$B$2:$B$146,1,0)</f>
        <v>#N/A</v>
      </c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</row>
    <row r="133" ht="14.25" customHeight="1">
      <c r="A133" s="160"/>
      <c r="B133" s="161">
        <v>132.0</v>
      </c>
      <c r="C133" s="157">
        <f t="shared" si="1"/>
        <v>-531.1285807</v>
      </c>
      <c r="D133" s="158" t="str">
        <f>VLOOKUP(A133,'Classement RoC'!$B$2:$C$149,1,0)</f>
        <v>#N/A</v>
      </c>
      <c r="E133" s="163" t="str">
        <f t="shared" si="2"/>
        <v>#N/A</v>
      </c>
      <c r="F133" s="120" t="str">
        <f>VLOOKUP(A133,'Classement Général'!$B$2:$B$146,1,0)</f>
        <v>#N/A</v>
      </c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</row>
    <row r="134" ht="14.25" customHeight="1">
      <c r="A134" s="160"/>
      <c r="B134" s="156">
        <v>133.0</v>
      </c>
      <c r="C134" s="157">
        <f t="shared" si="1"/>
        <v>-537.3894104</v>
      </c>
      <c r="D134" s="158" t="str">
        <f>VLOOKUP(A134,'Classement RoC'!$B$2:$C$149,1,0)</f>
        <v>#N/A</v>
      </c>
      <c r="E134" s="163" t="str">
        <f t="shared" si="2"/>
        <v>#N/A</v>
      </c>
      <c r="F134" s="120" t="str">
        <f>VLOOKUP(A134,'Classement Général'!$B$2:$B$146,1,0)</f>
        <v>#N/A</v>
      </c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</row>
    <row r="135" ht="14.25" customHeight="1">
      <c r="A135" s="160"/>
      <c r="B135" s="161">
        <v>134.0</v>
      </c>
      <c r="C135" s="157">
        <f t="shared" si="1"/>
        <v>-543.6324327</v>
      </c>
      <c r="D135" s="158" t="str">
        <f>VLOOKUP(A135,'Classement RoC'!$B$2:$C$149,1,0)</f>
        <v>#N/A</v>
      </c>
      <c r="E135" s="163" t="str">
        <f t="shared" si="2"/>
        <v>#N/A</v>
      </c>
      <c r="F135" s="120" t="str">
        <f>VLOOKUP(A135,'Classement Général'!$B$2:$B$146,1,0)</f>
        <v>#N/A</v>
      </c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</row>
    <row r="136" ht="14.25" customHeight="1">
      <c r="A136" s="160"/>
      <c r="B136" s="156">
        <v>135.0</v>
      </c>
      <c r="C136" s="157">
        <f t="shared" si="1"/>
        <v>-549.8578693</v>
      </c>
      <c r="D136" s="158" t="str">
        <f>VLOOKUP(A136,'Classement RoC'!$B$2:$C$149,1,0)</f>
        <v>#N/A</v>
      </c>
      <c r="E136" s="163" t="str">
        <f t="shared" si="2"/>
        <v>#N/A</v>
      </c>
      <c r="F136" s="120" t="str">
        <f>VLOOKUP(A136,'Classement Général'!$B$2:$B$146,1,0)</f>
        <v>#N/A</v>
      </c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</row>
    <row r="137" ht="14.25" customHeight="1">
      <c r="A137" s="160"/>
      <c r="B137" s="161">
        <v>136.0</v>
      </c>
      <c r="C137" s="157">
        <f t="shared" si="1"/>
        <v>-556.0659376</v>
      </c>
      <c r="D137" s="158" t="str">
        <f>VLOOKUP(A137,'Classement RoC'!$B$2:$C$149,1,0)</f>
        <v>#N/A</v>
      </c>
      <c r="E137" s="163" t="str">
        <f t="shared" si="2"/>
        <v>#N/A</v>
      </c>
      <c r="F137" s="120" t="str">
        <f>VLOOKUP(A137,'Classement Général'!$B$2:$B$146,1,0)</f>
        <v>#N/A</v>
      </c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</row>
    <row r="138" ht="14.25" customHeight="1">
      <c r="A138" s="160"/>
      <c r="B138" s="156">
        <v>137.0</v>
      </c>
      <c r="C138" s="157">
        <f t="shared" si="1"/>
        <v>-562.2568505</v>
      </c>
      <c r="D138" s="158" t="str">
        <f>VLOOKUP(A138,'Classement RoC'!$B$2:$C$149,1,0)</f>
        <v>#N/A</v>
      </c>
      <c r="E138" s="163" t="str">
        <f t="shared" si="2"/>
        <v>#N/A</v>
      </c>
      <c r="F138" s="120" t="str">
        <f>VLOOKUP(A138,'Classement Général'!$B$2:$B$146,1,0)</f>
        <v>#N/A</v>
      </c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</row>
    <row r="139" ht="14.25" customHeight="1">
      <c r="A139" s="160"/>
      <c r="B139" s="161">
        <v>138.0</v>
      </c>
      <c r="C139" s="157">
        <f t="shared" si="1"/>
        <v>-568.4308164</v>
      </c>
      <c r="D139" s="158" t="str">
        <f>VLOOKUP(A139,'Classement RoC'!$B$2:$C$149,1,0)</f>
        <v>#N/A</v>
      </c>
      <c r="E139" s="163" t="str">
        <f t="shared" si="2"/>
        <v>#N/A</v>
      </c>
      <c r="F139" s="120" t="str">
        <f>VLOOKUP(A139,'Classement Général'!$B$2:$B$146,1,0)</f>
        <v>#N/A</v>
      </c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</row>
    <row r="140" ht="14.25" customHeight="1">
      <c r="A140" s="160"/>
      <c r="B140" s="156">
        <v>139.0</v>
      </c>
      <c r="C140" s="157">
        <f t="shared" si="1"/>
        <v>-574.5880395</v>
      </c>
      <c r="D140" s="158" t="str">
        <f>VLOOKUP(A140,'Classement RoC'!$B$2:$C$149,1,0)</f>
        <v>#N/A</v>
      </c>
      <c r="E140" s="163" t="str">
        <f t="shared" si="2"/>
        <v>#N/A</v>
      </c>
      <c r="F140" s="120" t="str">
        <f>VLOOKUP(A140,'Classement Général'!$B$2:$B$146,1,0)</f>
        <v>#N/A</v>
      </c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</row>
    <row r="141" ht="14.25" customHeight="1">
      <c r="A141" s="160"/>
      <c r="B141" s="161">
        <v>140.0</v>
      </c>
      <c r="C141" s="157">
        <f t="shared" si="1"/>
        <v>-580.72872</v>
      </c>
      <c r="D141" s="158" t="str">
        <f>VLOOKUP(A141,'Classement RoC'!$B$2:$C$149,1,0)</f>
        <v>#N/A</v>
      </c>
      <c r="E141" s="163" t="str">
        <f t="shared" si="2"/>
        <v>#N/A</v>
      </c>
      <c r="F141" s="120" t="str">
        <f>VLOOKUP(A141,'Classement Général'!$B$2:$B$146,1,0)</f>
        <v>#N/A</v>
      </c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</row>
    <row r="142" ht="14.25" customHeight="1">
      <c r="A142" s="160"/>
      <c r="B142" s="156">
        <v>141.0</v>
      </c>
      <c r="C142" s="157">
        <f t="shared" si="1"/>
        <v>-586.8530538</v>
      </c>
      <c r="D142" s="158" t="str">
        <f>VLOOKUP(A142,'Classement RoC'!$B$2:$C$149,1,0)</f>
        <v>#N/A</v>
      </c>
      <c r="E142" s="163" t="str">
        <f t="shared" si="2"/>
        <v>#N/A</v>
      </c>
      <c r="F142" s="120" t="str">
        <f>VLOOKUP(A142,'Classement Général'!$B$2:$B$146,1,0)</f>
        <v>#N/A</v>
      </c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</row>
    <row r="143" ht="14.25" customHeight="1">
      <c r="A143" s="160"/>
      <c r="B143" s="161">
        <v>142.0</v>
      </c>
      <c r="C143" s="157">
        <f t="shared" si="1"/>
        <v>-592.9612333</v>
      </c>
      <c r="D143" s="158" t="str">
        <f>VLOOKUP(A143,'Classement RoC'!$B$2:$C$149,1,0)</f>
        <v>#N/A</v>
      </c>
      <c r="E143" s="163" t="str">
        <f t="shared" si="2"/>
        <v>#N/A</v>
      </c>
      <c r="F143" s="120" t="str">
        <f>VLOOKUP(A143,'Classement Général'!$B$2:$B$146,1,0)</f>
        <v>#N/A</v>
      </c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</row>
    <row r="144" ht="14.25" customHeight="1">
      <c r="A144" s="160"/>
      <c r="B144" s="156">
        <v>143.0</v>
      </c>
      <c r="C144" s="157">
        <f t="shared" si="1"/>
        <v>-599.0534469</v>
      </c>
      <c r="D144" s="158" t="str">
        <f>VLOOKUP(A144,'Classement RoC'!$B$2:$C$149,1,0)</f>
        <v>#N/A</v>
      </c>
      <c r="E144" s="163" t="str">
        <f t="shared" si="2"/>
        <v>#N/A</v>
      </c>
      <c r="F144" s="120" t="str">
        <f>VLOOKUP(A144,'Classement Général'!$B$2:$B$146,1,0)</f>
        <v>#N/A</v>
      </c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</row>
    <row r="145" ht="14.25" customHeight="1">
      <c r="A145" s="160"/>
      <c r="B145" s="161">
        <v>144.0</v>
      </c>
      <c r="C145" s="157">
        <f t="shared" si="1"/>
        <v>-605.1298791</v>
      </c>
      <c r="D145" s="158" t="str">
        <f>VLOOKUP(A145,'Classement RoC'!$B$2:$C$149,1,0)</f>
        <v>#N/A</v>
      </c>
      <c r="E145" s="163" t="str">
        <f t="shared" si="2"/>
        <v>#N/A</v>
      </c>
      <c r="F145" s="120" t="str">
        <f>VLOOKUP(A145,'Classement Général'!$B$2:$B$146,1,0)</f>
        <v>#N/A</v>
      </c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</row>
    <row r="146" ht="14.25" customHeight="1">
      <c r="A146" s="160"/>
      <c r="B146" s="156">
        <v>145.0</v>
      </c>
      <c r="C146" s="157">
        <f t="shared" si="1"/>
        <v>-611.1907113</v>
      </c>
      <c r="D146" s="158" t="str">
        <f>VLOOKUP(A146,'Classement RoC'!$B$2:$C$149,1,0)</f>
        <v>#N/A</v>
      </c>
      <c r="E146" s="163" t="str">
        <f t="shared" si="2"/>
        <v>#N/A</v>
      </c>
      <c r="F146" s="120" t="str">
        <f>VLOOKUP(A146,'Classement Général'!$B$2:$B$146,1,0)</f>
        <v>#N/A</v>
      </c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</row>
    <row r="147" ht="14.25" customHeight="1">
      <c r="A147" s="160"/>
      <c r="B147" s="161">
        <v>146.0</v>
      </c>
      <c r="C147" s="157">
        <f t="shared" si="1"/>
        <v>-617.2361211</v>
      </c>
      <c r="D147" s="158" t="str">
        <f>VLOOKUP(A147,'Classement RoC'!$B$2:$C$149,1,0)</f>
        <v>#N/A</v>
      </c>
      <c r="E147" s="163" t="str">
        <f t="shared" si="2"/>
        <v>#N/A</v>
      </c>
      <c r="F147" s="120" t="str">
        <f>VLOOKUP(A147,'Classement Général'!$B$2:$B$146,1,0)</f>
        <v>#N/A</v>
      </c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</row>
    <row r="148" ht="14.25" customHeight="1">
      <c r="A148" s="160"/>
      <c r="B148" s="156">
        <v>147.0</v>
      </c>
      <c r="C148" s="157">
        <f t="shared" si="1"/>
        <v>-623.2662826</v>
      </c>
      <c r="D148" s="158" t="str">
        <f>VLOOKUP(A148,'Classement RoC'!$B$2:$C$149,1,0)</f>
        <v>#N/A</v>
      </c>
      <c r="E148" s="163" t="str">
        <f t="shared" si="2"/>
        <v>#N/A</v>
      </c>
      <c r="F148" s="120" t="str">
        <f>VLOOKUP(A148,'Classement Général'!$B$2:$B$146,1,0)</f>
        <v>#N/A</v>
      </c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</row>
    <row r="149" ht="14.25" customHeight="1">
      <c r="A149" s="160"/>
      <c r="B149" s="161">
        <v>148.0</v>
      </c>
      <c r="C149" s="157">
        <f t="shared" si="1"/>
        <v>-629.281367</v>
      </c>
      <c r="D149" s="158" t="str">
        <f>VLOOKUP(A149,'Classement RoC'!$B$2:$C$149,1,0)</f>
        <v>#N/A</v>
      </c>
      <c r="E149" s="163" t="str">
        <f t="shared" si="2"/>
        <v>#N/A</v>
      </c>
      <c r="F149" s="120" t="str">
        <f>VLOOKUP(A149,'Classement Général'!$B$2:$B$146,1,0)</f>
        <v>#N/A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</row>
    <row r="150" ht="14.25" customHeight="1">
      <c r="A150" s="160"/>
      <c r="B150" s="156">
        <v>149.0</v>
      </c>
      <c r="C150" s="157">
        <f t="shared" si="1"/>
        <v>-635.2815418</v>
      </c>
      <c r="D150" s="158" t="str">
        <f>VLOOKUP(A150,'Classement RoC'!$B$2:$C$149,1,0)</f>
        <v>#N/A</v>
      </c>
      <c r="E150" s="163" t="str">
        <f t="shared" si="2"/>
        <v>#N/A</v>
      </c>
      <c r="F150" s="120" t="str">
        <f>VLOOKUP(A150,'Classement Général'!$B$2:$B$146,1,0)</f>
        <v>#N/A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</row>
    <row r="151" ht="14.25" customHeight="1">
      <c r="A151" s="160"/>
      <c r="B151" s="161">
        <v>150.0</v>
      </c>
      <c r="C151" s="157">
        <f t="shared" si="1"/>
        <v>-641.2669717</v>
      </c>
      <c r="D151" s="158" t="str">
        <f>VLOOKUP(A151,'Classement RoC'!$B$2:$C$149,1,0)</f>
        <v>#N/A</v>
      </c>
      <c r="E151" s="163" t="str">
        <f t="shared" si="2"/>
        <v>#N/A</v>
      </c>
      <c r="F151" s="120" t="str">
        <f>VLOOKUP(A151,'Classement Général'!$B$2:$B$146,1,0)</f>
        <v>#N/A</v>
      </c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</row>
    <row r="152" ht="14.25" customHeight="1">
      <c r="A152" s="160"/>
      <c r="B152" s="156">
        <v>151.0</v>
      </c>
      <c r="C152" s="157">
        <f t="shared" si="1"/>
        <v>-647.2378181</v>
      </c>
      <c r="D152" s="158" t="str">
        <f>VLOOKUP(A152,'Classement RoC'!$B$2:$C$149,1,0)</f>
        <v>#N/A</v>
      </c>
      <c r="E152" s="163" t="str">
        <f t="shared" si="2"/>
        <v>#N/A</v>
      </c>
      <c r="F152" s="120" t="str">
        <f>VLOOKUP(A152,'Classement Général'!$B$2:$B$146,1,0)</f>
        <v>#N/A</v>
      </c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</row>
    <row r="153" ht="14.25" customHeight="1">
      <c r="A153" s="160"/>
      <c r="B153" s="161">
        <v>152.0</v>
      </c>
      <c r="C153" s="157">
        <f t="shared" si="1"/>
        <v>-653.1942398</v>
      </c>
      <c r="D153" s="158" t="str">
        <f>VLOOKUP(A153,'Classement RoC'!$B$2:$C$149,1,0)</f>
        <v>#N/A</v>
      </c>
      <c r="E153" s="163" t="str">
        <f t="shared" si="2"/>
        <v>#N/A</v>
      </c>
      <c r="F153" s="120" t="str">
        <f>VLOOKUP(A153,'Classement Général'!$B$2:$B$146,1,0)</f>
        <v>#N/A</v>
      </c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</row>
    <row r="154" ht="14.25" customHeight="1">
      <c r="A154" s="160"/>
      <c r="B154" s="156">
        <v>153.0</v>
      </c>
      <c r="C154" s="157">
        <f t="shared" si="1"/>
        <v>-659.1363922</v>
      </c>
      <c r="D154" s="158" t="str">
        <f>VLOOKUP(A154,'Classement RoC'!$B$2:$C$149,1,0)</f>
        <v>#N/A</v>
      </c>
      <c r="E154" s="163" t="str">
        <f t="shared" si="2"/>
        <v>#N/A</v>
      </c>
      <c r="F154" s="120" t="str">
        <f>VLOOKUP(A154,'Classement Général'!$B$2:$B$146,1,0)</f>
        <v>#N/A</v>
      </c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</row>
    <row r="155" ht="14.25" customHeight="1">
      <c r="A155" s="160"/>
      <c r="B155" s="161">
        <v>154.0</v>
      </c>
      <c r="C155" s="157">
        <f t="shared" si="1"/>
        <v>-665.0644283</v>
      </c>
      <c r="D155" s="158" t="str">
        <f>VLOOKUP(A155,'Classement RoC'!$B$2:$C$149,1,0)</f>
        <v>#N/A</v>
      </c>
      <c r="E155" s="163" t="str">
        <f t="shared" si="2"/>
        <v>#N/A</v>
      </c>
      <c r="F155" s="120" t="str">
        <f>VLOOKUP(A155,'Classement Général'!$B$2:$B$146,1,0)</f>
        <v>#N/A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</row>
    <row r="156" ht="14.25" customHeight="1">
      <c r="A156" s="160"/>
      <c r="B156" s="156">
        <v>155.0</v>
      </c>
      <c r="C156" s="157">
        <f t="shared" si="1"/>
        <v>-670.9784981</v>
      </c>
      <c r="D156" s="158" t="str">
        <f>VLOOKUP(A156,'Classement RoC'!$B$2:$C$149,1,0)</f>
        <v>#N/A</v>
      </c>
      <c r="E156" s="163" t="str">
        <f t="shared" si="2"/>
        <v>#N/A</v>
      </c>
      <c r="F156" s="120" t="str">
        <f>VLOOKUP(A156,'Classement Général'!$B$2:$B$146,1,0)</f>
        <v>#N/A</v>
      </c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</row>
    <row r="157" ht="14.25" customHeight="1">
      <c r="A157" s="160"/>
      <c r="B157" s="161">
        <v>156.0</v>
      </c>
      <c r="C157" s="157">
        <f t="shared" si="1"/>
        <v>-676.8787489</v>
      </c>
      <c r="D157" s="158" t="str">
        <f>VLOOKUP(A157,'Classement RoC'!$B$2:$C$149,1,0)</f>
        <v>#N/A</v>
      </c>
      <c r="E157" s="163" t="str">
        <f t="shared" si="2"/>
        <v>#N/A</v>
      </c>
      <c r="F157" s="120" t="str">
        <f>VLOOKUP(A157,'Classement Général'!$B$2:$B$146,1,0)</f>
        <v>#N/A</v>
      </c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</row>
    <row r="158" ht="14.25" customHeight="1">
      <c r="A158" s="160"/>
      <c r="B158" s="156">
        <v>157.0</v>
      </c>
      <c r="C158" s="157">
        <f t="shared" si="1"/>
        <v>-682.7653256</v>
      </c>
      <c r="D158" s="158" t="str">
        <f>VLOOKUP(A158,'Classement RoC'!$B$2:$C$149,1,0)</f>
        <v>#N/A</v>
      </c>
      <c r="E158" s="163" t="str">
        <f t="shared" si="2"/>
        <v>#N/A</v>
      </c>
      <c r="F158" s="120" t="str">
        <f>VLOOKUP(A158,'Classement Général'!$B$2:$B$146,1,0)</f>
        <v>#N/A</v>
      </c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</row>
    <row r="159" ht="14.25" customHeight="1">
      <c r="A159" s="160"/>
      <c r="B159" s="161">
        <v>158.0</v>
      </c>
      <c r="C159" s="157">
        <f t="shared" si="1"/>
        <v>-688.6383703</v>
      </c>
      <c r="D159" s="158" t="str">
        <f>VLOOKUP(A159,'Classement RoC'!$B$2:$C$149,1,0)</f>
        <v>#N/A</v>
      </c>
      <c r="E159" s="163" t="str">
        <f t="shared" si="2"/>
        <v>#N/A</v>
      </c>
      <c r="F159" s="120" t="str">
        <f>VLOOKUP(A159,'Classement Général'!$B$2:$B$146,1,0)</f>
        <v>#N/A</v>
      </c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</row>
    <row r="160" ht="14.25" customHeight="1">
      <c r="A160" s="160"/>
      <c r="B160" s="156">
        <v>159.0</v>
      </c>
      <c r="C160" s="157">
        <f t="shared" si="1"/>
        <v>-694.4980227</v>
      </c>
      <c r="D160" s="158" t="str">
        <f>VLOOKUP(A160,'Classement RoC'!$B$2:$C$149,1,0)</f>
        <v>#N/A</v>
      </c>
      <c r="E160" s="163" t="str">
        <f t="shared" si="2"/>
        <v>#N/A</v>
      </c>
      <c r="F160" s="120" t="str">
        <f>VLOOKUP(A160,'Classement Général'!$B$2:$B$146,1,0)</f>
        <v>#N/A</v>
      </c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</row>
    <row r="161" ht="14.25" customHeight="1">
      <c r="A161" s="164"/>
      <c r="B161" s="165"/>
      <c r="C161" s="166"/>
      <c r="D161" s="167"/>
      <c r="E161" s="168"/>
      <c r="F161" s="120" t="str">
        <f>VLOOKUP(A161,'Classement Général'!$B$2:$B$146,1,0)</f>
        <v>#N/A</v>
      </c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</row>
    <row r="162" ht="14.25" customHeight="1">
      <c r="A162" s="164"/>
      <c r="B162" s="165"/>
      <c r="C162" s="166"/>
      <c r="D162" s="167"/>
      <c r="E162" s="168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4"/>
    </row>
    <row r="163" ht="14.25" customHeight="1">
      <c r="A163" s="164"/>
      <c r="B163" s="165"/>
      <c r="C163" s="166"/>
      <c r="D163" s="167"/>
      <c r="E163" s="168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</row>
    <row r="164" ht="14.25" customHeight="1">
      <c r="A164" s="164"/>
      <c r="B164" s="165"/>
      <c r="C164" s="166"/>
      <c r="D164" s="167"/>
      <c r="E164" s="168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</row>
    <row r="165" ht="14.25" customHeight="1">
      <c r="A165" s="164"/>
      <c r="B165" s="165"/>
      <c r="C165" s="166"/>
      <c r="D165" s="167"/>
      <c r="E165" s="168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</row>
    <row r="166" ht="14.25" customHeight="1">
      <c r="A166" s="164"/>
      <c r="B166" s="165"/>
      <c r="C166" s="166"/>
      <c r="D166" s="167"/>
      <c r="E166" s="168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</row>
    <row r="167" ht="14.25" customHeight="1">
      <c r="A167" s="164"/>
      <c r="B167" s="165"/>
      <c r="C167" s="166"/>
      <c r="D167" s="167"/>
      <c r="E167" s="168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</row>
    <row r="168" ht="14.25" customHeight="1">
      <c r="A168" s="164"/>
      <c r="B168" s="165"/>
      <c r="C168" s="166"/>
      <c r="D168" s="167"/>
      <c r="E168" s="168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</row>
    <row r="169" ht="14.25" customHeight="1">
      <c r="A169" s="164"/>
      <c r="B169" s="165"/>
      <c r="C169" s="166"/>
      <c r="D169" s="167"/>
      <c r="E169" s="168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</row>
    <row r="170" ht="14.25" customHeight="1">
      <c r="A170" s="164"/>
      <c r="B170" s="165"/>
      <c r="C170" s="166"/>
      <c r="D170" s="167"/>
      <c r="E170" s="168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</row>
    <row r="171" ht="14.25" customHeight="1">
      <c r="A171" s="164"/>
      <c r="B171" s="165"/>
      <c r="C171" s="166"/>
      <c r="D171" s="167"/>
      <c r="E171" s="168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</row>
    <row r="172" ht="14.25" customHeight="1">
      <c r="A172" s="164"/>
      <c r="B172" s="165"/>
      <c r="C172" s="166"/>
      <c r="D172" s="167"/>
      <c r="E172" s="168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</row>
    <row r="173" ht="14.25" customHeight="1">
      <c r="A173" s="164"/>
      <c r="B173" s="165"/>
      <c r="C173" s="166"/>
      <c r="D173" s="167"/>
      <c r="E173" s="168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</row>
    <row r="174" ht="14.25" customHeight="1">
      <c r="A174" s="164"/>
      <c r="B174" s="165"/>
      <c r="C174" s="166"/>
      <c r="D174" s="167"/>
      <c r="E174" s="168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</row>
    <row r="175" ht="14.25" customHeight="1">
      <c r="A175" s="164"/>
      <c r="B175" s="165"/>
      <c r="C175" s="166"/>
      <c r="D175" s="167"/>
      <c r="E175" s="168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</row>
    <row r="176" ht="14.25" customHeight="1">
      <c r="A176" s="164"/>
      <c r="B176" s="165"/>
      <c r="C176" s="166"/>
      <c r="D176" s="167"/>
      <c r="E176" s="168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</row>
    <row r="177" ht="14.25" customHeight="1">
      <c r="A177" s="164"/>
      <c r="B177" s="165"/>
      <c r="C177" s="166"/>
      <c r="D177" s="167"/>
      <c r="E177" s="168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4"/>
    </row>
    <row r="178" ht="14.25" customHeight="1">
      <c r="A178" s="164"/>
      <c r="B178" s="165"/>
      <c r="C178" s="166"/>
      <c r="D178" s="167"/>
      <c r="E178" s="168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</row>
    <row r="179" ht="14.25" customHeight="1">
      <c r="A179" s="164"/>
      <c r="B179" s="165"/>
      <c r="C179" s="166"/>
      <c r="D179" s="167"/>
      <c r="E179" s="168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4"/>
    </row>
    <row r="180" ht="14.25" customHeight="1">
      <c r="A180" s="164"/>
      <c r="B180" s="165"/>
      <c r="C180" s="166"/>
      <c r="D180" s="167"/>
      <c r="E180" s="168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</row>
    <row r="181" ht="14.25" customHeight="1">
      <c r="A181" s="164"/>
      <c r="B181" s="165"/>
      <c r="C181" s="166"/>
      <c r="D181" s="167"/>
      <c r="E181" s="168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</row>
    <row r="182" ht="14.25" customHeight="1">
      <c r="A182" s="164"/>
      <c r="B182" s="165"/>
      <c r="C182" s="166"/>
      <c r="D182" s="167"/>
      <c r="E182" s="168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154"/>
    </row>
    <row r="183" ht="14.25" customHeight="1">
      <c r="A183" s="164"/>
      <c r="B183" s="165"/>
      <c r="C183" s="166"/>
      <c r="D183" s="167"/>
      <c r="E183" s="168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4"/>
    </row>
    <row r="184" ht="14.25" customHeight="1">
      <c r="A184" s="164"/>
      <c r="B184" s="165"/>
      <c r="C184" s="166"/>
      <c r="D184" s="167"/>
      <c r="E184" s="168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</row>
    <row r="185" ht="14.25" customHeight="1">
      <c r="A185" s="164"/>
      <c r="B185" s="165"/>
      <c r="C185" s="166"/>
      <c r="D185" s="167"/>
      <c r="E185" s="168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</row>
    <row r="186" ht="14.25" customHeight="1">
      <c r="A186" s="164"/>
      <c r="B186" s="165"/>
      <c r="C186" s="166"/>
      <c r="D186" s="167"/>
      <c r="E186" s="168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</row>
    <row r="187" ht="14.25" customHeight="1">
      <c r="A187" s="164"/>
      <c r="B187" s="165"/>
      <c r="C187" s="166"/>
      <c r="D187" s="167"/>
      <c r="E187" s="168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</row>
    <row r="188" ht="14.25" customHeight="1">
      <c r="A188" s="164"/>
      <c r="B188" s="165"/>
      <c r="C188" s="166"/>
      <c r="D188" s="167"/>
      <c r="E188" s="168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</row>
    <row r="189" ht="14.25" customHeight="1">
      <c r="A189" s="164"/>
      <c r="B189" s="165"/>
      <c r="C189" s="166"/>
      <c r="D189" s="167"/>
      <c r="E189" s="168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</row>
    <row r="190" ht="14.25" customHeight="1">
      <c r="A190" s="164"/>
      <c r="B190" s="165"/>
      <c r="C190" s="166"/>
      <c r="D190" s="167"/>
      <c r="E190" s="168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</row>
    <row r="191" ht="14.25" customHeight="1">
      <c r="A191" s="164"/>
      <c r="B191" s="165"/>
      <c r="C191" s="166"/>
      <c r="D191" s="167"/>
      <c r="E191" s="168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</row>
    <row r="192" ht="14.25" customHeight="1">
      <c r="A192" s="164"/>
      <c r="B192" s="165"/>
      <c r="C192" s="166"/>
      <c r="D192" s="167"/>
      <c r="E192" s="168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</row>
    <row r="193" ht="14.25" customHeight="1">
      <c r="A193" s="164"/>
      <c r="B193" s="165"/>
      <c r="C193" s="166"/>
      <c r="D193" s="167"/>
      <c r="E193" s="168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</row>
    <row r="194" ht="14.25" customHeight="1">
      <c r="A194" s="164"/>
      <c r="B194" s="165"/>
      <c r="C194" s="166"/>
      <c r="D194" s="167"/>
      <c r="E194" s="168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</row>
    <row r="195" ht="14.25" customHeight="1">
      <c r="A195" s="164"/>
      <c r="B195" s="165"/>
      <c r="C195" s="166"/>
      <c r="D195" s="167"/>
      <c r="E195" s="168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</row>
    <row r="196" ht="14.25" customHeight="1">
      <c r="A196" s="164"/>
      <c r="B196" s="165"/>
      <c r="C196" s="166"/>
      <c r="D196" s="167"/>
      <c r="E196" s="168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</row>
    <row r="197" ht="14.25" customHeight="1">
      <c r="A197" s="164"/>
      <c r="B197" s="165"/>
      <c r="C197" s="166"/>
      <c r="D197" s="167"/>
      <c r="E197" s="168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</row>
    <row r="198" ht="14.25" customHeight="1">
      <c r="A198" s="164"/>
      <c r="B198" s="165"/>
      <c r="C198" s="166"/>
      <c r="D198" s="167"/>
      <c r="E198" s="168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</row>
    <row r="199" ht="14.25" customHeight="1">
      <c r="A199" s="164"/>
      <c r="B199" s="165"/>
      <c r="C199" s="166"/>
      <c r="D199" s="167"/>
      <c r="E199" s="168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154"/>
    </row>
    <row r="200" ht="14.25" customHeight="1">
      <c r="A200" s="164"/>
      <c r="B200" s="165"/>
      <c r="C200" s="166"/>
      <c r="D200" s="167"/>
      <c r="E200" s="168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4"/>
    </row>
    <row r="201" ht="14.25" customHeight="1">
      <c r="A201" s="164"/>
      <c r="B201" s="165"/>
      <c r="C201" s="166"/>
      <c r="D201" s="167"/>
      <c r="E201" s="168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</row>
    <row r="202" ht="14.25" customHeight="1">
      <c r="A202" s="164"/>
      <c r="B202" s="165"/>
      <c r="C202" s="166"/>
      <c r="D202" s="167"/>
      <c r="E202" s="168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4"/>
    </row>
    <row r="203" ht="14.25" customHeight="1">
      <c r="A203" s="164"/>
      <c r="B203" s="165"/>
      <c r="C203" s="166"/>
      <c r="D203" s="167"/>
      <c r="E203" s="168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</row>
    <row r="204" ht="14.25" customHeight="1">
      <c r="A204" s="164"/>
      <c r="B204" s="165"/>
      <c r="C204" s="166"/>
      <c r="D204" s="167"/>
      <c r="E204" s="168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</row>
    <row r="205" ht="14.25" customHeight="1">
      <c r="A205" s="164"/>
      <c r="B205" s="165"/>
      <c r="C205" s="166"/>
      <c r="D205" s="167"/>
      <c r="E205" s="168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</row>
    <row r="206" ht="14.25" customHeight="1">
      <c r="A206" s="164"/>
      <c r="B206" s="165"/>
      <c r="C206" s="166"/>
      <c r="D206" s="167"/>
      <c r="E206" s="168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</row>
    <row r="207" ht="14.25" customHeight="1">
      <c r="A207" s="164"/>
      <c r="B207" s="165"/>
      <c r="C207" s="166"/>
      <c r="D207" s="167"/>
      <c r="E207" s="168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</row>
    <row r="208" ht="14.25" customHeight="1">
      <c r="A208" s="164"/>
      <c r="B208" s="165"/>
      <c r="C208" s="166"/>
      <c r="D208" s="167"/>
      <c r="E208" s="168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</row>
    <row r="209" ht="14.25" customHeight="1">
      <c r="A209" s="164"/>
      <c r="B209" s="165"/>
      <c r="C209" s="166"/>
      <c r="D209" s="167"/>
      <c r="E209" s="168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</row>
    <row r="210" ht="14.25" customHeight="1">
      <c r="A210" s="164"/>
      <c r="B210" s="165"/>
      <c r="C210" s="166"/>
      <c r="D210" s="167"/>
      <c r="E210" s="168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</row>
    <row r="211" ht="14.25" customHeight="1">
      <c r="A211" s="164"/>
      <c r="B211" s="165"/>
      <c r="C211" s="166"/>
      <c r="D211" s="167"/>
      <c r="E211" s="168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</row>
    <row r="212" ht="14.25" customHeight="1">
      <c r="A212" s="164"/>
      <c r="B212" s="165"/>
      <c r="C212" s="166"/>
      <c r="D212" s="167"/>
      <c r="E212" s="168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</row>
    <row r="213" ht="14.25" customHeight="1">
      <c r="A213" s="164"/>
      <c r="B213" s="165"/>
      <c r="C213" s="166"/>
      <c r="D213" s="167"/>
      <c r="E213" s="168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</row>
    <row r="214" ht="14.25" customHeight="1">
      <c r="A214" s="164"/>
      <c r="B214" s="165"/>
      <c r="C214" s="166"/>
      <c r="D214" s="167"/>
      <c r="E214" s="168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</row>
    <row r="215" ht="14.25" customHeight="1">
      <c r="A215" s="164"/>
      <c r="B215" s="165"/>
      <c r="C215" s="166"/>
      <c r="D215" s="167"/>
      <c r="E215" s="168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4"/>
    </row>
    <row r="216" ht="14.25" customHeight="1">
      <c r="A216" s="164"/>
      <c r="B216" s="165"/>
      <c r="C216" s="166"/>
      <c r="D216" s="167"/>
      <c r="E216" s="168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</row>
    <row r="217" ht="14.25" customHeight="1">
      <c r="A217" s="164"/>
      <c r="B217" s="165"/>
      <c r="C217" s="166"/>
      <c r="D217" s="167"/>
      <c r="E217" s="168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</row>
    <row r="218" ht="14.25" customHeight="1">
      <c r="A218" s="164"/>
      <c r="B218" s="165"/>
      <c r="C218" s="166"/>
      <c r="D218" s="167"/>
      <c r="E218" s="168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</row>
    <row r="219" ht="14.25" customHeight="1">
      <c r="A219" s="164"/>
      <c r="B219" s="165"/>
      <c r="C219" s="166"/>
      <c r="D219" s="167"/>
      <c r="E219" s="168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</row>
    <row r="220" ht="14.25" customHeight="1">
      <c r="A220" s="164"/>
      <c r="B220" s="165"/>
      <c r="C220" s="166"/>
      <c r="D220" s="167"/>
      <c r="E220" s="168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</row>
    <row r="221" ht="14.25" customHeight="1">
      <c r="A221" s="164"/>
      <c r="B221" s="165"/>
      <c r="C221" s="166"/>
      <c r="D221" s="167"/>
      <c r="E221" s="168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</row>
    <row r="222" ht="14.25" customHeight="1">
      <c r="A222" s="164"/>
      <c r="B222" s="165"/>
      <c r="C222" s="166"/>
      <c r="D222" s="167"/>
      <c r="E222" s="168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</row>
    <row r="223" ht="14.25" customHeight="1">
      <c r="A223" s="164"/>
      <c r="B223" s="165"/>
      <c r="C223" s="166"/>
      <c r="D223" s="167"/>
      <c r="E223" s="168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</row>
    <row r="224" ht="14.25" customHeight="1">
      <c r="A224" s="164"/>
      <c r="B224" s="165"/>
      <c r="C224" s="166"/>
      <c r="D224" s="167"/>
      <c r="E224" s="168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</row>
    <row r="225" ht="14.25" customHeight="1">
      <c r="A225" s="164"/>
      <c r="B225" s="165"/>
      <c r="C225" s="166"/>
      <c r="D225" s="167"/>
      <c r="E225" s="168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</row>
    <row r="226" ht="14.25" customHeight="1">
      <c r="A226" s="164"/>
      <c r="B226" s="165"/>
      <c r="C226" s="166"/>
      <c r="D226" s="167"/>
      <c r="E226" s="168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</row>
    <row r="227" ht="14.25" customHeight="1">
      <c r="A227" s="164"/>
      <c r="B227" s="165"/>
      <c r="C227" s="166"/>
      <c r="D227" s="167"/>
      <c r="E227" s="168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</row>
    <row r="228" ht="14.25" customHeight="1">
      <c r="A228" s="164"/>
      <c r="B228" s="165"/>
      <c r="C228" s="166"/>
      <c r="D228" s="167"/>
      <c r="E228" s="168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</row>
    <row r="229" ht="14.25" customHeight="1">
      <c r="A229" s="164"/>
      <c r="B229" s="165"/>
      <c r="C229" s="166"/>
      <c r="D229" s="167"/>
      <c r="E229" s="168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</row>
    <row r="230" ht="14.25" customHeight="1">
      <c r="A230" s="164"/>
      <c r="B230" s="165"/>
      <c r="C230" s="166"/>
      <c r="D230" s="167"/>
      <c r="E230" s="168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</row>
    <row r="231" ht="14.25" customHeight="1">
      <c r="A231" s="164"/>
      <c r="B231" s="165"/>
      <c r="C231" s="166"/>
      <c r="D231" s="167"/>
      <c r="E231" s="168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154"/>
    </row>
    <row r="232" ht="14.25" customHeight="1">
      <c r="A232" s="164"/>
      <c r="B232" s="165"/>
      <c r="C232" s="166"/>
      <c r="D232" s="167"/>
      <c r="E232" s="168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154"/>
    </row>
    <row r="233" ht="14.25" customHeight="1">
      <c r="A233" s="164"/>
      <c r="B233" s="165"/>
      <c r="C233" s="166"/>
      <c r="D233" s="167"/>
      <c r="E233" s="168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  <c r="Z233" s="154"/>
    </row>
    <row r="234" ht="14.25" customHeight="1">
      <c r="A234" s="164"/>
      <c r="B234" s="165"/>
      <c r="C234" s="166"/>
      <c r="D234" s="167"/>
      <c r="E234" s="168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</row>
    <row r="235" ht="14.25" customHeight="1">
      <c r="A235" s="164"/>
      <c r="B235" s="165"/>
      <c r="C235" s="166"/>
      <c r="D235" s="167"/>
      <c r="E235" s="168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</row>
    <row r="236" ht="14.25" customHeight="1">
      <c r="A236" s="164"/>
      <c r="B236" s="165"/>
      <c r="C236" s="166"/>
      <c r="D236" s="167"/>
      <c r="E236" s="168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</row>
    <row r="237" ht="14.25" customHeight="1">
      <c r="A237" s="164"/>
      <c r="B237" s="165"/>
      <c r="C237" s="166"/>
      <c r="D237" s="167"/>
      <c r="E237" s="168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</row>
    <row r="238" ht="14.25" customHeight="1">
      <c r="A238" s="164"/>
      <c r="B238" s="165"/>
      <c r="C238" s="166"/>
      <c r="D238" s="167"/>
      <c r="E238" s="168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</row>
    <row r="239" ht="14.25" customHeight="1">
      <c r="A239" s="164"/>
      <c r="B239" s="165"/>
      <c r="C239" s="166"/>
      <c r="D239" s="167"/>
      <c r="E239" s="168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</row>
    <row r="240" ht="14.25" customHeight="1">
      <c r="A240" s="164"/>
      <c r="B240" s="165"/>
      <c r="C240" s="166"/>
      <c r="D240" s="167"/>
      <c r="E240" s="168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</row>
    <row r="241" ht="14.25" customHeight="1">
      <c r="A241" s="164"/>
      <c r="B241" s="165"/>
      <c r="C241" s="166"/>
      <c r="D241" s="167"/>
      <c r="E241" s="168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</row>
    <row r="242" ht="14.25" customHeight="1">
      <c r="A242" s="164"/>
      <c r="B242" s="165"/>
      <c r="C242" s="166"/>
      <c r="D242" s="167"/>
      <c r="E242" s="168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</row>
    <row r="243" ht="14.25" customHeight="1">
      <c r="A243" s="164"/>
      <c r="B243" s="165"/>
      <c r="C243" s="166"/>
      <c r="D243" s="167"/>
      <c r="E243" s="168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</row>
    <row r="244" ht="14.25" customHeight="1">
      <c r="A244" s="164"/>
      <c r="B244" s="165"/>
      <c r="C244" s="166"/>
      <c r="D244" s="167"/>
      <c r="E244" s="168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</row>
    <row r="245" ht="14.25" customHeight="1">
      <c r="A245" s="164"/>
      <c r="B245" s="165"/>
      <c r="C245" s="166"/>
      <c r="D245" s="167"/>
      <c r="E245" s="168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</row>
    <row r="246" ht="14.25" customHeight="1">
      <c r="A246" s="164"/>
      <c r="B246" s="165"/>
      <c r="C246" s="166"/>
      <c r="D246" s="167"/>
      <c r="E246" s="168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</row>
    <row r="247" ht="14.25" customHeight="1">
      <c r="A247" s="164"/>
      <c r="B247" s="165"/>
      <c r="C247" s="166"/>
      <c r="D247" s="167"/>
      <c r="E247" s="168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</row>
    <row r="248" ht="14.25" customHeight="1">
      <c r="A248" s="164"/>
      <c r="B248" s="165"/>
      <c r="C248" s="166"/>
      <c r="D248" s="167"/>
      <c r="E248" s="168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</row>
    <row r="249" ht="14.25" customHeight="1">
      <c r="A249" s="164"/>
      <c r="B249" s="165"/>
      <c r="C249" s="166"/>
      <c r="D249" s="167"/>
      <c r="E249" s="168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154"/>
    </row>
    <row r="250" ht="14.25" customHeight="1">
      <c r="A250" s="164"/>
      <c r="B250" s="165"/>
      <c r="C250" s="166"/>
      <c r="D250" s="167"/>
      <c r="E250" s="168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4"/>
    </row>
    <row r="251" ht="14.25" customHeight="1">
      <c r="A251" s="164"/>
      <c r="B251" s="165"/>
      <c r="C251" s="166"/>
      <c r="D251" s="167"/>
      <c r="E251" s="168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</row>
    <row r="252" ht="14.25" customHeight="1">
      <c r="A252" s="164"/>
      <c r="B252" s="165"/>
      <c r="C252" s="166"/>
      <c r="D252" s="167"/>
      <c r="E252" s="168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4"/>
    </row>
    <row r="253" ht="14.25" customHeight="1">
      <c r="A253" s="164"/>
      <c r="B253" s="165"/>
      <c r="C253" s="166"/>
      <c r="D253" s="167"/>
      <c r="E253" s="168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</row>
    <row r="254" ht="14.25" customHeight="1">
      <c r="A254" s="164"/>
      <c r="B254" s="165"/>
      <c r="C254" s="166"/>
      <c r="D254" s="167"/>
      <c r="E254" s="168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</row>
    <row r="255" ht="14.25" customHeight="1">
      <c r="A255" s="164"/>
      <c r="B255" s="165"/>
      <c r="C255" s="166"/>
      <c r="D255" s="167"/>
      <c r="E255" s="168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54"/>
    </row>
    <row r="256" ht="14.25" customHeight="1">
      <c r="A256" s="164"/>
      <c r="B256" s="165"/>
      <c r="C256" s="166"/>
      <c r="D256" s="167"/>
      <c r="E256" s="168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</row>
    <row r="257" ht="14.25" customHeight="1">
      <c r="A257" s="164"/>
      <c r="B257" s="165"/>
      <c r="C257" s="166"/>
      <c r="D257" s="167"/>
      <c r="E257" s="168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</row>
    <row r="258" ht="14.25" customHeight="1">
      <c r="A258" s="164"/>
      <c r="B258" s="165"/>
      <c r="C258" s="166"/>
      <c r="D258" s="167"/>
      <c r="E258" s="168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</row>
    <row r="259" ht="14.25" customHeight="1">
      <c r="A259" s="164"/>
      <c r="B259" s="165"/>
      <c r="C259" s="166"/>
      <c r="D259" s="167"/>
      <c r="E259" s="168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</row>
    <row r="260" ht="14.25" customHeight="1">
      <c r="A260" s="164"/>
      <c r="B260" s="165"/>
      <c r="C260" s="166"/>
      <c r="D260" s="167"/>
      <c r="E260" s="168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</row>
    <row r="261" ht="14.25" customHeight="1">
      <c r="A261" s="164"/>
      <c r="B261" s="165"/>
      <c r="C261" s="166"/>
      <c r="D261" s="167"/>
      <c r="E261" s="168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</row>
    <row r="262" ht="14.25" customHeight="1">
      <c r="A262" s="164"/>
      <c r="B262" s="165"/>
      <c r="C262" s="166"/>
      <c r="D262" s="167"/>
      <c r="E262" s="168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</row>
    <row r="263" ht="14.25" customHeight="1">
      <c r="A263" s="164"/>
      <c r="B263" s="165"/>
      <c r="C263" s="166"/>
      <c r="D263" s="167"/>
      <c r="E263" s="168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54"/>
    </row>
    <row r="264" ht="14.25" customHeight="1">
      <c r="A264" s="164"/>
      <c r="B264" s="165"/>
      <c r="C264" s="166"/>
      <c r="D264" s="167"/>
      <c r="E264" s="168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</row>
    <row r="265" ht="14.25" customHeight="1">
      <c r="A265" s="164"/>
      <c r="B265" s="165"/>
      <c r="C265" s="166"/>
      <c r="D265" s="167"/>
      <c r="E265" s="168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  <c r="Z265" s="154"/>
    </row>
    <row r="266" ht="14.25" customHeight="1">
      <c r="A266" s="164"/>
      <c r="B266" s="165"/>
      <c r="C266" s="166"/>
      <c r="D266" s="167"/>
      <c r="E266" s="168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  <c r="X266" s="154"/>
      <c r="Y266" s="154"/>
      <c r="Z266" s="154"/>
    </row>
    <row r="267" ht="14.25" customHeight="1">
      <c r="A267" s="164"/>
      <c r="B267" s="165"/>
      <c r="C267" s="166"/>
      <c r="D267" s="167"/>
      <c r="E267" s="168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4"/>
    </row>
    <row r="268" ht="14.25" customHeight="1">
      <c r="A268" s="164"/>
      <c r="B268" s="165"/>
      <c r="C268" s="166"/>
      <c r="D268" s="167"/>
      <c r="E268" s="168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4"/>
    </row>
    <row r="269" ht="14.25" customHeight="1">
      <c r="A269" s="164"/>
      <c r="B269" s="165"/>
      <c r="C269" s="166"/>
      <c r="D269" s="167"/>
      <c r="E269" s="168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4"/>
    </row>
    <row r="270" ht="14.25" customHeight="1">
      <c r="A270" s="164"/>
      <c r="B270" s="165"/>
      <c r="C270" s="166"/>
      <c r="D270" s="167"/>
      <c r="E270" s="168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4"/>
    </row>
    <row r="271" ht="14.25" customHeight="1">
      <c r="A271" s="164"/>
      <c r="B271" s="165"/>
      <c r="C271" s="166"/>
      <c r="D271" s="167"/>
      <c r="E271" s="168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4"/>
    </row>
    <row r="272" ht="14.25" customHeight="1">
      <c r="A272" s="164"/>
      <c r="B272" s="165"/>
      <c r="C272" s="166"/>
      <c r="D272" s="167"/>
      <c r="E272" s="168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154"/>
    </row>
    <row r="273" ht="14.25" customHeight="1">
      <c r="A273" s="164"/>
      <c r="B273" s="165"/>
      <c r="C273" s="166"/>
      <c r="D273" s="167"/>
      <c r="E273" s="168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4"/>
    </row>
    <row r="274" ht="14.25" customHeight="1">
      <c r="A274" s="164"/>
      <c r="B274" s="165"/>
      <c r="C274" s="166"/>
      <c r="D274" s="167"/>
      <c r="E274" s="168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4"/>
    </row>
    <row r="275" ht="14.25" customHeight="1">
      <c r="A275" s="164"/>
      <c r="B275" s="165"/>
      <c r="C275" s="166"/>
      <c r="D275" s="167"/>
      <c r="E275" s="168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4"/>
    </row>
    <row r="276" ht="14.25" customHeight="1">
      <c r="A276" s="164"/>
      <c r="B276" s="165"/>
      <c r="C276" s="166"/>
      <c r="D276" s="167"/>
      <c r="E276" s="168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</row>
    <row r="277" ht="14.25" customHeight="1">
      <c r="A277" s="164"/>
      <c r="B277" s="165"/>
      <c r="C277" s="166"/>
      <c r="D277" s="167"/>
      <c r="E277" s="168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</row>
    <row r="278" ht="14.25" customHeight="1">
      <c r="A278" s="164"/>
      <c r="B278" s="165"/>
      <c r="C278" s="166"/>
      <c r="D278" s="167"/>
      <c r="E278" s="168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</row>
    <row r="279" ht="14.25" customHeight="1">
      <c r="A279" s="164"/>
      <c r="B279" s="165"/>
      <c r="C279" s="166"/>
      <c r="D279" s="167"/>
      <c r="E279" s="168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4"/>
    </row>
    <row r="280" ht="14.25" customHeight="1">
      <c r="A280" s="164"/>
      <c r="B280" s="165"/>
      <c r="C280" s="166"/>
      <c r="D280" s="167"/>
      <c r="E280" s="168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</row>
    <row r="281" ht="14.25" customHeight="1">
      <c r="A281" s="164"/>
      <c r="B281" s="165"/>
      <c r="C281" s="166"/>
      <c r="D281" s="167"/>
      <c r="E281" s="168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</row>
    <row r="282" ht="14.25" customHeight="1">
      <c r="A282" s="164"/>
      <c r="B282" s="165"/>
      <c r="C282" s="166"/>
      <c r="D282" s="167"/>
      <c r="E282" s="168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</row>
    <row r="283" ht="14.25" customHeight="1">
      <c r="A283" s="164"/>
      <c r="B283" s="165"/>
      <c r="C283" s="166"/>
      <c r="D283" s="167"/>
      <c r="E283" s="168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</row>
    <row r="284" ht="14.25" customHeight="1">
      <c r="A284" s="164"/>
      <c r="B284" s="165"/>
      <c r="C284" s="166"/>
      <c r="D284" s="167"/>
      <c r="E284" s="168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</row>
    <row r="285" ht="14.25" customHeight="1">
      <c r="A285" s="164"/>
      <c r="B285" s="165"/>
      <c r="C285" s="166"/>
      <c r="D285" s="167"/>
      <c r="E285" s="168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154"/>
    </row>
    <row r="286" ht="14.25" customHeight="1">
      <c r="A286" s="164"/>
      <c r="B286" s="165"/>
      <c r="C286" s="166"/>
      <c r="D286" s="167"/>
      <c r="E286" s="168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4"/>
    </row>
    <row r="287" ht="14.25" customHeight="1">
      <c r="A287" s="164"/>
      <c r="B287" s="165"/>
      <c r="C287" s="166"/>
      <c r="D287" s="167"/>
      <c r="E287" s="168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</row>
    <row r="288" ht="14.25" customHeight="1">
      <c r="A288" s="164"/>
      <c r="B288" s="165"/>
      <c r="C288" s="166"/>
      <c r="D288" s="167"/>
      <c r="E288" s="168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</row>
    <row r="289" ht="14.25" customHeight="1">
      <c r="A289" s="164"/>
      <c r="B289" s="165"/>
      <c r="C289" s="166"/>
      <c r="D289" s="167"/>
      <c r="E289" s="168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</row>
    <row r="290" ht="14.25" customHeight="1">
      <c r="A290" s="164"/>
      <c r="B290" s="165"/>
      <c r="C290" s="166"/>
      <c r="D290" s="167"/>
      <c r="E290" s="168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4"/>
    </row>
    <row r="291" ht="14.25" customHeight="1">
      <c r="A291" s="164"/>
      <c r="B291" s="165"/>
      <c r="C291" s="166"/>
      <c r="D291" s="167"/>
      <c r="E291" s="168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154"/>
    </row>
    <row r="292" ht="14.25" customHeight="1">
      <c r="A292" s="164"/>
      <c r="B292" s="165"/>
      <c r="C292" s="166"/>
      <c r="D292" s="167"/>
      <c r="E292" s="168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154"/>
    </row>
    <row r="293" ht="14.25" customHeight="1">
      <c r="A293" s="164"/>
      <c r="B293" s="165"/>
      <c r="C293" s="166"/>
      <c r="D293" s="167"/>
      <c r="E293" s="168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154"/>
    </row>
    <row r="294" ht="14.25" customHeight="1">
      <c r="A294" s="164"/>
      <c r="B294" s="165"/>
      <c r="C294" s="166"/>
      <c r="D294" s="167"/>
      <c r="E294" s="168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</row>
    <row r="295" ht="14.25" customHeight="1">
      <c r="A295" s="164"/>
      <c r="B295" s="165"/>
      <c r="C295" s="166"/>
      <c r="D295" s="167"/>
      <c r="E295" s="168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</row>
    <row r="296" ht="14.25" customHeight="1">
      <c r="A296" s="164"/>
      <c r="B296" s="165"/>
      <c r="C296" s="166"/>
      <c r="D296" s="167"/>
      <c r="E296" s="168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</row>
    <row r="297" ht="14.25" customHeight="1">
      <c r="A297" s="164"/>
      <c r="B297" s="165"/>
      <c r="C297" s="166"/>
      <c r="D297" s="167"/>
      <c r="E297" s="168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</row>
    <row r="298" ht="14.25" customHeight="1">
      <c r="A298" s="164"/>
      <c r="B298" s="165"/>
      <c r="C298" s="166"/>
      <c r="D298" s="167"/>
      <c r="E298" s="168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</row>
    <row r="299" ht="14.25" customHeight="1">
      <c r="A299" s="164"/>
      <c r="B299" s="165"/>
      <c r="C299" s="166"/>
      <c r="D299" s="167"/>
      <c r="E299" s="168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</row>
    <row r="300" ht="14.25" customHeight="1">
      <c r="A300" s="164"/>
      <c r="B300" s="165"/>
      <c r="C300" s="166"/>
      <c r="D300" s="167"/>
      <c r="E300" s="168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</row>
    <row r="301" ht="14.25" customHeight="1">
      <c r="A301" s="164"/>
      <c r="B301" s="165"/>
      <c r="C301" s="166"/>
      <c r="D301" s="167"/>
      <c r="E301" s="168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</row>
    <row r="302" ht="14.25" customHeight="1">
      <c r="A302" s="164"/>
      <c r="B302" s="165"/>
      <c r="C302" s="166"/>
      <c r="D302" s="167"/>
      <c r="E302" s="168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</row>
    <row r="303" ht="14.25" customHeight="1">
      <c r="A303" s="164"/>
      <c r="B303" s="165"/>
      <c r="C303" s="166"/>
      <c r="D303" s="167"/>
      <c r="E303" s="168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4"/>
    </row>
    <row r="304" ht="14.25" customHeight="1">
      <c r="A304" s="164"/>
      <c r="B304" s="165"/>
      <c r="C304" s="166"/>
      <c r="D304" s="167"/>
      <c r="E304" s="168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</row>
    <row r="305" ht="14.25" customHeight="1">
      <c r="A305" s="164"/>
      <c r="B305" s="165"/>
      <c r="C305" s="166"/>
      <c r="D305" s="167"/>
      <c r="E305" s="168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</row>
    <row r="306" ht="14.25" customHeight="1">
      <c r="A306" s="164"/>
      <c r="B306" s="165"/>
      <c r="C306" s="166"/>
      <c r="D306" s="167"/>
      <c r="E306" s="168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</row>
    <row r="307" ht="14.25" customHeight="1">
      <c r="A307" s="164"/>
      <c r="B307" s="165"/>
      <c r="C307" s="166"/>
      <c r="D307" s="167"/>
      <c r="E307" s="168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154"/>
    </row>
    <row r="308" ht="14.25" customHeight="1">
      <c r="A308" s="164"/>
      <c r="B308" s="165"/>
      <c r="C308" s="166"/>
      <c r="D308" s="167"/>
      <c r="E308" s="168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4"/>
    </row>
    <row r="309" ht="14.25" customHeight="1">
      <c r="A309" s="164"/>
      <c r="B309" s="165"/>
      <c r="C309" s="166"/>
      <c r="D309" s="167"/>
      <c r="E309" s="168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</row>
    <row r="310" ht="14.25" customHeight="1">
      <c r="A310" s="164"/>
      <c r="B310" s="165"/>
      <c r="C310" s="166"/>
      <c r="D310" s="167"/>
      <c r="E310" s="168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</row>
    <row r="311" ht="14.25" customHeight="1">
      <c r="A311" s="164"/>
      <c r="B311" s="165"/>
      <c r="C311" s="166"/>
      <c r="D311" s="167"/>
      <c r="E311" s="168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</row>
    <row r="312" ht="14.25" customHeight="1">
      <c r="A312" s="164"/>
      <c r="B312" s="165"/>
      <c r="C312" s="166"/>
      <c r="D312" s="167"/>
      <c r="E312" s="168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</row>
    <row r="313" ht="14.25" customHeight="1">
      <c r="A313" s="164"/>
      <c r="B313" s="165"/>
      <c r="C313" s="166"/>
      <c r="D313" s="167"/>
      <c r="E313" s="168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</row>
    <row r="314" ht="14.25" customHeight="1">
      <c r="A314" s="164"/>
      <c r="B314" s="165"/>
      <c r="C314" s="166"/>
      <c r="D314" s="167"/>
      <c r="E314" s="168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</row>
    <row r="315" ht="14.25" customHeight="1">
      <c r="A315" s="164"/>
      <c r="B315" s="165"/>
      <c r="C315" s="166"/>
      <c r="D315" s="167"/>
      <c r="E315" s="168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</row>
    <row r="316" ht="14.25" customHeight="1">
      <c r="A316" s="164"/>
      <c r="B316" s="165"/>
      <c r="C316" s="166"/>
      <c r="D316" s="167"/>
      <c r="E316" s="168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</row>
    <row r="317" ht="14.25" customHeight="1">
      <c r="A317" s="164"/>
      <c r="B317" s="165"/>
      <c r="C317" s="166"/>
      <c r="D317" s="167"/>
      <c r="E317" s="168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</row>
    <row r="318" ht="14.25" customHeight="1">
      <c r="A318" s="164"/>
      <c r="B318" s="165"/>
      <c r="C318" s="166"/>
      <c r="D318" s="167"/>
      <c r="E318" s="168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</row>
    <row r="319" ht="14.25" customHeight="1">
      <c r="A319" s="164"/>
      <c r="B319" s="165"/>
      <c r="C319" s="166"/>
      <c r="D319" s="167"/>
      <c r="E319" s="168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</row>
    <row r="320" ht="14.25" customHeight="1">
      <c r="A320" s="164"/>
      <c r="B320" s="165"/>
      <c r="C320" s="166"/>
      <c r="D320" s="167"/>
      <c r="E320" s="168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</row>
    <row r="321" ht="14.25" customHeight="1">
      <c r="A321" s="164"/>
      <c r="B321" s="165"/>
      <c r="C321" s="166"/>
      <c r="D321" s="167"/>
      <c r="E321" s="168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</row>
    <row r="322" ht="14.25" customHeight="1">
      <c r="A322" s="164"/>
      <c r="B322" s="165"/>
      <c r="C322" s="166"/>
      <c r="D322" s="167"/>
      <c r="E322" s="168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154"/>
    </row>
    <row r="323" ht="14.25" customHeight="1">
      <c r="A323" s="164"/>
      <c r="B323" s="165"/>
      <c r="C323" s="166"/>
      <c r="D323" s="167"/>
      <c r="E323" s="168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</row>
    <row r="324" ht="14.25" customHeight="1">
      <c r="A324" s="164"/>
      <c r="B324" s="165"/>
      <c r="C324" s="166"/>
      <c r="D324" s="167"/>
      <c r="E324" s="168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</row>
    <row r="325" ht="14.25" customHeight="1">
      <c r="A325" s="164"/>
      <c r="B325" s="165"/>
      <c r="C325" s="166"/>
      <c r="D325" s="167"/>
      <c r="E325" s="168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</row>
    <row r="326" ht="14.25" customHeight="1">
      <c r="A326" s="164"/>
      <c r="B326" s="165"/>
      <c r="C326" s="166"/>
      <c r="D326" s="167"/>
      <c r="E326" s="168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</row>
    <row r="327" ht="14.25" customHeight="1">
      <c r="A327" s="164"/>
      <c r="B327" s="165"/>
      <c r="C327" s="166"/>
      <c r="D327" s="167"/>
      <c r="E327" s="168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</row>
    <row r="328" ht="14.25" customHeight="1">
      <c r="A328" s="164"/>
      <c r="B328" s="165"/>
      <c r="C328" s="166"/>
      <c r="D328" s="167"/>
      <c r="E328" s="168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</row>
    <row r="329" ht="14.25" customHeight="1">
      <c r="A329" s="164"/>
      <c r="B329" s="165"/>
      <c r="C329" s="166"/>
      <c r="D329" s="167"/>
      <c r="E329" s="168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154"/>
    </row>
    <row r="330" ht="14.25" customHeight="1">
      <c r="A330" s="164"/>
      <c r="B330" s="165"/>
      <c r="C330" s="166"/>
      <c r="D330" s="167"/>
      <c r="E330" s="168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</row>
    <row r="331" ht="14.25" customHeight="1">
      <c r="A331" s="164"/>
      <c r="B331" s="165"/>
      <c r="C331" s="166"/>
      <c r="D331" s="167"/>
      <c r="E331" s="168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</row>
    <row r="332" ht="14.25" customHeight="1">
      <c r="A332" s="164"/>
      <c r="B332" s="165"/>
      <c r="C332" s="166"/>
      <c r="D332" s="167"/>
      <c r="E332" s="168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</row>
    <row r="333" ht="14.25" customHeight="1">
      <c r="A333" s="164"/>
      <c r="B333" s="165"/>
      <c r="C333" s="166"/>
      <c r="D333" s="167"/>
      <c r="E333" s="168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</row>
    <row r="334" ht="14.25" customHeight="1">
      <c r="A334" s="164"/>
      <c r="B334" s="165"/>
      <c r="C334" s="166"/>
      <c r="D334" s="167"/>
      <c r="E334" s="168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</row>
    <row r="335" ht="14.25" customHeight="1">
      <c r="A335" s="164"/>
      <c r="B335" s="165"/>
      <c r="C335" s="166"/>
      <c r="D335" s="167"/>
      <c r="E335" s="168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</row>
    <row r="336" ht="14.25" customHeight="1">
      <c r="A336" s="164"/>
      <c r="B336" s="165"/>
      <c r="C336" s="166"/>
      <c r="D336" s="167"/>
      <c r="E336" s="168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</row>
    <row r="337" ht="14.25" customHeight="1">
      <c r="A337" s="164"/>
      <c r="B337" s="165"/>
      <c r="C337" s="166"/>
      <c r="D337" s="167"/>
      <c r="E337" s="168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</row>
    <row r="338" ht="14.25" customHeight="1">
      <c r="A338" s="164"/>
      <c r="B338" s="165"/>
      <c r="C338" s="166"/>
      <c r="D338" s="167"/>
      <c r="E338" s="168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</row>
    <row r="339" ht="14.25" customHeight="1">
      <c r="A339" s="164"/>
      <c r="B339" s="165"/>
      <c r="C339" s="166"/>
      <c r="D339" s="167"/>
      <c r="E339" s="168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154"/>
    </row>
    <row r="340" ht="14.25" customHeight="1">
      <c r="A340" s="164"/>
      <c r="B340" s="165"/>
      <c r="C340" s="166"/>
      <c r="D340" s="167"/>
      <c r="E340" s="168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</row>
    <row r="341" ht="14.25" customHeight="1">
      <c r="A341" s="164"/>
      <c r="B341" s="165"/>
      <c r="C341" s="166"/>
      <c r="D341" s="167"/>
      <c r="E341" s="168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</row>
    <row r="342" ht="14.25" customHeight="1">
      <c r="A342" s="164"/>
      <c r="B342" s="165"/>
      <c r="C342" s="166"/>
      <c r="D342" s="167"/>
      <c r="E342" s="168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</row>
    <row r="343" ht="14.25" customHeight="1">
      <c r="A343" s="164"/>
      <c r="B343" s="165"/>
      <c r="C343" s="166"/>
      <c r="D343" s="167"/>
      <c r="E343" s="168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</row>
    <row r="344" ht="14.25" customHeight="1">
      <c r="A344" s="164"/>
      <c r="B344" s="165"/>
      <c r="C344" s="166"/>
      <c r="D344" s="167"/>
      <c r="E344" s="168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154"/>
    </row>
    <row r="345" ht="14.25" customHeight="1">
      <c r="A345" s="164"/>
      <c r="B345" s="165"/>
      <c r="C345" s="166"/>
      <c r="D345" s="167"/>
      <c r="E345" s="168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154"/>
    </row>
    <row r="346" ht="14.25" customHeight="1">
      <c r="A346" s="164"/>
      <c r="B346" s="165"/>
      <c r="C346" s="166"/>
      <c r="D346" s="167"/>
      <c r="E346" s="168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154"/>
    </row>
    <row r="347" ht="14.25" customHeight="1">
      <c r="A347" s="164"/>
      <c r="B347" s="165"/>
      <c r="C347" s="166"/>
      <c r="D347" s="167"/>
      <c r="E347" s="168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</row>
    <row r="348" ht="14.25" customHeight="1">
      <c r="A348" s="164"/>
      <c r="B348" s="165"/>
      <c r="C348" s="166"/>
      <c r="D348" s="167"/>
      <c r="E348" s="168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</row>
    <row r="349" ht="14.25" customHeight="1">
      <c r="A349" s="164"/>
      <c r="B349" s="165"/>
      <c r="C349" s="166"/>
      <c r="D349" s="167"/>
      <c r="E349" s="168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</row>
    <row r="350" ht="14.25" customHeight="1">
      <c r="A350" s="164"/>
      <c r="B350" s="165"/>
      <c r="C350" s="166"/>
      <c r="D350" s="167"/>
      <c r="E350" s="168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</row>
    <row r="351" ht="14.25" customHeight="1">
      <c r="A351" s="164"/>
      <c r="B351" s="165"/>
      <c r="C351" s="166"/>
      <c r="D351" s="167"/>
      <c r="E351" s="168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</row>
    <row r="352" ht="14.25" customHeight="1">
      <c r="A352" s="164"/>
      <c r="B352" s="165"/>
      <c r="C352" s="166"/>
      <c r="D352" s="167"/>
      <c r="E352" s="168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</row>
    <row r="353" ht="14.25" customHeight="1">
      <c r="A353" s="164"/>
      <c r="B353" s="165"/>
      <c r="C353" s="166"/>
      <c r="D353" s="167"/>
      <c r="E353" s="168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</row>
    <row r="354" ht="14.25" customHeight="1">
      <c r="A354" s="164"/>
      <c r="B354" s="165"/>
      <c r="C354" s="166"/>
      <c r="D354" s="167"/>
      <c r="E354" s="168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</row>
    <row r="355" ht="14.25" customHeight="1">
      <c r="A355" s="164"/>
      <c r="B355" s="165"/>
      <c r="C355" s="166"/>
      <c r="D355" s="167"/>
      <c r="E355" s="168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</row>
    <row r="356" ht="14.25" customHeight="1">
      <c r="A356" s="164"/>
      <c r="B356" s="165"/>
      <c r="C356" s="166"/>
      <c r="D356" s="167"/>
      <c r="E356" s="168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</row>
    <row r="357" ht="14.25" customHeight="1">
      <c r="A357" s="164"/>
      <c r="B357" s="165"/>
      <c r="C357" s="166"/>
      <c r="D357" s="167"/>
      <c r="E357" s="168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</row>
    <row r="358" ht="14.25" customHeight="1">
      <c r="A358" s="164"/>
      <c r="B358" s="165"/>
      <c r="C358" s="166"/>
      <c r="D358" s="167"/>
      <c r="E358" s="168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4"/>
    </row>
    <row r="359" ht="14.25" customHeight="1">
      <c r="A359" s="164"/>
      <c r="B359" s="165"/>
      <c r="C359" s="166"/>
      <c r="D359" s="167"/>
      <c r="E359" s="168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</row>
    <row r="360" ht="14.25" customHeight="1">
      <c r="A360" s="164"/>
      <c r="B360" s="165"/>
      <c r="C360" s="166"/>
      <c r="D360" s="167"/>
      <c r="E360" s="168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4"/>
    </row>
    <row r="361" ht="14.25" customHeight="1">
      <c r="A361" s="164"/>
      <c r="B361" s="165"/>
      <c r="C361" s="166"/>
      <c r="D361" s="167"/>
      <c r="E361" s="168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148" t="s">
        <v>168</v>
      </c>
      <c r="B1" s="149" t="s">
        <v>197</v>
      </c>
      <c r="C1" s="150" t="s">
        <v>169</v>
      </c>
      <c r="D1" s="151" t="s">
        <v>198</v>
      </c>
      <c r="E1" s="152" t="s">
        <v>199</v>
      </c>
      <c r="G1" s="153" t="s">
        <v>200</v>
      </c>
      <c r="H1" s="121">
        <f>MATCH("",A2:A1001,-1)</f>
        <v>59</v>
      </c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</row>
    <row r="2" ht="14.25" customHeight="1">
      <c r="A2" s="155" t="str">
        <f>IFERROR(__xludf.DUMMYFUNCTION(" IMPORTRANGE(""https://docs.google.com/spreadsheets/d/17msXXCDsQQdqdPzTFG6QwVpI3lXfBgQNxvCECDENwN8/edit#gid=695545632"",""Roller Coaster!A2:A161"")"),"Redblood92")</f>
        <v>Redblood92</v>
      </c>
      <c r="B2" s="156">
        <v>1.0</v>
      </c>
      <c r="C2" s="157">
        <f t="shared" ref="C2:C160" si="1">525*(1-(B2/($H$1+1)))*POWER((SQRT(($H$1+1)/B2)),1/2)</f>
        <v>1436.805154</v>
      </c>
      <c r="D2" s="158" t="str">
        <f>VLOOKUP(A2,'Classement RoC'!$B$2:$C$149,1,0)</f>
        <v>Redblood92</v>
      </c>
      <c r="E2" s="159" t="str">
        <f t="shared" ref="E2:E160" si="2">IF(D2=A2,"","erreur")</f>
        <v/>
      </c>
      <c r="F2" s="120" t="str">
        <f>VLOOKUP(A2,'Classement Général'!$B$2:$B$146,1,0)</f>
        <v>Redblood92</v>
      </c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ht="14.25" customHeight="1">
      <c r="A3" s="160" t="str">
        <f>IFERROR(__xludf.DUMMYFUNCTION("""COMPUTED_VALUE"""),"chatouill86")</f>
        <v>chatouill86</v>
      </c>
      <c r="B3" s="161">
        <v>2.0</v>
      </c>
      <c r="C3" s="157">
        <f t="shared" si="1"/>
        <v>1187.726265</v>
      </c>
      <c r="D3" s="158" t="str">
        <f>VLOOKUP(A3,'Classement RoC'!$B$2:$C$149,1,0)</f>
        <v>chatouill86</v>
      </c>
      <c r="E3" s="159" t="str">
        <f t="shared" si="2"/>
        <v/>
      </c>
      <c r="F3" s="120" t="str">
        <f>VLOOKUP(A3,'Classement Général'!$B$2:$B$146,1,0)</f>
        <v>chatouill86</v>
      </c>
      <c r="G3" s="162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ht="14.25" customHeight="1">
      <c r="A4" s="160" t="str">
        <f>IFERROR(__xludf.DUMMYFUNCTION("""COMPUTED_VALUE"""),"FridAKahlo")</f>
        <v>FridAKahlo</v>
      </c>
      <c r="B4" s="156">
        <v>3.0</v>
      </c>
      <c r="C4" s="157">
        <f t="shared" si="1"/>
        <v>1054.727835</v>
      </c>
      <c r="D4" s="158" t="str">
        <f>VLOOKUP(A4,'Classement RoC'!$B$2:$C$149,1,0)</f>
        <v>FridAKahlo</v>
      </c>
      <c r="E4" s="159" t="str">
        <f t="shared" si="2"/>
        <v/>
      </c>
      <c r="F4" s="120" t="str">
        <f>VLOOKUP(A4,'Classement Général'!$B$2:$B$146,1,0)</f>
        <v>FridAKahlo</v>
      </c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ht="14.25" customHeight="1">
      <c r="A5" s="160" t="str">
        <f>IFERROR(__xludf.DUMMYFUNCTION("""COMPUTED_VALUE"""),"Mikalack")</f>
        <v>Mikalack</v>
      </c>
      <c r="B5" s="161">
        <v>4.0</v>
      </c>
      <c r="C5" s="157">
        <f t="shared" si="1"/>
        <v>964.3149389</v>
      </c>
      <c r="D5" s="158" t="str">
        <f>VLOOKUP(A5,'Classement RoC'!$B$2:$C$149,1,0)</f>
        <v>Mikalack</v>
      </c>
      <c r="E5" s="163" t="str">
        <f t="shared" si="2"/>
        <v/>
      </c>
      <c r="F5" s="120" t="str">
        <f>VLOOKUP(A5,'Classement Général'!$B$2:$B$146,1,0)</f>
        <v>Mikalack</v>
      </c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ht="14.25" customHeight="1">
      <c r="A6" s="160" t="str">
        <f>IFERROR(__xludf.DUMMYFUNCTION("""COMPUTED_VALUE"""),"COMBERS")</f>
        <v>COMBERS</v>
      </c>
      <c r="B6" s="156">
        <v>5.0</v>
      </c>
      <c r="C6" s="157">
        <f t="shared" si="1"/>
        <v>895.7071769</v>
      </c>
      <c r="D6" s="158" t="str">
        <f>VLOOKUP(A6,'Classement RoC'!$B$2:$C$149,1,0)</f>
        <v>COMBERS</v>
      </c>
      <c r="E6" s="163" t="str">
        <f t="shared" si="2"/>
        <v/>
      </c>
      <c r="F6" s="120" t="str">
        <f>VLOOKUP(A6,'Classement Général'!$B$2:$B$146,1,0)</f>
        <v>COMBERS</v>
      </c>
      <c r="G6" s="154"/>
      <c r="H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</row>
    <row r="7" ht="14.25" customHeight="1">
      <c r="A7" s="160" t="str">
        <f>IFERROR(__xludf.DUMMYFUNCTION("""COMPUTED_VALUE"""),"PSGJM")</f>
        <v>PSGJM</v>
      </c>
      <c r="B7" s="161">
        <v>6.0</v>
      </c>
      <c r="C7" s="157">
        <f t="shared" si="1"/>
        <v>840.2370212</v>
      </c>
      <c r="D7" s="158" t="str">
        <f>VLOOKUP(A7,'Classement RoC'!$B$2:$C$149,1,0)</f>
        <v>PSGJM</v>
      </c>
      <c r="E7" s="163" t="str">
        <f t="shared" si="2"/>
        <v/>
      </c>
      <c r="F7" s="120" t="str">
        <f>VLOOKUP(A7,'Classement Général'!$B$2:$B$146,1,0)</f>
        <v>PSGJM</v>
      </c>
      <c r="G7" s="154"/>
      <c r="H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</row>
    <row r="8" ht="14.25" customHeight="1">
      <c r="A8" s="160" t="str">
        <f>IFERROR(__xludf.DUMMYFUNCTION("""COMPUTED_VALUE"""),"Odile2Raise")</f>
        <v>Odile2Raise</v>
      </c>
      <c r="B8" s="156">
        <v>7.0</v>
      </c>
      <c r="C8" s="157">
        <f t="shared" si="1"/>
        <v>793.5005374</v>
      </c>
      <c r="D8" s="158" t="str">
        <f>VLOOKUP(A8,'Classement RoC'!$B$2:$C$149,1,0)</f>
        <v>Odile2Raise</v>
      </c>
      <c r="E8" s="163" t="str">
        <f t="shared" si="2"/>
        <v/>
      </c>
      <c r="F8" s="120" t="str">
        <f>VLOOKUP(A8,'Classement Général'!$B$2:$B$146,1,0)</f>
        <v>Odile2Raise</v>
      </c>
      <c r="G8" s="154"/>
      <c r="H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</row>
    <row r="9" ht="14.25" customHeight="1">
      <c r="A9" s="160" t="str">
        <f>IFERROR(__xludf.DUMMYFUNCTION("""COMPUTED_VALUE"""),"PocketBike")</f>
        <v>PocketBike</v>
      </c>
      <c r="B9" s="161">
        <v>8.0</v>
      </c>
      <c r="C9" s="157">
        <f t="shared" si="1"/>
        <v>752.9683342</v>
      </c>
      <c r="D9" s="158" t="str">
        <f>VLOOKUP(A9,'Classement RoC'!$B$2:$C$149,1,0)</f>
        <v>PocketBike</v>
      </c>
      <c r="E9" s="163" t="str">
        <f t="shared" si="2"/>
        <v/>
      </c>
      <c r="F9" s="120" t="str">
        <f>VLOOKUP(A9,'Classement Général'!$B$2:$B$146,1,0)</f>
        <v>PocketBike</v>
      </c>
      <c r="G9" s="154"/>
      <c r="H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</row>
    <row r="10" ht="14.25" customHeight="1">
      <c r="A10" s="160" t="str">
        <f>IFERROR(__xludf.DUMMYFUNCTION("""COMPUTED_VALUE"""),"Tontonzgueg")</f>
        <v>Tontonzgueg</v>
      </c>
      <c r="B10" s="156">
        <v>9.0</v>
      </c>
      <c r="C10" s="157">
        <f t="shared" si="1"/>
        <v>717.0598639</v>
      </c>
      <c r="D10" s="158" t="str">
        <f>VLOOKUP(A10,'Classement RoC'!$B$2:$C$149,1,0)</f>
        <v>Tontonzgueg</v>
      </c>
      <c r="E10" s="163" t="str">
        <f t="shared" si="2"/>
        <v/>
      </c>
      <c r="F10" s="120" t="str">
        <f>VLOOKUP(A10,'Classement Général'!$B$2:$B$146,1,0)</f>
        <v>Tontonzgueg</v>
      </c>
      <c r="G10" s="154"/>
      <c r="H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ht="14.25" customHeight="1">
      <c r="A11" s="160" t="str">
        <f>IFERROR(__xludf.DUMMYFUNCTION("""COMPUTED_VALUE"""),"Kiki Bazaar")</f>
        <v>Kiki Bazaar</v>
      </c>
      <c r="B11" s="161">
        <v>10.0</v>
      </c>
      <c r="C11" s="157">
        <f t="shared" si="1"/>
        <v>684.7245038</v>
      </c>
      <c r="D11" s="158" t="str">
        <f>VLOOKUP(A11,'Classement RoC'!$B$2:$C$149,1,0)</f>
        <v>Kiki Bazaar</v>
      </c>
      <c r="E11" s="163" t="str">
        <f t="shared" si="2"/>
        <v/>
      </c>
      <c r="F11" s="120" t="str">
        <f>VLOOKUP(A11,'Classement Général'!$B$2:$B$146,1,0)</f>
        <v>Kiki Bazaar</v>
      </c>
      <c r="G11" s="154"/>
      <c r="H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</row>
    <row r="12" ht="14.25" customHeight="1">
      <c r="A12" s="160" t="str">
        <f>IFERROR(__xludf.DUMMYFUNCTION("""COMPUTED_VALUE"""),"Elfy")</f>
        <v>Elfy</v>
      </c>
      <c r="B12" s="156">
        <v>11.0</v>
      </c>
      <c r="C12" s="157">
        <f t="shared" si="1"/>
        <v>655.2300012</v>
      </c>
      <c r="D12" s="158" t="str">
        <f>VLOOKUP(A12,'Classement RoC'!$B$2:$C$149,1,0)</f>
        <v>Elfy</v>
      </c>
      <c r="E12" s="163" t="str">
        <f t="shared" si="2"/>
        <v/>
      </c>
      <c r="F12" s="120" t="str">
        <f>VLOOKUP(A12,'Classement Général'!$B$2:$B$146,1,0)</f>
        <v>Elfy</v>
      </c>
      <c r="G12" s="154"/>
      <c r="H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ht="14.25" customHeight="1">
      <c r="A13" s="160" t="str">
        <f>IFERROR(__xludf.DUMMYFUNCTION("""COMPUTED_VALUE"""),"BnHuR_MarCL.")</f>
        <v>BnHuR_MarCL.</v>
      </c>
      <c r="B13" s="161">
        <v>12.0</v>
      </c>
      <c r="C13" s="157">
        <f t="shared" si="1"/>
        <v>628.0464881</v>
      </c>
      <c r="D13" s="158" t="str">
        <f>VLOOKUP(A13,'Classement RoC'!$B$2:$C$149,1,0)</f>
        <v>BnHuR_MarCL.</v>
      </c>
      <c r="E13" s="163" t="str">
        <f t="shared" si="2"/>
        <v/>
      </c>
      <c r="F13" s="120" t="str">
        <f>VLOOKUP(A13,'Classement Général'!$B$2:$B$146,1,0)</f>
        <v>BnHuR_MarCL.</v>
      </c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ht="14.25" customHeight="1">
      <c r="A14" s="160" t="str">
        <f>IFERROR(__xludf.DUMMYFUNCTION("""COMPUTED_VALUE"""),"Phil1308")</f>
        <v>Phil1308</v>
      </c>
      <c r="B14" s="156">
        <v>13.0</v>
      </c>
      <c r="C14" s="157">
        <f t="shared" si="1"/>
        <v>602.7786833</v>
      </c>
      <c r="D14" s="158" t="str">
        <f>VLOOKUP(A14,'Classement RoC'!$B$2:$C$149,1,0)</f>
        <v>Phil1308</v>
      </c>
      <c r="E14" s="163" t="str">
        <f t="shared" si="2"/>
        <v/>
      </c>
      <c r="F14" s="120" t="str">
        <f>VLOOKUP(A14,'Classement Général'!$B$2:$B$146,1,0)</f>
        <v>Phil1308</v>
      </c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</row>
    <row r="15" ht="14.25" customHeight="1">
      <c r="A15" s="160" t="str">
        <f>IFERROR(__xludf.DUMMYFUNCTION("""COMPUTED_VALUE"""),"KamehamehAS")</f>
        <v>KamehamehAS</v>
      </c>
      <c r="B15" s="161">
        <v>14.0</v>
      </c>
      <c r="C15" s="157">
        <f t="shared" si="1"/>
        <v>579.1241668</v>
      </c>
      <c r="D15" s="158" t="str">
        <f>VLOOKUP(A15,'Classement RoC'!$B$2:$C$149,1,0)</f>
        <v>KamehamehAS</v>
      </c>
      <c r="E15" s="163" t="str">
        <f t="shared" si="2"/>
        <v/>
      </c>
      <c r="F15" s="120" t="str">
        <f>VLOOKUP(A15,'Classement Général'!$B$2:$B$146,1,0)</f>
        <v>KamehamehAS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</row>
    <row r="16" ht="14.25" customHeight="1">
      <c r="A16" s="160" t="str">
        <f>IFERROR(__xludf.DUMMYFUNCTION("""COMPUTED_VALUE"""),"LEGOLEGOTE")</f>
        <v>LEGOLEGOTE</v>
      </c>
      <c r="B16" s="156">
        <v>15.0</v>
      </c>
      <c r="C16" s="157">
        <f t="shared" si="1"/>
        <v>556.8465902</v>
      </c>
      <c r="D16" s="158" t="str">
        <f>VLOOKUP(A16,'Classement RoC'!$B$2:$C$149,1,0)</f>
        <v>LEGOLEGOTE</v>
      </c>
      <c r="E16" s="163" t="str">
        <f t="shared" si="2"/>
        <v/>
      </c>
      <c r="F16" s="120" t="str">
        <f>VLOOKUP(A16,'Classement Général'!$B$2:$B$146,1,0)</f>
        <v>LEGOLEGOTE</v>
      </c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ht="14.25" customHeight="1">
      <c r="A17" s="160" t="str">
        <f>IFERROR(__xludf.DUMMYFUNCTION("""COMPUTED_VALUE"""),"UnPetitJaune")</f>
        <v>UnPetitJaune</v>
      </c>
      <c r="B17" s="161">
        <v>16.0</v>
      </c>
      <c r="C17" s="157">
        <f t="shared" si="1"/>
        <v>535.7578541</v>
      </c>
      <c r="D17" s="158" t="str">
        <f>VLOOKUP(A17,'Classement RoC'!$B$2:$C$149,1,0)</f>
        <v>UnPetitJaune</v>
      </c>
      <c r="E17" s="163" t="str">
        <f t="shared" si="2"/>
        <v/>
      </c>
      <c r="F17" s="120" t="str">
        <f>VLOOKUP(A17,'Classement Général'!$B$2:$B$146,1,0)</f>
        <v>UnPetitJaune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</row>
    <row r="18" ht="14.25" customHeight="1">
      <c r="A18" s="160" t="str">
        <f>IFERROR(__xludf.DUMMYFUNCTION("""COMPUTED_VALUE"""),"m86600b")</f>
        <v>m86600b</v>
      </c>
      <c r="B18" s="156">
        <v>17.0</v>
      </c>
      <c r="C18" s="157">
        <f t="shared" si="1"/>
        <v>515.7058891</v>
      </c>
      <c r="D18" s="158" t="str">
        <f>VLOOKUP(A18,'Classement RoC'!$B$2:$C$149,1,0)</f>
        <v>m86600b</v>
      </c>
      <c r="E18" s="163" t="str">
        <f t="shared" si="2"/>
        <v/>
      </c>
      <c r="F18" s="120" t="str">
        <f>VLOOKUP(A18,'Classement Général'!$B$2:$B$146,1,0)</f>
        <v>m86600b</v>
      </c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</row>
    <row r="19" ht="14.25" customHeight="1">
      <c r="A19" s="160" t="str">
        <f>IFERROR(__xludf.DUMMYFUNCTION("""COMPUTED_VALUE"""),"ariba")</f>
        <v>ariba</v>
      </c>
      <c r="B19" s="161">
        <v>18.0</v>
      </c>
      <c r="C19" s="157">
        <f t="shared" si="1"/>
        <v>496.5660569</v>
      </c>
      <c r="D19" s="158" t="str">
        <f>VLOOKUP(A19,'Classement RoC'!$B$2:$C$149,1,0)</f>
        <v>ariba</v>
      </c>
      <c r="E19" s="163" t="str">
        <f t="shared" si="2"/>
        <v/>
      </c>
      <c r="F19" s="120" t="str">
        <f>VLOOKUP(A19,'Classement Général'!$B$2:$B$146,1,0)</f>
        <v>ariba</v>
      </c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</row>
    <row r="20" ht="14.25" customHeight="1">
      <c r="A20" s="160" t="str">
        <f>IFERROR(__xludf.DUMMYFUNCTION("""COMPUTED_VALUE"""),"kiki86 x")</f>
        <v>kiki86 x</v>
      </c>
      <c r="B20" s="156">
        <v>19.0</v>
      </c>
      <c r="C20" s="157">
        <f t="shared" si="1"/>
        <v>478.2349614</v>
      </c>
      <c r="D20" s="158" t="str">
        <f>VLOOKUP(A20,'Classement RoC'!$B$2:$C$149,1,0)</f>
        <v>kiki86 x</v>
      </c>
      <c r="E20" s="163" t="str">
        <f t="shared" si="2"/>
        <v/>
      </c>
      <c r="F20" s="120" t="str">
        <f>VLOOKUP(A20,'Classement Général'!$B$2:$B$146,1,0)</f>
        <v>kiki86 x</v>
      </c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</row>
    <row r="21" ht="14.25" customHeight="1">
      <c r="A21" s="160" t="str">
        <f>IFERROR(__xludf.DUMMYFUNCTION("""COMPUTED_VALUE"""),"rastamokett")</f>
        <v>rastamokett</v>
      </c>
      <c r="B21" s="161">
        <v>20.0</v>
      </c>
      <c r="C21" s="157">
        <f t="shared" si="1"/>
        <v>460.6259045</v>
      </c>
      <c r="D21" s="158" t="str">
        <f>VLOOKUP(A21,'Classement RoC'!$B$2:$C$149,1,0)</f>
        <v>rastamokett</v>
      </c>
      <c r="E21" s="163" t="str">
        <f t="shared" si="2"/>
        <v/>
      </c>
      <c r="F21" s="120" t="str">
        <f>VLOOKUP(A21,'Classement Général'!$B$2:$B$146,1,0)</f>
        <v>rastamokett</v>
      </c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</row>
    <row r="22" ht="14.25" customHeight="1">
      <c r="A22" s="160" t="str">
        <f>IFERROR(__xludf.DUMMYFUNCTION("""COMPUTED_VALUE"""),"erniedog56x")</f>
        <v>erniedog56x</v>
      </c>
      <c r="B22" s="156">
        <v>21.0</v>
      </c>
      <c r="C22" s="157">
        <f t="shared" si="1"/>
        <v>443.66549</v>
      </c>
      <c r="D22" s="158" t="str">
        <f>VLOOKUP(A22,'Classement RoC'!$B$2:$C$149,1,0)</f>
        <v>erniedog56x</v>
      </c>
      <c r="E22" s="163" t="str">
        <f t="shared" si="2"/>
        <v/>
      </c>
      <c r="F22" s="120" t="str">
        <f>VLOOKUP(A22,'Classement Général'!$B$2:$B$146,1,0)</f>
        <v>erniedog56x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</row>
    <row r="23" ht="14.25" customHeight="1">
      <c r="A23" s="160" t="str">
        <f>IFERROR(__xludf.DUMMYFUNCTION("""COMPUTED_VALUE"""),"ludolab")</f>
        <v>ludolab</v>
      </c>
      <c r="B23" s="161">
        <v>22.0</v>
      </c>
      <c r="C23" s="157">
        <f t="shared" si="1"/>
        <v>427.2910459</v>
      </c>
      <c r="D23" s="158" t="str">
        <f>VLOOKUP(A23,'Classement RoC'!$B$2:$C$149,1,0)</f>
        <v>ludolab</v>
      </c>
      <c r="E23" s="163" t="str">
        <f t="shared" si="2"/>
        <v/>
      </c>
      <c r="F23" s="120" t="str">
        <f>VLOOKUP(A23,'Classement Général'!$B$2:$B$146,1,0)</f>
        <v>ludolab</v>
      </c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</row>
    <row r="24" ht="14.25" customHeight="1">
      <c r="A24" s="160" t="str">
        <f>IFERROR(__xludf.DUMMYFUNCTION("""COMPUTED_VALUE"""),"sonic86")</f>
        <v>sonic86</v>
      </c>
      <c r="B24" s="156">
        <v>23.0</v>
      </c>
      <c r="C24" s="157">
        <f t="shared" si="1"/>
        <v>411.4486396</v>
      </c>
      <c r="D24" s="158" t="str">
        <f>VLOOKUP(A24,'Classement RoC'!$B$2:$C$149,1,0)</f>
        <v>sonic86</v>
      </c>
      <c r="E24" s="163" t="str">
        <f t="shared" si="2"/>
        <v/>
      </c>
      <c r="F24" s="120" t="str">
        <f>VLOOKUP(A24,'Classement Général'!$B$2:$B$146,1,0)</f>
        <v>sonic86</v>
      </c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</row>
    <row r="25" ht="14.25" customHeight="1">
      <c r="A25" s="160" t="str">
        <f>IFERROR(__xludf.DUMMYFUNCTION("""COMPUTED_VALUE"""),"_VisMaVie_")</f>
        <v>_VisMaVie_</v>
      </c>
      <c r="B25" s="161">
        <v>24.0</v>
      </c>
      <c r="C25" s="157">
        <f t="shared" si="1"/>
        <v>396.0915304</v>
      </c>
      <c r="D25" s="158" t="str">
        <f>VLOOKUP(A25,'Classement RoC'!$B$2:$C$149,1,0)</f>
        <v>_VisMaVie_</v>
      </c>
      <c r="E25" s="163" t="str">
        <f t="shared" si="2"/>
        <v/>
      </c>
      <c r="F25" s="120" t="str">
        <f>VLOOKUP(A25,'Classement Général'!$B$2:$B$146,1,0)</f>
        <v>_VisMaVie_</v>
      </c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</row>
    <row r="26" ht="14.25" customHeight="1">
      <c r="A26" s="160" t="str">
        <f>IFERROR(__xludf.DUMMYFUNCTION("""COMPUTED_VALUE"""),"cassius-86")</f>
        <v>cassius-86</v>
      </c>
      <c r="B26" s="156">
        <v>25.0</v>
      </c>
      <c r="C26" s="157">
        <f t="shared" si="1"/>
        <v>381.1789486</v>
      </c>
      <c r="D26" s="158" t="str">
        <f>VLOOKUP(A26,'Classement RoC'!$B$2:$C$149,1,0)</f>
        <v>cassius-86</v>
      </c>
      <c r="E26" s="163" t="str">
        <f t="shared" si="2"/>
        <v/>
      </c>
      <c r="F26" s="120" t="str">
        <f>VLOOKUP(A26,'Classement Général'!$B$2:$B$146,1,0)</f>
        <v>cassius-86</v>
      </c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</row>
    <row r="27" ht="14.25" customHeight="1">
      <c r="A27" s="160" t="str">
        <f>IFERROR(__xludf.DUMMYFUNCTION("""COMPUTED_VALUE"""),"DonnesTchips")</f>
        <v>DonnesTchips</v>
      </c>
      <c r="B27" s="161">
        <v>26.0</v>
      </c>
      <c r="C27" s="157">
        <f t="shared" si="1"/>
        <v>366.6751224</v>
      </c>
      <c r="D27" s="158" t="str">
        <f>VLOOKUP(A27,'Classement RoC'!$B$2:$C$149,1,0)</f>
        <v>DonnesTchips</v>
      </c>
      <c r="E27" s="163" t="str">
        <f t="shared" si="2"/>
        <v/>
      </c>
      <c r="F27" s="120" t="str">
        <f>VLOOKUP(A27,'Classement Général'!$B$2:$B$146,1,0)</f>
        <v>DonnesTchips</v>
      </c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</row>
    <row r="28" ht="14.25" customHeight="1">
      <c r="A28" s="160" t="str">
        <f>IFERROR(__xludf.DUMMYFUNCTION("""COMPUTED_VALUE"""),"hmnyocleaver")</f>
        <v>hmnyocleaver</v>
      </c>
      <c r="B28" s="156">
        <v>27.0</v>
      </c>
      <c r="C28" s="157">
        <f t="shared" si="1"/>
        <v>352.5484945</v>
      </c>
      <c r="D28" s="158" t="str">
        <f>VLOOKUP(A28,'Classement RoC'!$B$2:$C$149,1,0)</f>
        <v>hmnyocleaver</v>
      </c>
      <c r="E28" s="163" t="str">
        <f t="shared" si="2"/>
        <v/>
      </c>
      <c r="F28" s="120" t="str">
        <f>VLOOKUP(A28,'Classement Général'!$B$2:$B$146,1,0)</f>
        <v>hmnyocleaver</v>
      </c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</row>
    <row r="29" ht="14.25" customHeight="1">
      <c r="A29" s="160" t="str">
        <f>IFERROR(__xludf.DUMMYFUNCTION("""COMPUTED_VALUE"""),"BBH 75")</f>
        <v>BBH 75</v>
      </c>
      <c r="B29" s="161">
        <v>28.0</v>
      </c>
      <c r="C29" s="157">
        <f t="shared" si="1"/>
        <v>338.7710858</v>
      </c>
      <c r="D29" s="158" t="str">
        <f>VLOOKUP(A29,'Classement RoC'!$B$2:$C$149,1,0)</f>
        <v>BBH 75</v>
      </c>
      <c r="E29" s="163" t="str">
        <f t="shared" si="2"/>
        <v/>
      </c>
      <c r="F29" s="120" t="str">
        <f>VLOOKUP(A29,'Classement Général'!$B$2:$B$146,1,0)</f>
        <v>BBH 75</v>
      </c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</row>
    <row r="30" ht="14.25" customHeight="1">
      <c r="A30" s="160" t="str">
        <f>IFERROR(__xludf.DUMMYFUNCTION("""COMPUTED_VALUE"""),"8kinder6")</f>
        <v>8kinder6</v>
      </c>
      <c r="B30" s="156">
        <v>29.0</v>
      </c>
      <c r="C30" s="157">
        <f t="shared" si="1"/>
        <v>325.3179748</v>
      </c>
      <c r="D30" s="158" t="str">
        <f>VLOOKUP(A30,'Classement RoC'!$B$2:$C$149,1,0)</f>
        <v>8kinder6</v>
      </c>
      <c r="E30" s="163" t="str">
        <f t="shared" si="2"/>
        <v/>
      </c>
      <c r="F30" s="120" t="str">
        <f>VLOOKUP(A30,'Classement Général'!$B$2:$B$146,1,0)</f>
        <v>8kinder6</v>
      </c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</row>
    <row r="31" ht="14.25" customHeight="1">
      <c r="A31" s="160" t="str">
        <f>IFERROR(__xludf.DUMMYFUNCTION("""COMPUTED_VALUE"""),"Bratake")</f>
        <v>Bratake</v>
      </c>
      <c r="B31" s="161">
        <v>30.0</v>
      </c>
      <c r="C31" s="157">
        <f t="shared" si="1"/>
        <v>312.1668677</v>
      </c>
      <c r="D31" s="158" t="str">
        <f>VLOOKUP(A31,'Classement RoC'!$B$2:$C$149,1,0)</f>
        <v>Bratake</v>
      </c>
      <c r="E31" s="163" t="str">
        <f t="shared" si="2"/>
        <v/>
      </c>
      <c r="F31" s="120" t="str">
        <f>VLOOKUP(A31,'Classement Général'!$B$2:$B$146,1,0)</f>
        <v>Bratake</v>
      </c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</row>
    <row r="32" ht="14.25" customHeight="1">
      <c r="A32" s="160" t="str">
        <f>IFERROR(__xludf.DUMMYFUNCTION("""COMPUTED_VALUE"""),"Stross411")</f>
        <v>Stross411</v>
      </c>
      <c r="B32" s="156">
        <v>31.0</v>
      </c>
      <c r="C32" s="157">
        <f t="shared" si="1"/>
        <v>299.2977418</v>
      </c>
      <c r="D32" s="158" t="str">
        <f>VLOOKUP(A32,'Classement RoC'!$B$2:$C$149,1,0)</f>
        <v>Stross411</v>
      </c>
      <c r="E32" s="163" t="str">
        <f t="shared" si="2"/>
        <v/>
      </c>
      <c r="F32" s="120" t="str">
        <f>VLOOKUP(A32,'Classement Général'!$B$2:$B$146,1,0)</f>
        <v>Stross411</v>
      </c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</row>
    <row r="33" ht="14.25" customHeight="1">
      <c r="A33" s="160" t="str">
        <f>IFERROR(__xludf.DUMMYFUNCTION("""COMPUTED_VALUE"""),"StephBoss05")</f>
        <v>StephBoss05</v>
      </c>
      <c r="B33" s="161">
        <v>32.0</v>
      </c>
      <c r="C33" s="157">
        <f t="shared" si="1"/>
        <v>286.6925466</v>
      </c>
      <c r="D33" s="158" t="str">
        <f>VLOOKUP(A33,'Classement RoC'!$B$2:$C$149,1,0)</f>
        <v>StephBoss05</v>
      </c>
      <c r="E33" s="163" t="str">
        <f t="shared" si="2"/>
        <v/>
      </c>
      <c r="F33" s="120" t="str">
        <f>VLOOKUP(A33,'Classement Général'!$B$2:$B$146,1,0)</f>
        <v>StephBoss05</v>
      </c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</row>
    <row r="34" ht="14.25" customHeight="1">
      <c r="A34" s="160" t="str">
        <f>IFERROR(__xludf.DUMMYFUNCTION("""COMPUTED_VALUE"""),"NOVICEMYSTIC")</f>
        <v>NOVICEMYSTIC</v>
      </c>
      <c r="B34" s="156">
        <v>33.0</v>
      </c>
      <c r="C34" s="157">
        <f t="shared" si="1"/>
        <v>274.3349532</v>
      </c>
      <c r="D34" s="158" t="str">
        <f>VLOOKUP(A34,'Classement RoC'!$B$2:$C$149,1,0)</f>
        <v>NOVICEMYSTIC</v>
      </c>
      <c r="E34" s="163" t="str">
        <f t="shared" si="2"/>
        <v/>
      </c>
      <c r="F34" s="120" t="str">
        <f>VLOOKUP(A34,'Classement Général'!$B$2:$B$146,1,0)</f>
        <v>NOVICEMYSTIC</v>
      </c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</row>
    <row r="35" ht="14.25" customHeight="1">
      <c r="A35" s="160" t="str">
        <f>IFERROR(__xludf.DUMMYFUNCTION("""COMPUTED_VALUE"""),"Pachavi")</f>
        <v>Pachavi</v>
      </c>
      <c r="B35" s="161">
        <v>34.0</v>
      </c>
      <c r="C35" s="157">
        <f t="shared" si="1"/>
        <v>262.2101412</v>
      </c>
      <c r="D35" s="158" t="str">
        <f>VLOOKUP(A35,'Classement RoC'!$B$2:$C$149,1,0)</f>
        <v>Pachavi</v>
      </c>
      <c r="E35" s="163" t="str">
        <f t="shared" si="2"/>
        <v/>
      </c>
      <c r="F35" s="120" t="str">
        <f>VLOOKUP(A35,'Classement Général'!$B$2:$B$146,1,0)</f>
        <v>Pachavi</v>
      </c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</row>
    <row r="36" ht="14.25" customHeight="1">
      <c r="A36" s="160" t="str">
        <f>IFERROR(__xludf.DUMMYFUNCTION("""COMPUTED_VALUE"""),"Legabodu86")</f>
        <v>Legabodu86</v>
      </c>
      <c r="B36" s="156">
        <v>35.0</v>
      </c>
      <c r="C36" s="157">
        <f t="shared" si="1"/>
        <v>250.3046186</v>
      </c>
      <c r="D36" s="158" t="str">
        <f>VLOOKUP(A36,'Classement RoC'!$B$2:$C$149,1,0)</f>
        <v>Legabodu86</v>
      </c>
      <c r="E36" s="163" t="str">
        <f t="shared" si="2"/>
        <v/>
      </c>
      <c r="F36" s="120" t="str">
        <f>VLOOKUP(A36,'Classement Général'!$B$2:$B$146,1,0)</f>
        <v>Legabodu86</v>
      </c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</row>
    <row r="37" ht="14.25" customHeight="1">
      <c r="A37" s="160" t="str">
        <f>IFERROR(__xludf.DUMMYFUNCTION("""COMPUTED_VALUE"""),"Mako Lemore")</f>
        <v>Mako Lemore</v>
      </c>
      <c r="B37" s="161">
        <v>36.0</v>
      </c>
      <c r="C37" s="157">
        <f t="shared" si="1"/>
        <v>238.606067</v>
      </c>
      <c r="D37" s="158" t="str">
        <f>VLOOKUP(A37,'Classement RoC'!$B$2:$C$149,1,0)</f>
        <v>Mako Lemore</v>
      </c>
      <c r="E37" s="163" t="str">
        <f t="shared" si="2"/>
        <v/>
      </c>
      <c r="F37" s="120" t="str">
        <f>VLOOKUP(A37,'Classement Général'!$B$2:$B$146,1,0)</f>
        <v>Mako Lemore</v>
      </c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</row>
    <row r="38" ht="14.25" customHeight="1">
      <c r="A38" s="160" t="str">
        <f>IFERROR(__xludf.DUMMYFUNCTION("""COMPUTED_VALUE"""),"immond")</f>
        <v>immond</v>
      </c>
      <c r="B38" s="156">
        <v>37.0</v>
      </c>
      <c r="C38" s="157">
        <f t="shared" si="1"/>
        <v>227.1032089</v>
      </c>
      <c r="D38" s="158" t="str">
        <f>VLOOKUP(A38,'Classement RoC'!$B$2:$C$149,1,0)</f>
        <v>immond</v>
      </c>
      <c r="E38" s="163" t="str">
        <f t="shared" si="2"/>
        <v/>
      </c>
      <c r="F38" s="120" t="str">
        <f>VLOOKUP(A38,'Classement Général'!$B$2:$B$146,1,0)</f>
        <v>immond</v>
      </c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</row>
    <row r="39" ht="14.25" customHeight="1">
      <c r="A39" s="160" t="str">
        <f>IFERROR(__xludf.DUMMYFUNCTION("""COMPUTED_VALUE"""),"karibette86")</f>
        <v>karibette86</v>
      </c>
      <c r="B39" s="161">
        <v>38.0</v>
      </c>
      <c r="C39" s="157">
        <f t="shared" si="1"/>
        <v>215.7856933</v>
      </c>
      <c r="D39" s="158" t="str">
        <f>VLOOKUP(A39,'Classement RoC'!$B$2:$C$149,1,0)</f>
        <v>karibette86</v>
      </c>
      <c r="E39" s="163" t="str">
        <f t="shared" si="2"/>
        <v/>
      </c>
      <c r="F39" s="120" t="str">
        <f>VLOOKUP(A39,'Classement Général'!$B$2:$B$146,1,0)</f>
        <v>karibette86</v>
      </c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</row>
    <row r="40" ht="14.25" customHeight="1">
      <c r="A40" s="160" t="str">
        <f>IFERROR(__xludf.DUMMYFUNCTION("""COMPUTED_VALUE"""),"Like_A_Fish")</f>
        <v>Like_A_Fish</v>
      </c>
      <c r="B40" s="156">
        <v>39.0</v>
      </c>
      <c r="C40" s="157">
        <f t="shared" si="1"/>
        <v>204.6439965</v>
      </c>
      <c r="D40" s="158" t="str">
        <f>VLOOKUP(A40,'Classement RoC'!$B$2:$C$149,1,0)</f>
        <v>Like_A_Fish</v>
      </c>
      <c r="E40" s="163" t="str">
        <f t="shared" si="2"/>
        <v/>
      </c>
      <c r="F40" s="120" t="str">
        <f>VLOOKUP(A40,'Classement Général'!$B$2:$B$146,1,0)</f>
        <v>Like_A_Fish</v>
      </c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</row>
    <row r="41" ht="14.25" customHeight="1">
      <c r="A41" s="160" t="str">
        <f>IFERROR(__xludf.DUMMYFUNCTION("""COMPUTED_VALUE"""),"_Sale-Bet_")</f>
        <v>_Sale-Bet_</v>
      </c>
      <c r="B41" s="161">
        <v>40.0</v>
      </c>
      <c r="C41" s="157">
        <f t="shared" si="1"/>
        <v>193.6693359</v>
      </c>
      <c r="D41" s="158" t="str">
        <f>VLOOKUP(A41,'Classement RoC'!$B$2:$C$149,1,0)</f>
        <v>_Sale-Bet_</v>
      </c>
      <c r="E41" s="163" t="str">
        <f t="shared" si="2"/>
        <v/>
      </c>
      <c r="F41" s="120" t="str">
        <f>VLOOKUP(A41,'Classement Général'!$B$2:$B$146,1,0)</f>
        <v>_Sale-Bet_</v>
      </c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</row>
    <row r="42" ht="14.25" customHeight="1">
      <c r="A42" s="160" t="str">
        <f>IFERROR(__xludf.DUMMYFUNCTION("""COMPUTED_VALUE"""),"Blochedu86")</f>
        <v>Blochedu86</v>
      </c>
      <c r="B42" s="156">
        <v>41.0</v>
      </c>
      <c r="C42" s="157">
        <f t="shared" si="1"/>
        <v>182.8535947</v>
      </c>
      <c r="D42" s="158" t="str">
        <f>VLOOKUP(A42,'Classement RoC'!$B$2:$C$149,1,0)</f>
        <v>Blochedu86</v>
      </c>
      <c r="E42" s="163" t="str">
        <f t="shared" si="2"/>
        <v/>
      </c>
      <c r="F42" s="120" t="str">
        <f>VLOOKUP(A42,'Classement Général'!$B$2:$B$146,1,0)</f>
        <v>Blochedu86</v>
      </c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</row>
    <row r="43" ht="14.25" customHeight="1">
      <c r="A43" s="160" t="str">
        <f>IFERROR(__xludf.DUMMYFUNCTION("""COMPUTED_VALUE"""),"christ86000")</f>
        <v>christ86000</v>
      </c>
      <c r="B43" s="161">
        <v>42.0</v>
      </c>
      <c r="C43" s="157">
        <f t="shared" si="1"/>
        <v>172.1892554</v>
      </c>
      <c r="D43" s="158" t="str">
        <f>VLOOKUP(A43,'Classement RoC'!$B$2:$C$149,1,0)</f>
        <v>christ86000</v>
      </c>
      <c r="E43" s="163" t="str">
        <f t="shared" si="2"/>
        <v/>
      </c>
      <c r="F43" s="120" t="str">
        <f>VLOOKUP(A43,'Classement Général'!$B$2:$B$146,1,0)</f>
        <v>christ86000</v>
      </c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</row>
    <row r="44" ht="14.25" customHeight="1">
      <c r="A44" s="160" t="str">
        <f>IFERROR(__xludf.DUMMYFUNCTION("""COMPUTED_VALUE"""),"--WondeR--")</f>
        <v>--WondeR--</v>
      </c>
      <c r="B44" s="156">
        <v>43.0</v>
      </c>
      <c r="C44" s="157">
        <f t="shared" si="1"/>
        <v>161.6693429</v>
      </c>
      <c r="D44" s="158" t="str">
        <f>VLOOKUP(A44,'Classement RoC'!$B$2:$C$149,1,0)</f>
        <v>--WondeR--</v>
      </c>
      <c r="E44" s="163" t="str">
        <f t="shared" si="2"/>
        <v/>
      </c>
      <c r="F44" s="120" t="str">
        <f>VLOOKUP(A44,'Classement Général'!$B$2:$B$146,1,0)</f>
        <v>--WondeR--</v>
      </c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</row>
    <row r="45" ht="14.25" customHeight="1">
      <c r="A45" s="160" t="str">
        <f>IFERROR(__xludf.DUMMYFUNCTION("""COMPUTED_VALUE"""),"A_iniesta")</f>
        <v>A_iniesta</v>
      </c>
      <c r="B45" s="161">
        <v>44.0</v>
      </c>
      <c r="C45" s="157">
        <f t="shared" si="1"/>
        <v>151.2873721</v>
      </c>
      <c r="D45" s="158" t="str">
        <f>VLOOKUP(A45,'Classement RoC'!$B$2:$C$149,1,0)</f>
        <v>A_iniesta</v>
      </c>
      <c r="E45" s="163" t="str">
        <f t="shared" si="2"/>
        <v/>
      </c>
      <c r="F45" s="120" t="str">
        <f>VLOOKUP(A45,'Classement Général'!$B$2:$B$146,1,0)</f>
        <v>A_iniesta</v>
      </c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</row>
    <row r="46" ht="14.25" customHeight="1">
      <c r="A46" s="160" t="str">
        <f>IFERROR(__xludf.DUMMYFUNCTION("""COMPUTED_VALUE"""),"fiodor86")</f>
        <v>fiodor86</v>
      </c>
      <c r="B46" s="156">
        <v>45.0</v>
      </c>
      <c r="C46" s="157">
        <f t="shared" si="1"/>
        <v>141.0373036</v>
      </c>
      <c r="D46" s="158" t="str">
        <f>VLOOKUP(A46,'Classement RoC'!$B$2:$C$149,1,0)</f>
        <v>fiodor86</v>
      </c>
      <c r="E46" s="163" t="str">
        <f t="shared" si="2"/>
        <v/>
      </c>
      <c r="F46" s="120" t="str">
        <f>VLOOKUP(A46,'Classement Général'!$B$2:$B$146,1,0)</f>
        <v>fiodor86</v>
      </c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</row>
    <row r="47" ht="14.25" customHeight="1">
      <c r="A47" s="160" t="str">
        <f>IFERROR(__xludf.DUMMYFUNCTION("""COMPUTED_VALUE"""),"Butterfly-as")</f>
        <v>Butterfly-as</v>
      </c>
      <c r="B47" s="161">
        <v>46.0</v>
      </c>
      <c r="C47" s="157">
        <f t="shared" si="1"/>
        <v>130.9135028</v>
      </c>
      <c r="D47" s="158" t="str">
        <f>VLOOKUP(A47,'Classement RoC'!$B$2:$C$149,1,0)</f>
        <v>Butterfly-as</v>
      </c>
      <c r="E47" s="163" t="str">
        <f t="shared" si="2"/>
        <v/>
      </c>
      <c r="F47" s="120" t="str">
        <f>VLOOKUP(A47,'Classement Général'!$B$2:$B$146,1,0)</f>
        <v>Butterfly-as</v>
      </c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</row>
    <row r="48" ht="14.25" customHeight="1">
      <c r="A48" s="160" t="str">
        <f>IFERROR(__xludf.DUMMYFUNCTION("""COMPUTED_VALUE"""),". BARBAPAPA66")</f>
        <v>. BARBAPAPA66</v>
      </c>
      <c r="B48" s="156">
        <v>47.0</v>
      </c>
      <c r="C48" s="157">
        <f t="shared" si="1"/>
        <v>120.910705</v>
      </c>
      <c r="D48" s="158" t="str">
        <f>VLOOKUP(A48,'Classement RoC'!$B$2:$C$149,1,0)</f>
        <v>. BARBAPAPA66</v>
      </c>
      <c r="E48" s="163" t="str">
        <f t="shared" si="2"/>
        <v/>
      </c>
      <c r="F48" s="120" t="str">
        <f>VLOOKUP(A48,'Classement Général'!$B$2:$B$146,1,0)</f>
        <v>. BARBAPAPA66</v>
      </c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 ht="14.25" customHeight="1">
      <c r="A49" s="160" t="str">
        <f>IFERROR(__xludf.DUMMYFUNCTION("""COMPUTED_VALUE"""),"KKPTETYO")</f>
        <v>KKPTETYO</v>
      </c>
      <c r="B49" s="161">
        <v>48.0</v>
      </c>
      <c r="C49" s="157">
        <f t="shared" si="1"/>
        <v>111.0239827</v>
      </c>
      <c r="D49" s="158" t="str">
        <f>VLOOKUP(A49,'Classement RoC'!$B$2:$C$149,1,0)</f>
        <v>KKPTETYO</v>
      </c>
      <c r="E49" s="163" t="str">
        <f t="shared" si="2"/>
        <v/>
      </c>
      <c r="F49" s="120" t="str">
        <f>VLOOKUP(A49,'Classement Général'!$B$2:$B$146,1,0)</f>
        <v>KKPTETYO</v>
      </c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50" ht="14.25" customHeight="1">
      <c r="A50" s="160" t="str">
        <f>IFERROR(__xludf.DUMMYFUNCTION("""COMPUTED_VALUE"""),"Sab86360")</f>
        <v>Sab86360</v>
      </c>
      <c r="B50" s="156">
        <v>49.0</v>
      </c>
      <c r="C50" s="157">
        <f t="shared" si="1"/>
        <v>101.2487175</v>
      </c>
      <c r="D50" s="158" t="str">
        <f>VLOOKUP(A50,'Classement RoC'!$B$2:$C$149,1,0)</f>
        <v>Sab86360</v>
      </c>
      <c r="E50" s="163" t="str">
        <f t="shared" si="2"/>
        <v/>
      </c>
      <c r="F50" s="120" t="str">
        <f>VLOOKUP(A50,'Classement Général'!$B$2:$B$146,1,0)</f>
        <v>Sab86360</v>
      </c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</row>
    <row r="51" ht="14.25" customHeight="1">
      <c r="A51" s="160" t="str">
        <f>IFERROR(__xludf.DUMMYFUNCTION("""COMPUTED_VALUE"""),"-Feline")</f>
        <v>-Feline</v>
      </c>
      <c r="B51" s="161">
        <v>50.0</v>
      </c>
      <c r="C51" s="157">
        <f t="shared" si="1"/>
        <v>91.5805747</v>
      </c>
      <c r="D51" s="158" t="str">
        <f>VLOOKUP(A51,'Classement RoC'!$B$2:$C$149,1,0)</f>
        <v>-Feline</v>
      </c>
      <c r="E51" s="163" t="str">
        <f t="shared" si="2"/>
        <v/>
      </c>
      <c r="F51" s="120" t="str">
        <f>VLOOKUP(A51,'Classement Général'!$B$2:$B$146,1,0)</f>
        <v>-Feline</v>
      </c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</row>
    <row r="52" ht="14.25" customHeight="1">
      <c r="A52" s="160" t="str">
        <f>IFERROR(__xludf.DUMMYFUNCTION("""COMPUTED_VALUE"""),"Rod_John_VI")</f>
        <v>Rod_John_VI</v>
      </c>
      <c r="B52" s="156">
        <v>51.0</v>
      </c>
      <c r="C52" s="157">
        <f t="shared" si="1"/>
        <v>82.01548001</v>
      </c>
      <c r="D52" s="158" t="str">
        <f>VLOOKUP(A52,'Classement RoC'!$B$2:$C$149,1,0)</f>
        <v>Rod_John_VI</v>
      </c>
      <c r="E52" s="163" t="str">
        <f t="shared" si="2"/>
        <v/>
      </c>
      <c r="F52" s="120" t="str">
        <f>VLOOKUP(A52,'Classement Général'!$B$2:$B$146,1,0)</f>
        <v>Rod_John_VI</v>
      </c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</row>
    <row r="53" ht="14.25" customHeight="1">
      <c r="A53" s="160" t="str">
        <f>IFERROR(__xludf.DUMMYFUNCTION("""COMPUTED_VALUE"""),"imberbe")</f>
        <v>imberbe</v>
      </c>
      <c r="B53" s="161">
        <v>52.0</v>
      </c>
      <c r="C53" s="157">
        <f t="shared" si="1"/>
        <v>72.54959906</v>
      </c>
      <c r="D53" s="158" t="str">
        <f>VLOOKUP(A53,'Classement RoC'!$B$2:$C$149,1,0)</f>
        <v>imberbe</v>
      </c>
      <c r="E53" s="163" t="str">
        <f t="shared" si="2"/>
        <v/>
      </c>
      <c r="F53" s="120" t="str">
        <f>VLOOKUP(A53,'Classement Général'!$B$2:$B$146,1,0)</f>
        <v>imberbe</v>
      </c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</row>
    <row r="54" ht="14.25" customHeight="1">
      <c r="A54" s="160" t="str">
        <f>IFERROR(__xludf.DUMMYFUNCTION("""COMPUTED_VALUE"""),"Dirty Bazaar")</f>
        <v>Dirty Bazaar</v>
      </c>
      <c r="B54" s="156">
        <v>53.0</v>
      </c>
      <c r="C54" s="157">
        <f t="shared" si="1"/>
        <v>63.17931868</v>
      </c>
      <c r="D54" s="158" t="str">
        <f>VLOOKUP(A54,'Classement RoC'!$B$2:$C$149,1,0)</f>
        <v>Dirty Bazaar</v>
      </c>
      <c r="E54" s="163" t="str">
        <f t="shared" si="2"/>
        <v/>
      </c>
      <c r="F54" s="120" t="str">
        <f>VLOOKUP(A54,'Classement Général'!$B$2:$B$146,1,0)</f>
        <v>Dirty Bazaar</v>
      </c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</row>
    <row r="55" ht="14.25" customHeight="1">
      <c r="A55" s="160" t="str">
        <f>IFERROR(__xludf.DUMMYFUNCTION("""COMPUTED_VALUE"""),"Garou du 86")</f>
        <v>Garou du 86</v>
      </c>
      <c r="B55" s="161">
        <v>54.0</v>
      </c>
      <c r="C55" s="157">
        <f t="shared" si="1"/>
        <v>53.90123004</v>
      </c>
      <c r="D55" s="158" t="str">
        <f>VLOOKUP(A55,'Classement RoC'!$B$2:$C$149,1,0)</f>
        <v>Garou du 86</v>
      </c>
      <c r="E55" s="163" t="str">
        <f t="shared" si="2"/>
        <v/>
      </c>
      <c r="F55" s="120" t="str">
        <f>VLOOKUP(A55,'Classement Général'!$B$2:$B$146,1,0)</f>
        <v>Garou du 86</v>
      </c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</row>
    <row r="56" ht="14.25" customHeight="1">
      <c r="A56" s="160" t="str">
        <f>IFERROR(__xludf.DUMMYFUNCTION("""COMPUTED_VALUE"""),"Le_Pictavien")</f>
        <v>Le_Pictavien</v>
      </c>
      <c r="B56" s="156">
        <v>55.0</v>
      </c>
      <c r="C56" s="157">
        <f t="shared" si="1"/>
        <v>44.71211335</v>
      </c>
      <c r="D56" s="158" t="str">
        <f>VLOOKUP(A56,'Classement RoC'!$B$2:$C$149,1,0)</f>
        <v>Le_Pictavien</v>
      </c>
      <c r="E56" s="163" t="str">
        <f t="shared" si="2"/>
        <v/>
      </c>
      <c r="F56" s="120" t="str">
        <f>VLOOKUP(A56,'Classement Général'!$B$2:$B$146,1,0)</f>
        <v>Le_Pictavien</v>
      </c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</row>
    <row r="57" ht="14.25" customHeight="1">
      <c r="A57" s="160" t="str">
        <f>IFERROR(__xludf.DUMMYFUNCTION("""COMPUTED_VALUE"""),"SINGE7")</f>
        <v>SINGE7</v>
      </c>
      <c r="B57" s="161">
        <v>56.0</v>
      </c>
      <c r="C57" s="157">
        <f t="shared" si="1"/>
        <v>35.60892396</v>
      </c>
      <c r="D57" s="158" t="str">
        <f>VLOOKUP(A57,'Classement RoC'!$B$2:$C$149,1,0)</f>
        <v>SINGE7</v>
      </c>
      <c r="E57" s="163" t="str">
        <f t="shared" si="2"/>
        <v/>
      </c>
      <c r="F57" s="120" t="str">
        <f>VLOOKUP(A57,'Classement Général'!$B$2:$B$146,1,0)</f>
        <v>SINGE7</v>
      </c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</row>
    <row r="58" ht="14.25" customHeight="1">
      <c r="A58" s="160" t="str">
        <f>IFERROR(__xludf.DUMMYFUNCTION("""COMPUTED_VALUE"""),"-BartMan-")</f>
        <v>-BartMan-</v>
      </c>
      <c r="B58" s="156">
        <v>57.0</v>
      </c>
      <c r="C58" s="157">
        <f t="shared" si="1"/>
        <v>26.58877974</v>
      </c>
      <c r="D58" s="158" t="str">
        <f>VLOOKUP(A58,'Classement RoC'!$B$2:$C$149,1,0)</f>
        <v>-bartman-</v>
      </c>
      <c r="E58" s="163" t="str">
        <f t="shared" si="2"/>
        <v/>
      </c>
      <c r="F58" s="120" t="str">
        <f>VLOOKUP(A58,'Classement Général'!$B$2:$B$146,1,0)</f>
        <v>-bartman-</v>
      </c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</row>
    <row r="59" ht="14.25" customHeight="1">
      <c r="A59" s="160" t="str">
        <f>IFERROR(__xludf.DUMMYFUNCTION("""COMPUTED_VALUE"""),"PrendmAmAin")</f>
        <v>PrendmAmAin</v>
      </c>
      <c r="B59" s="161">
        <v>58.0</v>
      </c>
      <c r="C59" s="157">
        <f t="shared" si="1"/>
        <v>17.6489496</v>
      </c>
      <c r="D59" s="158" t="str">
        <f>VLOOKUP(A59,'Classement RoC'!$B$2:$C$149,1,0)</f>
        <v>PrendmAmAin</v>
      </c>
      <c r="E59" s="163" t="str">
        <f t="shared" si="2"/>
        <v/>
      </c>
      <c r="F59" s="120" t="str">
        <f>VLOOKUP(A59,'Classement Général'!$B$2:$B$146,1,0)</f>
        <v>PrendmAmAin</v>
      </c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</row>
    <row r="60" ht="14.25" customHeight="1">
      <c r="A60" s="160" t="str">
        <f>IFERROR(__xludf.DUMMYFUNCTION("""COMPUTED_VALUE"""),"Cataleya86")</f>
        <v>Cataleya86</v>
      </c>
      <c r="B60" s="156">
        <v>59.0</v>
      </c>
      <c r="C60" s="157">
        <f t="shared" si="1"/>
        <v>8.78684292</v>
      </c>
      <c r="D60" s="158" t="str">
        <f>VLOOKUP(A60,'Classement RoC'!$B$2:$C$149,1,0)</f>
        <v>Cataleya86</v>
      </c>
      <c r="E60" s="163" t="str">
        <f t="shared" si="2"/>
        <v/>
      </c>
      <c r="F60" s="120" t="str">
        <f>VLOOKUP(A60,'Classement Général'!$B$2:$B$146,1,0)</f>
        <v>Cataleya86</v>
      </c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</row>
    <row r="61" ht="14.25" customHeight="1">
      <c r="A61" s="160"/>
      <c r="B61" s="161">
        <v>60.0</v>
      </c>
      <c r="C61" s="157">
        <f t="shared" si="1"/>
        <v>0</v>
      </c>
      <c r="D61" s="158" t="str">
        <f>VLOOKUP(A61,'Classement RoC'!$B$2:$C$149,1,0)</f>
        <v>#N/A</v>
      </c>
      <c r="E61" s="163" t="str">
        <f t="shared" si="2"/>
        <v>#N/A</v>
      </c>
      <c r="F61" s="120" t="str">
        <f>VLOOKUP(A61,'Classement Général'!$B$2:$B$146,1,0)</f>
        <v>#N/A</v>
      </c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</row>
    <row r="62" ht="14.25" customHeight="1">
      <c r="A62" s="160"/>
      <c r="B62" s="156">
        <v>61.0</v>
      </c>
      <c r="C62" s="157">
        <f t="shared" si="1"/>
        <v>-8.713916757</v>
      </c>
      <c r="D62" s="158" t="str">
        <f>VLOOKUP(A62,'Classement RoC'!$B$2:$C$149,1,0)</f>
        <v>#N/A</v>
      </c>
      <c r="E62" s="163" t="str">
        <f t="shared" si="2"/>
        <v>#N/A</v>
      </c>
      <c r="F62" s="120" t="str">
        <f>VLOOKUP(A62,'Classement Général'!$B$2:$B$146,1,0)</f>
        <v>#N/A</v>
      </c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</row>
    <row r="63" ht="14.25" customHeight="1">
      <c r="A63" s="160"/>
      <c r="B63" s="161">
        <v>62.0</v>
      </c>
      <c r="C63" s="157">
        <f t="shared" si="1"/>
        <v>-17.35713091</v>
      </c>
      <c r="D63" s="158" t="str">
        <f>VLOOKUP(A63,'Classement RoC'!$B$2:$C$149,1,0)</f>
        <v>#N/A</v>
      </c>
      <c r="E63" s="163" t="str">
        <f t="shared" si="2"/>
        <v>#N/A</v>
      </c>
      <c r="F63" s="120" t="str">
        <f>VLOOKUP(A63,'Classement Général'!$B$2:$B$146,1,0)</f>
        <v>#N/A</v>
      </c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</row>
    <row r="64" ht="14.25" customHeight="1">
      <c r="A64" s="160"/>
      <c r="B64" s="156">
        <v>63.0</v>
      </c>
      <c r="C64" s="157">
        <f t="shared" si="1"/>
        <v>-25.93175937</v>
      </c>
      <c r="D64" s="158" t="str">
        <f>VLOOKUP(A64,'Classement RoC'!$B$2:$C$149,1,0)</f>
        <v>#N/A</v>
      </c>
      <c r="E64" s="163" t="str">
        <f t="shared" si="2"/>
        <v>#N/A</v>
      </c>
      <c r="F64" s="120" t="str">
        <f>VLOOKUP(A64,'Classement Général'!$B$2:$B$146,1,0)</f>
        <v>#N/A</v>
      </c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</row>
    <row r="65" ht="14.25" customHeight="1">
      <c r="A65" s="160"/>
      <c r="B65" s="161">
        <v>64.0</v>
      </c>
      <c r="C65" s="157">
        <f t="shared" si="1"/>
        <v>-34.43981925</v>
      </c>
      <c r="D65" s="158" t="str">
        <f>VLOOKUP(A65,'Classement RoC'!$B$2:$C$149,1,0)</f>
        <v>#N/A</v>
      </c>
      <c r="E65" s="163" t="str">
        <f t="shared" si="2"/>
        <v>#N/A</v>
      </c>
      <c r="F65" s="120" t="str">
        <f>VLOOKUP(A65,'Classement Général'!$B$2:$B$146,1,0)</f>
        <v>#N/A</v>
      </c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</row>
    <row r="66" ht="14.25" customHeight="1">
      <c r="A66" s="160"/>
      <c r="B66" s="156">
        <v>65.0</v>
      </c>
      <c r="C66" s="157">
        <f t="shared" si="1"/>
        <v>-42.88323409</v>
      </c>
      <c r="D66" s="158" t="str">
        <f>VLOOKUP(A66,'Classement RoC'!$B$2:$C$149,1,0)</f>
        <v>#N/A</v>
      </c>
      <c r="E66" s="163" t="str">
        <f t="shared" si="2"/>
        <v>#N/A</v>
      </c>
      <c r="F66" s="120" t="str">
        <f>VLOOKUP(A66,'Classement Général'!$B$2:$B$146,1,0)</f>
        <v>#N/A</v>
      </c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</row>
    <row r="67" ht="14.25" customHeight="1">
      <c r="A67" s="160"/>
      <c r="B67" s="161">
        <v>66.0</v>
      </c>
      <c r="C67" s="157">
        <f t="shared" si="1"/>
        <v>-51.26383971</v>
      </c>
      <c r="D67" s="158" t="str">
        <f>VLOOKUP(A67,'Classement RoC'!$B$2:$C$149,1,0)</f>
        <v>#N/A</v>
      </c>
      <c r="E67" s="163" t="str">
        <f t="shared" si="2"/>
        <v>#N/A</v>
      </c>
      <c r="F67" s="120" t="str">
        <f>VLOOKUP(A67,'Classement Général'!$B$2:$B$146,1,0)</f>
        <v>#N/A</v>
      </c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</row>
    <row r="68" ht="14.25" customHeight="1">
      <c r="A68" s="160"/>
      <c r="B68" s="156">
        <v>67.0</v>
      </c>
      <c r="C68" s="157">
        <f t="shared" si="1"/>
        <v>-59.58338947</v>
      </c>
      <c r="D68" s="158" t="str">
        <f>VLOOKUP(A68,'Classement RoC'!$B$2:$C$149,1,0)</f>
        <v>#N/A</v>
      </c>
      <c r="E68" s="163" t="str">
        <f t="shared" si="2"/>
        <v>#N/A</v>
      </c>
      <c r="F68" s="120" t="str">
        <f>VLOOKUP(A68,'Classement Général'!$B$2:$B$146,1,0)</f>
        <v>#N/A</v>
      </c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</row>
    <row r="69" ht="14.25" customHeight="1">
      <c r="A69" s="160"/>
      <c r="B69" s="161">
        <v>68.0</v>
      </c>
      <c r="C69" s="157">
        <f t="shared" si="1"/>
        <v>-67.84355931</v>
      </c>
      <c r="D69" s="158" t="str">
        <f>VLOOKUP(A69,'Classement RoC'!$B$2:$C$149,1,0)</f>
        <v>#N/A</v>
      </c>
      <c r="E69" s="163" t="str">
        <f t="shared" si="2"/>
        <v>#N/A</v>
      </c>
      <c r="F69" s="120" t="str">
        <f>VLOOKUP(A69,'Classement Général'!$B$2:$B$146,1,0)</f>
        <v>#N/A</v>
      </c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</row>
    <row r="70" ht="14.25" customHeight="1">
      <c r="A70" s="160"/>
      <c r="B70" s="156">
        <v>69.0</v>
      </c>
      <c r="C70" s="157">
        <f t="shared" si="1"/>
        <v>-76.04595223</v>
      </c>
      <c r="D70" s="158" t="str">
        <f>VLOOKUP(A70,'Classement RoC'!$B$2:$C$149,1,0)</f>
        <v>#N/A</v>
      </c>
      <c r="E70" s="163" t="str">
        <f t="shared" si="2"/>
        <v>#N/A</v>
      </c>
      <c r="F70" s="120" t="str">
        <f>VLOOKUP(A70,'Classement Général'!$B$2:$B$146,1,0)</f>
        <v>#N/A</v>
      </c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</row>
    <row r="71" ht="14.25" customHeight="1">
      <c r="A71" s="160"/>
      <c r="B71" s="161">
        <v>70.0</v>
      </c>
      <c r="C71" s="157">
        <f t="shared" si="1"/>
        <v>-84.19210259</v>
      </c>
      <c r="D71" s="158" t="str">
        <f>VLOOKUP(A71,'Classement RoC'!$B$2:$C$149,1,0)</f>
        <v>#N/A</v>
      </c>
      <c r="E71" s="163" t="str">
        <f t="shared" si="2"/>
        <v>#N/A</v>
      </c>
      <c r="F71" s="120" t="str">
        <f>VLOOKUP(A71,'Classement Général'!$B$2:$B$146,1,0)</f>
        <v>#N/A</v>
      </c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</row>
    <row r="72" ht="14.25" customHeight="1">
      <c r="A72" s="160"/>
      <c r="B72" s="156">
        <v>71.0</v>
      </c>
      <c r="C72" s="157">
        <f t="shared" si="1"/>
        <v>-92.28348005</v>
      </c>
      <c r="D72" s="158" t="str">
        <f>VLOOKUP(A72,'Classement RoC'!$B$2:$C$149,1,0)</f>
        <v>#N/A</v>
      </c>
      <c r="E72" s="163" t="str">
        <f t="shared" si="2"/>
        <v>#N/A</v>
      </c>
      <c r="F72" s="120" t="str">
        <f>VLOOKUP(A72,'Classement Général'!$B$2:$B$146,1,0)</f>
        <v>#N/A</v>
      </c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</row>
    <row r="73" ht="14.25" customHeight="1">
      <c r="A73" s="160"/>
      <c r="B73" s="161">
        <v>72.0</v>
      </c>
      <c r="C73" s="157">
        <f t="shared" si="1"/>
        <v>-100.3214932</v>
      </c>
      <c r="D73" s="158" t="str">
        <f>VLOOKUP(A73,'Classement RoC'!$B$2:$C$149,1,0)</f>
        <v>#N/A</v>
      </c>
      <c r="E73" s="163" t="str">
        <f t="shared" si="2"/>
        <v>#N/A</v>
      </c>
      <c r="F73" s="120" t="str">
        <f>VLOOKUP(A73,'Classement Général'!$B$2:$B$146,1,0)</f>
        <v>#N/A</v>
      </c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</row>
    <row r="74" ht="14.25" customHeight="1">
      <c r="A74" s="160"/>
      <c r="B74" s="156">
        <v>73.0</v>
      </c>
      <c r="C74" s="157">
        <f t="shared" si="1"/>
        <v>-108.3074929</v>
      </c>
      <c r="D74" s="158" t="str">
        <f>VLOOKUP(A74,'Classement RoC'!$B$2:$C$149,1,0)</f>
        <v>#N/A</v>
      </c>
      <c r="E74" s="163" t="str">
        <f t="shared" si="2"/>
        <v>#N/A</v>
      </c>
      <c r="F74" s="120" t="str">
        <f>VLOOKUP(A74,'Classement Général'!$B$2:$B$146,1,0)</f>
        <v>#N/A</v>
      </c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</row>
    <row r="75" ht="14.25" customHeight="1">
      <c r="A75" s="160"/>
      <c r="B75" s="161">
        <v>74.0</v>
      </c>
      <c r="C75" s="157">
        <f t="shared" si="1"/>
        <v>-116.2427756</v>
      </c>
      <c r="D75" s="158" t="str">
        <f>VLOOKUP(A75,'Classement RoC'!$B$2:$C$149,1,0)</f>
        <v>#N/A</v>
      </c>
      <c r="E75" s="163" t="str">
        <f t="shared" si="2"/>
        <v>#N/A</v>
      </c>
      <c r="F75" s="120" t="str">
        <f>VLOOKUP(A75,'Classement Général'!$B$2:$B$146,1,0)</f>
        <v>#N/A</v>
      </c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</row>
    <row r="76" ht="14.25" customHeight="1">
      <c r="A76" s="160"/>
      <c r="B76" s="156">
        <v>75.0</v>
      </c>
      <c r="C76" s="157">
        <f t="shared" si="1"/>
        <v>-124.1285862</v>
      </c>
      <c r="D76" s="158" t="str">
        <f>VLOOKUP(A76,'Classement RoC'!$B$2:$C$149,1,0)</f>
        <v>#N/A</v>
      </c>
      <c r="E76" s="163" t="str">
        <f t="shared" si="2"/>
        <v>#N/A</v>
      </c>
      <c r="F76" s="120" t="str">
        <f>VLOOKUP(A76,'Classement Général'!$B$2:$B$146,1,0)</f>
        <v>#N/A</v>
      </c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</row>
    <row r="77" ht="14.25" customHeight="1">
      <c r="A77" s="160"/>
      <c r="B77" s="161">
        <v>76.0</v>
      </c>
      <c r="C77" s="157">
        <f t="shared" si="1"/>
        <v>-131.9661207</v>
      </c>
      <c r="D77" s="158" t="str">
        <f>VLOOKUP(A77,'Classement RoC'!$B$2:$C$149,1,0)</f>
        <v>#N/A</v>
      </c>
      <c r="E77" s="163" t="str">
        <f t="shared" si="2"/>
        <v>#N/A</v>
      </c>
      <c r="F77" s="120" t="str">
        <f>VLOOKUP(A77,'Classement Général'!$B$2:$B$146,1,0)</f>
        <v>#N/A</v>
      </c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</row>
    <row r="78" ht="14.25" customHeight="1">
      <c r="A78" s="160"/>
      <c r="B78" s="156">
        <v>77.0</v>
      </c>
      <c r="C78" s="157">
        <f t="shared" si="1"/>
        <v>-139.7565289</v>
      </c>
      <c r="D78" s="158" t="str">
        <f>VLOOKUP(A78,'Classement RoC'!$B$2:$C$149,1,0)</f>
        <v>#N/A</v>
      </c>
      <c r="E78" s="163" t="str">
        <f t="shared" si="2"/>
        <v>#N/A</v>
      </c>
      <c r="F78" s="120" t="str">
        <f>VLOOKUP(A78,'Classement Général'!$B$2:$B$146,1,0)</f>
        <v>#N/A</v>
      </c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</row>
    <row r="79" ht="14.25" customHeight="1">
      <c r="A79" s="160"/>
      <c r="B79" s="161">
        <v>78.0</v>
      </c>
      <c r="C79" s="157">
        <f t="shared" si="1"/>
        <v>-147.5009169</v>
      </c>
      <c r="D79" s="158" t="str">
        <f>VLOOKUP(A79,'Classement RoC'!$B$2:$C$149,1,0)</f>
        <v>#N/A</v>
      </c>
      <c r="E79" s="163" t="str">
        <f t="shared" si="2"/>
        <v>#N/A</v>
      </c>
      <c r="F79" s="120" t="str">
        <f>VLOOKUP(A79,'Classement Général'!$B$2:$B$146,1,0)</f>
        <v>#N/A</v>
      </c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</row>
    <row r="80" ht="14.25" customHeight="1">
      <c r="A80" s="160"/>
      <c r="B80" s="156">
        <v>79.0</v>
      </c>
      <c r="C80" s="157">
        <f t="shared" si="1"/>
        <v>-155.2003491</v>
      </c>
      <c r="D80" s="158" t="str">
        <f>VLOOKUP(A80,'Classement RoC'!$B$2:$C$149,1,0)</f>
        <v>#N/A</v>
      </c>
      <c r="E80" s="163" t="str">
        <f t="shared" si="2"/>
        <v>#N/A</v>
      </c>
      <c r="F80" s="120" t="str">
        <f>VLOOKUP(A80,'Classement Général'!$B$2:$B$146,1,0)</f>
        <v>#N/A</v>
      </c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</row>
    <row r="81" ht="14.25" customHeight="1">
      <c r="A81" s="160"/>
      <c r="B81" s="161">
        <v>80.0</v>
      </c>
      <c r="C81" s="157">
        <f t="shared" si="1"/>
        <v>-162.8558503</v>
      </c>
      <c r="D81" s="158" t="str">
        <f>VLOOKUP(A81,'Classement RoC'!$B$2:$C$149,1,0)</f>
        <v>#N/A</v>
      </c>
      <c r="E81" s="163" t="str">
        <f t="shared" si="2"/>
        <v>#N/A</v>
      </c>
      <c r="F81" s="120" t="str">
        <f>VLOOKUP(A81,'Classement Général'!$B$2:$B$146,1,0)</f>
        <v>#N/A</v>
      </c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</row>
    <row r="82" ht="14.25" customHeight="1">
      <c r="A82" s="160"/>
      <c r="B82" s="156">
        <v>81.0</v>
      </c>
      <c r="C82" s="157">
        <f t="shared" si="1"/>
        <v>-170.4684081</v>
      </c>
      <c r="D82" s="158" t="str">
        <f>VLOOKUP(A82,'Classement RoC'!$B$2:$C$149,1,0)</f>
        <v>#N/A</v>
      </c>
      <c r="E82" s="163" t="str">
        <f t="shared" si="2"/>
        <v>#N/A</v>
      </c>
      <c r="F82" s="120" t="str">
        <f>VLOOKUP(A82,'Classement Général'!$B$2:$B$146,1,0)</f>
        <v>#N/A</v>
      </c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</row>
    <row r="83" ht="14.25" customHeight="1">
      <c r="A83" s="160"/>
      <c r="B83" s="161">
        <v>82.0</v>
      </c>
      <c r="C83" s="157">
        <f t="shared" si="1"/>
        <v>-178.0389742</v>
      </c>
      <c r="D83" s="158" t="str">
        <f>VLOOKUP(A83,'Classement RoC'!$B$2:$C$149,1,0)</f>
        <v>#N/A</v>
      </c>
      <c r="E83" s="163" t="str">
        <f t="shared" si="2"/>
        <v>#N/A</v>
      </c>
      <c r="F83" s="120" t="str">
        <f>VLOOKUP(A83,'Classement Général'!$B$2:$B$146,1,0)</f>
        <v>#N/A</v>
      </c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</row>
    <row r="84" ht="14.25" customHeight="1">
      <c r="A84" s="160"/>
      <c r="B84" s="156">
        <v>83.0</v>
      </c>
      <c r="C84" s="157">
        <f t="shared" si="1"/>
        <v>-185.5684664</v>
      </c>
      <c r="D84" s="158" t="str">
        <f>VLOOKUP(A84,'Classement RoC'!$B$2:$C$149,1,0)</f>
        <v>#N/A</v>
      </c>
      <c r="E84" s="163" t="str">
        <f t="shared" si="2"/>
        <v>#N/A</v>
      </c>
      <c r="F84" s="120" t="str">
        <f>VLOOKUP(A84,'Classement Général'!$B$2:$B$146,1,0)</f>
        <v>#N/A</v>
      </c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</row>
    <row r="85" ht="14.25" customHeight="1">
      <c r="A85" s="160"/>
      <c r="B85" s="161">
        <v>84.0</v>
      </c>
      <c r="C85" s="157">
        <f t="shared" si="1"/>
        <v>-193.0577702</v>
      </c>
      <c r="D85" s="158" t="str">
        <f>VLOOKUP(A85,'Classement RoC'!$B$2:$C$149,1,0)</f>
        <v>#N/A</v>
      </c>
      <c r="E85" s="163" t="str">
        <f t="shared" si="2"/>
        <v>#N/A</v>
      </c>
      <c r="F85" s="120" t="str">
        <f>VLOOKUP(A85,'Classement Général'!$B$2:$B$146,1,0)</f>
        <v>#N/A</v>
      </c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</row>
    <row r="86" ht="14.25" customHeight="1">
      <c r="A86" s="160"/>
      <c r="B86" s="156">
        <v>85.0</v>
      </c>
      <c r="C86" s="157">
        <f t="shared" si="1"/>
        <v>-200.5077404</v>
      </c>
      <c r="D86" s="158" t="str">
        <f>VLOOKUP(A86,'Classement RoC'!$B$2:$C$149,1,0)</f>
        <v>#N/A</v>
      </c>
      <c r="E86" s="163" t="str">
        <f t="shared" si="2"/>
        <v>#N/A</v>
      </c>
      <c r="F86" s="120" t="str">
        <f>VLOOKUP(A86,'Classement Général'!$B$2:$B$146,1,0)</f>
        <v>#N/A</v>
      </c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</row>
    <row r="87" ht="14.25" customHeight="1">
      <c r="A87" s="160"/>
      <c r="B87" s="161">
        <v>86.0</v>
      </c>
      <c r="C87" s="157">
        <f t="shared" si="1"/>
        <v>-207.9192025</v>
      </c>
      <c r="D87" s="158" t="str">
        <f>VLOOKUP(A87,'Classement RoC'!$B$2:$C$149,1,0)</f>
        <v>#N/A</v>
      </c>
      <c r="E87" s="163" t="str">
        <f t="shared" si="2"/>
        <v>#N/A</v>
      </c>
      <c r="F87" s="120" t="str">
        <f>VLOOKUP(A87,'Classement Général'!$B$2:$B$146,1,0)</f>
        <v>#N/A</v>
      </c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</row>
    <row r="88" ht="14.25" customHeight="1">
      <c r="A88" s="160"/>
      <c r="B88" s="156">
        <v>87.0</v>
      </c>
      <c r="C88" s="157">
        <f t="shared" si="1"/>
        <v>-215.292954</v>
      </c>
      <c r="D88" s="158" t="str">
        <f>VLOOKUP(A88,'Classement RoC'!$B$2:$C$149,1,0)</f>
        <v>#N/A</v>
      </c>
      <c r="E88" s="163" t="str">
        <f t="shared" si="2"/>
        <v>#N/A</v>
      </c>
      <c r="F88" s="120" t="str">
        <f>VLOOKUP(A88,'Classement Général'!$B$2:$B$146,1,0)</f>
        <v>#N/A</v>
      </c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</row>
    <row r="89" ht="14.25" customHeight="1">
      <c r="A89" s="160"/>
      <c r="B89" s="161">
        <v>88.0</v>
      </c>
      <c r="C89" s="157">
        <f t="shared" si="1"/>
        <v>-222.6297655</v>
      </c>
      <c r="D89" s="158" t="str">
        <f>VLOOKUP(A89,'Classement RoC'!$B$2:$C$149,1,0)</f>
        <v>#N/A</v>
      </c>
      <c r="E89" s="163" t="str">
        <f t="shared" si="2"/>
        <v>#N/A</v>
      </c>
      <c r="F89" s="120" t="str">
        <f>VLOOKUP(A89,'Classement Général'!$B$2:$B$146,1,0)</f>
        <v>#N/A</v>
      </c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</row>
    <row r="90" ht="14.25" customHeight="1">
      <c r="A90" s="160"/>
      <c r="B90" s="156">
        <v>89.0</v>
      </c>
      <c r="C90" s="157">
        <f t="shared" si="1"/>
        <v>-229.9303825</v>
      </c>
      <c r="D90" s="158" t="str">
        <f>VLOOKUP(A90,'Classement RoC'!$B$2:$C$149,1,0)</f>
        <v>#N/A</v>
      </c>
      <c r="E90" s="163" t="str">
        <f t="shared" si="2"/>
        <v>#N/A</v>
      </c>
      <c r="F90" s="120" t="str">
        <f>VLOOKUP(A90,'Classement Général'!$B$2:$B$146,1,0)</f>
        <v>#N/A</v>
      </c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</row>
    <row r="91" ht="14.25" customHeight="1">
      <c r="A91" s="160"/>
      <c r="B91" s="161">
        <v>90.0</v>
      </c>
      <c r="C91" s="157">
        <f t="shared" si="1"/>
        <v>-237.1955259</v>
      </c>
      <c r="D91" s="158" t="str">
        <f>VLOOKUP(A91,'Classement RoC'!$B$2:$C$149,1,0)</f>
        <v>#N/A</v>
      </c>
      <c r="E91" s="163" t="str">
        <f t="shared" si="2"/>
        <v>#N/A</v>
      </c>
      <c r="F91" s="120" t="str">
        <f>VLOOKUP(A91,'Classement Général'!$B$2:$B$146,1,0)</f>
        <v>#N/A</v>
      </c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</row>
    <row r="92" ht="14.25" customHeight="1">
      <c r="A92" s="160"/>
      <c r="B92" s="156">
        <v>91.0</v>
      </c>
      <c r="C92" s="157">
        <f t="shared" si="1"/>
        <v>-244.4258935</v>
      </c>
      <c r="D92" s="158" t="str">
        <f>VLOOKUP(A92,'Classement RoC'!$B$2:$C$149,1,0)</f>
        <v>#N/A</v>
      </c>
      <c r="E92" s="163" t="str">
        <f t="shared" si="2"/>
        <v>#N/A</v>
      </c>
      <c r="F92" s="120" t="str">
        <f>VLOOKUP(A92,'Classement Général'!$B$2:$B$146,1,0)</f>
        <v>#N/A</v>
      </c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</row>
    <row r="93" ht="14.25" customHeight="1">
      <c r="A93" s="160"/>
      <c r="B93" s="161">
        <v>92.0</v>
      </c>
      <c r="C93" s="157">
        <f t="shared" si="1"/>
        <v>-251.6221606</v>
      </c>
      <c r="D93" s="158" t="str">
        <f>VLOOKUP(A93,'Classement RoC'!$B$2:$C$149,1,0)</f>
        <v>#N/A</v>
      </c>
      <c r="E93" s="163" t="str">
        <f t="shared" si="2"/>
        <v>#N/A</v>
      </c>
      <c r="F93" s="120" t="str">
        <f>VLOOKUP(A93,'Classement Général'!$B$2:$B$146,1,0)</f>
        <v>#N/A</v>
      </c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</row>
    <row r="94" ht="14.25" customHeight="1">
      <c r="A94" s="160"/>
      <c r="B94" s="156">
        <v>93.0</v>
      </c>
      <c r="C94" s="157">
        <f t="shared" si="1"/>
        <v>-258.7849814</v>
      </c>
      <c r="D94" s="158" t="str">
        <f>VLOOKUP(A94,'Classement RoC'!$B$2:$C$149,1,0)</f>
        <v>#N/A</v>
      </c>
      <c r="E94" s="163" t="str">
        <f t="shared" si="2"/>
        <v>#N/A</v>
      </c>
      <c r="F94" s="120" t="str">
        <f>VLOOKUP(A94,'Classement Général'!$B$2:$B$146,1,0)</f>
        <v>#N/A</v>
      </c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</row>
    <row r="95" ht="14.25" customHeight="1">
      <c r="A95" s="160"/>
      <c r="B95" s="161">
        <v>94.0</v>
      </c>
      <c r="C95" s="157">
        <f t="shared" si="1"/>
        <v>-265.9149897</v>
      </c>
      <c r="D95" s="158" t="str">
        <f>VLOOKUP(A95,'Classement RoC'!$B$2:$C$149,1,0)</f>
        <v>#N/A</v>
      </c>
      <c r="E95" s="163" t="str">
        <f t="shared" si="2"/>
        <v>#N/A</v>
      </c>
      <c r="F95" s="120" t="str">
        <f>VLOOKUP(A95,'Classement Général'!$B$2:$B$146,1,0)</f>
        <v>#N/A</v>
      </c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</row>
    <row r="96" ht="14.25" customHeight="1">
      <c r="A96" s="160"/>
      <c r="B96" s="156">
        <v>95.0</v>
      </c>
      <c r="C96" s="157">
        <f t="shared" si="1"/>
        <v>-273.0127997</v>
      </c>
      <c r="D96" s="158" t="str">
        <f>VLOOKUP(A96,'Classement RoC'!$B$2:$C$149,1,0)</f>
        <v>#N/A</v>
      </c>
      <c r="E96" s="163" t="str">
        <f t="shared" si="2"/>
        <v>#N/A</v>
      </c>
      <c r="F96" s="120" t="str">
        <f>VLOOKUP(A96,'Classement Général'!$B$2:$B$146,1,0)</f>
        <v>#N/A</v>
      </c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</row>
    <row r="97" ht="14.25" customHeight="1">
      <c r="A97" s="160"/>
      <c r="B97" s="161">
        <v>96.0</v>
      </c>
      <c r="C97" s="157">
        <f t="shared" si="1"/>
        <v>-280.0790071</v>
      </c>
      <c r="D97" s="158" t="str">
        <f>VLOOKUP(A97,'Classement RoC'!$B$2:$C$149,1,0)</f>
        <v>#N/A</v>
      </c>
      <c r="E97" s="163" t="str">
        <f t="shared" si="2"/>
        <v>#N/A</v>
      </c>
      <c r="F97" s="120" t="str">
        <f>VLOOKUP(A97,'Classement Général'!$B$2:$B$146,1,0)</f>
        <v>#N/A</v>
      </c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</row>
    <row r="98" ht="14.25" customHeight="1">
      <c r="A98" s="160"/>
      <c r="B98" s="156">
        <v>97.0</v>
      </c>
      <c r="C98" s="157">
        <f t="shared" si="1"/>
        <v>-287.1141894</v>
      </c>
      <c r="D98" s="158" t="str">
        <f>VLOOKUP(A98,'Classement RoC'!$B$2:$C$149,1,0)</f>
        <v>#N/A</v>
      </c>
      <c r="E98" s="163" t="str">
        <f t="shared" si="2"/>
        <v>#N/A</v>
      </c>
      <c r="F98" s="120" t="str">
        <f>VLOOKUP(A98,'Classement Général'!$B$2:$B$146,1,0)</f>
        <v>#N/A</v>
      </c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</row>
    <row r="99" ht="14.25" customHeight="1">
      <c r="A99" s="160"/>
      <c r="B99" s="161">
        <v>98.0</v>
      </c>
      <c r="C99" s="157">
        <f t="shared" si="1"/>
        <v>-294.118907</v>
      </c>
      <c r="D99" s="158" t="str">
        <f>VLOOKUP(A99,'Classement RoC'!$B$2:$C$149,1,0)</f>
        <v>#N/A</v>
      </c>
      <c r="E99" s="163" t="str">
        <f t="shared" si="2"/>
        <v>#N/A</v>
      </c>
      <c r="F99" s="120" t="str">
        <f>VLOOKUP(A99,'Classement Général'!$B$2:$B$146,1,0)</f>
        <v>#N/A</v>
      </c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</row>
    <row r="100" ht="14.25" customHeight="1">
      <c r="A100" s="160"/>
      <c r="B100" s="156">
        <v>99.0</v>
      </c>
      <c r="C100" s="157">
        <f t="shared" si="1"/>
        <v>-301.0937038</v>
      </c>
      <c r="D100" s="158" t="str">
        <f>VLOOKUP(A100,'Classement RoC'!$B$2:$C$149,1,0)</f>
        <v>#N/A</v>
      </c>
      <c r="E100" s="163" t="str">
        <f t="shared" si="2"/>
        <v>#N/A</v>
      </c>
      <c r="F100" s="120" t="str">
        <f>VLOOKUP(A100,'Classement Général'!$B$2:$B$146,1,0)</f>
        <v>#N/A</v>
      </c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</row>
    <row r="101" ht="14.25" customHeight="1">
      <c r="A101" s="160"/>
      <c r="B101" s="161">
        <v>100.0</v>
      </c>
      <c r="C101" s="157">
        <f t="shared" si="1"/>
        <v>-308.0391079</v>
      </c>
      <c r="D101" s="158" t="str">
        <f>VLOOKUP(A101,'Classement RoC'!$B$2:$C$149,1,0)</f>
        <v>#N/A</v>
      </c>
      <c r="E101" s="163" t="str">
        <f t="shared" si="2"/>
        <v>#N/A</v>
      </c>
      <c r="F101" s="120" t="str">
        <f>VLOOKUP(A101,'Classement Général'!$B$2:$B$146,1,0)</f>
        <v>#N/A</v>
      </c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</row>
    <row r="102" ht="14.25" customHeight="1">
      <c r="A102" s="160"/>
      <c r="B102" s="156">
        <v>101.0</v>
      </c>
      <c r="C102" s="157">
        <f t="shared" si="1"/>
        <v>-314.9556321</v>
      </c>
      <c r="D102" s="158" t="str">
        <f>VLOOKUP(A102,'Classement RoC'!$B$2:$C$149,1,0)</f>
        <v>#N/A</v>
      </c>
      <c r="E102" s="163" t="str">
        <f t="shared" si="2"/>
        <v>#N/A</v>
      </c>
      <c r="F102" s="120" t="str">
        <f>VLOOKUP(A102,'Classement Général'!$B$2:$B$146,1,0)</f>
        <v>#N/A</v>
      </c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</row>
    <row r="103" ht="14.25" customHeight="1">
      <c r="A103" s="160"/>
      <c r="B103" s="161">
        <v>102.0</v>
      </c>
      <c r="C103" s="157">
        <f t="shared" si="1"/>
        <v>-321.8437746</v>
      </c>
      <c r="D103" s="158" t="str">
        <f>VLOOKUP(A103,'Classement RoC'!$B$2:$C$149,1,0)</f>
        <v>#N/A</v>
      </c>
      <c r="E103" s="163" t="str">
        <f t="shared" si="2"/>
        <v>#N/A</v>
      </c>
      <c r="F103" s="120" t="str">
        <f>VLOOKUP(A103,'Classement Général'!$B$2:$B$146,1,0)</f>
        <v>#N/A</v>
      </c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</row>
    <row r="104" ht="14.25" customHeight="1">
      <c r="A104" s="160"/>
      <c r="B104" s="156">
        <v>103.0</v>
      </c>
      <c r="C104" s="157">
        <f t="shared" si="1"/>
        <v>-328.7040197</v>
      </c>
      <c r="D104" s="158" t="str">
        <f>VLOOKUP(A104,'Classement RoC'!$B$2:$C$149,1,0)</f>
        <v>#N/A</v>
      </c>
      <c r="E104" s="163" t="str">
        <f t="shared" si="2"/>
        <v>#N/A</v>
      </c>
      <c r="F104" s="120" t="str">
        <f>VLOOKUP(A104,'Classement Général'!$B$2:$B$146,1,0)</f>
        <v>#N/A</v>
      </c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</row>
    <row r="105" ht="14.25" customHeight="1">
      <c r="A105" s="160"/>
      <c r="B105" s="161">
        <v>104.0</v>
      </c>
      <c r="C105" s="157">
        <f t="shared" si="1"/>
        <v>-335.5368378</v>
      </c>
      <c r="D105" s="158" t="str">
        <f>VLOOKUP(A105,'Classement RoC'!$B$2:$C$149,1,0)</f>
        <v>#N/A</v>
      </c>
      <c r="E105" s="163" t="str">
        <f t="shared" si="2"/>
        <v>#N/A</v>
      </c>
      <c r="F105" s="120" t="str">
        <f>VLOOKUP(A105,'Classement Général'!$B$2:$B$146,1,0)</f>
        <v>#N/A</v>
      </c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</row>
    <row r="106" ht="14.25" customHeight="1">
      <c r="A106" s="160"/>
      <c r="B106" s="156">
        <v>105.0</v>
      </c>
      <c r="C106" s="157">
        <f t="shared" si="1"/>
        <v>-342.3426867</v>
      </c>
      <c r="D106" s="158" t="str">
        <f>VLOOKUP(A106,'Classement RoC'!$B$2:$C$149,1,0)</f>
        <v>#N/A</v>
      </c>
      <c r="E106" s="163" t="str">
        <f t="shared" si="2"/>
        <v>#N/A</v>
      </c>
      <c r="F106" s="120" t="str">
        <f>VLOOKUP(A106,'Classement Général'!$B$2:$B$146,1,0)</f>
        <v>#N/A</v>
      </c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</row>
    <row r="107" ht="14.25" customHeight="1">
      <c r="A107" s="160"/>
      <c r="B107" s="161">
        <v>106.0</v>
      </c>
      <c r="C107" s="157">
        <f t="shared" si="1"/>
        <v>-349.1220114</v>
      </c>
      <c r="D107" s="158" t="str">
        <f>VLOOKUP(A107,'Classement RoC'!$B$2:$C$149,1,0)</f>
        <v>#N/A</v>
      </c>
      <c r="E107" s="163" t="str">
        <f t="shared" si="2"/>
        <v>#N/A</v>
      </c>
      <c r="F107" s="120" t="str">
        <f>VLOOKUP(A107,'Classement Général'!$B$2:$B$146,1,0)</f>
        <v>#N/A</v>
      </c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</row>
    <row r="108" ht="14.25" customHeight="1">
      <c r="A108" s="160"/>
      <c r="B108" s="156">
        <v>107.0</v>
      </c>
      <c r="C108" s="157">
        <f t="shared" si="1"/>
        <v>-355.875245</v>
      </c>
      <c r="D108" s="158" t="str">
        <f>VLOOKUP(A108,'Classement RoC'!$B$2:$C$149,1,0)</f>
        <v>#N/A</v>
      </c>
      <c r="E108" s="163" t="str">
        <f t="shared" si="2"/>
        <v>#N/A</v>
      </c>
      <c r="F108" s="120" t="str">
        <f>VLOOKUP(A108,'Classement Général'!$B$2:$B$146,1,0)</f>
        <v>#N/A</v>
      </c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</row>
    <row r="109" ht="14.25" customHeight="1">
      <c r="A109" s="160"/>
      <c r="B109" s="161">
        <v>108.0</v>
      </c>
      <c r="C109" s="157">
        <f t="shared" si="1"/>
        <v>-362.602809</v>
      </c>
      <c r="D109" s="158" t="str">
        <f>VLOOKUP(A109,'Classement RoC'!$B$2:$C$149,1,0)</f>
        <v>#N/A</v>
      </c>
      <c r="E109" s="163" t="str">
        <f t="shared" si="2"/>
        <v>#N/A</v>
      </c>
      <c r="F109" s="120" t="str">
        <f>VLOOKUP(A109,'Classement Général'!$B$2:$B$146,1,0)</f>
        <v>#N/A</v>
      </c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</row>
    <row r="110" ht="14.25" customHeight="1">
      <c r="A110" s="160"/>
      <c r="B110" s="156">
        <v>109.0</v>
      </c>
      <c r="C110" s="157">
        <f t="shared" si="1"/>
        <v>-369.3051136</v>
      </c>
      <c r="D110" s="158" t="str">
        <f>VLOOKUP(A110,'Classement RoC'!$B$2:$C$149,1,0)</f>
        <v>#N/A</v>
      </c>
      <c r="E110" s="163" t="str">
        <f t="shared" si="2"/>
        <v>#N/A</v>
      </c>
      <c r="F110" s="120" t="str">
        <f>VLOOKUP(A110,'Classement Général'!$B$2:$B$146,1,0)</f>
        <v>#N/A</v>
      </c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</row>
    <row r="111" ht="14.25" customHeight="1">
      <c r="A111" s="160"/>
      <c r="B111" s="161">
        <v>110.0</v>
      </c>
      <c r="C111" s="157">
        <f t="shared" si="1"/>
        <v>-375.9825583</v>
      </c>
      <c r="D111" s="158" t="str">
        <f>VLOOKUP(A111,'Classement RoC'!$B$2:$C$149,1,0)</f>
        <v>#N/A</v>
      </c>
      <c r="E111" s="163" t="str">
        <f t="shared" si="2"/>
        <v>#N/A</v>
      </c>
      <c r="F111" s="120" t="str">
        <f>VLOOKUP(A111,'Classement Général'!$B$2:$B$146,1,0)</f>
        <v>#N/A</v>
      </c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</row>
    <row r="112" ht="14.25" customHeight="1">
      <c r="A112" s="160"/>
      <c r="B112" s="156">
        <v>111.0</v>
      </c>
      <c r="C112" s="157">
        <f t="shared" si="1"/>
        <v>-382.6355323</v>
      </c>
      <c r="D112" s="158" t="str">
        <f>VLOOKUP(A112,'Classement RoC'!$B$2:$C$149,1,0)</f>
        <v>#N/A</v>
      </c>
      <c r="E112" s="163" t="str">
        <f t="shared" si="2"/>
        <v>#N/A</v>
      </c>
      <c r="F112" s="120" t="str">
        <f>VLOOKUP(A112,'Classement Général'!$B$2:$B$146,1,0)</f>
        <v>#N/A</v>
      </c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</row>
    <row r="113" ht="14.25" customHeight="1">
      <c r="A113" s="160"/>
      <c r="B113" s="161">
        <v>112.0</v>
      </c>
      <c r="C113" s="157">
        <f t="shared" si="1"/>
        <v>-389.2644146</v>
      </c>
      <c r="D113" s="158" t="str">
        <f>VLOOKUP(A113,'Classement RoC'!$B$2:$C$149,1,0)</f>
        <v>#N/A</v>
      </c>
      <c r="E113" s="163" t="str">
        <f t="shared" si="2"/>
        <v>#N/A</v>
      </c>
      <c r="F113" s="120" t="str">
        <f>VLOOKUP(A113,'Classement Général'!$B$2:$B$146,1,0)</f>
        <v>#N/A</v>
      </c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</row>
    <row r="114" ht="14.25" customHeight="1">
      <c r="A114" s="160"/>
      <c r="B114" s="156">
        <v>113.0</v>
      </c>
      <c r="C114" s="157">
        <f t="shared" si="1"/>
        <v>-395.8695745</v>
      </c>
      <c r="D114" s="158" t="str">
        <f>VLOOKUP(A114,'Classement RoC'!$B$2:$C$149,1,0)</f>
        <v>#N/A</v>
      </c>
      <c r="E114" s="163" t="str">
        <f t="shared" si="2"/>
        <v>#N/A</v>
      </c>
      <c r="F114" s="120" t="str">
        <f>VLOOKUP(A114,'Classement Général'!$B$2:$B$146,1,0)</f>
        <v>#N/A</v>
      </c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</row>
    <row r="115" ht="14.25" customHeight="1">
      <c r="A115" s="160"/>
      <c r="B115" s="161">
        <v>114.0</v>
      </c>
      <c r="C115" s="157">
        <f t="shared" si="1"/>
        <v>-402.4513723</v>
      </c>
      <c r="D115" s="158" t="str">
        <f>VLOOKUP(A115,'Classement RoC'!$B$2:$C$149,1,0)</f>
        <v>#N/A</v>
      </c>
      <c r="E115" s="163" t="str">
        <f t="shared" si="2"/>
        <v>#N/A</v>
      </c>
      <c r="F115" s="120" t="str">
        <f>VLOOKUP(A115,'Classement Général'!$B$2:$B$146,1,0)</f>
        <v>#N/A</v>
      </c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</row>
    <row r="116" ht="14.25" customHeight="1">
      <c r="A116" s="160"/>
      <c r="B116" s="156">
        <v>115.0</v>
      </c>
      <c r="C116" s="157">
        <f t="shared" si="1"/>
        <v>-409.0101589</v>
      </c>
      <c r="D116" s="158" t="str">
        <f>VLOOKUP(A116,'Classement RoC'!$B$2:$C$149,1,0)</f>
        <v>#N/A</v>
      </c>
      <c r="E116" s="163" t="str">
        <f t="shared" si="2"/>
        <v>#N/A</v>
      </c>
      <c r="F116" s="120" t="str">
        <f>VLOOKUP(A116,'Classement Général'!$B$2:$B$146,1,0)</f>
        <v>#N/A</v>
      </c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</row>
    <row r="117" ht="14.25" customHeight="1">
      <c r="A117" s="160"/>
      <c r="B117" s="161">
        <v>116.0</v>
      </c>
      <c r="C117" s="157">
        <f t="shared" si="1"/>
        <v>-415.5462766</v>
      </c>
      <c r="D117" s="158" t="str">
        <f>VLOOKUP(A117,'Classement RoC'!$B$2:$C$149,1,0)</f>
        <v>#N/A</v>
      </c>
      <c r="E117" s="163" t="str">
        <f t="shared" si="2"/>
        <v>#N/A</v>
      </c>
      <c r="F117" s="120" t="str">
        <f>VLOOKUP(A117,'Classement Général'!$B$2:$B$146,1,0)</f>
        <v>#N/A</v>
      </c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</row>
    <row r="118" ht="14.25" customHeight="1">
      <c r="A118" s="160"/>
      <c r="B118" s="156">
        <v>117.0</v>
      </c>
      <c r="C118" s="157">
        <f t="shared" si="1"/>
        <v>-422.0600595</v>
      </c>
      <c r="D118" s="158" t="str">
        <f>VLOOKUP(A118,'Classement RoC'!$B$2:$C$149,1,0)</f>
        <v>#N/A</v>
      </c>
      <c r="E118" s="163" t="str">
        <f t="shared" si="2"/>
        <v>#N/A</v>
      </c>
      <c r="F118" s="120" t="str">
        <f>VLOOKUP(A118,'Classement Général'!$B$2:$B$146,1,0)</f>
        <v>#N/A</v>
      </c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</row>
    <row r="119" ht="14.25" customHeight="1">
      <c r="A119" s="160"/>
      <c r="B119" s="161">
        <v>118.0</v>
      </c>
      <c r="C119" s="157">
        <f t="shared" si="1"/>
        <v>-428.5518333</v>
      </c>
      <c r="D119" s="158" t="str">
        <f>VLOOKUP(A119,'Classement RoC'!$B$2:$C$149,1,0)</f>
        <v>#N/A</v>
      </c>
      <c r="E119" s="163" t="str">
        <f t="shared" si="2"/>
        <v>#N/A</v>
      </c>
      <c r="F119" s="120" t="str">
        <f>VLOOKUP(A119,'Classement Général'!$B$2:$B$146,1,0)</f>
        <v>#N/A</v>
      </c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</row>
    <row r="120" ht="14.25" customHeight="1">
      <c r="A120" s="160"/>
      <c r="B120" s="156">
        <v>119.0</v>
      </c>
      <c r="C120" s="157">
        <f t="shared" si="1"/>
        <v>-435.0219161</v>
      </c>
      <c r="D120" s="158" t="str">
        <f>VLOOKUP(A120,'Classement RoC'!$B$2:$C$149,1,0)</f>
        <v>#N/A</v>
      </c>
      <c r="E120" s="163" t="str">
        <f t="shared" si="2"/>
        <v>#N/A</v>
      </c>
      <c r="F120" s="120" t="str">
        <f>VLOOKUP(A120,'Classement Général'!$B$2:$B$146,1,0)</f>
        <v>#N/A</v>
      </c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</row>
    <row r="121" ht="14.25" customHeight="1">
      <c r="A121" s="160"/>
      <c r="B121" s="161">
        <v>120.0</v>
      </c>
      <c r="C121" s="157">
        <f t="shared" si="1"/>
        <v>-441.470618</v>
      </c>
      <c r="D121" s="158" t="str">
        <f>VLOOKUP(A121,'Classement RoC'!$B$2:$C$149,1,0)</f>
        <v>#N/A</v>
      </c>
      <c r="E121" s="163" t="str">
        <f t="shared" si="2"/>
        <v>#N/A</v>
      </c>
      <c r="F121" s="120" t="str">
        <f>VLOOKUP(A121,'Classement Général'!$B$2:$B$146,1,0)</f>
        <v>#N/A</v>
      </c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</row>
    <row r="122" ht="14.25" customHeight="1">
      <c r="A122" s="160"/>
      <c r="B122" s="156">
        <v>121.0</v>
      </c>
      <c r="C122" s="157">
        <f t="shared" si="1"/>
        <v>-447.8982422</v>
      </c>
      <c r="D122" s="158" t="str">
        <f>VLOOKUP(A122,'Classement RoC'!$B$2:$C$149,1,0)</f>
        <v>#N/A</v>
      </c>
      <c r="E122" s="163" t="str">
        <f t="shared" si="2"/>
        <v>#N/A</v>
      </c>
      <c r="F122" s="120" t="str">
        <f>VLOOKUP(A122,'Classement Général'!$B$2:$B$146,1,0)</f>
        <v>#N/A</v>
      </c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</row>
    <row r="123" ht="14.25" customHeight="1">
      <c r="A123" s="160"/>
      <c r="B123" s="161">
        <v>122.0</v>
      </c>
      <c r="C123" s="157">
        <f t="shared" si="1"/>
        <v>-454.3050846</v>
      </c>
      <c r="D123" s="158" t="str">
        <f>VLOOKUP(A123,'Classement RoC'!$B$2:$C$149,1,0)</f>
        <v>#N/A</v>
      </c>
      <c r="E123" s="163" t="str">
        <f t="shared" si="2"/>
        <v>#N/A</v>
      </c>
      <c r="F123" s="120" t="str">
        <f>VLOOKUP(A123,'Classement Général'!$B$2:$B$146,1,0)</f>
        <v>#N/A</v>
      </c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</row>
    <row r="124" ht="14.25" customHeight="1">
      <c r="A124" s="160"/>
      <c r="B124" s="156">
        <v>123.0</v>
      </c>
      <c r="C124" s="157">
        <f t="shared" si="1"/>
        <v>-460.6914341</v>
      </c>
      <c r="D124" s="158" t="str">
        <f>VLOOKUP(A124,'Classement RoC'!$B$2:$C$149,1,0)</f>
        <v>#N/A</v>
      </c>
      <c r="E124" s="163" t="str">
        <f t="shared" si="2"/>
        <v>#N/A</v>
      </c>
      <c r="F124" s="120" t="str">
        <f>VLOOKUP(A124,'Classement Général'!$B$2:$B$146,1,0)</f>
        <v>#N/A</v>
      </c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</row>
    <row r="125" ht="14.25" customHeight="1">
      <c r="A125" s="160"/>
      <c r="B125" s="161">
        <v>124.0</v>
      </c>
      <c r="C125" s="157">
        <f t="shared" si="1"/>
        <v>-467.0575731</v>
      </c>
      <c r="D125" s="158" t="str">
        <f>VLOOKUP(A125,'Classement RoC'!$B$2:$C$149,1,0)</f>
        <v>#N/A</v>
      </c>
      <c r="E125" s="163" t="str">
        <f t="shared" si="2"/>
        <v>#N/A</v>
      </c>
      <c r="F125" s="120" t="str">
        <f>VLOOKUP(A125,'Classement Général'!$B$2:$B$146,1,0)</f>
        <v>#N/A</v>
      </c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</row>
    <row r="126" ht="14.25" customHeight="1">
      <c r="A126" s="160"/>
      <c r="B126" s="156">
        <v>125.0</v>
      </c>
      <c r="C126" s="157">
        <f t="shared" si="1"/>
        <v>-473.4037775</v>
      </c>
      <c r="D126" s="158" t="str">
        <f>VLOOKUP(A126,'Classement RoC'!$B$2:$C$149,1,0)</f>
        <v>#N/A</v>
      </c>
      <c r="E126" s="163" t="str">
        <f t="shared" si="2"/>
        <v>#N/A</v>
      </c>
      <c r="F126" s="120" t="str">
        <f>VLOOKUP(A126,'Classement Général'!$B$2:$B$146,1,0)</f>
        <v>#N/A</v>
      </c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</row>
    <row r="127" ht="14.25" customHeight="1">
      <c r="A127" s="160"/>
      <c r="B127" s="161">
        <v>126.0</v>
      </c>
      <c r="C127" s="157">
        <f t="shared" si="1"/>
        <v>-479.7303169</v>
      </c>
      <c r="D127" s="158" t="str">
        <f>VLOOKUP(A127,'Classement RoC'!$B$2:$C$149,1,0)</f>
        <v>#N/A</v>
      </c>
      <c r="E127" s="163" t="str">
        <f t="shared" si="2"/>
        <v>#N/A</v>
      </c>
      <c r="F127" s="120" t="str">
        <f>VLOOKUP(A127,'Classement Général'!$B$2:$B$146,1,0)</f>
        <v>#N/A</v>
      </c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</row>
    <row r="128" ht="14.25" customHeight="1">
      <c r="A128" s="160"/>
      <c r="B128" s="156">
        <v>127.0</v>
      </c>
      <c r="C128" s="157">
        <f t="shared" si="1"/>
        <v>-486.0374549</v>
      </c>
      <c r="D128" s="158" t="str">
        <f>VLOOKUP(A128,'Classement RoC'!$B$2:$C$149,1,0)</f>
        <v>#N/A</v>
      </c>
      <c r="E128" s="163" t="str">
        <f t="shared" si="2"/>
        <v>#N/A</v>
      </c>
      <c r="F128" s="120" t="str">
        <f>VLOOKUP(A128,'Classement Général'!$B$2:$B$146,1,0)</f>
        <v>#N/A</v>
      </c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</row>
    <row r="129" ht="14.25" customHeight="1">
      <c r="A129" s="160"/>
      <c r="B129" s="161">
        <v>128.0</v>
      </c>
      <c r="C129" s="157">
        <f t="shared" si="1"/>
        <v>-492.3254493</v>
      </c>
      <c r="D129" s="158" t="str">
        <f>VLOOKUP(A129,'Classement RoC'!$B$2:$C$149,1,0)</f>
        <v>#N/A</v>
      </c>
      <c r="E129" s="163" t="str">
        <f t="shared" si="2"/>
        <v>#N/A</v>
      </c>
      <c r="F129" s="120" t="str">
        <f>VLOOKUP(A129,'Classement Général'!$B$2:$B$146,1,0)</f>
        <v>#N/A</v>
      </c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</row>
    <row r="130" ht="14.25" customHeight="1">
      <c r="A130" s="160"/>
      <c r="B130" s="156">
        <v>129.0</v>
      </c>
      <c r="C130" s="157">
        <f t="shared" si="1"/>
        <v>-498.594552</v>
      </c>
      <c r="D130" s="158" t="str">
        <f>VLOOKUP(A130,'Classement RoC'!$B$2:$C$149,1,0)</f>
        <v>#N/A</v>
      </c>
      <c r="E130" s="163" t="str">
        <f t="shared" si="2"/>
        <v>#N/A</v>
      </c>
      <c r="F130" s="120" t="str">
        <f>VLOOKUP(A130,'Classement Général'!$B$2:$B$146,1,0)</f>
        <v>#N/A</v>
      </c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</row>
    <row r="131" ht="14.25" customHeight="1">
      <c r="A131" s="160"/>
      <c r="B131" s="161">
        <v>130.0</v>
      </c>
      <c r="C131" s="157">
        <f t="shared" si="1"/>
        <v>-504.8450095</v>
      </c>
      <c r="D131" s="158" t="str">
        <f>VLOOKUP(A131,'Classement RoC'!$B$2:$C$149,1,0)</f>
        <v>#N/A</v>
      </c>
      <c r="E131" s="163" t="str">
        <f t="shared" si="2"/>
        <v>#N/A</v>
      </c>
      <c r="F131" s="120" t="str">
        <f>VLOOKUP(A131,'Classement Général'!$B$2:$B$146,1,0)</f>
        <v>#N/A</v>
      </c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</row>
    <row r="132" ht="14.25" customHeight="1">
      <c r="A132" s="160"/>
      <c r="B132" s="156">
        <v>131.0</v>
      </c>
      <c r="C132" s="157">
        <f t="shared" si="1"/>
        <v>-511.0770631</v>
      </c>
      <c r="D132" s="158" t="str">
        <f>VLOOKUP(A132,'Classement RoC'!$B$2:$C$149,1,0)</f>
        <v>#N/A</v>
      </c>
      <c r="E132" s="163" t="str">
        <f t="shared" si="2"/>
        <v>#N/A</v>
      </c>
      <c r="F132" s="120" t="str">
        <f>VLOOKUP(A132,'Classement Général'!$B$2:$B$146,1,0)</f>
        <v>#N/A</v>
      </c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</row>
    <row r="133" ht="14.25" customHeight="1">
      <c r="A133" s="160"/>
      <c r="B133" s="161">
        <v>132.0</v>
      </c>
      <c r="C133" s="157">
        <f t="shared" si="1"/>
        <v>-517.2909485</v>
      </c>
      <c r="D133" s="158" t="str">
        <f>VLOOKUP(A133,'Classement RoC'!$B$2:$C$149,1,0)</f>
        <v>#N/A</v>
      </c>
      <c r="E133" s="163" t="str">
        <f t="shared" si="2"/>
        <v>#N/A</v>
      </c>
      <c r="F133" s="120" t="str">
        <f>VLOOKUP(A133,'Classement Général'!$B$2:$B$146,1,0)</f>
        <v>#N/A</v>
      </c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</row>
    <row r="134" ht="14.25" customHeight="1">
      <c r="A134" s="160"/>
      <c r="B134" s="156">
        <v>133.0</v>
      </c>
      <c r="C134" s="157">
        <f t="shared" si="1"/>
        <v>-523.4868968</v>
      </c>
      <c r="D134" s="158" t="str">
        <f>VLOOKUP(A134,'Classement RoC'!$B$2:$C$149,1,0)</f>
        <v>#N/A</v>
      </c>
      <c r="E134" s="163" t="str">
        <f t="shared" si="2"/>
        <v>#N/A</v>
      </c>
      <c r="F134" s="120" t="str">
        <f>VLOOKUP(A134,'Classement Général'!$B$2:$B$146,1,0)</f>
        <v>#N/A</v>
      </c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</row>
    <row r="135" ht="14.25" customHeight="1">
      <c r="A135" s="160"/>
      <c r="B135" s="161">
        <v>134.0</v>
      </c>
      <c r="C135" s="157">
        <f t="shared" si="1"/>
        <v>-529.665134</v>
      </c>
      <c r="D135" s="158" t="str">
        <f>VLOOKUP(A135,'Classement RoC'!$B$2:$C$149,1,0)</f>
        <v>#N/A</v>
      </c>
      <c r="E135" s="163" t="str">
        <f t="shared" si="2"/>
        <v>#N/A</v>
      </c>
      <c r="F135" s="120" t="str">
        <f>VLOOKUP(A135,'Classement Général'!$B$2:$B$146,1,0)</f>
        <v>#N/A</v>
      </c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</row>
    <row r="136" ht="14.25" customHeight="1">
      <c r="A136" s="160"/>
      <c r="B136" s="156">
        <v>135.0</v>
      </c>
      <c r="C136" s="157">
        <f t="shared" si="1"/>
        <v>-535.8258812</v>
      </c>
      <c r="D136" s="158" t="str">
        <f>VLOOKUP(A136,'Classement RoC'!$B$2:$C$149,1,0)</f>
        <v>#N/A</v>
      </c>
      <c r="E136" s="163" t="str">
        <f t="shared" si="2"/>
        <v>#N/A</v>
      </c>
      <c r="F136" s="120" t="str">
        <f>VLOOKUP(A136,'Classement Général'!$B$2:$B$146,1,0)</f>
        <v>#N/A</v>
      </c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</row>
    <row r="137" ht="14.25" customHeight="1">
      <c r="A137" s="160"/>
      <c r="B137" s="161">
        <v>136.0</v>
      </c>
      <c r="C137" s="157">
        <f t="shared" si="1"/>
        <v>-541.9693553</v>
      </c>
      <c r="D137" s="158" t="str">
        <f>VLOOKUP(A137,'Classement RoC'!$B$2:$C$149,1,0)</f>
        <v>#N/A</v>
      </c>
      <c r="E137" s="163" t="str">
        <f t="shared" si="2"/>
        <v>#N/A</v>
      </c>
      <c r="F137" s="120" t="str">
        <f>VLOOKUP(A137,'Classement Général'!$B$2:$B$146,1,0)</f>
        <v>#N/A</v>
      </c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</row>
    <row r="138" ht="14.25" customHeight="1">
      <c r="A138" s="160"/>
      <c r="B138" s="156">
        <v>137.0</v>
      </c>
      <c r="C138" s="157">
        <f t="shared" si="1"/>
        <v>-548.0957683</v>
      </c>
      <c r="D138" s="158" t="str">
        <f>VLOOKUP(A138,'Classement RoC'!$B$2:$C$149,1,0)</f>
        <v>#N/A</v>
      </c>
      <c r="E138" s="163" t="str">
        <f t="shared" si="2"/>
        <v>#N/A</v>
      </c>
      <c r="F138" s="120" t="str">
        <f>VLOOKUP(A138,'Classement Général'!$B$2:$B$146,1,0)</f>
        <v>#N/A</v>
      </c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</row>
    <row r="139" ht="14.25" customHeight="1">
      <c r="A139" s="160"/>
      <c r="B139" s="161">
        <v>138.0</v>
      </c>
      <c r="C139" s="157">
        <f t="shared" si="1"/>
        <v>-554.205328</v>
      </c>
      <c r="D139" s="158" t="str">
        <f>VLOOKUP(A139,'Classement RoC'!$B$2:$C$149,1,0)</f>
        <v>#N/A</v>
      </c>
      <c r="E139" s="163" t="str">
        <f t="shared" si="2"/>
        <v>#N/A</v>
      </c>
      <c r="F139" s="120" t="str">
        <f>VLOOKUP(A139,'Classement Général'!$B$2:$B$146,1,0)</f>
        <v>#N/A</v>
      </c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</row>
    <row r="140" ht="14.25" customHeight="1">
      <c r="A140" s="160"/>
      <c r="B140" s="156">
        <v>139.0</v>
      </c>
      <c r="C140" s="157">
        <f t="shared" si="1"/>
        <v>-560.2982382</v>
      </c>
      <c r="D140" s="158" t="str">
        <f>VLOOKUP(A140,'Classement RoC'!$B$2:$C$149,1,0)</f>
        <v>#N/A</v>
      </c>
      <c r="E140" s="163" t="str">
        <f t="shared" si="2"/>
        <v>#N/A</v>
      </c>
      <c r="F140" s="120" t="str">
        <f>VLOOKUP(A140,'Classement Général'!$B$2:$B$146,1,0)</f>
        <v>#N/A</v>
      </c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</row>
    <row r="141" ht="14.25" customHeight="1">
      <c r="A141" s="160"/>
      <c r="B141" s="161">
        <v>140.0</v>
      </c>
      <c r="C141" s="157">
        <f t="shared" si="1"/>
        <v>-566.3746981</v>
      </c>
      <c r="D141" s="158" t="str">
        <f>VLOOKUP(A141,'Classement RoC'!$B$2:$C$149,1,0)</f>
        <v>#N/A</v>
      </c>
      <c r="E141" s="163" t="str">
        <f t="shared" si="2"/>
        <v>#N/A</v>
      </c>
      <c r="F141" s="120" t="str">
        <f>VLOOKUP(A141,'Classement Général'!$B$2:$B$146,1,0)</f>
        <v>#N/A</v>
      </c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</row>
    <row r="142" ht="14.25" customHeight="1">
      <c r="A142" s="160"/>
      <c r="B142" s="156">
        <v>141.0</v>
      </c>
      <c r="C142" s="157">
        <f t="shared" si="1"/>
        <v>-572.4349033</v>
      </c>
      <c r="D142" s="158" t="str">
        <f>VLOOKUP(A142,'Classement RoC'!$B$2:$C$149,1,0)</f>
        <v>#N/A</v>
      </c>
      <c r="E142" s="163" t="str">
        <f t="shared" si="2"/>
        <v>#N/A</v>
      </c>
      <c r="F142" s="120" t="str">
        <f>VLOOKUP(A142,'Classement Général'!$B$2:$B$146,1,0)</f>
        <v>#N/A</v>
      </c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</row>
    <row r="143" ht="14.25" customHeight="1">
      <c r="A143" s="160"/>
      <c r="B143" s="161">
        <v>142.0</v>
      </c>
      <c r="C143" s="157">
        <f t="shared" si="1"/>
        <v>-578.4790455</v>
      </c>
      <c r="D143" s="158" t="str">
        <f>VLOOKUP(A143,'Classement RoC'!$B$2:$C$149,1,0)</f>
        <v>#N/A</v>
      </c>
      <c r="E143" s="163" t="str">
        <f t="shared" si="2"/>
        <v>#N/A</v>
      </c>
      <c r="F143" s="120" t="str">
        <f>VLOOKUP(A143,'Classement Général'!$B$2:$B$146,1,0)</f>
        <v>#N/A</v>
      </c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</row>
    <row r="144" ht="14.25" customHeight="1">
      <c r="A144" s="160"/>
      <c r="B144" s="156">
        <v>143.0</v>
      </c>
      <c r="C144" s="157">
        <f t="shared" si="1"/>
        <v>-584.5073123</v>
      </c>
      <c r="D144" s="158" t="str">
        <f>VLOOKUP(A144,'Classement RoC'!$B$2:$C$149,1,0)</f>
        <v>#N/A</v>
      </c>
      <c r="E144" s="163" t="str">
        <f t="shared" si="2"/>
        <v>#N/A</v>
      </c>
      <c r="F144" s="120" t="str">
        <f>VLOOKUP(A144,'Classement Général'!$B$2:$B$146,1,0)</f>
        <v>#N/A</v>
      </c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</row>
    <row r="145" ht="14.25" customHeight="1">
      <c r="A145" s="160"/>
      <c r="B145" s="161">
        <v>144.0</v>
      </c>
      <c r="C145" s="157">
        <f t="shared" si="1"/>
        <v>-590.5198879</v>
      </c>
      <c r="D145" s="158" t="str">
        <f>VLOOKUP(A145,'Classement RoC'!$B$2:$C$149,1,0)</f>
        <v>#N/A</v>
      </c>
      <c r="E145" s="163" t="str">
        <f t="shared" si="2"/>
        <v>#N/A</v>
      </c>
      <c r="F145" s="120" t="str">
        <f>VLOOKUP(A145,'Classement Général'!$B$2:$B$146,1,0)</f>
        <v>#N/A</v>
      </c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</row>
    <row r="146" ht="14.25" customHeight="1">
      <c r="A146" s="160"/>
      <c r="B146" s="156">
        <v>145.0</v>
      </c>
      <c r="C146" s="157">
        <f t="shared" si="1"/>
        <v>-596.5169529</v>
      </c>
      <c r="D146" s="158" t="str">
        <f>VLOOKUP(A146,'Classement RoC'!$B$2:$C$149,1,0)</f>
        <v>#N/A</v>
      </c>
      <c r="E146" s="163" t="str">
        <f t="shared" si="2"/>
        <v>#N/A</v>
      </c>
      <c r="F146" s="120" t="str">
        <f>VLOOKUP(A146,'Classement Général'!$B$2:$B$146,1,0)</f>
        <v>#N/A</v>
      </c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</row>
    <row r="147" ht="14.25" customHeight="1">
      <c r="A147" s="160"/>
      <c r="B147" s="161">
        <v>146.0</v>
      </c>
      <c r="C147" s="157">
        <f t="shared" si="1"/>
        <v>-602.4986844</v>
      </c>
      <c r="D147" s="158" t="str">
        <f>VLOOKUP(A147,'Classement RoC'!$B$2:$C$149,1,0)</f>
        <v>#N/A</v>
      </c>
      <c r="E147" s="163" t="str">
        <f t="shared" si="2"/>
        <v>#N/A</v>
      </c>
      <c r="F147" s="120" t="str">
        <f>VLOOKUP(A147,'Classement Général'!$B$2:$B$146,1,0)</f>
        <v>#N/A</v>
      </c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</row>
    <row r="148" ht="14.25" customHeight="1">
      <c r="A148" s="160"/>
      <c r="B148" s="156">
        <v>147.0</v>
      </c>
      <c r="C148" s="157">
        <f t="shared" si="1"/>
        <v>-608.4652559</v>
      </c>
      <c r="D148" s="158" t="str">
        <f>VLOOKUP(A148,'Classement RoC'!$B$2:$C$149,1,0)</f>
        <v>#N/A</v>
      </c>
      <c r="E148" s="163" t="str">
        <f t="shared" si="2"/>
        <v>#N/A</v>
      </c>
      <c r="F148" s="120" t="str">
        <f>VLOOKUP(A148,'Classement Général'!$B$2:$B$146,1,0)</f>
        <v>#N/A</v>
      </c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</row>
    <row r="149" ht="14.25" customHeight="1">
      <c r="A149" s="160"/>
      <c r="B149" s="161">
        <v>148.0</v>
      </c>
      <c r="C149" s="157">
        <f t="shared" si="1"/>
        <v>-614.4168379</v>
      </c>
      <c r="D149" s="158" t="str">
        <f>VLOOKUP(A149,'Classement RoC'!$B$2:$C$149,1,0)</f>
        <v>#N/A</v>
      </c>
      <c r="E149" s="163" t="str">
        <f t="shared" si="2"/>
        <v>#N/A</v>
      </c>
      <c r="F149" s="120" t="str">
        <f>VLOOKUP(A149,'Classement Général'!$B$2:$B$146,1,0)</f>
        <v>#N/A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</row>
    <row r="150" ht="14.25" customHeight="1">
      <c r="A150" s="160"/>
      <c r="B150" s="156">
        <v>149.0</v>
      </c>
      <c r="C150" s="157">
        <f t="shared" si="1"/>
        <v>-620.3535976</v>
      </c>
      <c r="D150" s="158" t="str">
        <f>VLOOKUP(A150,'Classement RoC'!$B$2:$C$149,1,0)</f>
        <v>#N/A</v>
      </c>
      <c r="E150" s="163" t="str">
        <f t="shared" si="2"/>
        <v>#N/A</v>
      </c>
      <c r="F150" s="120" t="str">
        <f>VLOOKUP(A150,'Classement Général'!$B$2:$B$146,1,0)</f>
        <v>#N/A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</row>
    <row r="151" ht="14.25" customHeight="1">
      <c r="A151" s="160"/>
      <c r="B151" s="161">
        <v>150.0</v>
      </c>
      <c r="C151" s="157">
        <f t="shared" si="1"/>
        <v>-626.2756989</v>
      </c>
      <c r="D151" s="158" t="str">
        <f>VLOOKUP(A151,'Classement RoC'!$B$2:$C$149,1,0)</f>
        <v>#N/A</v>
      </c>
      <c r="E151" s="163" t="str">
        <f t="shared" si="2"/>
        <v>#N/A</v>
      </c>
      <c r="F151" s="120" t="str">
        <f>VLOOKUP(A151,'Classement Général'!$B$2:$B$146,1,0)</f>
        <v>#N/A</v>
      </c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</row>
    <row r="152" ht="14.25" customHeight="1">
      <c r="A152" s="160"/>
      <c r="B152" s="156">
        <v>151.0</v>
      </c>
      <c r="C152" s="157">
        <f t="shared" si="1"/>
        <v>-632.1833028</v>
      </c>
      <c r="D152" s="158" t="str">
        <f>VLOOKUP(A152,'Classement RoC'!$B$2:$C$149,1,0)</f>
        <v>#N/A</v>
      </c>
      <c r="E152" s="163" t="str">
        <f t="shared" si="2"/>
        <v>#N/A</v>
      </c>
      <c r="F152" s="120" t="str">
        <f>VLOOKUP(A152,'Classement Général'!$B$2:$B$146,1,0)</f>
        <v>#N/A</v>
      </c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</row>
    <row r="153" ht="14.25" customHeight="1">
      <c r="A153" s="160"/>
      <c r="B153" s="161">
        <v>152.0</v>
      </c>
      <c r="C153" s="157">
        <f t="shared" si="1"/>
        <v>-638.0765674</v>
      </c>
      <c r="D153" s="158" t="str">
        <f>VLOOKUP(A153,'Classement RoC'!$B$2:$C$149,1,0)</f>
        <v>#N/A</v>
      </c>
      <c r="E153" s="163" t="str">
        <f t="shared" si="2"/>
        <v>#N/A</v>
      </c>
      <c r="F153" s="120" t="str">
        <f>VLOOKUP(A153,'Classement Général'!$B$2:$B$146,1,0)</f>
        <v>#N/A</v>
      </c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</row>
    <row r="154" ht="14.25" customHeight="1">
      <c r="A154" s="160"/>
      <c r="B154" s="156">
        <v>153.0</v>
      </c>
      <c r="C154" s="157">
        <f t="shared" si="1"/>
        <v>-643.9556477</v>
      </c>
      <c r="D154" s="158" t="str">
        <f>VLOOKUP(A154,'Classement RoC'!$B$2:$C$149,1,0)</f>
        <v>#N/A</v>
      </c>
      <c r="E154" s="163" t="str">
        <f t="shared" si="2"/>
        <v>#N/A</v>
      </c>
      <c r="F154" s="120" t="str">
        <f>VLOOKUP(A154,'Classement Général'!$B$2:$B$146,1,0)</f>
        <v>#N/A</v>
      </c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</row>
    <row r="155" ht="14.25" customHeight="1">
      <c r="A155" s="160"/>
      <c r="B155" s="161">
        <v>154.0</v>
      </c>
      <c r="C155" s="157">
        <f t="shared" si="1"/>
        <v>-649.820696</v>
      </c>
      <c r="D155" s="158" t="str">
        <f>VLOOKUP(A155,'Classement RoC'!$B$2:$C$149,1,0)</f>
        <v>#N/A</v>
      </c>
      <c r="E155" s="163" t="str">
        <f t="shared" si="2"/>
        <v>#N/A</v>
      </c>
      <c r="F155" s="120" t="str">
        <f>VLOOKUP(A155,'Classement Général'!$B$2:$B$146,1,0)</f>
        <v>#N/A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</row>
    <row r="156" ht="14.25" customHeight="1">
      <c r="A156" s="160"/>
      <c r="B156" s="156">
        <v>155.0</v>
      </c>
      <c r="C156" s="157">
        <f t="shared" si="1"/>
        <v>-655.6718619</v>
      </c>
      <c r="D156" s="158" t="str">
        <f>VLOOKUP(A156,'Classement RoC'!$B$2:$C$149,1,0)</f>
        <v>#N/A</v>
      </c>
      <c r="E156" s="163" t="str">
        <f t="shared" si="2"/>
        <v>#N/A</v>
      </c>
      <c r="F156" s="120" t="str">
        <f>VLOOKUP(A156,'Classement Général'!$B$2:$B$146,1,0)</f>
        <v>#N/A</v>
      </c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</row>
    <row r="157" ht="14.25" customHeight="1">
      <c r="A157" s="160"/>
      <c r="B157" s="161">
        <v>156.0</v>
      </c>
      <c r="C157" s="157">
        <f t="shared" si="1"/>
        <v>-661.5092922</v>
      </c>
      <c r="D157" s="158" t="str">
        <f>VLOOKUP(A157,'Classement RoC'!$B$2:$C$149,1,0)</f>
        <v>#N/A</v>
      </c>
      <c r="E157" s="163" t="str">
        <f t="shared" si="2"/>
        <v>#N/A</v>
      </c>
      <c r="F157" s="120" t="str">
        <f>VLOOKUP(A157,'Classement Général'!$B$2:$B$146,1,0)</f>
        <v>#N/A</v>
      </c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</row>
    <row r="158" ht="14.25" customHeight="1">
      <c r="A158" s="160"/>
      <c r="B158" s="156">
        <v>157.0</v>
      </c>
      <c r="C158" s="157">
        <f t="shared" si="1"/>
        <v>-667.3331311</v>
      </c>
      <c r="D158" s="158" t="str">
        <f>VLOOKUP(A158,'Classement RoC'!$B$2:$C$149,1,0)</f>
        <v>#N/A</v>
      </c>
      <c r="E158" s="163" t="str">
        <f t="shared" si="2"/>
        <v>#N/A</v>
      </c>
      <c r="F158" s="120" t="str">
        <f>VLOOKUP(A158,'Classement Général'!$B$2:$B$146,1,0)</f>
        <v>#N/A</v>
      </c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</row>
    <row r="159" ht="14.25" customHeight="1">
      <c r="A159" s="160"/>
      <c r="B159" s="161">
        <v>158.0</v>
      </c>
      <c r="C159" s="157">
        <f t="shared" si="1"/>
        <v>-673.1435202</v>
      </c>
      <c r="D159" s="158" t="str">
        <f>VLOOKUP(A159,'Classement RoC'!$B$2:$C$149,1,0)</f>
        <v>#N/A</v>
      </c>
      <c r="E159" s="163" t="str">
        <f t="shared" si="2"/>
        <v>#N/A</v>
      </c>
      <c r="F159" s="120" t="str">
        <f>VLOOKUP(A159,'Classement Général'!$B$2:$B$146,1,0)</f>
        <v>#N/A</v>
      </c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</row>
    <row r="160" ht="14.25" customHeight="1">
      <c r="A160" s="160"/>
      <c r="B160" s="156">
        <v>159.0</v>
      </c>
      <c r="C160" s="157">
        <f t="shared" si="1"/>
        <v>-678.9405989</v>
      </c>
      <c r="D160" s="158" t="str">
        <f>VLOOKUP(A160,'Classement RoC'!$B$2:$C$149,1,0)</f>
        <v>#N/A</v>
      </c>
      <c r="E160" s="163" t="str">
        <f t="shared" si="2"/>
        <v>#N/A</v>
      </c>
      <c r="F160" s="120" t="str">
        <f>VLOOKUP(A160,'Classement Général'!$B$2:$B$146,1,0)</f>
        <v>#N/A</v>
      </c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</row>
    <row r="161" ht="14.25" customHeight="1">
      <c r="A161" s="164"/>
      <c r="B161" s="165"/>
      <c r="C161" s="166"/>
      <c r="D161" s="167"/>
      <c r="E161" s="168"/>
      <c r="F161" s="120" t="str">
        <f>VLOOKUP(A161,'Classement Général'!$B$2:$B$146,1,0)</f>
        <v>#N/A</v>
      </c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</row>
    <row r="162" ht="14.25" customHeight="1">
      <c r="A162" s="164"/>
      <c r="B162" s="165"/>
      <c r="C162" s="166"/>
      <c r="D162" s="167"/>
      <c r="E162" s="168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4"/>
    </row>
    <row r="163" ht="14.25" customHeight="1">
      <c r="A163" s="164"/>
      <c r="B163" s="165"/>
      <c r="C163" s="166"/>
      <c r="D163" s="167"/>
      <c r="E163" s="168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</row>
    <row r="164" ht="14.25" customHeight="1">
      <c r="A164" s="164"/>
      <c r="B164" s="165"/>
      <c r="C164" s="166"/>
      <c r="D164" s="167"/>
      <c r="E164" s="168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</row>
    <row r="165" ht="14.25" customHeight="1">
      <c r="A165" s="164"/>
      <c r="B165" s="165"/>
      <c r="C165" s="166"/>
      <c r="D165" s="167"/>
      <c r="E165" s="168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</row>
    <row r="166" ht="14.25" customHeight="1">
      <c r="A166" s="164"/>
      <c r="B166" s="165"/>
      <c r="C166" s="166"/>
      <c r="D166" s="167"/>
      <c r="E166" s="168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</row>
    <row r="167" ht="14.25" customHeight="1">
      <c r="A167" s="164"/>
      <c r="B167" s="165"/>
      <c r="C167" s="166"/>
      <c r="D167" s="167"/>
      <c r="E167" s="168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</row>
    <row r="168" ht="14.25" customHeight="1">
      <c r="A168" s="164"/>
      <c r="B168" s="165"/>
      <c r="C168" s="166"/>
      <c r="D168" s="167"/>
      <c r="E168" s="168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</row>
    <row r="169" ht="14.25" customHeight="1">
      <c r="A169" s="164"/>
      <c r="B169" s="165"/>
      <c r="C169" s="166"/>
      <c r="D169" s="167"/>
      <c r="E169" s="168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</row>
    <row r="170" ht="14.25" customHeight="1">
      <c r="A170" s="164"/>
      <c r="B170" s="165"/>
      <c r="C170" s="166"/>
      <c r="D170" s="167"/>
      <c r="E170" s="168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</row>
    <row r="171" ht="14.25" customHeight="1">
      <c r="A171" s="164"/>
      <c r="B171" s="165"/>
      <c r="C171" s="166"/>
      <c r="D171" s="167"/>
      <c r="E171" s="168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</row>
    <row r="172" ht="14.25" customHeight="1">
      <c r="A172" s="164"/>
      <c r="B172" s="165"/>
      <c r="C172" s="166"/>
      <c r="D172" s="167"/>
      <c r="E172" s="168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</row>
    <row r="173" ht="14.25" customHeight="1">
      <c r="A173" s="164"/>
      <c r="B173" s="165"/>
      <c r="C173" s="166"/>
      <c r="D173" s="167"/>
      <c r="E173" s="168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</row>
    <row r="174" ht="14.25" customHeight="1">
      <c r="A174" s="164"/>
      <c r="B174" s="165"/>
      <c r="C174" s="166"/>
      <c r="D174" s="167"/>
      <c r="E174" s="168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</row>
    <row r="175" ht="14.25" customHeight="1">
      <c r="A175" s="164"/>
      <c r="B175" s="165"/>
      <c r="C175" s="166"/>
      <c r="D175" s="167"/>
      <c r="E175" s="168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</row>
    <row r="176" ht="14.25" customHeight="1">
      <c r="A176" s="164"/>
      <c r="B176" s="165"/>
      <c r="C176" s="166"/>
      <c r="D176" s="167"/>
      <c r="E176" s="168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</row>
    <row r="177" ht="14.25" customHeight="1">
      <c r="A177" s="164"/>
      <c r="B177" s="165"/>
      <c r="C177" s="166"/>
      <c r="D177" s="167"/>
      <c r="E177" s="168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4"/>
    </row>
    <row r="178" ht="14.25" customHeight="1">
      <c r="A178" s="164"/>
      <c r="B178" s="165"/>
      <c r="C178" s="166"/>
      <c r="D178" s="167"/>
      <c r="E178" s="168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</row>
    <row r="179" ht="14.25" customHeight="1">
      <c r="A179" s="164"/>
      <c r="B179" s="165"/>
      <c r="C179" s="166"/>
      <c r="D179" s="167"/>
      <c r="E179" s="168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4"/>
    </row>
    <row r="180" ht="14.25" customHeight="1">
      <c r="A180" s="164"/>
      <c r="B180" s="165"/>
      <c r="C180" s="166"/>
      <c r="D180" s="167"/>
      <c r="E180" s="168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</row>
    <row r="181" ht="14.25" customHeight="1">
      <c r="A181" s="164"/>
      <c r="B181" s="165"/>
      <c r="C181" s="166"/>
      <c r="D181" s="167"/>
      <c r="E181" s="168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</row>
    <row r="182" ht="14.25" customHeight="1">
      <c r="A182" s="164"/>
      <c r="B182" s="165"/>
      <c r="C182" s="166"/>
      <c r="D182" s="167"/>
      <c r="E182" s="168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154"/>
    </row>
    <row r="183" ht="14.25" customHeight="1">
      <c r="A183" s="164"/>
      <c r="B183" s="165"/>
      <c r="C183" s="166"/>
      <c r="D183" s="167"/>
      <c r="E183" s="168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4"/>
    </row>
    <row r="184" ht="14.25" customHeight="1">
      <c r="A184" s="164"/>
      <c r="B184" s="165"/>
      <c r="C184" s="166"/>
      <c r="D184" s="167"/>
      <c r="E184" s="168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</row>
    <row r="185" ht="14.25" customHeight="1">
      <c r="A185" s="164"/>
      <c r="B185" s="165"/>
      <c r="C185" s="166"/>
      <c r="D185" s="167"/>
      <c r="E185" s="168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</row>
    <row r="186" ht="14.25" customHeight="1">
      <c r="A186" s="164"/>
      <c r="B186" s="165"/>
      <c r="C186" s="166"/>
      <c r="D186" s="167"/>
      <c r="E186" s="168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</row>
    <row r="187" ht="14.25" customHeight="1">
      <c r="A187" s="164"/>
      <c r="B187" s="165"/>
      <c r="C187" s="166"/>
      <c r="D187" s="167"/>
      <c r="E187" s="168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</row>
    <row r="188" ht="14.25" customHeight="1">
      <c r="A188" s="164"/>
      <c r="B188" s="165"/>
      <c r="C188" s="166"/>
      <c r="D188" s="167"/>
      <c r="E188" s="168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</row>
    <row r="189" ht="14.25" customHeight="1">
      <c r="A189" s="164"/>
      <c r="B189" s="165"/>
      <c r="C189" s="166"/>
      <c r="D189" s="167"/>
      <c r="E189" s="168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</row>
    <row r="190" ht="14.25" customHeight="1">
      <c r="A190" s="164"/>
      <c r="B190" s="165"/>
      <c r="C190" s="166"/>
      <c r="D190" s="167"/>
      <c r="E190" s="168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</row>
    <row r="191" ht="14.25" customHeight="1">
      <c r="A191" s="164"/>
      <c r="B191" s="165"/>
      <c r="C191" s="166"/>
      <c r="D191" s="167"/>
      <c r="E191" s="168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</row>
    <row r="192" ht="14.25" customHeight="1">
      <c r="A192" s="164"/>
      <c r="B192" s="165"/>
      <c r="C192" s="166"/>
      <c r="D192" s="167"/>
      <c r="E192" s="168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</row>
    <row r="193" ht="14.25" customHeight="1">
      <c r="A193" s="164"/>
      <c r="B193" s="165"/>
      <c r="C193" s="166"/>
      <c r="D193" s="167"/>
      <c r="E193" s="168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</row>
    <row r="194" ht="14.25" customHeight="1">
      <c r="A194" s="164"/>
      <c r="B194" s="165"/>
      <c r="C194" s="166"/>
      <c r="D194" s="167"/>
      <c r="E194" s="168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</row>
    <row r="195" ht="14.25" customHeight="1">
      <c r="A195" s="164"/>
      <c r="B195" s="165"/>
      <c r="C195" s="166"/>
      <c r="D195" s="167"/>
      <c r="E195" s="168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</row>
    <row r="196" ht="14.25" customHeight="1">
      <c r="A196" s="164"/>
      <c r="B196" s="165"/>
      <c r="C196" s="166"/>
      <c r="D196" s="167"/>
      <c r="E196" s="168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</row>
    <row r="197" ht="14.25" customHeight="1">
      <c r="A197" s="164"/>
      <c r="B197" s="165"/>
      <c r="C197" s="166"/>
      <c r="D197" s="167"/>
      <c r="E197" s="168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</row>
    <row r="198" ht="14.25" customHeight="1">
      <c r="A198" s="164"/>
      <c r="B198" s="165"/>
      <c r="C198" s="166"/>
      <c r="D198" s="167"/>
      <c r="E198" s="168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</row>
    <row r="199" ht="14.25" customHeight="1">
      <c r="A199" s="164"/>
      <c r="B199" s="165"/>
      <c r="C199" s="166"/>
      <c r="D199" s="167"/>
      <c r="E199" s="168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154"/>
    </row>
    <row r="200" ht="14.25" customHeight="1">
      <c r="A200" s="164"/>
      <c r="B200" s="165"/>
      <c r="C200" s="166"/>
      <c r="D200" s="167"/>
      <c r="E200" s="168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4"/>
    </row>
    <row r="201" ht="14.25" customHeight="1">
      <c r="A201" s="164"/>
      <c r="B201" s="165"/>
      <c r="C201" s="166"/>
      <c r="D201" s="167"/>
      <c r="E201" s="168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</row>
    <row r="202" ht="14.25" customHeight="1">
      <c r="A202" s="164"/>
      <c r="B202" s="165"/>
      <c r="C202" s="166"/>
      <c r="D202" s="167"/>
      <c r="E202" s="168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4"/>
    </row>
    <row r="203" ht="14.25" customHeight="1">
      <c r="A203" s="164"/>
      <c r="B203" s="165"/>
      <c r="C203" s="166"/>
      <c r="D203" s="167"/>
      <c r="E203" s="168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</row>
    <row r="204" ht="14.25" customHeight="1">
      <c r="A204" s="164"/>
      <c r="B204" s="165"/>
      <c r="C204" s="166"/>
      <c r="D204" s="167"/>
      <c r="E204" s="168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</row>
    <row r="205" ht="14.25" customHeight="1">
      <c r="A205" s="164"/>
      <c r="B205" s="165"/>
      <c r="C205" s="166"/>
      <c r="D205" s="167"/>
      <c r="E205" s="168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</row>
    <row r="206" ht="14.25" customHeight="1">
      <c r="A206" s="164"/>
      <c r="B206" s="165"/>
      <c r="C206" s="166"/>
      <c r="D206" s="167"/>
      <c r="E206" s="168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</row>
    <row r="207" ht="14.25" customHeight="1">
      <c r="A207" s="164"/>
      <c r="B207" s="165"/>
      <c r="C207" s="166"/>
      <c r="D207" s="167"/>
      <c r="E207" s="168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</row>
    <row r="208" ht="14.25" customHeight="1">
      <c r="A208" s="164"/>
      <c r="B208" s="165"/>
      <c r="C208" s="166"/>
      <c r="D208" s="167"/>
      <c r="E208" s="168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</row>
    <row r="209" ht="14.25" customHeight="1">
      <c r="A209" s="164"/>
      <c r="B209" s="165"/>
      <c r="C209" s="166"/>
      <c r="D209" s="167"/>
      <c r="E209" s="168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</row>
    <row r="210" ht="14.25" customHeight="1">
      <c r="A210" s="164"/>
      <c r="B210" s="165"/>
      <c r="C210" s="166"/>
      <c r="D210" s="167"/>
      <c r="E210" s="168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</row>
    <row r="211" ht="14.25" customHeight="1">
      <c r="A211" s="164"/>
      <c r="B211" s="165"/>
      <c r="C211" s="166"/>
      <c r="D211" s="167"/>
      <c r="E211" s="168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</row>
    <row r="212" ht="14.25" customHeight="1">
      <c r="A212" s="164"/>
      <c r="B212" s="165"/>
      <c r="C212" s="166"/>
      <c r="D212" s="167"/>
      <c r="E212" s="168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</row>
    <row r="213" ht="14.25" customHeight="1">
      <c r="A213" s="164"/>
      <c r="B213" s="165"/>
      <c r="C213" s="166"/>
      <c r="D213" s="167"/>
      <c r="E213" s="168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</row>
    <row r="214" ht="14.25" customHeight="1">
      <c r="A214" s="164"/>
      <c r="B214" s="165"/>
      <c r="C214" s="166"/>
      <c r="D214" s="167"/>
      <c r="E214" s="168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</row>
    <row r="215" ht="14.25" customHeight="1">
      <c r="A215" s="164"/>
      <c r="B215" s="165"/>
      <c r="C215" s="166"/>
      <c r="D215" s="167"/>
      <c r="E215" s="168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4"/>
    </row>
    <row r="216" ht="14.25" customHeight="1">
      <c r="A216" s="164"/>
      <c r="B216" s="165"/>
      <c r="C216" s="166"/>
      <c r="D216" s="167"/>
      <c r="E216" s="168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</row>
    <row r="217" ht="14.25" customHeight="1">
      <c r="A217" s="164"/>
      <c r="B217" s="165"/>
      <c r="C217" s="166"/>
      <c r="D217" s="167"/>
      <c r="E217" s="168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</row>
    <row r="218" ht="14.25" customHeight="1">
      <c r="A218" s="164"/>
      <c r="B218" s="165"/>
      <c r="C218" s="166"/>
      <c r="D218" s="167"/>
      <c r="E218" s="168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</row>
    <row r="219" ht="14.25" customHeight="1">
      <c r="A219" s="164"/>
      <c r="B219" s="165"/>
      <c r="C219" s="166"/>
      <c r="D219" s="167"/>
      <c r="E219" s="168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</row>
    <row r="220" ht="14.25" customHeight="1">
      <c r="A220" s="164"/>
      <c r="B220" s="165"/>
      <c r="C220" s="166"/>
      <c r="D220" s="167"/>
      <c r="E220" s="168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</row>
    <row r="221" ht="14.25" customHeight="1">
      <c r="A221" s="164"/>
      <c r="B221" s="165"/>
      <c r="C221" s="166"/>
      <c r="D221" s="167"/>
      <c r="E221" s="168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</row>
    <row r="222" ht="14.25" customHeight="1">
      <c r="A222" s="164"/>
      <c r="B222" s="165"/>
      <c r="C222" s="166"/>
      <c r="D222" s="167"/>
      <c r="E222" s="168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</row>
    <row r="223" ht="14.25" customHeight="1">
      <c r="A223" s="164"/>
      <c r="B223" s="165"/>
      <c r="C223" s="166"/>
      <c r="D223" s="167"/>
      <c r="E223" s="168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</row>
    <row r="224" ht="14.25" customHeight="1">
      <c r="A224" s="164"/>
      <c r="B224" s="165"/>
      <c r="C224" s="166"/>
      <c r="D224" s="167"/>
      <c r="E224" s="168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</row>
    <row r="225" ht="14.25" customHeight="1">
      <c r="A225" s="164"/>
      <c r="B225" s="165"/>
      <c r="C225" s="166"/>
      <c r="D225" s="167"/>
      <c r="E225" s="168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</row>
    <row r="226" ht="14.25" customHeight="1">
      <c r="A226" s="164"/>
      <c r="B226" s="165"/>
      <c r="C226" s="166"/>
      <c r="D226" s="167"/>
      <c r="E226" s="168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</row>
    <row r="227" ht="14.25" customHeight="1">
      <c r="A227" s="164"/>
      <c r="B227" s="165"/>
      <c r="C227" s="166"/>
      <c r="D227" s="167"/>
      <c r="E227" s="168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</row>
    <row r="228" ht="14.25" customHeight="1">
      <c r="A228" s="164"/>
      <c r="B228" s="165"/>
      <c r="C228" s="166"/>
      <c r="D228" s="167"/>
      <c r="E228" s="168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</row>
    <row r="229" ht="14.25" customHeight="1">
      <c r="A229" s="164"/>
      <c r="B229" s="165"/>
      <c r="C229" s="166"/>
      <c r="D229" s="167"/>
      <c r="E229" s="168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</row>
    <row r="230" ht="14.25" customHeight="1">
      <c r="A230" s="164"/>
      <c r="B230" s="165"/>
      <c r="C230" s="166"/>
      <c r="D230" s="167"/>
      <c r="E230" s="168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</row>
    <row r="231" ht="14.25" customHeight="1">
      <c r="A231" s="164"/>
      <c r="B231" s="165"/>
      <c r="C231" s="166"/>
      <c r="D231" s="167"/>
      <c r="E231" s="168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154"/>
    </row>
    <row r="232" ht="14.25" customHeight="1">
      <c r="A232" s="164"/>
      <c r="B232" s="165"/>
      <c r="C232" s="166"/>
      <c r="D232" s="167"/>
      <c r="E232" s="168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154"/>
    </row>
    <row r="233" ht="14.25" customHeight="1">
      <c r="A233" s="164"/>
      <c r="B233" s="165"/>
      <c r="C233" s="166"/>
      <c r="D233" s="167"/>
      <c r="E233" s="168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  <c r="Z233" s="154"/>
    </row>
    <row r="234" ht="14.25" customHeight="1">
      <c r="A234" s="164"/>
      <c r="B234" s="165"/>
      <c r="C234" s="166"/>
      <c r="D234" s="167"/>
      <c r="E234" s="168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</row>
    <row r="235" ht="14.25" customHeight="1">
      <c r="A235" s="164"/>
      <c r="B235" s="165"/>
      <c r="C235" s="166"/>
      <c r="D235" s="167"/>
      <c r="E235" s="168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</row>
    <row r="236" ht="14.25" customHeight="1">
      <c r="A236" s="164"/>
      <c r="B236" s="165"/>
      <c r="C236" s="166"/>
      <c r="D236" s="167"/>
      <c r="E236" s="168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</row>
    <row r="237" ht="14.25" customHeight="1">
      <c r="A237" s="164"/>
      <c r="B237" s="165"/>
      <c r="C237" s="166"/>
      <c r="D237" s="167"/>
      <c r="E237" s="168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</row>
    <row r="238" ht="14.25" customHeight="1">
      <c r="A238" s="164"/>
      <c r="B238" s="165"/>
      <c r="C238" s="166"/>
      <c r="D238" s="167"/>
      <c r="E238" s="168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</row>
    <row r="239" ht="14.25" customHeight="1">
      <c r="A239" s="164"/>
      <c r="B239" s="165"/>
      <c r="C239" s="166"/>
      <c r="D239" s="167"/>
      <c r="E239" s="168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</row>
    <row r="240" ht="14.25" customHeight="1">
      <c r="A240" s="164"/>
      <c r="B240" s="165"/>
      <c r="C240" s="166"/>
      <c r="D240" s="167"/>
      <c r="E240" s="168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</row>
    <row r="241" ht="14.25" customHeight="1">
      <c r="A241" s="164"/>
      <c r="B241" s="165"/>
      <c r="C241" s="166"/>
      <c r="D241" s="167"/>
      <c r="E241" s="168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</row>
    <row r="242" ht="14.25" customHeight="1">
      <c r="A242" s="164"/>
      <c r="B242" s="165"/>
      <c r="C242" s="166"/>
      <c r="D242" s="167"/>
      <c r="E242" s="168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</row>
    <row r="243" ht="14.25" customHeight="1">
      <c r="A243" s="164"/>
      <c r="B243" s="165"/>
      <c r="C243" s="166"/>
      <c r="D243" s="167"/>
      <c r="E243" s="168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</row>
    <row r="244" ht="14.25" customHeight="1">
      <c r="A244" s="164"/>
      <c r="B244" s="165"/>
      <c r="C244" s="166"/>
      <c r="D244" s="167"/>
      <c r="E244" s="168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</row>
    <row r="245" ht="14.25" customHeight="1">
      <c r="A245" s="164"/>
      <c r="B245" s="165"/>
      <c r="C245" s="166"/>
      <c r="D245" s="167"/>
      <c r="E245" s="168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</row>
    <row r="246" ht="14.25" customHeight="1">
      <c r="A246" s="164"/>
      <c r="B246" s="165"/>
      <c r="C246" s="166"/>
      <c r="D246" s="167"/>
      <c r="E246" s="168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</row>
    <row r="247" ht="14.25" customHeight="1">
      <c r="A247" s="164"/>
      <c r="B247" s="165"/>
      <c r="C247" s="166"/>
      <c r="D247" s="167"/>
      <c r="E247" s="168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</row>
    <row r="248" ht="14.25" customHeight="1">
      <c r="A248" s="164"/>
      <c r="B248" s="165"/>
      <c r="C248" s="166"/>
      <c r="D248" s="167"/>
      <c r="E248" s="168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</row>
    <row r="249" ht="14.25" customHeight="1">
      <c r="A249" s="164"/>
      <c r="B249" s="165"/>
      <c r="C249" s="166"/>
      <c r="D249" s="167"/>
      <c r="E249" s="168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154"/>
    </row>
    <row r="250" ht="14.25" customHeight="1">
      <c r="A250" s="164"/>
      <c r="B250" s="165"/>
      <c r="C250" s="166"/>
      <c r="D250" s="167"/>
      <c r="E250" s="168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4"/>
    </row>
    <row r="251" ht="14.25" customHeight="1">
      <c r="A251" s="164"/>
      <c r="B251" s="165"/>
      <c r="C251" s="166"/>
      <c r="D251" s="167"/>
      <c r="E251" s="168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</row>
    <row r="252" ht="14.25" customHeight="1">
      <c r="A252" s="164"/>
      <c r="B252" s="165"/>
      <c r="C252" s="166"/>
      <c r="D252" s="167"/>
      <c r="E252" s="168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4"/>
    </row>
    <row r="253" ht="14.25" customHeight="1">
      <c r="A253" s="164"/>
      <c r="B253" s="165"/>
      <c r="C253" s="166"/>
      <c r="D253" s="167"/>
      <c r="E253" s="168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</row>
    <row r="254" ht="14.25" customHeight="1">
      <c r="A254" s="164"/>
      <c r="B254" s="165"/>
      <c r="C254" s="166"/>
      <c r="D254" s="167"/>
      <c r="E254" s="168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</row>
    <row r="255" ht="14.25" customHeight="1">
      <c r="A255" s="164"/>
      <c r="B255" s="165"/>
      <c r="C255" s="166"/>
      <c r="D255" s="167"/>
      <c r="E255" s="168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54"/>
    </row>
    <row r="256" ht="14.25" customHeight="1">
      <c r="A256" s="164"/>
      <c r="B256" s="165"/>
      <c r="C256" s="166"/>
      <c r="D256" s="167"/>
      <c r="E256" s="168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</row>
    <row r="257" ht="14.25" customHeight="1">
      <c r="A257" s="164"/>
      <c r="B257" s="165"/>
      <c r="C257" s="166"/>
      <c r="D257" s="167"/>
      <c r="E257" s="168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</row>
    <row r="258" ht="14.25" customHeight="1">
      <c r="A258" s="164"/>
      <c r="B258" s="165"/>
      <c r="C258" s="166"/>
      <c r="D258" s="167"/>
      <c r="E258" s="168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</row>
    <row r="259" ht="14.25" customHeight="1">
      <c r="A259" s="164"/>
      <c r="B259" s="165"/>
      <c r="C259" s="166"/>
      <c r="D259" s="167"/>
      <c r="E259" s="168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</row>
    <row r="260" ht="14.25" customHeight="1">
      <c r="A260" s="164"/>
      <c r="B260" s="165"/>
      <c r="C260" s="166"/>
      <c r="D260" s="167"/>
      <c r="E260" s="168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</row>
    <row r="261" ht="14.25" customHeight="1">
      <c r="A261" s="164"/>
      <c r="B261" s="165"/>
      <c r="C261" s="166"/>
      <c r="D261" s="167"/>
      <c r="E261" s="168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</row>
    <row r="262" ht="14.25" customHeight="1">
      <c r="A262" s="164"/>
      <c r="B262" s="165"/>
      <c r="C262" s="166"/>
      <c r="D262" s="167"/>
      <c r="E262" s="168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</row>
    <row r="263" ht="14.25" customHeight="1">
      <c r="A263" s="164"/>
      <c r="B263" s="165"/>
      <c r="C263" s="166"/>
      <c r="D263" s="167"/>
      <c r="E263" s="168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54"/>
    </row>
    <row r="264" ht="14.25" customHeight="1">
      <c r="A264" s="164"/>
      <c r="B264" s="165"/>
      <c r="C264" s="166"/>
      <c r="D264" s="167"/>
      <c r="E264" s="168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</row>
    <row r="265" ht="14.25" customHeight="1">
      <c r="A265" s="164"/>
      <c r="B265" s="165"/>
      <c r="C265" s="166"/>
      <c r="D265" s="167"/>
      <c r="E265" s="168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  <c r="Z265" s="154"/>
    </row>
    <row r="266" ht="14.25" customHeight="1">
      <c r="A266" s="164"/>
      <c r="B266" s="165"/>
      <c r="C266" s="166"/>
      <c r="D266" s="167"/>
      <c r="E266" s="168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  <c r="X266" s="154"/>
      <c r="Y266" s="154"/>
      <c r="Z266" s="154"/>
    </row>
    <row r="267" ht="14.25" customHeight="1">
      <c r="A267" s="164"/>
      <c r="B267" s="165"/>
      <c r="C267" s="166"/>
      <c r="D267" s="167"/>
      <c r="E267" s="168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4"/>
    </row>
    <row r="268" ht="14.25" customHeight="1">
      <c r="A268" s="164"/>
      <c r="B268" s="165"/>
      <c r="C268" s="166"/>
      <c r="D268" s="167"/>
      <c r="E268" s="168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4"/>
    </row>
    <row r="269" ht="14.25" customHeight="1">
      <c r="A269" s="164"/>
      <c r="B269" s="165"/>
      <c r="C269" s="166"/>
      <c r="D269" s="167"/>
      <c r="E269" s="168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4"/>
    </row>
    <row r="270" ht="14.25" customHeight="1">
      <c r="A270" s="164"/>
      <c r="B270" s="165"/>
      <c r="C270" s="166"/>
      <c r="D270" s="167"/>
      <c r="E270" s="168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4"/>
    </row>
    <row r="271" ht="14.25" customHeight="1">
      <c r="A271" s="164"/>
      <c r="B271" s="165"/>
      <c r="C271" s="166"/>
      <c r="D271" s="167"/>
      <c r="E271" s="168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4"/>
    </row>
    <row r="272" ht="14.25" customHeight="1">
      <c r="A272" s="164"/>
      <c r="B272" s="165"/>
      <c r="C272" s="166"/>
      <c r="D272" s="167"/>
      <c r="E272" s="168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154"/>
    </row>
    <row r="273" ht="14.25" customHeight="1">
      <c r="A273" s="164"/>
      <c r="B273" s="165"/>
      <c r="C273" s="166"/>
      <c r="D273" s="167"/>
      <c r="E273" s="168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4"/>
    </row>
    <row r="274" ht="14.25" customHeight="1">
      <c r="A274" s="164"/>
      <c r="B274" s="165"/>
      <c r="C274" s="166"/>
      <c r="D274" s="167"/>
      <c r="E274" s="168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4"/>
    </row>
    <row r="275" ht="14.25" customHeight="1">
      <c r="A275" s="164"/>
      <c r="B275" s="165"/>
      <c r="C275" s="166"/>
      <c r="D275" s="167"/>
      <c r="E275" s="168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4"/>
    </row>
    <row r="276" ht="14.25" customHeight="1">
      <c r="A276" s="164"/>
      <c r="B276" s="165"/>
      <c r="C276" s="166"/>
      <c r="D276" s="167"/>
      <c r="E276" s="168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</row>
    <row r="277" ht="14.25" customHeight="1">
      <c r="A277" s="164"/>
      <c r="B277" s="165"/>
      <c r="C277" s="166"/>
      <c r="D277" s="167"/>
      <c r="E277" s="168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</row>
    <row r="278" ht="14.25" customHeight="1">
      <c r="A278" s="164"/>
      <c r="B278" s="165"/>
      <c r="C278" s="166"/>
      <c r="D278" s="167"/>
      <c r="E278" s="168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</row>
    <row r="279" ht="14.25" customHeight="1">
      <c r="A279" s="164"/>
      <c r="B279" s="165"/>
      <c r="C279" s="166"/>
      <c r="D279" s="167"/>
      <c r="E279" s="168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4"/>
    </row>
    <row r="280" ht="14.25" customHeight="1">
      <c r="A280" s="164"/>
      <c r="B280" s="165"/>
      <c r="C280" s="166"/>
      <c r="D280" s="167"/>
      <c r="E280" s="168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</row>
    <row r="281" ht="14.25" customHeight="1">
      <c r="A281" s="164"/>
      <c r="B281" s="165"/>
      <c r="C281" s="166"/>
      <c r="D281" s="167"/>
      <c r="E281" s="168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</row>
    <row r="282" ht="14.25" customHeight="1">
      <c r="A282" s="164"/>
      <c r="B282" s="165"/>
      <c r="C282" s="166"/>
      <c r="D282" s="167"/>
      <c r="E282" s="168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</row>
    <row r="283" ht="14.25" customHeight="1">
      <c r="A283" s="164"/>
      <c r="B283" s="165"/>
      <c r="C283" s="166"/>
      <c r="D283" s="167"/>
      <c r="E283" s="168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</row>
    <row r="284" ht="14.25" customHeight="1">
      <c r="A284" s="164"/>
      <c r="B284" s="165"/>
      <c r="C284" s="166"/>
      <c r="D284" s="167"/>
      <c r="E284" s="168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</row>
    <row r="285" ht="14.25" customHeight="1">
      <c r="A285" s="164"/>
      <c r="B285" s="165"/>
      <c r="C285" s="166"/>
      <c r="D285" s="167"/>
      <c r="E285" s="168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154"/>
    </row>
    <row r="286" ht="14.25" customHeight="1">
      <c r="A286" s="164"/>
      <c r="B286" s="165"/>
      <c r="C286" s="166"/>
      <c r="D286" s="167"/>
      <c r="E286" s="168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4"/>
    </row>
    <row r="287" ht="14.25" customHeight="1">
      <c r="A287" s="164"/>
      <c r="B287" s="165"/>
      <c r="C287" s="166"/>
      <c r="D287" s="167"/>
      <c r="E287" s="168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</row>
    <row r="288" ht="14.25" customHeight="1">
      <c r="A288" s="164"/>
      <c r="B288" s="165"/>
      <c r="C288" s="166"/>
      <c r="D288" s="167"/>
      <c r="E288" s="168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</row>
    <row r="289" ht="14.25" customHeight="1">
      <c r="A289" s="164"/>
      <c r="B289" s="165"/>
      <c r="C289" s="166"/>
      <c r="D289" s="167"/>
      <c r="E289" s="168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</row>
    <row r="290" ht="14.25" customHeight="1">
      <c r="A290" s="164"/>
      <c r="B290" s="165"/>
      <c r="C290" s="166"/>
      <c r="D290" s="167"/>
      <c r="E290" s="168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4"/>
    </row>
    <row r="291" ht="14.25" customHeight="1">
      <c r="A291" s="164"/>
      <c r="B291" s="165"/>
      <c r="C291" s="166"/>
      <c r="D291" s="167"/>
      <c r="E291" s="168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154"/>
    </row>
    <row r="292" ht="14.25" customHeight="1">
      <c r="A292" s="164"/>
      <c r="B292" s="165"/>
      <c r="C292" s="166"/>
      <c r="D292" s="167"/>
      <c r="E292" s="168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154"/>
    </row>
    <row r="293" ht="14.25" customHeight="1">
      <c r="A293" s="164"/>
      <c r="B293" s="165"/>
      <c r="C293" s="166"/>
      <c r="D293" s="167"/>
      <c r="E293" s="168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154"/>
    </row>
    <row r="294" ht="14.25" customHeight="1">
      <c r="A294" s="164"/>
      <c r="B294" s="165"/>
      <c r="C294" s="166"/>
      <c r="D294" s="167"/>
      <c r="E294" s="168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</row>
    <row r="295" ht="14.25" customHeight="1">
      <c r="A295" s="164"/>
      <c r="B295" s="165"/>
      <c r="C295" s="166"/>
      <c r="D295" s="167"/>
      <c r="E295" s="168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</row>
    <row r="296" ht="14.25" customHeight="1">
      <c r="A296" s="164"/>
      <c r="B296" s="165"/>
      <c r="C296" s="166"/>
      <c r="D296" s="167"/>
      <c r="E296" s="168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</row>
    <row r="297" ht="14.25" customHeight="1">
      <c r="A297" s="164"/>
      <c r="B297" s="165"/>
      <c r="C297" s="166"/>
      <c r="D297" s="167"/>
      <c r="E297" s="168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</row>
    <row r="298" ht="14.25" customHeight="1">
      <c r="A298" s="164"/>
      <c r="B298" s="165"/>
      <c r="C298" s="166"/>
      <c r="D298" s="167"/>
      <c r="E298" s="168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</row>
    <row r="299" ht="14.25" customHeight="1">
      <c r="A299" s="164"/>
      <c r="B299" s="165"/>
      <c r="C299" s="166"/>
      <c r="D299" s="167"/>
      <c r="E299" s="168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</row>
    <row r="300" ht="14.25" customHeight="1">
      <c r="A300" s="164"/>
      <c r="B300" s="165"/>
      <c r="C300" s="166"/>
      <c r="D300" s="167"/>
      <c r="E300" s="168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</row>
    <row r="301" ht="14.25" customHeight="1">
      <c r="A301" s="164"/>
      <c r="B301" s="165"/>
      <c r="C301" s="166"/>
      <c r="D301" s="167"/>
      <c r="E301" s="168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</row>
    <row r="302" ht="14.25" customHeight="1">
      <c r="A302" s="164"/>
      <c r="B302" s="165"/>
      <c r="C302" s="166"/>
      <c r="D302" s="167"/>
      <c r="E302" s="168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</row>
    <row r="303" ht="14.25" customHeight="1">
      <c r="A303" s="164"/>
      <c r="B303" s="165"/>
      <c r="C303" s="166"/>
      <c r="D303" s="167"/>
      <c r="E303" s="168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4"/>
    </row>
    <row r="304" ht="14.25" customHeight="1">
      <c r="A304" s="164"/>
      <c r="B304" s="165"/>
      <c r="C304" s="166"/>
      <c r="D304" s="167"/>
      <c r="E304" s="168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</row>
    <row r="305" ht="14.25" customHeight="1">
      <c r="A305" s="164"/>
      <c r="B305" s="165"/>
      <c r="C305" s="166"/>
      <c r="D305" s="167"/>
      <c r="E305" s="168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</row>
    <row r="306" ht="14.25" customHeight="1">
      <c r="A306" s="164"/>
      <c r="B306" s="165"/>
      <c r="C306" s="166"/>
      <c r="D306" s="167"/>
      <c r="E306" s="168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</row>
    <row r="307" ht="14.25" customHeight="1">
      <c r="A307" s="164"/>
      <c r="B307" s="165"/>
      <c r="C307" s="166"/>
      <c r="D307" s="167"/>
      <c r="E307" s="168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154"/>
    </row>
    <row r="308" ht="14.25" customHeight="1">
      <c r="A308" s="164"/>
      <c r="B308" s="165"/>
      <c r="C308" s="166"/>
      <c r="D308" s="167"/>
      <c r="E308" s="168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4"/>
    </row>
    <row r="309" ht="14.25" customHeight="1">
      <c r="A309" s="164"/>
      <c r="B309" s="165"/>
      <c r="C309" s="166"/>
      <c r="D309" s="167"/>
      <c r="E309" s="168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</row>
    <row r="310" ht="14.25" customHeight="1">
      <c r="A310" s="164"/>
      <c r="B310" s="165"/>
      <c r="C310" s="166"/>
      <c r="D310" s="167"/>
      <c r="E310" s="168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</row>
    <row r="311" ht="14.25" customHeight="1">
      <c r="A311" s="164"/>
      <c r="B311" s="165"/>
      <c r="C311" s="166"/>
      <c r="D311" s="167"/>
      <c r="E311" s="168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</row>
    <row r="312" ht="14.25" customHeight="1">
      <c r="A312" s="164"/>
      <c r="B312" s="165"/>
      <c r="C312" s="166"/>
      <c r="D312" s="167"/>
      <c r="E312" s="168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</row>
    <row r="313" ht="14.25" customHeight="1">
      <c r="A313" s="164"/>
      <c r="B313" s="165"/>
      <c r="C313" s="166"/>
      <c r="D313" s="167"/>
      <c r="E313" s="168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</row>
    <row r="314" ht="14.25" customHeight="1">
      <c r="A314" s="164"/>
      <c r="B314" s="165"/>
      <c r="C314" s="166"/>
      <c r="D314" s="167"/>
      <c r="E314" s="168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</row>
    <row r="315" ht="14.25" customHeight="1">
      <c r="A315" s="164"/>
      <c r="B315" s="165"/>
      <c r="C315" s="166"/>
      <c r="D315" s="167"/>
      <c r="E315" s="168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</row>
    <row r="316" ht="14.25" customHeight="1">
      <c r="A316" s="164"/>
      <c r="B316" s="165"/>
      <c r="C316" s="166"/>
      <c r="D316" s="167"/>
      <c r="E316" s="168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</row>
    <row r="317" ht="14.25" customHeight="1">
      <c r="A317" s="164"/>
      <c r="B317" s="165"/>
      <c r="C317" s="166"/>
      <c r="D317" s="167"/>
      <c r="E317" s="168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</row>
    <row r="318" ht="14.25" customHeight="1">
      <c r="A318" s="164"/>
      <c r="B318" s="165"/>
      <c r="C318" s="166"/>
      <c r="D318" s="167"/>
      <c r="E318" s="168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</row>
    <row r="319" ht="14.25" customHeight="1">
      <c r="A319" s="164"/>
      <c r="B319" s="165"/>
      <c r="C319" s="166"/>
      <c r="D319" s="167"/>
      <c r="E319" s="168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</row>
    <row r="320" ht="14.25" customHeight="1">
      <c r="A320" s="164"/>
      <c r="B320" s="165"/>
      <c r="C320" s="166"/>
      <c r="D320" s="167"/>
      <c r="E320" s="168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</row>
    <row r="321" ht="14.25" customHeight="1">
      <c r="A321" s="164"/>
      <c r="B321" s="165"/>
      <c r="C321" s="166"/>
      <c r="D321" s="167"/>
      <c r="E321" s="168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</row>
    <row r="322" ht="14.25" customHeight="1">
      <c r="A322" s="164"/>
      <c r="B322" s="165"/>
      <c r="C322" s="166"/>
      <c r="D322" s="167"/>
      <c r="E322" s="168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154"/>
    </row>
    <row r="323" ht="14.25" customHeight="1">
      <c r="A323" s="164"/>
      <c r="B323" s="165"/>
      <c r="C323" s="166"/>
      <c r="D323" s="167"/>
      <c r="E323" s="168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</row>
    <row r="324" ht="14.25" customHeight="1">
      <c r="A324" s="164"/>
      <c r="B324" s="165"/>
      <c r="C324" s="166"/>
      <c r="D324" s="167"/>
      <c r="E324" s="168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</row>
    <row r="325" ht="14.25" customHeight="1">
      <c r="A325" s="164"/>
      <c r="B325" s="165"/>
      <c r="C325" s="166"/>
      <c r="D325" s="167"/>
      <c r="E325" s="168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</row>
    <row r="326" ht="14.25" customHeight="1">
      <c r="A326" s="164"/>
      <c r="B326" s="165"/>
      <c r="C326" s="166"/>
      <c r="D326" s="167"/>
      <c r="E326" s="168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</row>
    <row r="327" ht="14.25" customHeight="1">
      <c r="A327" s="164"/>
      <c r="B327" s="165"/>
      <c r="C327" s="166"/>
      <c r="D327" s="167"/>
      <c r="E327" s="168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</row>
    <row r="328" ht="14.25" customHeight="1">
      <c r="A328" s="164"/>
      <c r="B328" s="165"/>
      <c r="C328" s="166"/>
      <c r="D328" s="167"/>
      <c r="E328" s="168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</row>
    <row r="329" ht="14.25" customHeight="1">
      <c r="A329" s="164"/>
      <c r="B329" s="165"/>
      <c r="C329" s="166"/>
      <c r="D329" s="167"/>
      <c r="E329" s="168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154"/>
    </row>
    <row r="330" ht="14.25" customHeight="1">
      <c r="A330" s="164"/>
      <c r="B330" s="165"/>
      <c r="C330" s="166"/>
      <c r="D330" s="167"/>
      <c r="E330" s="168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</row>
    <row r="331" ht="14.25" customHeight="1">
      <c r="A331" s="164"/>
      <c r="B331" s="165"/>
      <c r="C331" s="166"/>
      <c r="D331" s="167"/>
      <c r="E331" s="168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</row>
    <row r="332" ht="14.25" customHeight="1">
      <c r="A332" s="164"/>
      <c r="B332" s="165"/>
      <c r="C332" s="166"/>
      <c r="D332" s="167"/>
      <c r="E332" s="168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</row>
    <row r="333" ht="14.25" customHeight="1">
      <c r="A333" s="164"/>
      <c r="B333" s="165"/>
      <c r="C333" s="166"/>
      <c r="D333" s="167"/>
      <c r="E333" s="168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</row>
    <row r="334" ht="14.25" customHeight="1">
      <c r="A334" s="164"/>
      <c r="B334" s="165"/>
      <c r="C334" s="166"/>
      <c r="D334" s="167"/>
      <c r="E334" s="168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</row>
    <row r="335" ht="14.25" customHeight="1">
      <c r="A335" s="164"/>
      <c r="B335" s="165"/>
      <c r="C335" s="166"/>
      <c r="D335" s="167"/>
      <c r="E335" s="168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</row>
    <row r="336" ht="14.25" customHeight="1">
      <c r="A336" s="164"/>
      <c r="B336" s="165"/>
      <c r="C336" s="166"/>
      <c r="D336" s="167"/>
      <c r="E336" s="168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</row>
    <row r="337" ht="14.25" customHeight="1">
      <c r="A337" s="164"/>
      <c r="B337" s="165"/>
      <c r="C337" s="166"/>
      <c r="D337" s="167"/>
      <c r="E337" s="168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</row>
    <row r="338" ht="14.25" customHeight="1">
      <c r="A338" s="164"/>
      <c r="B338" s="165"/>
      <c r="C338" s="166"/>
      <c r="D338" s="167"/>
      <c r="E338" s="168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</row>
    <row r="339" ht="14.25" customHeight="1">
      <c r="A339" s="164"/>
      <c r="B339" s="165"/>
      <c r="C339" s="166"/>
      <c r="D339" s="167"/>
      <c r="E339" s="168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154"/>
    </row>
    <row r="340" ht="14.25" customHeight="1">
      <c r="A340" s="164"/>
      <c r="B340" s="165"/>
      <c r="C340" s="166"/>
      <c r="D340" s="167"/>
      <c r="E340" s="168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</row>
    <row r="341" ht="14.25" customHeight="1">
      <c r="A341" s="164"/>
      <c r="B341" s="165"/>
      <c r="C341" s="166"/>
      <c r="D341" s="167"/>
      <c r="E341" s="168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</row>
    <row r="342" ht="14.25" customHeight="1">
      <c r="A342" s="164"/>
      <c r="B342" s="165"/>
      <c r="C342" s="166"/>
      <c r="D342" s="167"/>
      <c r="E342" s="168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</row>
    <row r="343" ht="14.25" customHeight="1">
      <c r="A343" s="164"/>
      <c r="B343" s="165"/>
      <c r="C343" s="166"/>
      <c r="D343" s="167"/>
      <c r="E343" s="168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</row>
    <row r="344" ht="14.25" customHeight="1">
      <c r="A344" s="164"/>
      <c r="B344" s="165"/>
      <c r="C344" s="166"/>
      <c r="D344" s="167"/>
      <c r="E344" s="168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154"/>
    </row>
    <row r="345" ht="14.25" customHeight="1">
      <c r="A345" s="164"/>
      <c r="B345" s="165"/>
      <c r="C345" s="166"/>
      <c r="D345" s="167"/>
      <c r="E345" s="168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154"/>
    </row>
    <row r="346" ht="14.25" customHeight="1">
      <c r="A346" s="164"/>
      <c r="B346" s="165"/>
      <c r="C346" s="166"/>
      <c r="D346" s="167"/>
      <c r="E346" s="168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154"/>
    </row>
    <row r="347" ht="14.25" customHeight="1">
      <c r="A347" s="164"/>
      <c r="B347" s="165"/>
      <c r="C347" s="166"/>
      <c r="D347" s="167"/>
      <c r="E347" s="168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</row>
    <row r="348" ht="14.25" customHeight="1">
      <c r="A348" s="164"/>
      <c r="B348" s="165"/>
      <c r="C348" s="166"/>
      <c r="D348" s="167"/>
      <c r="E348" s="168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</row>
    <row r="349" ht="14.25" customHeight="1">
      <c r="A349" s="164"/>
      <c r="B349" s="165"/>
      <c r="C349" s="166"/>
      <c r="D349" s="167"/>
      <c r="E349" s="168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</row>
    <row r="350" ht="14.25" customHeight="1">
      <c r="A350" s="164"/>
      <c r="B350" s="165"/>
      <c r="C350" s="166"/>
      <c r="D350" s="167"/>
      <c r="E350" s="168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</row>
    <row r="351" ht="14.25" customHeight="1">
      <c r="A351" s="164"/>
      <c r="B351" s="165"/>
      <c r="C351" s="166"/>
      <c r="D351" s="167"/>
      <c r="E351" s="168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</row>
    <row r="352" ht="14.25" customHeight="1">
      <c r="A352" s="164"/>
      <c r="B352" s="165"/>
      <c r="C352" s="166"/>
      <c r="D352" s="167"/>
      <c r="E352" s="168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</row>
    <row r="353" ht="14.25" customHeight="1">
      <c r="A353" s="164"/>
      <c r="B353" s="165"/>
      <c r="C353" s="166"/>
      <c r="D353" s="167"/>
      <c r="E353" s="168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</row>
    <row r="354" ht="14.25" customHeight="1">
      <c r="A354" s="164"/>
      <c r="B354" s="165"/>
      <c r="C354" s="166"/>
      <c r="D354" s="167"/>
      <c r="E354" s="168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</row>
    <row r="355" ht="14.25" customHeight="1">
      <c r="A355" s="164"/>
      <c r="B355" s="165"/>
      <c r="C355" s="166"/>
      <c r="D355" s="167"/>
      <c r="E355" s="168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</row>
    <row r="356" ht="14.25" customHeight="1">
      <c r="A356" s="164"/>
      <c r="B356" s="165"/>
      <c r="C356" s="166"/>
      <c r="D356" s="167"/>
      <c r="E356" s="168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</row>
    <row r="357" ht="14.25" customHeight="1">
      <c r="A357" s="164"/>
      <c r="B357" s="165"/>
      <c r="C357" s="166"/>
      <c r="D357" s="167"/>
      <c r="E357" s="168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</row>
    <row r="358" ht="14.25" customHeight="1">
      <c r="A358" s="164"/>
      <c r="B358" s="165"/>
      <c r="C358" s="166"/>
      <c r="D358" s="167"/>
      <c r="E358" s="168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4"/>
    </row>
    <row r="359" ht="14.25" customHeight="1">
      <c r="A359" s="164"/>
      <c r="B359" s="165"/>
      <c r="C359" s="166"/>
      <c r="D359" s="167"/>
      <c r="E359" s="168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</row>
    <row r="360" ht="14.25" customHeight="1">
      <c r="A360" s="164"/>
      <c r="B360" s="165"/>
      <c r="C360" s="166"/>
      <c r="D360" s="167"/>
      <c r="E360" s="168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4"/>
    </row>
    <row r="361" ht="14.25" customHeight="1">
      <c r="A361" s="164"/>
      <c r="B361" s="165"/>
      <c r="C361" s="166"/>
      <c r="D361" s="167"/>
      <c r="E361" s="168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4.0"/>
    <col customWidth="1" min="2" max="4" width="28.29"/>
    <col customWidth="1" min="5" max="5" width="22.86"/>
    <col customWidth="1" min="6" max="6" width="9.43"/>
    <col customWidth="1" min="7" max="7" width="20.29"/>
    <col customWidth="1" min="8" max="8" width="21.14"/>
    <col customWidth="1" min="9" max="9" width="23.29"/>
  </cols>
  <sheetData>
    <row r="1" ht="37.5" customHeight="1">
      <c r="A1" s="1" t="s">
        <v>0</v>
      </c>
      <c r="B1" s="2" t="s">
        <v>1</v>
      </c>
      <c r="C1" s="29" t="s">
        <v>152</v>
      </c>
      <c r="D1" s="29" t="s">
        <v>153</v>
      </c>
      <c r="E1" s="3" t="s">
        <v>2</v>
      </c>
      <c r="F1" s="4" t="s">
        <v>3</v>
      </c>
      <c r="G1" s="5" t="s">
        <v>4</v>
      </c>
      <c r="H1" s="5" t="s">
        <v>5</v>
      </c>
      <c r="I1" s="5" t="s">
        <v>6</v>
      </c>
    </row>
    <row r="2" ht="14.25" customHeight="1">
      <c r="A2" s="6">
        <v>9.0</v>
      </c>
      <c r="B2" s="6" t="s">
        <v>15</v>
      </c>
      <c r="C2" s="30" t="str">
        <f>IFERROR(__xludf.DUMMYFUNCTION("vlookup(B2, IMPORTRANGE(""https://docs.google.com/spreadsheets/d/1W4ogkn7G1DLigoji8FCGt4ELYlkTu29hcIgb7tBwWhE/edit?gid=0#gid=0"",""Feuille 1!b2:e161""),2,0)"),"Aguillon")</f>
        <v>Aguillon</v>
      </c>
      <c r="D2" s="30" t="str">
        <f>IFERROR(__xludf.DUMMYFUNCTION("vlookup(B2, IMPORTRANGE(""https://docs.google.com/spreadsheets/d/1W4ogkn7G1DLigoji8FCGt4ELYlkTu29hcIgb7tBwWhE/edit?gid=0#gid=0"",""Feuille 1!b2:e161""),3,0)"),"Lionel")</f>
        <v>Lionel</v>
      </c>
      <c r="E2" s="7">
        <f>'Classement général nom prénom'!$G2+'Classement général nom prénom'!$H2+'Classement général nom prénom'!$I2</f>
        <v>12128.66692</v>
      </c>
      <c r="F2" s="8"/>
      <c r="G2" s="9">
        <f>IFERROR(VLOOKUP(B2,'Classement S6'!$B$2:$C$200,2,0),"0")</f>
        <v>5366.422196</v>
      </c>
      <c r="H2" s="9">
        <f>IFERROR(VLOOKUP(B2,'Classement RoC'!$B$2:$C$199,2,0),"0")</f>
        <v>5112.683545</v>
      </c>
      <c r="I2" s="9">
        <f>IFERROR(VLOOKUP(B2,'Classement Surp'!$B$2:$C$199,2,0),"0")</f>
        <v>1649.561183</v>
      </c>
    </row>
    <row r="3" ht="14.25" customHeight="1">
      <c r="A3" s="6">
        <v>46.0</v>
      </c>
      <c r="B3" s="6" t="s">
        <v>52</v>
      </c>
      <c r="C3" s="30" t="str">
        <f>IFERROR(__xludf.DUMMYFUNCTION("vlookup(B3, IMPORTRANGE(""https://docs.google.com/spreadsheets/d/1W4ogkn7G1DLigoji8FCGt4ELYlkTu29hcIgb7tBwWhE/edit?gid=0#gid=0"",""Feuille 1!b2:e161""),2,0)"),"Albert")</f>
        <v>Albert</v>
      </c>
      <c r="D3" s="30" t="str">
        <f>IFERROR(__xludf.DUMMYFUNCTION("vlookup(B3, IMPORTRANGE(""https://docs.google.com/spreadsheets/d/1W4ogkn7G1DLigoji8FCGt4ELYlkTu29hcIgb7tBwWhE/edit?gid=0#gid=0"",""Feuille 1!b2:e161""),3,0)"),"Gérard")</f>
        <v>Gérard</v>
      </c>
      <c r="E3" s="7">
        <f>'Classement général nom prénom'!$G3+'Classement général nom prénom'!$H3+'Classement général nom prénom'!$I3</f>
        <v>6036.155915</v>
      </c>
      <c r="F3" s="11"/>
      <c r="G3" s="12">
        <f>IFERROR(VLOOKUP(B3,'Classement S6'!$B$2:$C$200,2,0),"0")</f>
        <v>3970.797783</v>
      </c>
      <c r="H3" s="12">
        <f>IFERROR(VLOOKUP(B3,'Classement RoC'!$B$2:$C$199,2,0),"0")</f>
        <v>1577.485179</v>
      </c>
      <c r="I3" s="12">
        <f>IFERROR(VLOOKUP(B3,'Classement Surp'!$B$2:$C$199,2,0),"0")</f>
        <v>487.8729536</v>
      </c>
    </row>
    <row r="4" ht="14.25" customHeight="1">
      <c r="A4" s="6">
        <v>91.0</v>
      </c>
      <c r="B4" s="6" t="s">
        <v>97</v>
      </c>
      <c r="C4" s="30" t="str">
        <f>IFERROR(__xludf.DUMMYFUNCTION("vlookup(B4, IMPORTRANGE(""https://docs.google.com/spreadsheets/d/1W4ogkn7G1DLigoji8FCGt4ELYlkTu29hcIgb7tBwWhE/edit?gid=0#gid=0"",""Feuille 1!b2:e161""),2,0)"),"Albert")</f>
        <v>Albert</v>
      </c>
      <c r="D4" s="30" t="str">
        <f>IFERROR(__xludf.DUMMYFUNCTION("vlookup(B4, IMPORTRANGE(""https://docs.google.com/spreadsheets/d/1W4ogkn7G1DLigoji8FCGt4ELYlkTu29hcIgb7tBwWhE/edit?gid=0#gid=0"",""Feuille 1!b2:e161""),3,0)"),"Quentin")</f>
        <v>Quentin</v>
      </c>
      <c r="E4" s="7">
        <f>'Classement général nom prénom'!$G4+'Classement général nom prénom'!$H4+'Classement général nom prénom'!$I4</f>
        <v>1829.916989</v>
      </c>
      <c r="F4" s="8"/>
      <c r="G4" s="9">
        <f>IFERROR(VLOOKUP(B4,'Classement S6'!$B$2:$C$200,2,0),"0")</f>
        <v>500.1925477</v>
      </c>
      <c r="H4" s="9">
        <f>IFERROR(VLOOKUP(B4,'Classement RoC'!$B$2:$C$199,2,0),"0")</f>
        <v>748.1336287</v>
      </c>
      <c r="I4" s="9">
        <f>IFERROR(VLOOKUP(B4,'Classement Surp'!$B$2:$C$199,2,0),"0")</f>
        <v>581.5908126</v>
      </c>
    </row>
    <row r="5" ht="14.25" customHeight="1">
      <c r="A5" s="6">
        <v>143.0</v>
      </c>
      <c r="B5" s="27" t="s">
        <v>149</v>
      </c>
      <c r="C5" s="30" t="str">
        <f>IFERROR(__xludf.DUMMYFUNCTION("vlookup(B5, IMPORTRANGE(""https://docs.google.com/spreadsheets/d/1W4ogkn7G1DLigoji8FCGt4ELYlkTu29hcIgb7tBwWhE/edit?gid=0#gid=0"",""Feuille 1!b2:e161""),2,0)"),"Atger")</f>
        <v>Atger</v>
      </c>
      <c r="D5" s="30" t="str">
        <f>IFERROR(__xludf.DUMMYFUNCTION("vlookup(B5, IMPORTRANGE(""https://docs.google.com/spreadsheets/d/1W4ogkn7G1DLigoji8FCGt4ELYlkTu29hcIgb7tBwWhE/edit?gid=0#gid=0"",""Feuille 1!b2:e161""),3,0)"),"Adrien")</f>
        <v>Adrien</v>
      </c>
      <c r="E5" s="7">
        <f>'Classement général nom prénom'!$G5+'Classement général nom prénom'!$H5+'Classement général nom prénom'!$I5</f>
        <v>45.48747805</v>
      </c>
      <c r="F5" s="11"/>
      <c r="G5" s="12">
        <f>IFERROR(VLOOKUP(B5,'Classement S6'!$B$2:$C$200,2,0),"0")</f>
        <v>0</v>
      </c>
      <c r="H5" s="12">
        <f>IFERROR(VLOOKUP(B5,'Classement RoC'!$B$2:$C$199,2,0),"0")</f>
        <v>45.48747805</v>
      </c>
      <c r="I5" s="12">
        <f>IFERROR(VLOOKUP(B5,'Classement Surp'!$B$2:$C$199,2,0),"0")</f>
        <v>0</v>
      </c>
    </row>
    <row r="6" ht="14.25" customHeight="1">
      <c r="A6" s="6">
        <v>86.0</v>
      </c>
      <c r="B6" s="6" t="s">
        <v>92</v>
      </c>
      <c r="C6" s="30" t="str">
        <f>IFERROR(__xludf.DUMMYFUNCTION("vlookup(B6, IMPORTRANGE(""https://docs.google.com/spreadsheets/d/1W4ogkn7G1DLigoji8FCGt4ELYlkTu29hcIgb7tBwWhE/edit?gid=0#gid=0"",""Feuille 1!b2:e161""),2,0)"),"BERNARD")</f>
        <v>BERNARD</v>
      </c>
      <c r="D6" s="30" t="str">
        <f>IFERROR(__xludf.DUMMYFUNCTION("vlookup(B6, IMPORTRANGE(""https://docs.google.com/spreadsheets/d/1W4ogkn7G1DLigoji8FCGt4ELYlkTu29hcIgb7tBwWhE/edit?gid=0#gid=0"",""Feuille 1!b2:e161""),3,0)"),"Matthieu")</f>
        <v>Matthieu</v>
      </c>
      <c r="E6" s="7">
        <f>'Classement général nom prénom'!$G6+'Classement général nom prénom'!$H6+'Classement général nom prénom'!$I6</f>
        <v>2077.520716</v>
      </c>
      <c r="F6" s="8"/>
      <c r="G6" s="9">
        <f>IFERROR(VLOOKUP(B6,'Classement S6'!$B$2:$C$200,2,0),"0")</f>
        <v>779.4763954</v>
      </c>
      <c r="H6" s="9">
        <f>IFERROR(VLOOKUP(B6,'Classement RoC'!$B$2:$C$199,2,0),"0")</f>
        <v>1102.796066</v>
      </c>
      <c r="I6" s="9">
        <f>IFERROR(VLOOKUP(B6,'Classement Surp'!$B$2:$C$199,2,0),"0")</f>
        <v>195.2482543</v>
      </c>
    </row>
    <row r="7" ht="14.25" customHeight="1">
      <c r="A7" s="6">
        <v>49.0</v>
      </c>
      <c r="B7" s="13" t="s">
        <v>55</v>
      </c>
      <c r="C7" s="30" t="str">
        <f>IFERROR(__xludf.DUMMYFUNCTION("vlookup(B7, IMPORTRANGE(""https://docs.google.com/spreadsheets/d/1W4ogkn7G1DLigoji8FCGt4ELYlkTu29hcIgb7tBwWhE/edit?gid=0#gid=0"",""Feuille 1!b2:e161""),2,0)"),"Beyssac")</f>
        <v>Beyssac</v>
      </c>
      <c r="D7" s="30" t="str">
        <f>IFERROR(__xludf.DUMMYFUNCTION("vlookup(B7, IMPORTRANGE(""https://docs.google.com/spreadsheets/d/1W4ogkn7G1DLigoji8FCGt4ELYlkTu29hcIgb7tBwWhE/edit?gid=0#gid=0"",""Feuille 1!b2:e161""),3,0)"),"Jean-marie")</f>
        <v>Jean-marie</v>
      </c>
      <c r="E7" s="7">
        <f>'Classement général nom prénom'!$G7+'Classement général nom prénom'!$H7+'Classement général nom prénom'!$I7</f>
        <v>5385.779241</v>
      </c>
      <c r="F7" s="8"/>
      <c r="G7" s="9">
        <f>IFERROR(VLOOKUP(B7,'Classement S6'!$B$2:$C$200,2,0),"0")</f>
        <v>3206.635021</v>
      </c>
      <c r="H7" s="9">
        <f>IFERROR(VLOOKUP(B7,'Classement RoC'!$B$2:$C$199,2,0),"0")</f>
        <v>1240.838849</v>
      </c>
      <c r="I7" s="9">
        <f>IFERROR(VLOOKUP(B7,'Classement Surp'!$B$2:$C$199,2,0),"0")</f>
        <v>938.3053708</v>
      </c>
    </row>
    <row r="8" ht="14.25" customHeight="1">
      <c r="A8" s="6">
        <v>74.0</v>
      </c>
      <c r="B8" s="13" t="s">
        <v>80</v>
      </c>
      <c r="C8" s="30" t="str">
        <f>IFERROR(__xludf.DUMMYFUNCTION("vlookup(B8, IMPORTRANGE(""https://docs.google.com/spreadsheets/d/1W4ogkn7G1DLigoji8FCGt4ELYlkTu29hcIgb7tBwWhE/edit?gid=0#gid=0"",""Feuille 1!b2:e161""),2,0)"),"Beyssac")</f>
        <v>Beyssac</v>
      </c>
      <c r="D8" s="30" t="str">
        <f>IFERROR(__xludf.DUMMYFUNCTION("vlookup(B8, IMPORTRANGE(""https://docs.google.com/spreadsheets/d/1W4ogkn7G1DLigoji8FCGt4ELYlkTu29hcIgb7tBwWhE/edit?gid=0#gid=0"",""Feuille 1!b2:e161""),3,0)"),"Regine")</f>
        <v>Regine</v>
      </c>
      <c r="E8" s="7">
        <f>'Classement général nom prénom'!$G8+'Classement général nom prénom'!$H8+'Classement général nom prénom'!$I8</f>
        <v>3702.902921</v>
      </c>
      <c r="F8" s="8"/>
      <c r="G8" s="9">
        <f>IFERROR(VLOOKUP(B8,'Classement S6'!$B$2:$C$200,2,0),"0")</f>
        <v>1851.024718</v>
      </c>
      <c r="H8" s="9">
        <f>IFERROR(VLOOKUP(B8,'Classement RoC'!$B$2:$C$199,2,0),"0")</f>
        <v>901.4616226</v>
      </c>
      <c r="I8" s="9">
        <f>IFERROR(VLOOKUP(B8,'Classement Surp'!$B$2:$C$199,2,0),"0")</f>
        <v>950.4165799</v>
      </c>
    </row>
    <row r="9" ht="14.25" customHeight="1">
      <c r="A9" s="6">
        <v>38.0</v>
      </c>
      <c r="B9" s="6" t="s">
        <v>44</v>
      </c>
      <c r="C9" s="30" t="str">
        <f>IFERROR(__xludf.DUMMYFUNCTION("vlookup(B9, IMPORTRANGE(""https://docs.google.com/spreadsheets/d/1W4ogkn7G1DLigoji8FCGt4ELYlkTu29hcIgb7tBwWhE/edit?gid=0#gid=0"",""Feuille 1!b2:e161""),2,0)"),"Bigaud")</f>
        <v>Bigaud</v>
      </c>
      <c r="D9" s="30" t="str">
        <f>IFERROR(__xludf.DUMMYFUNCTION("vlookup(B9, IMPORTRANGE(""https://docs.google.com/spreadsheets/d/1W4ogkn7G1DLigoji8FCGt4ELYlkTu29hcIgb7tBwWhE/edit?gid=0#gid=0"",""Feuille 1!b2:e161""),3,0)"),"Abdelhak")</f>
        <v>Abdelhak</v>
      </c>
      <c r="E9" s="7">
        <f>'Classement général nom prénom'!$G9+'Classement général nom prénom'!$H9+'Classement général nom prénom'!$I9</f>
        <v>7689.310103</v>
      </c>
      <c r="F9" s="8"/>
      <c r="G9" s="9">
        <f>IFERROR(VLOOKUP(B9,'Classement S6'!$B$2:$C$200,2,0),"0")</f>
        <v>3493.515074</v>
      </c>
      <c r="H9" s="9">
        <f>IFERROR(VLOOKUP(B9,'Classement RoC'!$B$2:$C$199,2,0),"0")</f>
        <v>2604.692194</v>
      </c>
      <c r="I9" s="9">
        <f>IFERROR(VLOOKUP(B9,'Classement Surp'!$B$2:$C$199,2,0),"0")</f>
        <v>1591.102835</v>
      </c>
    </row>
    <row r="10" ht="14.25" customHeight="1">
      <c r="A10" s="6">
        <v>27.0</v>
      </c>
      <c r="B10" s="6" t="s">
        <v>33</v>
      </c>
      <c r="C10" s="30" t="str">
        <f>IFERROR(__xludf.DUMMYFUNCTION("vlookup(B10, IMPORTRANGE(""https://docs.google.com/spreadsheets/d/1W4ogkn7G1DLigoji8FCGt4ELYlkTu29hcIgb7tBwWhE/edit?gid=0#gid=0"",""Feuille 1!b2:e161""),2,0)"),"bole besançon")</f>
        <v>bole besançon</v>
      </c>
      <c r="D10" s="30" t="str">
        <f>IFERROR(__xludf.DUMMYFUNCTION("vlookup(B10, IMPORTRANGE(""https://docs.google.com/spreadsheets/d/1W4ogkn7G1DLigoji8FCGt4ELYlkTu29hcIgb7tBwWhE/edit?gid=0#gid=0"",""Feuille 1!b2:e161""),3,0)"),"samuel")</f>
        <v>samuel</v>
      </c>
      <c r="E10" s="7">
        <f>'Classement général nom prénom'!$G10+'Classement général nom prénom'!$H10+'Classement général nom prénom'!$I10</f>
        <v>9193.477604</v>
      </c>
      <c r="F10" s="8"/>
      <c r="G10" s="9">
        <f>IFERROR(VLOOKUP(B10,'Classement S6'!$B$2:$C$200,2,0),"0")</f>
        <v>5010.9672</v>
      </c>
      <c r="H10" s="9">
        <f>IFERROR(VLOOKUP(B10,'Classement RoC'!$B$2:$C$199,2,0),"0")</f>
        <v>3150.842756</v>
      </c>
      <c r="I10" s="9">
        <f>IFERROR(VLOOKUP(B10,'Classement Surp'!$B$2:$C$199,2,0),"0")</f>
        <v>1031.667647</v>
      </c>
    </row>
    <row r="11" ht="14.25" customHeight="1">
      <c r="A11" s="6">
        <v>70.0</v>
      </c>
      <c r="B11" s="16" t="s">
        <v>76</v>
      </c>
      <c r="C11" s="30" t="str">
        <f>IFERROR(__xludf.DUMMYFUNCTION("vlookup(B11, IMPORTRANGE(""https://docs.google.com/spreadsheets/d/1W4ogkn7G1DLigoji8FCGt4ELYlkTu29hcIgb7tBwWhE/edit?gid=0#gid=0"",""Feuille 1!b2:e161""),2,0)"),"Bos")</f>
        <v>Bos</v>
      </c>
      <c r="D11" s="30" t="str">
        <f>IFERROR(__xludf.DUMMYFUNCTION("vlookup(B11, IMPORTRANGE(""https://docs.google.com/spreadsheets/d/1W4ogkn7G1DLigoji8FCGt4ELYlkTu29hcIgb7tBwWhE/edit?gid=0#gid=0"",""Feuille 1!b2:e161""),3,0)"),"Aurélien")</f>
        <v>Aurélien</v>
      </c>
      <c r="E11" s="7">
        <f>'Classement général nom prénom'!$G11+'Classement général nom prénom'!$H11+'Classement général nom prénom'!$I11</f>
        <v>3946.746932</v>
      </c>
      <c r="F11" s="11"/>
      <c r="G11" s="12">
        <f>IFERROR(VLOOKUP(B11,'Classement S6'!$B$2:$C$200,2,0),"0")</f>
        <v>2548.447431</v>
      </c>
      <c r="H11" s="12">
        <f>IFERROR(VLOOKUP(B11,'Classement RoC'!$B$2:$C$199,2,0),"0")</f>
        <v>711.9175049</v>
      </c>
      <c r="I11" s="12">
        <f>IFERROR(VLOOKUP(B11,'Classement Surp'!$B$2:$C$199,2,0),"0")</f>
        <v>686.3819961</v>
      </c>
    </row>
    <row r="12" ht="14.25" customHeight="1">
      <c r="A12" s="6">
        <v>97.0</v>
      </c>
      <c r="B12" s="25" t="s">
        <v>103</v>
      </c>
      <c r="C12" s="30" t="s">
        <v>154</v>
      </c>
      <c r="D12" s="30" t="s">
        <v>155</v>
      </c>
      <c r="E12" s="7">
        <f>'Classement général nom prénom'!$G12+'Classement général nom prénom'!$H12+'Classement général nom prénom'!$I12</f>
        <v>1509.80356</v>
      </c>
      <c r="F12" s="11"/>
      <c r="G12" s="12">
        <f>IFERROR(VLOOKUP(B12,'Classement S6'!$B$2:$C$200,2,0),"0")</f>
        <v>1509.80356</v>
      </c>
      <c r="H12" s="12" t="str">
        <f>IFERROR(VLOOKUP(B12,'Classement RoC'!$B$2:$C$199,2,0),"0")</f>
        <v>0</v>
      </c>
      <c r="I12" s="12" t="str">
        <f>IFERROR(VLOOKUP(B12,'Classement Surp'!$B$2:$C$199,2,0),"0")</f>
        <v>0</v>
      </c>
    </row>
    <row r="13" ht="14.25" customHeight="1">
      <c r="A13" s="6">
        <v>59.0</v>
      </c>
      <c r="B13" s="6" t="s">
        <v>65</v>
      </c>
      <c r="C13" s="30" t="str">
        <f>IFERROR(__xludf.DUMMYFUNCTION("vlookup(B13, IMPORTRANGE(""https://docs.google.com/spreadsheets/d/1W4ogkn7G1DLigoji8FCGt4ELYlkTu29hcIgb7tBwWhE/edit?gid=0#gid=0"",""Feuille 1!b2:e161""),2,0)"),"Bugeant")</f>
        <v>Bugeant</v>
      </c>
      <c r="D13" s="30" t="str">
        <f>IFERROR(__xludf.DUMMYFUNCTION("vlookup(B13, IMPORTRANGE(""https://docs.google.com/spreadsheets/d/1W4ogkn7G1DLigoji8FCGt4ELYlkTu29hcIgb7tBwWhE/edit?gid=0#gid=0"",""Feuille 1!b2:e161""),3,0)"),"Nicolas")</f>
        <v>Nicolas</v>
      </c>
      <c r="E13" s="7">
        <f>'Classement général nom prénom'!$G13+'Classement général nom prénom'!$H13+'Classement général nom prénom'!$I13</f>
        <v>4677.767558</v>
      </c>
      <c r="F13" s="8"/>
      <c r="G13" s="9">
        <f>IFERROR(VLOOKUP(B13,'Classement S6'!$B$2:$C$200,2,0),"0")</f>
        <v>2194.333872</v>
      </c>
      <c r="H13" s="9">
        <f>IFERROR(VLOOKUP(B13,'Classement RoC'!$B$2:$C$199,2,0),"0")</f>
        <v>1267.950817</v>
      </c>
      <c r="I13" s="9">
        <f>IFERROR(VLOOKUP(B13,'Classement Surp'!$B$2:$C$199,2,0),"0")</f>
        <v>1215.482868</v>
      </c>
    </row>
    <row r="14" ht="14.25" customHeight="1">
      <c r="A14" s="6">
        <v>6.0</v>
      </c>
      <c r="B14" s="6" t="s">
        <v>12</v>
      </c>
      <c r="C14" s="30" t="str">
        <f>IFERROR(__xludf.DUMMYFUNCTION("vlookup(B14, IMPORTRANGE(""https://docs.google.com/spreadsheets/d/1W4ogkn7G1DLigoji8FCGt4ELYlkTu29hcIgb7tBwWhE/edit?gid=0#gid=0"",""Feuille 1!b2:e161""),2,0)"),"Caillet")</f>
        <v>Caillet</v>
      </c>
      <c r="D14" s="30" t="str">
        <f>IFERROR(__xludf.DUMMYFUNCTION("vlookup(B14, IMPORTRANGE(""https://docs.google.com/spreadsheets/d/1W4ogkn7G1DLigoji8FCGt4ELYlkTu29hcIgb7tBwWhE/edit?gid=0#gid=0"",""Feuille 1!b2:e161""),3,0)"),"Christian")</f>
        <v>Christian</v>
      </c>
      <c r="E14" s="7">
        <f>'Classement général nom prénom'!$G14+'Classement général nom prénom'!$H14+'Classement général nom prénom'!$I14</f>
        <v>12583.24981</v>
      </c>
      <c r="F14" s="8"/>
      <c r="G14" s="9">
        <f>IFERROR(VLOOKUP(B14,'Classement S6'!$B$2:$C$200,2,0),"0")</f>
        <v>6635.743676</v>
      </c>
      <c r="H14" s="9">
        <f>IFERROR(VLOOKUP(B14,'Classement RoC'!$B$2:$C$199,2,0),"0")</f>
        <v>3348.640868</v>
      </c>
      <c r="I14" s="9">
        <f>IFERROR(VLOOKUP(B14,'Classement Surp'!$B$2:$C$199,2,0),"0")</f>
        <v>2598.86527</v>
      </c>
    </row>
    <row r="15" ht="14.25" customHeight="1">
      <c r="A15" s="6">
        <v>53.0</v>
      </c>
      <c r="B15" s="13" t="s">
        <v>59</v>
      </c>
      <c r="C15" s="30" t="str">
        <f>IFERROR(__xludf.DUMMYFUNCTION("vlookup(B15, IMPORTRANGE(""https://docs.google.com/spreadsheets/d/1W4ogkn7G1DLigoji8FCGt4ELYlkTu29hcIgb7tBwWhE/edit?gid=0#gid=0"",""Feuille 1!b2:e161""),2,0)"),"Campani")</f>
        <v>Campani</v>
      </c>
      <c r="D15" s="30" t="str">
        <f>IFERROR(__xludf.DUMMYFUNCTION("vlookup(B15, IMPORTRANGE(""https://docs.google.com/spreadsheets/d/1W4ogkn7G1DLigoji8FCGt4ELYlkTu29hcIgb7tBwWhE/edit?gid=0#gid=0"",""Feuille 1!b2:e161""),3,0)"),"Jean-François")</f>
        <v>Jean-François</v>
      </c>
      <c r="E15" s="7">
        <f>'Classement général nom prénom'!$G15+'Classement général nom prénom'!$H15+'Classement général nom prénom'!$I15</f>
        <v>5162.631832</v>
      </c>
      <c r="F15" s="8"/>
      <c r="G15" s="9">
        <f>IFERROR(VLOOKUP(B15,'Classement S6'!$B$2:$C$200,2,0),"0")</f>
        <v>4559.965165</v>
      </c>
      <c r="H15" s="9" t="str">
        <f>IFERROR(VLOOKUP(B15,'Classement RoC'!$B$2:$C$199,2,0),"0")</f>
        <v>0</v>
      </c>
      <c r="I15" s="9">
        <f>IFERROR(VLOOKUP(B15,'Classement Surp'!$B$2:$C$199,2,0),"0")</f>
        <v>602.666667</v>
      </c>
    </row>
    <row r="16" ht="14.25" customHeight="1">
      <c r="A16" s="6">
        <v>80.0</v>
      </c>
      <c r="B16" s="6" t="s">
        <v>86</v>
      </c>
      <c r="C16" s="30" t="str">
        <f>IFERROR(__xludf.DUMMYFUNCTION("vlookup(B16, IMPORTRANGE(""https://docs.google.com/spreadsheets/d/1W4ogkn7G1DLigoji8FCGt4ELYlkTu29hcIgb7tBwWhE/edit?gid=0#gid=0"",""Feuille 1!b2:e161""),2,0)"),"Ces")</f>
        <v>Ces</v>
      </c>
      <c r="D16" s="30" t="str">
        <f>IFERROR(__xludf.DUMMYFUNCTION("vlookup(B16, IMPORTRANGE(""https://docs.google.com/spreadsheets/d/1W4ogkn7G1DLigoji8FCGt4ELYlkTu29hcIgb7tBwWhE/edit?gid=0#gid=0"",""Feuille 1!b2:e161""),3,0)"),"Jean-Marie")</f>
        <v>Jean-Marie</v>
      </c>
      <c r="E16" s="7">
        <f>'Classement général nom prénom'!$G16+'Classement général nom prénom'!$H16+'Classement général nom prénom'!$I16</f>
        <v>2892.928044</v>
      </c>
      <c r="F16" s="8"/>
      <c r="G16" s="9">
        <f>IFERROR(VLOOKUP(B16,'Classement S6'!$B$2:$C$200,2,0),"0")</f>
        <v>531.2314873</v>
      </c>
      <c r="H16" s="9">
        <f>IFERROR(VLOOKUP(B16,'Classement RoC'!$B$2:$C$199,2,0),"0")</f>
        <v>1393.959111</v>
      </c>
      <c r="I16" s="9">
        <f>IFERROR(VLOOKUP(B16,'Classement Surp'!$B$2:$C$199,2,0),"0")</f>
        <v>967.7374452</v>
      </c>
    </row>
    <row r="17" ht="14.25" customHeight="1">
      <c r="A17" s="6">
        <v>26.0</v>
      </c>
      <c r="B17" s="13" t="s">
        <v>32</v>
      </c>
      <c r="C17" s="30" t="str">
        <f>IFERROR(__xludf.DUMMYFUNCTION("vlookup(B17, IMPORTRANGE(""https://docs.google.com/spreadsheets/d/1W4ogkn7G1DLigoji8FCGt4ELYlkTu29hcIgb7tBwWhE/edit?gid=0#gid=0"",""Feuille 1!b2:e161""),2,0)"),"Charlier")</f>
        <v>Charlier</v>
      </c>
      <c r="D17" s="30" t="str">
        <f>IFERROR(__xludf.DUMMYFUNCTION("vlookup(B17, IMPORTRANGE(""https://docs.google.com/spreadsheets/d/1W4ogkn7G1DLigoji8FCGt4ELYlkTu29hcIgb7tBwWhE/edit?gid=0#gid=0"",""Feuille 1!b2:e161""),3,0)"),"Vivien")</f>
        <v>Vivien</v>
      </c>
      <c r="E17" s="7">
        <f>'Classement général nom prénom'!$G17+'Classement général nom prénom'!$H17+'Classement général nom prénom'!$I17</f>
        <v>9559.62189</v>
      </c>
      <c r="F17" s="8"/>
      <c r="G17" s="9">
        <f>IFERROR(VLOOKUP(B17,'Classement S6'!$B$2:$C$200,2,0),"0")</f>
        <v>5776.833658</v>
      </c>
      <c r="H17" s="9">
        <f>IFERROR(VLOOKUP(B17,'Classement RoC'!$B$2:$C$199,2,0),"0")</f>
        <v>2724.528867</v>
      </c>
      <c r="I17" s="9">
        <f>IFERROR(VLOOKUP(B17,'Classement Surp'!$B$2:$C$199,2,0),"0")</f>
        <v>1058.259365</v>
      </c>
    </row>
    <row r="18" ht="14.25" customHeight="1">
      <c r="A18" s="6">
        <v>52.0</v>
      </c>
      <c r="B18" s="6" t="s">
        <v>58</v>
      </c>
      <c r="C18" s="30" t="str">
        <f>IFERROR(__xludf.DUMMYFUNCTION("vlookup(B18, IMPORTRANGE(""https://docs.google.com/spreadsheets/d/1W4ogkn7G1DLigoji8FCGt4ELYlkTu29hcIgb7tBwWhE/edit?gid=0#gid=0"",""Feuille 1!b2:e161""),2,0)"),"CHOLET")</f>
        <v>CHOLET</v>
      </c>
      <c r="D18" s="30" t="str">
        <f>IFERROR(__xludf.DUMMYFUNCTION("vlookup(B18, IMPORTRANGE(""https://docs.google.com/spreadsheets/d/1W4ogkn7G1DLigoji8FCGt4ELYlkTu29hcIgb7tBwWhE/edit?gid=0#gid=0"",""Feuille 1!b2:e161""),3,0)"),"Orianne")</f>
        <v>Orianne</v>
      </c>
      <c r="E18" s="7">
        <f>'Classement général nom prénom'!$G18+'Classement général nom prénom'!$H18+'Classement général nom prénom'!$I18</f>
        <v>5199.158414</v>
      </c>
      <c r="F18" s="8"/>
      <c r="G18" s="9">
        <f>IFERROR(VLOOKUP(B18,'Classement S6'!$B$2:$C$200,2,0),"0")</f>
        <v>2884.385361</v>
      </c>
      <c r="H18" s="9">
        <f>IFERROR(VLOOKUP(B18,'Classement RoC'!$B$2:$C$199,2,0),"0")</f>
        <v>1266.505193</v>
      </c>
      <c r="I18" s="9">
        <f>IFERROR(VLOOKUP(B18,'Classement Surp'!$B$2:$C$199,2,0),"0")</f>
        <v>1048.267861</v>
      </c>
    </row>
    <row r="19" ht="14.25" customHeight="1">
      <c r="A19" s="6">
        <v>79.0</v>
      </c>
      <c r="B19" s="16" t="s">
        <v>85</v>
      </c>
      <c r="C19" s="30" t="str">
        <f>IFERROR(__xludf.DUMMYFUNCTION("vlookup(B19, IMPORTRANGE(""https://docs.google.com/spreadsheets/d/1W4ogkn7G1DLigoji8FCGt4ELYlkTu29hcIgb7tBwWhE/edit?gid=0#gid=0"",""Feuille 1!b2:e161""),2,0)"),"COMBE")</f>
        <v>COMBE</v>
      </c>
      <c r="D19" s="30" t="str">
        <f>IFERROR(__xludf.DUMMYFUNCTION("vlookup(B19, IMPORTRANGE(""https://docs.google.com/spreadsheets/d/1W4ogkn7G1DLigoji8FCGt4ELYlkTu29hcIgb7tBwWhE/edit?gid=0#gid=0"",""Feuille 1!b2:e161""),3,0)"),"JEAN-FRANÇOIS")</f>
        <v>JEAN-FRANÇOIS</v>
      </c>
      <c r="E19" s="7">
        <f>'Classement général nom prénom'!$G19+'Classement général nom prénom'!$H19+'Classement général nom prénom'!$I19</f>
        <v>2999.67502</v>
      </c>
      <c r="F19" s="11"/>
      <c r="G19" s="12">
        <f>IFERROR(VLOOKUP(B19,'Classement S6'!$B$2:$C$200,2,0),"0")</f>
        <v>683.057202</v>
      </c>
      <c r="H19" s="12">
        <f>IFERROR(VLOOKUP(B19,'Classement RoC'!$B$2:$C$199,2,0),"0")</f>
        <v>1638.359965</v>
      </c>
      <c r="I19" s="12">
        <f>IFERROR(VLOOKUP(B19,'Classement Surp'!$B$2:$C$199,2,0),"0")</f>
        <v>678.257853</v>
      </c>
    </row>
    <row r="20" ht="14.25" customHeight="1">
      <c r="A20" s="6">
        <v>69.0</v>
      </c>
      <c r="B20" s="17" t="s">
        <v>75</v>
      </c>
      <c r="C20" s="30" t="str">
        <f>IFERROR(__xludf.DUMMYFUNCTION("vlookup(B20, IMPORTRANGE(""https://docs.google.com/spreadsheets/d/1W4ogkn7G1DLigoji8FCGt4ELYlkTu29hcIgb7tBwWhE/edit?gid=0#gid=0"",""Feuille 1!b2:e161""),2,0)"),"Corradini")</f>
        <v>Corradini</v>
      </c>
      <c r="D20" s="30" t="str">
        <f>IFERROR(__xludf.DUMMYFUNCTION("vlookup(B20, IMPORTRANGE(""https://docs.google.com/spreadsheets/d/1W4ogkn7G1DLigoji8FCGt4ELYlkTu29hcIgb7tBwWhE/edit?gid=0#gid=0"",""Feuille 1!b2:e161""),3,0)"),"Bruno")</f>
        <v>Bruno</v>
      </c>
      <c r="E20" s="7">
        <f>'Classement général nom prénom'!$G20+'Classement général nom prénom'!$H20+'Classement général nom prénom'!$I20</f>
        <v>3962.133565</v>
      </c>
      <c r="F20" s="11"/>
      <c r="G20" s="12">
        <f>IFERROR(VLOOKUP(B20,'Classement S6'!$B$2:$C$200,2,0),"0")</f>
        <v>1617.314636</v>
      </c>
      <c r="H20" s="12">
        <f>IFERROR(VLOOKUP(B20,'Classement RoC'!$B$2:$C$199,2,0),"0")</f>
        <v>1926.222905</v>
      </c>
      <c r="I20" s="12">
        <f>IFERROR(VLOOKUP(B20,'Classement Surp'!$B$2:$C$199,2,0),"0")</f>
        <v>418.5960229</v>
      </c>
    </row>
    <row r="21" ht="14.25" customHeight="1">
      <c r="A21" s="6">
        <v>89.0</v>
      </c>
      <c r="B21" s="17" t="s">
        <v>95</v>
      </c>
      <c r="C21" s="30" t="str">
        <f>IFERROR(__xludf.DUMMYFUNCTION("vlookup(B21, IMPORTRANGE(""https://docs.google.com/spreadsheets/d/1W4ogkn7G1DLigoji8FCGt4ELYlkTu29hcIgb7tBwWhE/edit?gid=0#gid=0"",""Feuille 1!b2:e161""),2,0)"),"CORRADINI")</f>
        <v>CORRADINI</v>
      </c>
      <c r="D21" s="30" t="str">
        <f>IFERROR(__xludf.DUMMYFUNCTION("vlookup(B21, IMPORTRANGE(""https://docs.google.com/spreadsheets/d/1W4ogkn7G1DLigoji8FCGt4ELYlkTu29hcIgb7tBwWhE/edit?gid=0#gid=0"",""Feuille 1!b2:e161""),3,0)"),"Sylvie")</f>
        <v>Sylvie</v>
      </c>
      <c r="E21" s="7">
        <f>'Classement général nom prénom'!$G21+'Classement général nom prénom'!$H21+'Classement général nom prénom'!$I21</f>
        <v>1944.721234</v>
      </c>
      <c r="F21" s="11"/>
      <c r="G21" s="12">
        <f>IFERROR(VLOOKUP(B21,'Classement S6'!$B$2:$C$200,2,0),"0")</f>
        <v>1284.315552</v>
      </c>
      <c r="H21" s="12">
        <f>IFERROR(VLOOKUP(B21,'Classement RoC'!$B$2:$C$199,2,0),"0")</f>
        <v>449.4352116</v>
      </c>
      <c r="I21" s="12">
        <f>IFERROR(VLOOKUP(B21,'Classement Surp'!$B$2:$C$199,2,0),"0")</f>
        <v>210.9704703</v>
      </c>
    </row>
    <row r="22" ht="14.25" customHeight="1">
      <c r="A22" s="6">
        <v>11.0</v>
      </c>
      <c r="B22" s="6" t="s">
        <v>17</v>
      </c>
      <c r="C22" s="30" t="str">
        <f>IFERROR(__xludf.DUMMYFUNCTION("vlookup(B22, IMPORTRANGE(""https://docs.google.com/spreadsheets/d/1W4ogkn7G1DLigoji8FCGt4ELYlkTu29hcIgb7tBwWhE/edit?gid=0#gid=0"",""Feuille 1!b2:e161""),2,0)"),"COSTE")</f>
        <v>COSTE</v>
      </c>
      <c r="D22" s="30" t="str">
        <f>IFERROR(__xludf.DUMMYFUNCTION("vlookup(B22, IMPORTRANGE(""https://docs.google.com/spreadsheets/d/1W4ogkn7G1DLigoji8FCGt4ELYlkTu29hcIgb7tBwWhE/edit?gid=0#gid=0"",""Feuille 1!b2:e161""),3,0)"),"Johann")</f>
        <v>Johann</v>
      </c>
      <c r="E22" s="7">
        <f>'Classement général nom prénom'!$G22+'Classement général nom prénom'!$H22+'Classement général nom prénom'!$I22</f>
        <v>11798.36733</v>
      </c>
      <c r="F22" s="8"/>
      <c r="G22" s="14">
        <f>IFERROR(VLOOKUP(B22,'Classement S6'!$B$2:$C$200,2,0),"0")</f>
        <v>5133.979578</v>
      </c>
      <c r="H22" s="14">
        <f>IFERROR(VLOOKUP(B22,'Classement RoC'!$B$2:$C$199,2,0),"0")</f>
        <v>5220.377133</v>
      </c>
      <c r="I22" s="9">
        <f>IFERROR(VLOOKUP(B22,'Classement Surp'!$B$2:$C$199,2,0),"0")</f>
        <v>1444.010616</v>
      </c>
    </row>
    <row r="23" ht="14.25" customHeight="1">
      <c r="A23" s="6">
        <v>24.0</v>
      </c>
      <c r="B23" s="6" t="s">
        <v>30</v>
      </c>
      <c r="C23" s="30" t="str">
        <f>IFERROR(__xludf.DUMMYFUNCTION("vlookup(B23, IMPORTRANGE(""https://docs.google.com/spreadsheets/d/1W4ogkn7G1DLigoji8FCGt4ELYlkTu29hcIgb7tBwWhE/edit?gid=0#gid=0"",""Feuille 1!b2:e161""),2,0)"),"Courtin")</f>
        <v>Courtin</v>
      </c>
      <c r="D23" s="30" t="str">
        <f>IFERROR(__xludf.DUMMYFUNCTION("vlookup(B23, IMPORTRANGE(""https://docs.google.com/spreadsheets/d/1W4ogkn7G1DLigoji8FCGt4ELYlkTu29hcIgb7tBwWhE/edit?gid=0#gid=0"",""Feuille 1!b2:e161""),3,0)"),"Stéphane")</f>
        <v>Stéphane</v>
      </c>
      <c r="E23" s="7">
        <f>'Classement général nom prénom'!$G23+'Classement général nom prénom'!$H23+'Classement général nom prénom'!$I23</f>
        <v>9692.38487</v>
      </c>
      <c r="F23" s="8"/>
      <c r="G23" s="9">
        <f>IFERROR(VLOOKUP(B23,'Classement S6'!$B$2:$C$200,2,0),"0")</f>
        <v>5752.57942</v>
      </c>
      <c r="H23" s="9">
        <f>IFERROR(VLOOKUP(B23,'Classement RoC'!$B$2:$C$199,2,0),"0")</f>
        <v>2857.482475</v>
      </c>
      <c r="I23" s="9">
        <f>IFERROR(VLOOKUP(B23,'Classement Surp'!$B$2:$C$199,2,0),"0")</f>
        <v>1082.322975</v>
      </c>
    </row>
    <row r="24" ht="14.25" customHeight="1">
      <c r="A24" s="6">
        <v>61.0</v>
      </c>
      <c r="B24" s="6" t="s">
        <v>67</v>
      </c>
      <c r="C24" s="30" t="str">
        <f>IFERROR(__xludf.DUMMYFUNCTION("vlookup(B24, IMPORTRANGE(""https://docs.google.com/spreadsheets/d/1W4ogkn7G1DLigoji8FCGt4ELYlkTu29hcIgb7tBwWhE/edit?gid=0#gid=0"",""Feuille 1!b2:e161""),2,0)"),"COUTURE")</f>
        <v>COUTURE</v>
      </c>
      <c r="D24" s="30" t="str">
        <f>IFERROR(__xludf.DUMMYFUNCTION("vlookup(B24, IMPORTRANGE(""https://docs.google.com/spreadsheets/d/1W4ogkn7G1DLigoji8FCGt4ELYlkTu29hcIgb7tBwWhE/edit?gid=0#gid=0"",""Feuille 1!b2:e161""),3,0)"),"Aurélien")</f>
        <v>Aurélien</v>
      </c>
      <c r="E24" s="7">
        <f>'Classement général nom prénom'!$G24+'Classement général nom prénom'!$H24+'Classement général nom prénom'!$I24</f>
        <v>4415.301376</v>
      </c>
      <c r="F24" s="8"/>
      <c r="G24" s="9">
        <f>IFERROR(VLOOKUP(B24,'Classement S6'!$B$2:$C$200,2,0),"0")</f>
        <v>2728.25152</v>
      </c>
      <c r="H24" s="9">
        <f>IFERROR(VLOOKUP(B24,'Classement RoC'!$B$2:$C$199,2,0),"0")</f>
        <v>452.9512267</v>
      </c>
      <c r="I24" s="9">
        <f>IFERROR(VLOOKUP(B24,'Classement Surp'!$B$2:$C$199,2,0),"0")</f>
        <v>1234.098628</v>
      </c>
    </row>
    <row r="25" ht="14.25" customHeight="1">
      <c r="A25" s="6">
        <v>87.0</v>
      </c>
      <c r="B25" s="6" t="s">
        <v>93</v>
      </c>
      <c r="C25" s="30" t="str">
        <f>IFERROR(__xludf.DUMMYFUNCTION("vlookup(B25, IMPORTRANGE(""https://docs.google.com/spreadsheets/d/1W4ogkn7G1DLigoji8FCGt4ELYlkTu29hcIgb7tBwWhE/edit?gid=0#gid=0"",""Feuille 1!b2:e161""),2,0)"),"Da Veiga")</f>
        <v>Da Veiga</v>
      </c>
      <c r="D25" s="30" t="str">
        <f>IFERROR(__xludf.DUMMYFUNCTION("vlookup(B25, IMPORTRANGE(""https://docs.google.com/spreadsheets/d/1W4ogkn7G1DLigoji8FCGt4ELYlkTu29hcIgb7tBwWhE/edit?gid=0#gid=0"",""Feuille 1!b2:e161""),3,0)"),"Corentin")</f>
        <v>Corentin</v>
      </c>
      <c r="E25" s="7">
        <f>'Classement général nom prénom'!$G25+'Classement général nom prénom'!$H25+'Classement général nom prénom'!$I25</f>
        <v>2011.130144</v>
      </c>
      <c r="F25" s="8"/>
      <c r="G25" s="9">
        <f>IFERROR(VLOOKUP(B25,'Classement S6'!$B$2:$C$200,2,0),"0")</f>
        <v>900.8141105</v>
      </c>
      <c r="H25" s="9">
        <f>IFERROR(VLOOKUP(B25,'Classement RoC'!$B$2:$C$199,2,0),"0")</f>
        <v>1110.316033</v>
      </c>
      <c r="I25" s="9">
        <f>IFERROR(VLOOKUP(B25,'Classement Surp'!$B$2:$C$199,2,0),"0")</f>
        <v>0</v>
      </c>
    </row>
    <row r="26" ht="14.25" customHeight="1">
      <c r="A26" s="6">
        <v>88.0</v>
      </c>
      <c r="B26" s="6" t="s">
        <v>94</v>
      </c>
      <c r="C26" s="30" t="str">
        <f>IFERROR(__xludf.DUMMYFUNCTION("vlookup(B26, IMPORTRANGE(""https://docs.google.com/spreadsheets/d/1W4ogkn7G1DLigoji8FCGt4ELYlkTu29hcIgb7tBwWhE/edit?gid=0#gid=0"",""Feuille 1!b2:e161""),2,0)"),"Dallet")</f>
        <v>Dallet</v>
      </c>
      <c r="D26" s="30" t="str">
        <f>IFERROR(__xludf.DUMMYFUNCTION("vlookup(B26, IMPORTRANGE(""https://docs.google.com/spreadsheets/d/1W4ogkn7G1DLigoji8FCGt4ELYlkTu29hcIgb7tBwWhE/edit?gid=0#gid=0"",""Feuille 1!b2:e161""),3,0)"),"Adrien")</f>
        <v>Adrien</v>
      </c>
      <c r="E26" s="7">
        <f>'Classement général nom prénom'!$G26+'Classement général nom prénom'!$H26+'Classement général nom prénom'!$I26</f>
        <v>1946.39602</v>
      </c>
      <c r="F26" s="8"/>
      <c r="G26" s="9">
        <f>IFERROR(VLOOKUP(B26,'Classement S6'!$B$2:$C$200,2,0),"0")</f>
        <v>1698.7104</v>
      </c>
      <c r="H26" s="9">
        <f>IFERROR(VLOOKUP(B26,'Classement RoC'!$B$2:$C$199,2,0),"0")</f>
        <v>234.0575948</v>
      </c>
      <c r="I26" s="9">
        <f>IFERROR(VLOOKUP(B26,'Classement Surp'!$B$2:$C$199,2,0),"0")</f>
        <v>13.62802543</v>
      </c>
    </row>
    <row r="27" ht="14.25" customHeight="1">
      <c r="A27" s="6">
        <v>68.0</v>
      </c>
      <c r="B27" s="6" t="s">
        <v>74</v>
      </c>
      <c r="C27" s="30" t="str">
        <f>IFERROR(__xludf.DUMMYFUNCTION("vlookup(B27, IMPORTRANGE(""https://docs.google.com/spreadsheets/d/1W4ogkn7G1DLigoji8FCGt4ELYlkTu29hcIgb7tBwWhE/edit?gid=0#gid=0"",""Feuille 1!b2:e161""),2,0)"),"DAUVERGNE")</f>
        <v>DAUVERGNE</v>
      </c>
      <c r="D27" s="30" t="str">
        <f>IFERROR(__xludf.DUMMYFUNCTION("vlookup(B27, IMPORTRANGE(""https://docs.google.com/spreadsheets/d/1W4ogkn7G1DLigoji8FCGt4ELYlkTu29hcIgb7tBwWhE/edit?gid=0#gid=0"",""Feuille 1!b2:e161""),3,0)"),"BENOIT")</f>
        <v>BENOIT</v>
      </c>
      <c r="E27" s="7">
        <f>'Classement général nom prénom'!$G27+'Classement général nom prénom'!$H27+'Classement général nom prénom'!$I27</f>
        <v>4009.131504</v>
      </c>
      <c r="F27" s="8"/>
      <c r="G27" s="9">
        <f>IFERROR(VLOOKUP(B27,'Classement S6'!$B$2:$C$200,2,0),"0")</f>
        <v>2120.543855</v>
      </c>
      <c r="H27" s="9">
        <f>IFERROR(VLOOKUP(B27,'Classement RoC'!$B$2:$C$199,2,0),"0")</f>
        <v>1173.403838</v>
      </c>
      <c r="I27" s="9">
        <f>IFERROR(VLOOKUP(B27,'Classement Surp'!$B$2:$C$199,2,0),"0")</f>
        <v>715.183811</v>
      </c>
    </row>
    <row r="28" ht="14.25" customHeight="1">
      <c r="A28" s="6">
        <v>13.0</v>
      </c>
      <c r="B28" s="6" t="s">
        <v>19</v>
      </c>
      <c r="C28" s="30" t="str">
        <f>IFERROR(__xludf.DUMMYFUNCTION("vlookup(B28, IMPORTRANGE(""https://docs.google.com/spreadsheets/d/1W4ogkn7G1DLigoji8FCGt4ELYlkTu29hcIgb7tBwWhE/edit?gid=0#gid=0"",""Feuille 1!b2:e161""),2,0)"),"delage")</f>
        <v>delage</v>
      </c>
      <c r="D28" s="30" t="str">
        <f>IFERROR(__xludf.DUMMYFUNCTION("vlookup(B28, IMPORTRANGE(""https://docs.google.com/spreadsheets/d/1W4ogkn7G1DLigoji8FCGt4ELYlkTu29hcIgb7tBwWhE/edit?gid=0#gid=0"",""Feuille 1!b2:e161""),3,0)"),"jean baptiste")</f>
        <v>jean baptiste</v>
      </c>
      <c r="E28" s="7">
        <f>'Classement général nom prénom'!$G28+'Classement général nom prénom'!$H28+'Classement général nom prénom'!$I28</f>
        <v>11074.03547</v>
      </c>
      <c r="F28" s="8"/>
      <c r="G28" s="9">
        <f>IFERROR(VLOOKUP(B28,'Classement S6'!$B$2:$C$200,2,0),"0")</f>
        <v>6846.233397</v>
      </c>
      <c r="H28" s="9">
        <f>IFERROR(VLOOKUP(B28,'Classement RoC'!$B$2:$C$199,2,0),"0")</f>
        <v>1590.76143</v>
      </c>
      <c r="I28" s="9">
        <f>IFERROR(VLOOKUP(B28,'Classement Surp'!$B$2:$C$199,2,0),"0")</f>
        <v>2637.040647</v>
      </c>
    </row>
    <row r="29" ht="14.25" customHeight="1">
      <c r="A29" s="6">
        <v>25.0</v>
      </c>
      <c r="B29" s="6" t="s">
        <v>31</v>
      </c>
      <c r="C29" s="30" t="str">
        <f>IFERROR(__xludf.DUMMYFUNCTION("vlookup(B29, IMPORTRANGE(""https://docs.google.com/spreadsheets/d/1W4ogkn7G1DLigoji8FCGt4ELYlkTu29hcIgb7tBwWhE/edit?gid=0#gid=0"",""Feuille 1!b2:e161""),2,0)"),"Demaury")</f>
        <v>Demaury</v>
      </c>
      <c r="D29" s="30" t="str">
        <f>IFERROR(__xludf.DUMMYFUNCTION("vlookup(B29, IMPORTRANGE(""https://docs.google.com/spreadsheets/d/1W4ogkn7G1DLigoji8FCGt4ELYlkTu29hcIgb7tBwWhE/edit?gid=0#gid=0"",""Feuille 1!b2:e161""),3,0)"),"Emmanuel")</f>
        <v>Emmanuel</v>
      </c>
      <c r="E29" s="7">
        <f>'Classement général nom prénom'!$G29+'Classement général nom prénom'!$H29+'Classement général nom prénom'!$I29</f>
        <v>9594.465442</v>
      </c>
      <c r="F29" s="8"/>
      <c r="G29" s="9">
        <f>IFERROR(VLOOKUP(B29,'Classement S6'!$B$2:$C$200,2,0),"0")</f>
        <v>4992.967609</v>
      </c>
      <c r="H29" s="9">
        <f>IFERROR(VLOOKUP(B29,'Classement RoC'!$B$2:$C$199,2,0),"0")</f>
        <v>2991.896513</v>
      </c>
      <c r="I29" s="9">
        <f>IFERROR(VLOOKUP(B29,'Classement Surp'!$B$2:$C$199,2,0),"0")</f>
        <v>1609.601321</v>
      </c>
    </row>
    <row r="30" ht="14.25" customHeight="1">
      <c r="A30" s="6">
        <v>14.0</v>
      </c>
      <c r="B30" s="6" t="s">
        <v>20</v>
      </c>
      <c r="C30" s="30" t="str">
        <f>IFERROR(__xludf.DUMMYFUNCTION("vlookup(B30, IMPORTRANGE(""https://docs.google.com/spreadsheets/d/1W4ogkn7G1DLigoji8FCGt4ELYlkTu29hcIgb7tBwWhE/edit?gid=0#gid=0"",""Feuille 1!b2:e161""),2,0)"),"Desbordes")</f>
        <v>Desbordes</v>
      </c>
      <c r="D30" s="30" t="str">
        <f>IFERROR(__xludf.DUMMYFUNCTION("vlookup(B30, IMPORTRANGE(""https://docs.google.com/spreadsheets/d/1W4ogkn7G1DLigoji8FCGt4ELYlkTu29hcIgb7tBwWhE/edit?gid=0#gid=0"",""Feuille 1!b2:e161""),3,0)"),"Jacky")</f>
        <v>Jacky</v>
      </c>
      <c r="E30" s="7">
        <f>'Classement général nom prénom'!$G30+'Classement général nom prénom'!$H30+'Classement général nom prénom'!$I30</f>
        <v>11018.25488</v>
      </c>
      <c r="F30" s="8"/>
      <c r="G30" s="9">
        <f>IFERROR(VLOOKUP(B30,'Classement S6'!$B$2:$C$200,2,0),"0")</f>
        <v>6497.153133</v>
      </c>
      <c r="H30" s="9">
        <f>IFERROR(VLOOKUP(B30,'Classement RoC'!$B$2:$C$199,2,0),"0")</f>
        <v>3798.613316</v>
      </c>
      <c r="I30" s="9">
        <f>IFERROR(VLOOKUP(B30,'Classement Surp'!$B$2:$C$199,2,0),"0")</f>
        <v>722.4884262</v>
      </c>
    </row>
    <row r="31" ht="14.25" customHeight="1">
      <c r="A31" s="6">
        <v>4.0</v>
      </c>
      <c r="B31" s="6" t="s">
        <v>10</v>
      </c>
      <c r="C31" s="30" t="str">
        <f>IFERROR(__xludf.DUMMYFUNCTION("vlookup(B31, IMPORTRANGE(""https://docs.google.com/spreadsheets/d/1W4ogkn7G1DLigoji8FCGt4ELYlkTu29hcIgb7tBwWhE/edit?gid=0#gid=0"",""Feuille 1!b2:e161""),2,0)"),"Desoutter")</f>
        <v>Desoutter</v>
      </c>
      <c r="D31" s="30" t="str">
        <f>IFERROR(__xludf.DUMMYFUNCTION("vlookup(B31, IMPORTRANGE(""https://docs.google.com/spreadsheets/d/1W4ogkn7G1DLigoji8FCGt4ELYlkTu29hcIgb7tBwWhE/edit?gid=0#gid=0"",""Feuille 1!b2:e161""),3,0)"),"Antoine")</f>
        <v>Antoine</v>
      </c>
      <c r="E31" s="7">
        <f>'Classement général nom prénom'!$G31+'Classement général nom prénom'!$H31+'Classement général nom prénom'!$I31</f>
        <v>14512.44023</v>
      </c>
      <c r="F31" s="8"/>
      <c r="G31" s="9">
        <f>IFERROR(VLOOKUP(B31,'Classement S6'!$B$2:$C$200,2,0),"0")</f>
        <v>6322.495221</v>
      </c>
      <c r="H31" s="9">
        <f>IFERROR(VLOOKUP(B31,'Classement RoC'!$B$2:$C$199,2,0),"0")</f>
        <v>6402.909979</v>
      </c>
      <c r="I31" s="9">
        <f>IFERROR(VLOOKUP(B31,'Classement Surp'!$B$2:$C$199,2,0),"0")</f>
        <v>1787.035029</v>
      </c>
    </row>
    <row r="32" ht="14.25" customHeight="1">
      <c r="A32" s="6">
        <v>96.0</v>
      </c>
      <c r="B32" s="6" t="s">
        <v>102</v>
      </c>
      <c r="C32" s="30" t="str">
        <f>IFERROR(__xludf.DUMMYFUNCTION("vlookup(B32, IMPORTRANGE(""https://docs.google.com/spreadsheets/d/1W4ogkn7G1DLigoji8FCGt4ELYlkTu29hcIgb7tBwWhE/edit?gid=0#gid=0"",""Feuille 1!b2:e161""),2,0)"),"Diedrich")</f>
        <v>Diedrich</v>
      </c>
      <c r="D32" s="30" t="str">
        <f>IFERROR(__xludf.DUMMYFUNCTION("vlookup(B32, IMPORTRANGE(""https://docs.google.com/spreadsheets/d/1W4ogkn7G1DLigoji8FCGt4ELYlkTu29hcIgb7tBwWhE/edit?gid=0#gid=0"",""Feuille 1!b2:e161""),3,0)"),"Marine")</f>
        <v>Marine</v>
      </c>
      <c r="E32" s="7">
        <f>'Classement général nom prénom'!$G32+'Classement général nom prénom'!$H32+'Classement général nom prénom'!$I32</f>
        <v>1547.648059</v>
      </c>
      <c r="F32" s="11"/>
      <c r="G32" s="12">
        <f>IFERROR(VLOOKUP(B32,'Classement S6'!$B$2:$C$200,2,0),"0")</f>
        <v>692.8566567</v>
      </c>
      <c r="H32" s="12">
        <f>IFERROR(VLOOKUP(B32,'Classement RoC'!$B$2:$C$199,2,0),"0")</f>
        <v>703.959785</v>
      </c>
      <c r="I32" s="12">
        <f>IFERROR(VLOOKUP(B32,'Classement Surp'!$B$2:$C$199,2,0),"0")</f>
        <v>150.8316172</v>
      </c>
    </row>
    <row r="33" ht="14.25" customHeight="1">
      <c r="A33" s="6">
        <v>85.0</v>
      </c>
      <c r="B33" s="23" t="s">
        <v>91</v>
      </c>
      <c r="C33" s="30" t="str">
        <f>IFERROR(__xludf.DUMMYFUNCTION("vlookup(B33, IMPORTRANGE(""https://docs.google.com/spreadsheets/d/1W4ogkn7G1DLigoji8FCGt4ELYlkTu29hcIgb7tBwWhE/edit?gid=0#gid=0"",""Feuille 1!b2:e161""),2,0)"),"Dupuis")</f>
        <v>Dupuis</v>
      </c>
      <c r="D33" s="30" t="str">
        <f>IFERROR(__xludf.DUMMYFUNCTION("vlookup(B33, IMPORTRANGE(""https://docs.google.com/spreadsheets/d/1W4ogkn7G1DLigoji8FCGt4ELYlkTu29hcIgb7tBwWhE/edit?gid=0#gid=0"",""Feuille 1!b2:e161""),3,0)"),"Romain")</f>
        <v>Romain</v>
      </c>
      <c r="E33" s="7">
        <f>'Classement général nom prénom'!$G33+'Classement général nom prénom'!$H33+'Classement général nom prénom'!$I33</f>
        <v>2190.266339</v>
      </c>
      <c r="F33" s="11"/>
      <c r="G33" s="12">
        <f>IFERROR(VLOOKUP(B33,'Classement S6'!$B$2:$C$200,2,0),"0")</f>
        <v>1330.075117</v>
      </c>
      <c r="H33" s="12">
        <f>IFERROR(VLOOKUP(B33,'Classement RoC'!$B$2:$C$199,2,0),"0")</f>
        <v>61.24620548</v>
      </c>
      <c r="I33" s="12">
        <f>IFERROR(VLOOKUP(B33,'Classement Surp'!$B$2:$C$199,2,0),"0")</f>
        <v>798.9450166</v>
      </c>
    </row>
    <row r="34" ht="14.25" customHeight="1">
      <c r="A34" s="6">
        <v>16.0</v>
      </c>
      <c r="B34" s="6" t="s">
        <v>22</v>
      </c>
      <c r="C34" s="30" t="str">
        <f>IFERROR(__xludf.DUMMYFUNCTION("vlookup(B34, IMPORTRANGE(""https://docs.google.com/spreadsheets/d/1W4ogkn7G1DLigoji8FCGt4ELYlkTu29hcIgb7tBwWhE/edit?gid=0#gid=0"",""Feuille 1!b2:e161""),2,0)"),"Eymery")</f>
        <v>Eymery</v>
      </c>
      <c r="D34" s="30" t="str">
        <f>IFERROR(__xludf.DUMMYFUNCTION("vlookup(B34, IMPORTRANGE(""https://docs.google.com/spreadsheets/d/1W4ogkn7G1DLigoji8FCGt4ELYlkTu29hcIgb7tBwWhE/edit?gid=0#gid=0"",""Feuille 1!b2:e161""),3,0)"),"Karina")</f>
        <v>Karina</v>
      </c>
      <c r="E34" s="7">
        <f>'Classement général nom prénom'!$G34+'Classement général nom prénom'!$H34+'Classement général nom prénom'!$I34</f>
        <v>10659.89737</v>
      </c>
      <c r="F34" s="8"/>
      <c r="G34" s="9">
        <f>IFERROR(VLOOKUP(B34,'Classement S6'!$B$2:$C$200,2,0),"0")</f>
        <v>6671.103537</v>
      </c>
      <c r="H34" s="9">
        <f>IFERROR(VLOOKUP(B34,'Classement RoC'!$B$2:$C$199,2,0),"0")</f>
        <v>2896.70037</v>
      </c>
      <c r="I34" s="9">
        <f>IFERROR(VLOOKUP(B34,'Classement Surp'!$B$2:$C$199,2,0),"0")</f>
        <v>1092.093467</v>
      </c>
    </row>
    <row r="35" ht="14.25" customHeight="1">
      <c r="A35" s="6">
        <v>32.0</v>
      </c>
      <c r="B35" s="16" t="s">
        <v>38</v>
      </c>
      <c r="C35" s="30" t="str">
        <f>IFERROR(__xludf.DUMMYFUNCTION("vlookup(B35, IMPORTRANGE(""https://docs.google.com/spreadsheets/d/1W4ogkn7G1DLigoji8FCGt4ELYlkTu29hcIgb7tBwWhE/edit?gid=0#gid=0"",""Feuille 1!b2:e161""),2,0)"),"Faucher")</f>
        <v>Faucher</v>
      </c>
      <c r="D35" s="30" t="str">
        <f>IFERROR(__xludf.DUMMYFUNCTION("vlookup(B35, IMPORTRANGE(""https://docs.google.com/spreadsheets/d/1W4ogkn7G1DLigoji8FCGt4ELYlkTu29hcIgb7tBwWhE/edit?gid=0#gid=0"",""Feuille 1!b2:e161""),3,0)"),"Andreas")</f>
        <v>Andreas</v>
      </c>
      <c r="E35" s="7">
        <f>'Classement général nom prénom'!$G35+'Classement général nom prénom'!$H35+'Classement général nom prénom'!$I35</f>
        <v>8620.982133</v>
      </c>
      <c r="F35" s="11"/>
      <c r="G35" s="12">
        <f>IFERROR(VLOOKUP(B35,'Classement S6'!$B$2:$C$200,2,0),"0")</f>
        <v>5049.403591</v>
      </c>
      <c r="H35" s="12">
        <f>IFERROR(VLOOKUP(B35,'Classement RoC'!$B$2:$C$199,2,0),"0")</f>
        <v>3539.65827</v>
      </c>
      <c r="I35" s="12">
        <f>IFERROR(VLOOKUP(B35,'Classement Surp'!$B$2:$C$199,2,0),"0")</f>
        <v>31.92027245</v>
      </c>
    </row>
    <row r="36" ht="14.25" customHeight="1">
      <c r="A36" s="6">
        <v>33.0</v>
      </c>
      <c r="B36" s="10" t="s">
        <v>39</v>
      </c>
      <c r="C36" s="30" t="str">
        <f>IFERROR(__xludf.DUMMYFUNCTION("vlookup(B36, IMPORTRANGE(""https://docs.google.com/spreadsheets/d/1W4ogkn7G1DLigoji8FCGt4ELYlkTu29hcIgb7tBwWhE/edit?gid=0#gid=0"",""Feuille 1!b2:e161""),2,0)"),"Ferrere")</f>
        <v>Ferrere</v>
      </c>
      <c r="D36" s="30" t="str">
        <f>IFERROR(__xludf.DUMMYFUNCTION("vlookup(B36, IMPORTRANGE(""https://docs.google.com/spreadsheets/d/1W4ogkn7G1DLigoji8FCGt4ELYlkTu29hcIgb7tBwWhE/edit?gid=0#gid=0"",""Feuille 1!b2:e161""),3,0)"),"Jonathan")</f>
        <v>Jonathan</v>
      </c>
      <c r="E36" s="7">
        <f>'Classement général nom prénom'!$G36+'Classement général nom prénom'!$H36+'Classement général nom prénom'!$I36</f>
        <v>8588.459902</v>
      </c>
      <c r="F36" s="11"/>
      <c r="G36" s="12">
        <f>IFERROR(VLOOKUP(B36,'Classement S6'!$B$2:$C$200,2,0),"0")</f>
        <v>6151.791383</v>
      </c>
      <c r="H36" s="12">
        <f>IFERROR(VLOOKUP(B36,'Classement RoC'!$B$2:$C$199,2,0),"0")</f>
        <v>2199.303132</v>
      </c>
      <c r="I36" s="12">
        <f>IFERROR(VLOOKUP(B36,'Classement Surp'!$B$2:$C$199,2,0),"0")</f>
        <v>237.3653869</v>
      </c>
    </row>
    <row r="37" ht="14.25" customHeight="1">
      <c r="A37" s="6">
        <v>84.0</v>
      </c>
      <c r="B37" s="6" t="s">
        <v>90</v>
      </c>
      <c r="C37" s="30" t="str">
        <f>IFERROR(__xludf.DUMMYFUNCTION("vlookup(B37, IMPORTRANGE(""https://docs.google.com/spreadsheets/d/1W4ogkn7G1DLigoji8FCGt4ELYlkTu29hcIgb7tBwWhE/edit?gid=0#gid=0"",""Feuille 1!b2:e161""),2,0)"),"Fevre")</f>
        <v>Fevre</v>
      </c>
      <c r="D37" s="30" t="str">
        <f>IFERROR(__xludf.DUMMYFUNCTION("vlookup(B37, IMPORTRANGE(""https://docs.google.com/spreadsheets/d/1W4ogkn7G1DLigoji8FCGt4ELYlkTu29hcIgb7tBwWhE/edit?gid=0#gid=0"",""Feuille 1!b2:e161""),3,0)"),"Celine")</f>
        <v>Celine</v>
      </c>
      <c r="E37" s="7">
        <f>'Classement général nom prénom'!$G37+'Classement général nom prénom'!$H37+'Classement général nom prénom'!$I37</f>
        <v>2560.324523</v>
      </c>
      <c r="F37" s="8"/>
      <c r="G37" s="9">
        <f>IFERROR(VLOOKUP(B37,'Classement S6'!$B$2:$C$200,2,0),"0")</f>
        <v>1357.102941</v>
      </c>
      <c r="H37" s="9">
        <f>IFERROR(VLOOKUP(B37,'Classement RoC'!$B$2:$C$199,2,0),"0")</f>
        <v>453.1566153</v>
      </c>
      <c r="I37" s="9">
        <f>IFERROR(VLOOKUP(B37,'Classement Surp'!$B$2:$C$199,2,0),"0")</f>
        <v>750.064967</v>
      </c>
    </row>
    <row r="38" ht="14.25" customHeight="1">
      <c r="A38" s="6">
        <v>8.0</v>
      </c>
      <c r="B38" s="6" t="s">
        <v>14</v>
      </c>
      <c r="C38" s="30" t="str">
        <f>IFERROR(__xludf.DUMMYFUNCTION("vlookup(B38, IMPORTRANGE(""https://docs.google.com/spreadsheets/d/1W4ogkn7G1DLigoji8FCGt4ELYlkTu29hcIgb7tBwWhE/edit?gid=0#gid=0"",""Feuille 1!b2:e161""),2,0)"),"Fradin")</f>
        <v>Fradin</v>
      </c>
      <c r="D38" s="30" t="str">
        <f>IFERROR(__xludf.DUMMYFUNCTION("vlookup(B38, IMPORTRANGE(""https://docs.google.com/spreadsheets/d/1W4ogkn7G1DLigoji8FCGt4ELYlkTu29hcIgb7tBwWhE/edit?gid=0#gid=0"",""Feuille 1!b2:e161""),3,0)"),"Christophe")</f>
        <v>Christophe</v>
      </c>
      <c r="E38" s="7">
        <f>'Classement général nom prénom'!$G38+'Classement général nom prénom'!$H38+'Classement général nom prénom'!$I38</f>
        <v>12321.24549</v>
      </c>
      <c r="F38" s="8"/>
      <c r="G38" s="9">
        <f>IFERROR(VLOOKUP(B38,'Classement S6'!$B$2:$C$200,2,0),"0")</f>
        <v>5766.578719</v>
      </c>
      <c r="H38" s="9">
        <f>IFERROR(VLOOKUP(B38,'Classement RoC'!$B$2:$C$199,2,0),"0")</f>
        <v>3970.536251</v>
      </c>
      <c r="I38" s="9">
        <f>IFERROR(VLOOKUP(B38,'Classement Surp'!$B$2:$C$199,2,0),"0")</f>
        <v>2584.130521</v>
      </c>
    </row>
    <row r="39" ht="14.25" customHeight="1">
      <c r="A39" s="6">
        <v>71.0</v>
      </c>
      <c r="B39" s="6" t="s">
        <v>77</v>
      </c>
      <c r="C39" s="30" t="str">
        <f>IFERROR(__xludf.DUMMYFUNCTION("vlookup(B39, IMPORTRANGE(""https://docs.google.com/spreadsheets/d/1W4ogkn7G1DLigoji8FCGt4ELYlkTu29hcIgb7tBwWhE/edit?gid=0#gid=0"",""Feuille 1!b2:e161""),2,0)"),"Gaborit")</f>
        <v>Gaborit</v>
      </c>
      <c r="D39" s="30" t="str">
        <f>IFERROR(__xludf.DUMMYFUNCTION("vlookup(B39, IMPORTRANGE(""https://docs.google.com/spreadsheets/d/1W4ogkn7G1DLigoji8FCGt4ELYlkTu29hcIgb7tBwWhE/edit?gid=0#gid=0"",""Feuille 1!b2:e161""),3,0)"),"Christophe")</f>
        <v>Christophe</v>
      </c>
      <c r="E39" s="7">
        <f>'Classement général nom prénom'!$G39+'Classement général nom prénom'!$H39+'Classement général nom prénom'!$I39</f>
        <v>3928.4964</v>
      </c>
      <c r="F39" s="8"/>
      <c r="G39" s="9">
        <f>IFERROR(VLOOKUP(B39,'Classement S6'!$B$2:$C$200,2,0),"0")</f>
        <v>993.8213097</v>
      </c>
      <c r="H39" s="9">
        <f>IFERROR(VLOOKUP(B39,'Classement RoC'!$B$2:$C$199,2,0),"0")</f>
        <v>1926.202116</v>
      </c>
      <c r="I39" s="9">
        <f>IFERROR(VLOOKUP(B39,'Classement Surp'!$B$2:$C$199,2,0),"0")</f>
        <v>1008.472975</v>
      </c>
    </row>
    <row r="40" ht="14.25" customHeight="1">
      <c r="A40" s="6">
        <v>58.0</v>
      </c>
      <c r="B40" s="6" t="s">
        <v>64</v>
      </c>
      <c r="C40" s="30" t="str">
        <f>IFERROR(__xludf.DUMMYFUNCTION("vlookup(B40, IMPORTRANGE(""https://docs.google.com/spreadsheets/d/1W4ogkn7G1DLigoji8FCGt4ELYlkTu29hcIgb7tBwWhE/edit?gid=0#gid=0"",""Feuille 1!b2:e161""),2,0)"),"Gaultier")</f>
        <v>Gaultier</v>
      </c>
      <c r="D40" s="30" t="str">
        <f>IFERROR(__xludf.DUMMYFUNCTION("vlookup(B40, IMPORTRANGE(""https://docs.google.com/spreadsheets/d/1W4ogkn7G1DLigoji8FCGt4ELYlkTu29hcIgb7tBwWhE/edit?gid=0#gid=0"",""Feuille 1!b2:e161""),3,0)"),"Sabrina")</f>
        <v>Sabrina</v>
      </c>
      <c r="E40" s="7">
        <f>'Classement général nom prénom'!$G40+'Classement général nom prénom'!$H40+'Classement général nom prénom'!$I40</f>
        <v>4826.893503</v>
      </c>
      <c r="F40" s="8"/>
      <c r="G40" s="9">
        <f>IFERROR(VLOOKUP(B40,'Classement S6'!$B$2:$C$200,2,0),"0")</f>
        <v>2424.499814</v>
      </c>
      <c r="H40" s="9">
        <f>IFERROR(VLOOKUP(B40,'Classement RoC'!$B$2:$C$199,2,0),"0")</f>
        <v>1654.708709</v>
      </c>
      <c r="I40" s="9">
        <f>IFERROR(VLOOKUP(B40,'Classement Surp'!$B$2:$C$199,2,0),"0")</f>
        <v>747.6849801</v>
      </c>
    </row>
    <row r="41" ht="14.25" customHeight="1">
      <c r="A41" s="6">
        <v>36.0</v>
      </c>
      <c r="B41" s="6" t="s">
        <v>42</v>
      </c>
      <c r="C41" s="30" t="str">
        <f>IFERROR(__xludf.DUMMYFUNCTION("vlookup(B41, IMPORTRANGE(""https://docs.google.com/spreadsheets/d/1W4ogkn7G1DLigoji8FCGt4ELYlkTu29hcIgb7tBwWhE/edit?gid=0#gid=0"",""Feuille 1!b2:e161""),2,0)"),"Geay")</f>
        <v>Geay</v>
      </c>
      <c r="D41" s="30" t="str">
        <f>IFERROR(__xludf.DUMMYFUNCTION("vlookup(B41, IMPORTRANGE(""https://docs.google.com/spreadsheets/d/1W4ogkn7G1DLigoji8FCGt4ELYlkTu29hcIgb7tBwWhE/edit?gid=0#gid=0"",""Feuille 1!b2:e161""),3,0)"),"Vincent")</f>
        <v>Vincent</v>
      </c>
      <c r="E41" s="7">
        <f>'Classement général nom prénom'!$G41+'Classement général nom prénom'!$H41+'Classement général nom prénom'!$I41</f>
        <v>8148.283862</v>
      </c>
      <c r="F41" s="8"/>
      <c r="G41" s="9">
        <f>IFERROR(VLOOKUP(B41,'Classement S6'!$B$2:$C$200,2,0),"0")</f>
        <v>3913.670228</v>
      </c>
      <c r="H41" s="9">
        <f>IFERROR(VLOOKUP(B41,'Classement RoC'!$B$2:$C$199,2,0),"0")</f>
        <v>3682.939928</v>
      </c>
      <c r="I41" s="9">
        <f>IFERROR(VLOOKUP(B41,'Classement Surp'!$B$2:$C$199,2,0),"0")</f>
        <v>551.6737055</v>
      </c>
    </row>
    <row r="42" ht="14.25" customHeight="1">
      <c r="A42" s="6">
        <v>83.0</v>
      </c>
      <c r="B42" s="17" t="s">
        <v>89</v>
      </c>
      <c r="C42" s="30" t="str">
        <f>IFERROR(__xludf.DUMMYFUNCTION("vlookup(B42, IMPORTRANGE(""https://docs.google.com/spreadsheets/d/1W4ogkn7G1DLigoji8FCGt4ELYlkTu29hcIgb7tBwWhE/edit?gid=0#gid=0"",""Feuille 1!b2:e161""),2,0)"),"GELY")</f>
        <v>GELY</v>
      </c>
      <c r="D42" s="30" t="str">
        <f>IFERROR(__xludf.DUMMYFUNCTION("vlookup(B42, IMPORTRANGE(""https://docs.google.com/spreadsheets/d/1W4ogkn7G1DLigoji8FCGt4ELYlkTu29hcIgb7tBwWhE/edit?gid=0#gid=0"",""Feuille 1!b2:e161""),3,0)"),"Eric")</f>
        <v>Eric</v>
      </c>
      <c r="E42" s="7">
        <f>'Classement général nom prénom'!$G42+'Classement général nom prénom'!$H42+'Classement général nom prénom'!$I42</f>
        <v>2674.127119</v>
      </c>
      <c r="F42" s="11"/>
      <c r="G42" s="12">
        <f>IFERROR(VLOOKUP(B42,'Classement S6'!$B$2:$C$200,2,0),"0")</f>
        <v>2152.92956</v>
      </c>
      <c r="H42" s="12">
        <f>IFERROR(VLOOKUP(B42,'Classement RoC'!$B$2:$C$199,2,0),"0")</f>
        <v>521.1975593</v>
      </c>
      <c r="I42" s="12" t="str">
        <f>IFERROR(VLOOKUP(B42,'Classement Surp'!$B$2:$C$199,2,0),"0")</f>
        <v>0</v>
      </c>
    </row>
    <row r="43" ht="14.25" customHeight="1">
      <c r="A43" s="6">
        <v>108.0</v>
      </c>
      <c r="B43" s="19" t="s">
        <v>114</v>
      </c>
      <c r="C43" s="30" t="str">
        <f>IFERROR(__xludf.DUMMYFUNCTION("vlookup(B43, IMPORTRANGE(""https://docs.google.com/spreadsheets/d/1W4ogkn7G1DLigoji8FCGt4ELYlkTu29hcIgb7tBwWhE/edit?gid=0#gid=0"",""Feuille 1!b2:e161""),2,0)"),"Giraud")</f>
        <v>Giraud</v>
      </c>
      <c r="D43" s="30" t="str">
        <f>IFERROR(__xludf.DUMMYFUNCTION("vlookup(B43, IMPORTRANGE(""https://docs.google.com/spreadsheets/d/1W4ogkn7G1DLigoji8FCGt4ELYlkTu29hcIgb7tBwWhE/edit?gid=0#gid=0"",""Feuille 1!b2:e161""),3,0)"),"Laurent")</f>
        <v>Laurent</v>
      </c>
      <c r="E43" s="7">
        <f>'Classement général nom prénom'!$G43+'Classement général nom prénom'!$H43+'Classement général nom prénom'!$I43</f>
        <v>644.1333665</v>
      </c>
      <c r="F43" s="11"/>
      <c r="G43" s="12">
        <f>IFERROR(VLOOKUP(B43,'Classement S6'!$B$2:$C$200,2,0),"0")</f>
        <v>644.1333665</v>
      </c>
      <c r="H43" s="12" t="str">
        <f>IFERROR(VLOOKUP(B43,'Classement RoC'!$B$2:$C$199,2,0),"0")</f>
        <v>0</v>
      </c>
      <c r="I43" s="12" t="str">
        <f>IFERROR(VLOOKUP(B43,'Classement Surp'!$B$2:$C$199,2,0),"0")</f>
        <v>0</v>
      </c>
    </row>
    <row r="44" ht="14.25" customHeight="1">
      <c r="A44" s="6">
        <v>48.0</v>
      </c>
      <c r="B44" s="6" t="s">
        <v>54</v>
      </c>
      <c r="C44" s="30" t="str">
        <f>IFERROR(__xludf.DUMMYFUNCTION("vlookup(B44, IMPORTRANGE(""https://docs.google.com/spreadsheets/d/1W4ogkn7G1DLigoji8FCGt4ELYlkTu29hcIgb7tBwWhE/edit?gid=0#gid=0"",""Feuille 1!b2:e161""),2,0)"),"Gourdeau")</f>
        <v>Gourdeau</v>
      </c>
      <c r="D44" s="30" t="str">
        <f>IFERROR(__xludf.DUMMYFUNCTION("vlookup(B44, IMPORTRANGE(""https://docs.google.com/spreadsheets/d/1W4ogkn7G1DLigoji8FCGt4ELYlkTu29hcIgb7tBwWhE/edit?gid=0#gid=0"",""Feuille 1!b2:e161""),3,0)"),"François")</f>
        <v>François</v>
      </c>
      <c r="E44" s="7">
        <f>'Classement général nom prénom'!$G44+'Classement général nom prénom'!$H44+'Classement général nom prénom'!$I44</f>
        <v>5753.371977</v>
      </c>
      <c r="F44" s="8"/>
      <c r="G44" s="9">
        <f>IFERROR(VLOOKUP(B44,'Classement S6'!$B$2:$C$200,2,0),"0")</f>
        <v>4735.3516</v>
      </c>
      <c r="H44" s="9">
        <f>IFERROR(VLOOKUP(B44,'Classement RoC'!$B$2:$C$199,2,0),"0")</f>
        <v>1018.020376</v>
      </c>
      <c r="I44" s="9">
        <f>IFERROR(VLOOKUP(B44,'Classement Surp'!$B$2:$C$199,2,0),"0")</f>
        <v>0</v>
      </c>
    </row>
    <row r="45" ht="14.25" customHeight="1">
      <c r="A45" s="6">
        <v>5.0</v>
      </c>
      <c r="B45" s="10" t="s">
        <v>11</v>
      </c>
      <c r="C45" s="30" t="str">
        <f>IFERROR(__xludf.DUMMYFUNCTION("vlookup(B45, IMPORTRANGE(""https://docs.google.com/spreadsheets/d/1W4ogkn7G1DLigoji8FCGt4ELYlkTu29hcIgb7tBwWhE/edit?gid=0#gid=0"",""Feuille 1!b2:e161""),2,0)"),"Grelet")</f>
        <v>Grelet</v>
      </c>
      <c r="D45" s="30" t="str">
        <f>IFERROR(__xludf.DUMMYFUNCTION("vlookup(B45, IMPORTRANGE(""https://docs.google.com/spreadsheets/d/1W4ogkn7G1DLigoji8FCGt4ELYlkTu29hcIgb7tBwWhE/edit?gid=0#gid=0"",""Feuille 1!b2:e161""),3,0)"),"Patrick")</f>
        <v>Patrick</v>
      </c>
      <c r="E45" s="7">
        <f>'Classement général nom prénom'!$G45+'Classement général nom prénom'!$H45+'Classement général nom prénom'!$I45</f>
        <v>12997.86889</v>
      </c>
      <c r="F45" s="11"/>
      <c r="G45" s="12">
        <f>IFERROR(VLOOKUP(B45,'Classement S6'!$B$2:$C$200,2,0),"0")</f>
        <v>7431.078619</v>
      </c>
      <c r="H45" s="12">
        <f>IFERROR(VLOOKUP(B45,'Classement RoC'!$B$2:$C$199,2,0),"0")</f>
        <v>4170.125252</v>
      </c>
      <c r="I45" s="12">
        <f>IFERROR(VLOOKUP(B45,'Classement Surp'!$B$2:$C$199,2,0),"0")</f>
        <v>1396.665022</v>
      </c>
    </row>
    <row r="46" ht="14.25" customHeight="1">
      <c r="A46" s="6">
        <v>65.0</v>
      </c>
      <c r="B46" s="6" t="s">
        <v>71</v>
      </c>
      <c r="C46" s="30" t="str">
        <f>IFERROR(__xludf.DUMMYFUNCTION("vlookup(B46, IMPORTRANGE(""https://docs.google.com/spreadsheets/d/1W4ogkn7G1DLigoji8FCGt4ELYlkTu29hcIgb7tBwWhE/edit?gid=0#gid=0"",""Feuille 1!b2:e161""),2,0)"),"Guionnet")</f>
        <v>Guionnet</v>
      </c>
      <c r="D46" s="30" t="str">
        <f>IFERROR(__xludf.DUMMYFUNCTION("vlookup(B46, IMPORTRANGE(""https://docs.google.com/spreadsheets/d/1W4ogkn7G1DLigoji8FCGt4ELYlkTu29hcIgb7tBwWhE/edit?gid=0#gid=0"",""Feuille 1!b2:e161""),3,0)"),"Emmanuel")</f>
        <v>Emmanuel</v>
      </c>
      <c r="E46" s="7">
        <f>'Classement général nom prénom'!$G46+'Classement général nom prénom'!$H46+'Classement général nom prénom'!$I46</f>
        <v>4173.460564</v>
      </c>
      <c r="F46" s="8"/>
      <c r="G46" s="9">
        <f>IFERROR(VLOOKUP(B46,'Classement S6'!$B$2:$C$200,2,0),"0")</f>
        <v>2926.036155</v>
      </c>
      <c r="H46" s="9">
        <f>IFERROR(VLOOKUP(B46,'Classement RoC'!$B$2:$C$199,2,0),"0")</f>
        <v>1022.354694</v>
      </c>
      <c r="I46" s="9">
        <f>IFERROR(VLOOKUP(B46,'Classement Surp'!$B$2:$C$199,2,0),"0")</f>
        <v>225.0697151</v>
      </c>
    </row>
    <row r="47" ht="14.25" customHeight="1">
      <c r="A47" s="6">
        <v>115.0</v>
      </c>
      <c r="B47" s="6" t="s">
        <v>121</v>
      </c>
      <c r="C47" s="30" t="str">
        <f>IFERROR(__xludf.DUMMYFUNCTION("vlookup(B47, IMPORTRANGE(""https://docs.google.com/spreadsheets/d/1W4ogkn7G1DLigoji8FCGt4ELYlkTu29hcIgb7tBwWhE/edit?gid=0#gid=0"",""Feuille 1!b2:e161""),2,0)"),"GUTIERREZ")</f>
        <v>GUTIERREZ</v>
      </c>
      <c r="D47" s="30" t="str">
        <f>IFERROR(__xludf.DUMMYFUNCTION("vlookup(B47, IMPORTRANGE(""https://docs.google.com/spreadsheets/d/1W4ogkn7G1DLigoji8FCGt4ELYlkTu29hcIgb7tBwWhE/edit?gid=0#gid=0"",""Feuille 1!b2:e161""),3,0)"),"FRANCK")</f>
        <v>FRANCK</v>
      </c>
      <c r="E47" s="7">
        <f>'Classement général nom prénom'!$G47+'Classement général nom prénom'!$H47+'Classement général nom prénom'!$I47</f>
        <v>472.3687022</v>
      </c>
      <c r="F47" s="8"/>
      <c r="G47" s="9">
        <f>IFERROR(VLOOKUP(B47,'Classement S6'!$B$2:$C$200,2,0),"0")</f>
        <v>0</v>
      </c>
      <c r="H47" s="9">
        <f>IFERROR(VLOOKUP(B47,'Classement RoC'!$B$2:$C$199,2,0),"0")</f>
        <v>0</v>
      </c>
      <c r="I47" s="9">
        <f>IFERROR(VLOOKUP(B47,'Classement Surp'!$B$2:$C$199,2,0),"0")</f>
        <v>472.3687022</v>
      </c>
    </row>
    <row r="48" ht="14.25" customHeight="1">
      <c r="A48" s="6">
        <v>99.0</v>
      </c>
      <c r="B48" s="6" t="s">
        <v>105</v>
      </c>
      <c r="C48" s="30" t="str">
        <f>IFERROR(__xludf.DUMMYFUNCTION("vlookup(B48, IMPORTRANGE(""https://docs.google.com/spreadsheets/d/1W4ogkn7G1DLigoji8FCGt4ELYlkTu29hcIgb7tBwWhE/edit?gid=0#gid=0"",""Feuille 1!b2:e161""),2,0)"),"Guyon")</f>
        <v>Guyon</v>
      </c>
      <c r="D48" s="30" t="str">
        <f>IFERROR(__xludf.DUMMYFUNCTION("vlookup(B48, IMPORTRANGE(""https://docs.google.com/spreadsheets/d/1W4ogkn7G1DLigoji8FCGt4ELYlkTu29hcIgb7tBwWhE/edit?gid=0#gid=0"",""Feuille 1!b2:e161""),3,0)"),"Adrien")</f>
        <v>Adrien</v>
      </c>
      <c r="E48" s="7">
        <f>'Classement général nom prénom'!$G48+'Classement général nom prénom'!$H48+'Classement général nom prénom'!$I48</f>
        <v>1317.404579</v>
      </c>
      <c r="F48" s="11"/>
      <c r="G48" s="12">
        <f>IFERROR(VLOOKUP(B48,'Classement S6'!$B$2:$C$200,2,0),"0")</f>
        <v>1317.404579</v>
      </c>
      <c r="H48" s="12">
        <f>IFERROR(VLOOKUP(B48,'Classement RoC'!$B$2:$C$199,2,0),"0")</f>
        <v>0</v>
      </c>
      <c r="I48" s="12">
        <f>IFERROR(VLOOKUP(B48,'Classement Surp'!$B$2:$C$199,2,0),"0")</f>
        <v>0</v>
      </c>
    </row>
    <row r="49" ht="14.25" customHeight="1">
      <c r="A49" s="6">
        <v>37.0</v>
      </c>
      <c r="B49" s="17" t="s">
        <v>43</v>
      </c>
      <c r="C49" s="30" t="s">
        <v>156</v>
      </c>
      <c r="D49" s="30" t="s">
        <v>157</v>
      </c>
      <c r="E49" s="7">
        <f>'Classement général nom prénom'!$G49+'Classement général nom prénom'!$H49+'Classement général nom prénom'!$I49</f>
        <v>7800.573268</v>
      </c>
      <c r="F49" s="11"/>
      <c r="G49" s="12">
        <f>IFERROR(VLOOKUP(B49,'Classement S6'!$B$2:$C$200,2,0),"0")</f>
        <v>3466.914748</v>
      </c>
      <c r="H49" s="12">
        <f>IFERROR(VLOOKUP(B49,'Classement RoC'!$B$2:$C$199,2,0),"0")</f>
        <v>3469.033967</v>
      </c>
      <c r="I49" s="12">
        <f>IFERROR(VLOOKUP(B49,'Classement Surp'!$B$2:$C$199,2,0),"0")</f>
        <v>864.6245525</v>
      </c>
    </row>
    <row r="50" ht="14.25" customHeight="1">
      <c r="A50" s="6">
        <v>41.0</v>
      </c>
      <c r="B50" s="6" t="s">
        <v>47</v>
      </c>
      <c r="C50" s="30" t="str">
        <f>IFERROR(__xludf.DUMMYFUNCTION("vlookup(B50, IMPORTRANGE(""https://docs.google.com/spreadsheets/d/1W4ogkn7G1DLigoji8FCGt4ELYlkTu29hcIgb7tBwWhE/edit?gid=0#gid=0"",""Feuille 1!b2:e161""),2,0)"),"Héraud")</f>
        <v>Héraud</v>
      </c>
      <c r="D50" s="30" t="str">
        <f>IFERROR(__xludf.DUMMYFUNCTION("vlookup(B50, IMPORTRANGE(""https://docs.google.com/spreadsheets/d/1W4ogkn7G1DLigoji8FCGt4ELYlkTu29hcIgb7tBwWhE/edit?gid=0#gid=0"",""Feuille 1!b2:e161""),3,0)"),"Guillaume")</f>
        <v>Guillaume</v>
      </c>
      <c r="E50" s="7">
        <f>'Classement général nom prénom'!$G50+'Classement général nom prénom'!$H50+'Classement général nom prénom'!$I50</f>
        <v>6960.17549</v>
      </c>
      <c r="F50" s="8"/>
      <c r="G50" s="9">
        <f>IFERROR(VLOOKUP(B50,'Classement S6'!$B$2:$C$200,2,0),"0")</f>
        <v>4043.487681</v>
      </c>
      <c r="H50" s="9">
        <f>IFERROR(VLOOKUP(B50,'Classement RoC'!$B$2:$C$199,2,0),"0")</f>
        <v>2188.250395</v>
      </c>
      <c r="I50" s="9">
        <f>IFERROR(VLOOKUP(B50,'Classement Surp'!$B$2:$C$199,2,0),"0")</f>
        <v>728.437414</v>
      </c>
    </row>
    <row r="51" ht="14.25" customHeight="1">
      <c r="A51" s="6">
        <v>28.0</v>
      </c>
      <c r="B51" s="6" t="s">
        <v>34</v>
      </c>
      <c r="C51" s="30" t="str">
        <f>IFERROR(__xludf.DUMMYFUNCTION("vlookup(B51, IMPORTRANGE(""https://docs.google.com/spreadsheets/d/1W4ogkn7G1DLigoji8FCGt4ELYlkTu29hcIgb7tBwWhE/edit?gid=0#gid=0"",""Feuille 1!b2:e161""),2,0)"),"huet")</f>
        <v>huet</v>
      </c>
      <c r="D51" s="30" t="str">
        <f>IFERROR(__xludf.DUMMYFUNCTION("vlookup(B51, IMPORTRANGE(""https://docs.google.com/spreadsheets/d/1W4ogkn7G1DLigoji8FCGt4ELYlkTu29hcIgb7tBwWhE/edit?gid=0#gid=0"",""Feuille 1!b2:e161""),3,0)"),"eric")</f>
        <v>eric</v>
      </c>
      <c r="E51" s="7">
        <f>'Classement général nom prénom'!$G51+'Classement général nom prénom'!$H51+'Classement général nom prénom'!$I51</f>
        <v>8903.12294</v>
      </c>
      <c r="F51" s="8"/>
      <c r="G51" s="9">
        <f>IFERROR(VLOOKUP(B51,'Classement S6'!$B$2:$C$200,2,0),"0")</f>
        <v>6078.647314</v>
      </c>
      <c r="H51" s="9">
        <f>IFERROR(VLOOKUP(B51,'Classement RoC'!$B$2:$C$199,2,0),"0")</f>
        <v>1970.239101</v>
      </c>
      <c r="I51" s="9">
        <f>IFERROR(VLOOKUP(B51,'Classement Surp'!$B$2:$C$199,2,0),"0")</f>
        <v>854.2365249</v>
      </c>
    </row>
    <row r="52" ht="14.25" customHeight="1">
      <c r="A52" s="6">
        <v>75.0</v>
      </c>
      <c r="B52" s="10" t="s">
        <v>81</v>
      </c>
      <c r="C52" s="30" t="str">
        <f>IFERROR(__xludf.DUMMYFUNCTION("vlookup(B52, IMPORTRANGE(""https://docs.google.com/spreadsheets/d/1W4ogkn7G1DLigoji8FCGt4ELYlkTu29hcIgb7tBwWhE/edit?gid=0#gid=0"",""Feuille 1!b2:e161""),2,0)"),"Jahan")</f>
        <v>Jahan</v>
      </c>
      <c r="D52" s="30" t="str">
        <f>IFERROR(__xludf.DUMMYFUNCTION("vlookup(B52, IMPORTRANGE(""https://docs.google.com/spreadsheets/d/1W4ogkn7G1DLigoji8FCGt4ELYlkTu29hcIgb7tBwWhE/edit?gid=0#gid=0"",""Feuille 1!b2:e161""),3,0)"),"Nicolas")</f>
        <v>Nicolas</v>
      </c>
      <c r="E52" s="7">
        <f>'Classement général nom prénom'!$G52+'Classement général nom prénom'!$H52+'Classement général nom prénom'!$I52</f>
        <v>3600.706208</v>
      </c>
      <c r="F52" s="11"/>
      <c r="G52" s="12">
        <f>IFERROR(VLOOKUP(B52,'Classement S6'!$B$2:$C$200,2,0),"0")</f>
        <v>2396.028614</v>
      </c>
      <c r="H52" s="12">
        <f>IFERROR(VLOOKUP(B52,'Classement RoC'!$B$2:$C$199,2,0),"0")</f>
        <v>1146.256619</v>
      </c>
      <c r="I52" s="12">
        <f>IFERROR(VLOOKUP(B52,'Classement Surp'!$B$2:$C$199,2,0),"0")</f>
        <v>58.42097498</v>
      </c>
    </row>
    <row r="53" ht="14.25" customHeight="1">
      <c r="A53" s="6">
        <v>78.0</v>
      </c>
      <c r="B53" s="6" t="s">
        <v>84</v>
      </c>
      <c r="C53" s="30" t="str">
        <f>IFERROR(__xludf.DUMMYFUNCTION("vlookup(B53, IMPORTRANGE(""https://docs.google.com/spreadsheets/d/1W4ogkn7G1DLigoji8FCGt4ELYlkTu29hcIgb7tBwWhE/edit?gid=0#gid=0"",""Feuille 1!b2:e161""),2,0)"),"Jallais")</f>
        <v>Jallais</v>
      </c>
      <c r="D53" s="30" t="str">
        <f>IFERROR(__xludf.DUMMYFUNCTION("vlookup(B53, IMPORTRANGE(""https://docs.google.com/spreadsheets/d/1W4ogkn7G1DLigoji8FCGt4ELYlkTu29hcIgb7tBwWhE/edit?gid=0#gid=0"",""Feuille 1!b2:e161""),3,0)"),"Mathilde")</f>
        <v>Mathilde</v>
      </c>
      <c r="E53" s="7">
        <f>'Classement général nom prénom'!$G53+'Classement général nom prénom'!$H53+'Classement général nom prénom'!$I53</f>
        <v>3121.526173</v>
      </c>
      <c r="F53" s="8"/>
      <c r="G53" s="9">
        <f>IFERROR(VLOOKUP(B53,'Classement S6'!$B$2:$C$200,2,0),"0")</f>
        <v>1126.602585</v>
      </c>
      <c r="H53" s="9">
        <f>IFERROR(VLOOKUP(B53,'Classement RoC'!$B$2:$C$199,2,0),"0")</f>
        <v>1398.578547</v>
      </c>
      <c r="I53" s="9">
        <f>IFERROR(VLOOKUP(B53,'Classement Surp'!$B$2:$C$199,2,0),"0")</f>
        <v>596.3450404</v>
      </c>
    </row>
    <row r="54" ht="14.25" customHeight="1">
      <c r="A54" s="6">
        <v>22.0</v>
      </c>
      <c r="B54" s="6" t="s">
        <v>28</v>
      </c>
      <c r="C54" s="30" t="str">
        <f>IFERROR(__xludf.DUMMYFUNCTION("vlookup(B54, IMPORTRANGE(""https://docs.google.com/spreadsheets/d/1W4ogkn7G1DLigoji8FCGt4ELYlkTu29hcIgb7tBwWhE/edit?gid=0#gid=0"",""Feuille 1!b2:e161""),2,0)"),"Jeandupeux")</f>
        <v>Jeandupeux</v>
      </c>
      <c r="D54" s="30" t="str">
        <f>IFERROR(__xludf.DUMMYFUNCTION("vlookup(B54, IMPORTRANGE(""https://docs.google.com/spreadsheets/d/1W4ogkn7G1DLigoji8FCGt4ELYlkTu29hcIgb7tBwWhE/edit?gid=0#gid=0"",""Feuille 1!b2:e161""),3,0)"),"Joël")</f>
        <v>Joël</v>
      </c>
      <c r="E54" s="7">
        <f>'Classement général nom prénom'!$G54+'Classement général nom prénom'!$H54+'Classement général nom prénom'!$I54</f>
        <v>9954.662911</v>
      </c>
      <c r="F54" s="8"/>
      <c r="G54" s="9">
        <f>IFERROR(VLOOKUP(B54,'Classement S6'!$B$2:$C$200,2,0),"0")</f>
        <v>6622.934677</v>
      </c>
      <c r="H54" s="9">
        <f>IFERROR(VLOOKUP(B54,'Classement RoC'!$B$2:$C$199,2,0),"0")</f>
        <v>1753.6113</v>
      </c>
      <c r="I54" s="9">
        <f>IFERROR(VLOOKUP(B54,'Classement Surp'!$B$2:$C$199,2,0),"0")</f>
        <v>1578.116934</v>
      </c>
    </row>
    <row r="55" ht="14.25" customHeight="1">
      <c r="A55" s="6">
        <v>76.0</v>
      </c>
      <c r="B55" s="16" t="s">
        <v>82</v>
      </c>
      <c r="C55" s="30" t="str">
        <f>IFERROR(__xludf.DUMMYFUNCTION("vlookup(B55, IMPORTRANGE(""https://docs.google.com/spreadsheets/d/1W4ogkn7G1DLigoji8FCGt4ELYlkTu29hcIgb7tBwWhE/edit?gid=0#gid=0"",""Feuille 1!b2:e161""),2,0)"),"joliefleur86")</f>
        <v>joliefleur86</v>
      </c>
      <c r="D55" s="30" t="str">
        <f>IFERROR(__xludf.DUMMYFUNCTION("vlookup(B55, IMPORTRANGE(""https://docs.google.com/spreadsheets/d/1W4ogkn7G1DLigoji8FCGt4ELYlkTu29hcIgb7tBwWhE/edit?gid=0#gid=0"",""Feuille 1!b2:e161""),3,0)"),"Anthony")</f>
        <v>Anthony</v>
      </c>
      <c r="E55" s="7">
        <f>'Classement général nom prénom'!$G55+'Classement général nom prénom'!$H55+'Classement général nom prénom'!$I55</f>
        <v>3382.87086</v>
      </c>
      <c r="F55" s="11"/>
      <c r="G55" s="12">
        <f>IFERROR(VLOOKUP(B55,'Classement S6'!$B$2:$C$200,2,0),"0")</f>
        <v>1851.861406</v>
      </c>
      <c r="H55" s="12">
        <f>IFERROR(VLOOKUP(B55,'Classement RoC'!$B$2:$C$199,2,0),"0")</f>
        <v>1445.734775</v>
      </c>
      <c r="I55" s="12">
        <f>IFERROR(VLOOKUP(B55,'Classement Surp'!$B$2:$C$199,2,0),"0")</f>
        <v>85.27467889</v>
      </c>
    </row>
    <row r="56" ht="14.25" customHeight="1">
      <c r="A56" s="6">
        <v>56.0</v>
      </c>
      <c r="B56" s="6" t="s">
        <v>62</v>
      </c>
      <c r="C56" s="30" t="str">
        <f>IFERROR(__xludf.DUMMYFUNCTION("vlookup(B56, IMPORTRANGE(""https://docs.google.com/spreadsheets/d/1W4ogkn7G1DLigoji8FCGt4ELYlkTu29hcIgb7tBwWhE/edit?gid=0#gid=0"",""Feuille 1!b2:e161""),2,0)"),"jude")</f>
        <v>jude</v>
      </c>
      <c r="D56" s="30" t="str">
        <f>IFERROR(__xludf.DUMMYFUNCTION("vlookup(B56, IMPORTRANGE(""https://docs.google.com/spreadsheets/d/1W4ogkn7G1DLigoji8FCGt4ELYlkTu29hcIgb7tBwWhE/edit?gid=0#gid=0"",""Feuille 1!b2:e161""),3,0)"),"anne-sophie")</f>
        <v>anne-sophie</v>
      </c>
      <c r="E56" s="7">
        <f>'Classement général nom prénom'!$G56+'Classement général nom prénom'!$H56+'Classement général nom prénom'!$I56</f>
        <v>5019.015035</v>
      </c>
      <c r="F56" s="8"/>
      <c r="G56" s="9">
        <f>IFERROR(VLOOKUP(B56,'Classement S6'!$B$2:$C$200,2,0),"0")</f>
        <v>2480.477801</v>
      </c>
      <c r="H56" s="9">
        <f>IFERROR(VLOOKUP(B56,'Classement RoC'!$B$2:$C$199,2,0),"0")</f>
        <v>1305.553231</v>
      </c>
      <c r="I56" s="9">
        <f>IFERROR(VLOOKUP(B56,'Classement Surp'!$B$2:$C$199,2,0),"0")</f>
        <v>1232.984003</v>
      </c>
    </row>
    <row r="57" ht="14.25" customHeight="1">
      <c r="A57" s="6">
        <v>95.0</v>
      </c>
      <c r="B57" s="19" t="s">
        <v>101</v>
      </c>
      <c r="C57" s="30" t="str">
        <f>IFERROR(__xludf.DUMMYFUNCTION("vlookup(B57, IMPORTRANGE(""https://docs.google.com/spreadsheets/d/1W4ogkn7G1DLigoji8FCGt4ELYlkTu29hcIgb7tBwWhE/edit?gid=0#gid=0"",""Feuille 1!b2:e161""),2,0)"),"Labrosse")</f>
        <v>Labrosse</v>
      </c>
      <c r="D57" s="30" t="str">
        <f>IFERROR(__xludf.DUMMYFUNCTION("vlookup(B57, IMPORTRANGE(""https://docs.google.com/spreadsheets/d/1W4ogkn7G1DLigoji8FCGt4ELYlkTu29hcIgb7tBwWhE/edit?gid=0#gid=0"",""Feuille 1!b2:e161""),3,0)"),"Karine")</f>
        <v>Karine</v>
      </c>
      <c r="E57" s="7">
        <f>'Classement général nom prénom'!$G57+'Classement général nom prénom'!$H57+'Classement général nom prénom'!$I57</f>
        <v>1554.57383</v>
      </c>
      <c r="F57" s="11"/>
      <c r="G57" s="12">
        <f>IFERROR(VLOOKUP(B57,'Classement S6'!$B$2:$C$200,2,0),"0")</f>
        <v>1554.57383</v>
      </c>
      <c r="H57" s="12" t="str">
        <f>IFERROR(VLOOKUP(B57,'Classement RoC'!$B$2:$C$199,2,0),"0")</f>
        <v>0</v>
      </c>
      <c r="I57" s="12">
        <f>IFERROR(VLOOKUP(B57,'Classement Surp'!$B$2:$C$199,2,0),"0")</f>
        <v>0</v>
      </c>
    </row>
    <row r="58" ht="14.25" customHeight="1">
      <c r="A58" s="6">
        <v>77.0</v>
      </c>
      <c r="B58" s="21" t="s">
        <v>83</v>
      </c>
      <c r="C58" s="30" t="str">
        <f>IFERROR(__xludf.DUMMYFUNCTION("vlookup(B58, IMPORTRANGE(""https://docs.google.com/spreadsheets/d/1W4ogkn7G1DLigoji8FCGt4ELYlkTu29hcIgb7tBwWhE/edit?gid=0#gid=0"",""Feuille 1!b2:e161""),2,0)"),"Labrosse")</f>
        <v>Labrosse</v>
      </c>
      <c r="D58" s="30" t="str">
        <f>IFERROR(__xludf.DUMMYFUNCTION("vlookup(B58, IMPORTRANGE(""https://docs.google.com/spreadsheets/d/1W4ogkn7G1DLigoji8FCGt4ELYlkTu29hcIgb7tBwWhE/edit?gid=0#gid=0"",""Feuille 1!b2:e161""),3,0)"),"Ludovic")</f>
        <v>Ludovic</v>
      </c>
      <c r="E58" s="7">
        <f>'Classement général nom prénom'!$G58+'Classement général nom prénom'!$H58+'Classement général nom prénom'!$I58</f>
        <v>3375.202803</v>
      </c>
      <c r="F58" s="11"/>
      <c r="G58" s="12">
        <f>IFERROR(VLOOKUP(B58,'Classement S6'!$B$2:$C$200,2,0),"0")</f>
        <v>2947.911757</v>
      </c>
      <c r="H58" s="12">
        <f>IFERROR(VLOOKUP(B58,'Classement RoC'!$B$2:$C$199,2,0),"0")</f>
        <v>427.2910459</v>
      </c>
      <c r="I58" s="12">
        <f>IFERROR(VLOOKUP(B58,'Classement Surp'!$B$2:$C$199,2,0),"0")</f>
        <v>0</v>
      </c>
    </row>
    <row r="59" ht="14.25" customHeight="1">
      <c r="A59" s="6">
        <v>107.0</v>
      </c>
      <c r="B59" s="13" t="s">
        <v>113</v>
      </c>
      <c r="C59" s="30" t="s">
        <v>158</v>
      </c>
      <c r="D59" s="30" t="s">
        <v>159</v>
      </c>
      <c r="E59" s="7">
        <f>'Classement général nom prénom'!$G59+'Classement général nom prénom'!$H59+'Classement général nom prénom'!$I59</f>
        <v>667.7914722</v>
      </c>
      <c r="F59" s="8"/>
      <c r="G59" s="9" t="str">
        <f>IFERROR(VLOOKUP(B59,'Classement S6'!$B$2:$C$200,2,0),"0")</f>
        <v>0</v>
      </c>
      <c r="H59" s="9" t="str">
        <f>IFERROR(VLOOKUP(B59,'Classement RoC'!$B$2:$C$199,2,0),"0")</f>
        <v>0</v>
      </c>
      <c r="I59" s="9">
        <f>IFERROR(VLOOKUP(B59,'Classement Surp'!$B$2:$C$199,2,0),"0")</f>
        <v>667.7914722</v>
      </c>
    </row>
    <row r="60" ht="14.25" customHeight="1">
      <c r="A60" s="6">
        <v>104.0</v>
      </c>
      <c r="B60" s="6" t="s">
        <v>110</v>
      </c>
      <c r="C60" s="30" t="str">
        <f>IFERROR(__xludf.DUMMYFUNCTION("vlookup(B60, IMPORTRANGE(""https://docs.google.com/spreadsheets/d/1W4ogkn7G1DLigoji8FCGt4ELYlkTu29hcIgb7tBwWhE/edit?gid=0#gid=0"",""Feuille 1!b2:e161""),2,0)"),"LEBEAULT")</f>
        <v>LEBEAULT</v>
      </c>
      <c r="D60" s="30" t="str">
        <f>IFERROR(__xludf.DUMMYFUNCTION("vlookup(B60, IMPORTRANGE(""https://docs.google.com/spreadsheets/d/1W4ogkn7G1DLigoji8FCGt4ELYlkTu29hcIgb7tBwWhE/edit?gid=0#gid=0"",""Feuille 1!b2:e161""),3,0)"),"Laurent")</f>
        <v>Laurent</v>
      </c>
      <c r="E60" s="7">
        <f>'Classement général nom prénom'!$G60+'Classement général nom prénom'!$H60+'Classement général nom prénom'!$I60</f>
        <v>846.3419989</v>
      </c>
      <c r="F60" s="11"/>
      <c r="G60" s="12">
        <f>IFERROR(VLOOKUP(B60,'Classement S6'!$B$2:$C$200,2,0),"0")</f>
        <v>0</v>
      </c>
      <c r="H60" s="12">
        <f>IFERROR(VLOOKUP(B60,'Classement RoC'!$B$2:$C$199,2,0),"0")</f>
        <v>846.3419989</v>
      </c>
      <c r="I60" s="12">
        <f>IFERROR(VLOOKUP(B60,'Classement Surp'!$B$2:$C$199,2,0),"0")</f>
        <v>0</v>
      </c>
    </row>
    <row r="61" ht="14.25" customHeight="1">
      <c r="A61" s="6">
        <v>118.0</v>
      </c>
      <c r="B61" s="19" t="s">
        <v>124</v>
      </c>
      <c r="C61" s="30" t="str">
        <f>IFERROR(__xludf.DUMMYFUNCTION("vlookup(B61, IMPORTRANGE(""https://docs.google.com/spreadsheets/d/1W4ogkn7G1DLigoji8FCGt4ELYlkTu29hcIgb7tBwWhE/edit?gid=0#gid=0"",""Feuille 1!b2:e161""),2,0)"),"Lo Iacono")</f>
        <v>Lo Iacono</v>
      </c>
      <c r="D61" s="30" t="str">
        <f>IFERROR(__xludf.DUMMYFUNCTION("vlookup(B61, IMPORTRANGE(""https://docs.google.com/spreadsheets/d/1W4ogkn7G1DLigoji8FCGt4ELYlkTu29hcIgb7tBwWhE/edit?gid=0#gid=0"",""Feuille 1!b2:e161""),3,0)"),"Jean Noel")</f>
        <v>Jean Noel</v>
      </c>
      <c r="E61" s="7">
        <f>'Classement général nom prénom'!$G61+'Classement général nom prénom'!$H61+'Classement général nom prénom'!$I61</f>
        <v>402.2030828</v>
      </c>
      <c r="F61" s="11"/>
      <c r="G61" s="12">
        <f>IFERROR(VLOOKUP(B61,'Classement S6'!$B$2:$C$200,2,0),"0")</f>
        <v>402.2030828</v>
      </c>
      <c r="H61" s="12" t="str">
        <f>IFERROR(VLOOKUP(B61,'Classement RoC'!$B$2:$C$199,2,0),"0")</f>
        <v>0</v>
      </c>
      <c r="I61" s="12" t="str">
        <f>IFERROR(VLOOKUP(B61,'Classement Surp'!$B$2:$C$199,2,0),"0")</f>
        <v>0</v>
      </c>
    </row>
    <row r="62" ht="14.25" customHeight="1">
      <c r="A62" s="6">
        <v>82.0</v>
      </c>
      <c r="B62" s="16" t="s">
        <v>88</v>
      </c>
      <c r="C62" s="30" t="str">
        <f>IFERROR(__xludf.DUMMYFUNCTION("vlookup(B62, IMPORTRANGE(""https://docs.google.com/spreadsheets/d/1W4ogkn7G1DLigoji8FCGt4ELYlkTu29hcIgb7tBwWhE/edit?gid=0#gid=0"",""Feuille 1!b2:e161""),2,0)"),"Mallet")</f>
        <v>Mallet</v>
      </c>
      <c r="D62" s="30" t="str">
        <f>IFERROR(__xludf.DUMMYFUNCTION("vlookup(B62, IMPORTRANGE(""https://docs.google.com/spreadsheets/d/1W4ogkn7G1DLigoji8FCGt4ELYlkTu29hcIgb7tBwWhE/edit?gid=0#gid=0"",""Feuille 1!b2:e161""),3,0)"),"Arnaud")</f>
        <v>Arnaud</v>
      </c>
      <c r="E62" s="7">
        <f>'Classement général nom prénom'!$G62+'Classement général nom prénom'!$H62+'Classement général nom prénom'!$I62</f>
        <v>2776.157408</v>
      </c>
      <c r="F62" s="11"/>
      <c r="G62" s="12">
        <f>IFERROR(VLOOKUP(B62,'Classement S6'!$B$2:$C$200,2,0),"0")</f>
        <v>1352.10255</v>
      </c>
      <c r="H62" s="12">
        <f>IFERROR(VLOOKUP(B62,'Classement RoC'!$B$2:$C$199,2,0),"0")</f>
        <v>934.0547034</v>
      </c>
      <c r="I62" s="12">
        <f>IFERROR(VLOOKUP(B62,'Classement Surp'!$B$2:$C$199,2,0),"0")</f>
        <v>490.0001551</v>
      </c>
    </row>
    <row r="63" ht="14.25" customHeight="1">
      <c r="A63" s="6">
        <v>54.0</v>
      </c>
      <c r="B63" s="16" t="s">
        <v>60</v>
      </c>
      <c r="C63" s="30" t="str">
        <f>IFERROR(__xludf.DUMMYFUNCTION("vlookup(B63, IMPORTRANGE(""https://docs.google.com/spreadsheets/d/1W4ogkn7G1DLigoji8FCGt4ELYlkTu29hcIgb7tBwWhE/edit?gid=0#gid=0"",""Feuille 1!b2:e161""),2,0)"),"Mallet")</f>
        <v>Mallet</v>
      </c>
      <c r="D63" s="30" t="str">
        <f>IFERROR(__xludf.DUMMYFUNCTION("vlookup(B63, IMPORTRANGE(""https://docs.google.com/spreadsheets/d/1W4ogkn7G1DLigoji8FCGt4ELYlkTu29hcIgb7tBwWhE/edit?gid=0#gid=0"",""Feuille 1!b2:e161""),3,0)"),"Grégory")</f>
        <v>Grégory</v>
      </c>
      <c r="E63" s="7">
        <f>'Classement général nom prénom'!$G63+'Classement général nom prénom'!$H63+'Classement général nom prénom'!$I63</f>
        <v>5140.679772</v>
      </c>
      <c r="F63" s="11"/>
      <c r="G63" s="12">
        <f>IFERROR(VLOOKUP(B63,'Classement S6'!$B$2:$C$200,2,0),"0")</f>
        <v>1677.905889</v>
      </c>
      <c r="H63" s="12">
        <f>IFERROR(VLOOKUP(B63,'Classement RoC'!$B$2:$C$199,2,0),"0")</f>
        <v>3097.71055</v>
      </c>
      <c r="I63" s="12">
        <f>IFERROR(VLOOKUP(B63,'Classement Surp'!$B$2:$C$199,2,0),"0")</f>
        <v>365.0633333</v>
      </c>
    </row>
    <row r="64" ht="14.25" customHeight="1">
      <c r="A64" s="6">
        <v>50.0</v>
      </c>
      <c r="B64" s="6" t="s">
        <v>56</v>
      </c>
      <c r="C64" s="30" t="str">
        <f>IFERROR(__xludf.DUMMYFUNCTION("vlookup(B64, IMPORTRANGE(""https://docs.google.com/spreadsheets/d/1W4ogkn7G1DLigoji8FCGt4ELYlkTu29hcIgb7tBwWhE/edit?gid=0#gid=0"",""Feuille 1!b2:e161""),2,0)"),"Marchand")</f>
        <v>Marchand</v>
      </c>
      <c r="D64" s="30" t="str">
        <f>IFERROR(__xludf.DUMMYFUNCTION("vlookup(B64, IMPORTRANGE(""https://docs.google.com/spreadsheets/d/1W4ogkn7G1DLigoji8FCGt4ELYlkTu29hcIgb7tBwWhE/edit?gid=0#gid=0"",""Feuille 1!b2:e161""),3,0)"),"Alexis")</f>
        <v>Alexis</v>
      </c>
      <c r="E64" s="7">
        <f>'Classement général nom prénom'!$G64+'Classement général nom prénom'!$H64+'Classement général nom prénom'!$I64</f>
        <v>5366.391178</v>
      </c>
      <c r="F64" s="8"/>
      <c r="G64" s="9">
        <f>IFERROR(VLOOKUP(B64,'Classement S6'!$B$2:$C$200,2,0),"0")</f>
        <v>3751.806971</v>
      </c>
      <c r="H64" s="9">
        <f>IFERROR(VLOOKUP(B64,'Classement RoC'!$B$2:$C$199,2,0),"0")</f>
        <v>824.2452226</v>
      </c>
      <c r="I64" s="9">
        <f>IFERROR(VLOOKUP(B64,'Classement Surp'!$B$2:$C$199,2,0),"0")</f>
        <v>790.338984</v>
      </c>
    </row>
    <row r="65" ht="14.25" customHeight="1">
      <c r="A65" s="6">
        <v>7.0</v>
      </c>
      <c r="B65" s="13" t="s">
        <v>13</v>
      </c>
      <c r="C65" s="30" t="str">
        <f>IFERROR(__xludf.DUMMYFUNCTION("vlookup(B65, IMPORTRANGE(""https://docs.google.com/spreadsheets/d/1W4ogkn7G1DLigoji8FCGt4ELYlkTu29hcIgb7tBwWhE/edit?gid=0#gid=0"",""Feuille 1!b2:e161""),2,0)"),"Martin")</f>
        <v>Martin</v>
      </c>
      <c r="D65" s="30" t="str">
        <f>IFERROR(__xludf.DUMMYFUNCTION("vlookup(B65, IMPORTRANGE(""https://docs.google.com/spreadsheets/d/1W4ogkn7G1DLigoji8FCGt4ELYlkTu29hcIgb7tBwWhE/edit?gid=0#gid=0"",""Feuille 1!b2:e161""),3,0)"),"Kevin")</f>
        <v>Kevin</v>
      </c>
      <c r="E65" s="7">
        <f>'Classement général nom prénom'!$G65+'Classement général nom prénom'!$H65+'Classement général nom prénom'!$I65</f>
        <v>12470.78433</v>
      </c>
      <c r="F65" s="8"/>
      <c r="G65" s="9">
        <f>IFERROR(VLOOKUP(B65,'Classement S6'!$B$2:$C$200,2,0),"0")</f>
        <v>8265.690257</v>
      </c>
      <c r="H65" s="9">
        <f>IFERROR(VLOOKUP(B65,'Classement RoC'!$B$2:$C$199,2,0),"0")</f>
        <v>3358.798542</v>
      </c>
      <c r="I65" s="9">
        <f>IFERROR(VLOOKUP(B65,'Classement Surp'!$B$2:$C$199,2,0),"0")</f>
        <v>846.2955332</v>
      </c>
    </row>
    <row r="66" ht="14.25" customHeight="1">
      <c r="A66" s="6">
        <v>2.0</v>
      </c>
      <c r="B66" s="6" t="s">
        <v>8</v>
      </c>
      <c r="C66" s="30" t="str">
        <f>IFERROR(__xludf.DUMMYFUNCTION("vlookup(B66, IMPORTRANGE(""https://docs.google.com/spreadsheets/d/1W4ogkn7G1DLigoji8FCGt4ELYlkTu29hcIgb7tBwWhE/edit?gid=0#gid=0"",""Feuille 1!b2:e161""),2,0)"),"Martin")</f>
        <v>Martin</v>
      </c>
      <c r="D66" s="30" t="str">
        <f>IFERROR(__xludf.DUMMYFUNCTION("vlookup(B66, IMPORTRANGE(""https://docs.google.com/spreadsheets/d/1W4ogkn7G1DLigoji8FCGt4ELYlkTu29hcIgb7tBwWhE/edit?gid=0#gid=0"",""Feuille 1!b2:e161""),3,0)"),"Nelly")</f>
        <v>Nelly</v>
      </c>
      <c r="E66" s="7">
        <f>'Classement général nom prénom'!$G66+'Classement général nom prénom'!$H66+'Classement général nom prénom'!$I66</f>
        <v>15742.07589</v>
      </c>
      <c r="F66" s="8"/>
      <c r="G66" s="9">
        <f>IFERROR(VLOOKUP(B66,'Classement S6'!$B$2:$C$200,2,0),"0")</f>
        <v>7610.317642</v>
      </c>
      <c r="H66" s="9">
        <f>IFERROR(VLOOKUP(B66,'Classement RoC'!$B$2:$C$199,2,0),"0")</f>
        <v>5870.255625</v>
      </c>
      <c r="I66" s="9">
        <f>IFERROR(VLOOKUP(B66,'Classement Surp'!$B$2:$C$199,2,0),"0")</f>
        <v>2261.502627</v>
      </c>
    </row>
    <row r="67" ht="14.25" customHeight="1">
      <c r="A67" s="6">
        <v>34.0</v>
      </c>
      <c r="B67" s="16" t="s">
        <v>40</v>
      </c>
      <c r="C67" s="30" t="str">
        <f>IFERROR(__xludf.DUMMYFUNCTION("vlookup(B67, IMPORTRANGE(""https://docs.google.com/spreadsheets/d/1W4ogkn7G1DLigoji8FCGt4ELYlkTu29hcIgb7tBwWhE/edit?gid=0#gid=0"",""Feuille 1!b2:e161""),2,0)"),"Merigard")</f>
        <v>Merigard</v>
      </c>
      <c r="D67" s="30" t="str">
        <f>IFERROR(__xludf.DUMMYFUNCTION("vlookup(B67, IMPORTRANGE(""https://docs.google.com/spreadsheets/d/1W4ogkn7G1DLigoji8FCGt4ELYlkTu29hcIgb7tBwWhE/edit?gid=0#gid=0"",""Feuille 1!b2:e161""),3,0)"),"Stephane")</f>
        <v>Stephane</v>
      </c>
      <c r="E67" s="7">
        <f>'Classement général nom prénom'!$G67+'Classement général nom prénom'!$H67+'Classement général nom prénom'!$I67</f>
        <v>8484.867446</v>
      </c>
      <c r="F67" s="11"/>
      <c r="G67" s="12">
        <f>IFERROR(VLOOKUP(B67,'Classement S6'!$B$2:$C$200,2,0),"0")</f>
        <v>2886.995038</v>
      </c>
      <c r="H67" s="12">
        <f>IFERROR(VLOOKUP(B67,'Classement RoC'!$B$2:$C$199,2,0),"0")</f>
        <v>5188.644652</v>
      </c>
      <c r="I67" s="12">
        <f>IFERROR(VLOOKUP(B67,'Classement Surp'!$B$2:$C$199,2,0),"0")</f>
        <v>409.2277554</v>
      </c>
    </row>
    <row r="68" ht="14.25" customHeight="1">
      <c r="A68" s="6">
        <v>57.0</v>
      </c>
      <c r="B68" s="6" t="s">
        <v>63</v>
      </c>
      <c r="C68" s="30" t="str">
        <f>IFERROR(__xludf.DUMMYFUNCTION("vlookup(B68, IMPORTRANGE(""https://docs.google.com/spreadsheets/d/1W4ogkn7G1DLigoji8FCGt4ELYlkTu29hcIgb7tBwWhE/edit?gid=0#gid=0"",""Feuille 1!b2:e161""),2,0)"),"Messager")</f>
        <v>Messager</v>
      </c>
      <c r="D68" s="30" t="str">
        <f>IFERROR(__xludf.DUMMYFUNCTION("vlookup(B68, IMPORTRANGE(""https://docs.google.com/spreadsheets/d/1W4ogkn7G1DLigoji8FCGt4ELYlkTu29hcIgb7tBwWhE/edit?gid=0#gid=0"",""Feuille 1!b2:e161""),3,0)"),"Mikael")</f>
        <v>Mikael</v>
      </c>
      <c r="E68" s="7">
        <f>'Classement général nom prénom'!$G68+'Classement général nom prénom'!$H68+'Classement général nom prénom'!$I68</f>
        <v>4968.744731</v>
      </c>
      <c r="F68" s="8"/>
      <c r="G68" s="9">
        <f>IFERROR(VLOOKUP(B68,'Classement S6'!$B$2:$C$200,2,0),"0")</f>
        <v>1580.8621</v>
      </c>
      <c r="H68" s="9">
        <f>IFERROR(VLOOKUP(B68,'Classement RoC'!$B$2:$C$199,2,0),"0")</f>
        <v>2656.944667</v>
      </c>
      <c r="I68" s="9">
        <f>IFERROR(VLOOKUP(B68,'Classement Surp'!$B$2:$C$199,2,0),"0")</f>
        <v>730.9379637</v>
      </c>
    </row>
    <row r="69" ht="14.25" customHeight="1">
      <c r="A69" s="6">
        <v>44.0</v>
      </c>
      <c r="B69" s="13" t="s">
        <v>50</v>
      </c>
      <c r="C69" s="30" t="str">
        <f>IFERROR(__xludf.DUMMYFUNCTION("vlookup(B69, IMPORTRANGE(""https://docs.google.com/spreadsheets/d/1W4ogkn7G1DLigoji8FCGt4ELYlkTu29hcIgb7tBwWhE/edit?gid=0#gid=0"",""Feuille 1!b2:e161""),2,0)"),"Meunier")</f>
        <v>Meunier</v>
      </c>
      <c r="D69" s="30" t="str">
        <f>IFERROR(__xludf.DUMMYFUNCTION("vlookup(B69, IMPORTRANGE(""https://docs.google.com/spreadsheets/d/1W4ogkn7G1DLigoji8FCGt4ELYlkTu29hcIgb7tBwWhE/edit?gid=0#gid=0"",""Feuille 1!b2:e161""),3,0)"),"Didier")</f>
        <v>Didier</v>
      </c>
      <c r="E69" s="7">
        <f>'Classement général nom prénom'!$G69+'Classement général nom prénom'!$H69+'Classement général nom prénom'!$I69</f>
        <v>6504.094543</v>
      </c>
      <c r="F69" s="8"/>
      <c r="G69" s="9">
        <f>IFERROR(VLOOKUP(B69,'Classement S6'!$B$2:$C$200,2,0),"0")</f>
        <v>2511.235219</v>
      </c>
      <c r="H69" s="9">
        <f>IFERROR(VLOOKUP(B69,'Classement RoC'!$B$2:$C$199,2,0),"0")</f>
        <v>2837.705582</v>
      </c>
      <c r="I69" s="9">
        <f>IFERROR(VLOOKUP(B69,'Classement Surp'!$B$2:$C$199,2,0),"0")</f>
        <v>1155.153742</v>
      </c>
    </row>
    <row r="70" ht="14.25" customHeight="1">
      <c r="A70" s="6">
        <v>18.0</v>
      </c>
      <c r="B70" s="6" t="s">
        <v>24</v>
      </c>
      <c r="C70" s="30" t="str">
        <f>IFERROR(__xludf.DUMMYFUNCTION("vlookup(B70, IMPORTRANGE(""https://docs.google.com/spreadsheets/d/1W4ogkn7G1DLigoji8FCGt4ELYlkTu29hcIgb7tBwWhE/edit?gid=0#gid=0"",""Feuille 1!b2:e161""),2,0)"),"MEZZOMO")</f>
        <v>MEZZOMO</v>
      </c>
      <c r="D70" s="30" t="str">
        <f>IFERROR(__xludf.DUMMYFUNCTION("vlookup(B70, IMPORTRANGE(""https://docs.google.com/spreadsheets/d/1W4ogkn7G1DLigoji8FCGt4ELYlkTu29hcIgb7tBwWhE/edit?gid=0#gid=0"",""Feuille 1!b2:e161""),3,0)"),"ALAIN")</f>
        <v>ALAIN</v>
      </c>
      <c r="E70" s="7">
        <f>'Classement général nom prénom'!$G70+'Classement général nom prénom'!$H70+'Classement général nom prénom'!$I70</f>
        <v>10504.13127</v>
      </c>
      <c r="F70" s="8"/>
      <c r="G70" s="9">
        <f>IFERROR(VLOOKUP(B70,'Classement S6'!$B$2:$C$200,2,0),"0")</f>
        <v>7701.578041</v>
      </c>
      <c r="H70" s="9">
        <f>IFERROR(VLOOKUP(B70,'Classement RoC'!$B$2:$C$199,2,0),"0")</f>
        <v>2031.911623</v>
      </c>
      <c r="I70" s="9">
        <f>IFERROR(VLOOKUP(B70,'Classement Surp'!$B$2:$C$199,2,0),"0")</f>
        <v>770.6416095</v>
      </c>
    </row>
    <row r="71" ht="14.25" customHeight="1">
      <c r="A71" s="6">
        <v>51.0</v>
      </c>
      <c r="B71" s="6" t="s">
        <v>57</v>
      </c>
      <c r="C71" s="30" t="str">
        <f>IFERROR(__xludf.DUMMYFUNCTION("vlookup(B71, IMPORTRANGE(""https://docs.google.com/spreadsheets/d/1W4ogkn7G1DLigoji8FCGt4ELYlkTu29hcIgb7tBwWhE/edit?gid=0#gid=0"",""Feuille 1!b2:e161""),2,0)"),"MICHALCIK")</f>
        <v>MICHALCIK</v>
      </c>
      <c r="D71" s="30" t="str">
        <f>IFERROR(__xludf.DUMMYFUNCTION("vlookup(B71, IMPORTRANGE(""https://docs.google.com/spreadsheets/d/1W4ogkn7G1DLigoji8FCGt4ELYlkTu29hcIgb7tBwWhE/edit?gid=0#gid=0"",""Feuille 1!b2:e161""),3,0)"),"Nicolas")</f>
        <v>Nicolas</v>
      </c>
      <c r="E71" s="7">
        <f>'Classement général nom prénom'!$G71+'Classement général nom prénom'!$H71+'Classement général nom prénom'!$I71</f>
        <v>5220.713544</v>
      </c>
      <c r="F71" s="8"/>
      <c r="G71" s="9">
        <f>IFERROR(VLOOKUP(B71,'Classement S6'!$B$2:$C$200,2,0),"0")</f>
        <v>4132.461305</v>
      </c>
      <c r="H71" s="9">
        <f>IFERROR(VLOOKUP(B71,'Classement RoC'!$B$2:$C$199,2,0),"0")</f>
        <v>803.8970158</v>
      </c>
      <c r="I71" s="9">
        <f>IFERROR(VLOOKUP(B71,'Classement Surp'!$B$2:$C$199,2,0),"0")</f>
        <v>284.3552239</v>
      </c>
    </row>
    <row r="72" ht="14.25" customHeight="1">
      <c r="A72" s="6">
        <v>73.0</v>
      </c>
      <c r="B72" s="17" t="s">
        <v>79</v>
      </c>
      <c r="C72" s="30" t="s">
        <v>160</v>
      </c>
      <c r="D72" s="30" t="s">
        <v>161</v>
      </c>
      <c r="E72" s="7">
        <f>'Classement général nom prénom'!$G72+'Classement général nom prénom'!$H72+'Classement général nom prénom'!$I72</f>
        <v>3743.929253</v>
      </c>
      <c r="F72" s="11"/>
      <c r="G72" s="12">
        <f>IFERROR(VLOOKUP(B72,'Classement S6'!$B$2:$C$200,2,0),"0")</f>
        <v>1977.893632</v>
      </c>
      <c r="H72" s="12">
        <f>IFERROR(VLOOKUP(B72,'Classement RoC'!$B$2:$C$199,2,0),"0")</f>
        <v>1142.473211</v>
      </c>
      <c r="I72" s="12">
        <f>IFERROR(VLOOKUP(B72,'Classement Surp'!$B$2:$C$199,2,0),"0")</f>
        <v>623.562409</v>
      </c>
    </row>
    <row r="73" ht="14.25" customHeight="1">
      <c r="A73" s="6">
        <v>94.0</v>
      </c>
      <c r="B73" s="6" t="s">
        <v>100</v>
      </c>
      <c r="C73" s="30" t="str">
        <f>IFERROR(__xludf.DUMMYFUNCTION("vlookup(B73, IMPORTRANGE(""https://docs.google.com/spreadsheets/d/1W4ogkn7G1DLigoji8FCGt4ELYlkTu29hcIgb7tBwWhE/edit?gid=0#gid=0"",""Feuille 1!b2:e161""),2,0)"),"MOINARD")</f>
        <v>MOINARD</v>
      </c>
      <c r="D73" s="30" t="str">
        <f>IFERROR(__xludf.DUMMYFUNCTION("vlookup(B73, IMPORTRANGE(""https://docs.google.com/spreadsheets/d/1W4ogkn7G1DLigoji8FCGt4ELYlkTu29hcIgb7tBwWhE/edit?gid=0#gid=0"",""Feuille 1!b2:e161""),3,0)"),"Nathalie")</f>
        <v>Nathalie</v>
      </c>
      <c r="E73" s="7">
        <f>'Classement général nom prénom'!$G73+'Classement général nom prénom'!$H73+'Classement général nom prénom'!$I73</f>
        <v>1668.438787</v>
      </c>
      <c r="F73" s="8"/>
      <c r="G73" s="9">
        <f>IFERROR(VLOOKUP(B73,'Classement S6'!$B$2:$C$200,2,0),"0")</f>
        <v>654.7968551</v>
      </c>
      <c r="H73" s="9">
        <f>IFERROR(VLOOKUP(B73,'Classement RoC'!$B$2:$C$199,2,0),"0")</f>
        <v>453.8509709</v>
      </c>
      <c r="I73" s="9">
        <f>IFERROR(VLOOKUP(B73,'Classement Surp'!$B$2:$C$199,2,0),"0")</f>
        <v>559.790961</v>
      </c>
    </row>
    <row r="74" ht="14.25" customHeight="1">
      <c r="A74" s="6">
        <v>10.0</v>
      </c>
      <c r="B74" s="31" t="s">
        <v>16</v>
      </c>
      <c r="C74" s="30" t="str">
        <f>IFERROR(__xludf.DUMMYFUNCTION("vlookup(B74, IMPORTRANGE(""https://docs.google.com/spreadsheets/d/1W4ogkn7G1DLigoji8FCGt4ELYlkTu29hcIgb7tBwWhE/edit?gid=0#gid=0"",""Feuille 1!b2:e161""),2,0)"),"MOINARD")</f>
        <v>MOINARD</v>
      </c>
      <c r="D74" s="30" t="str">
        <f>IFERROR(__xludf.DUMMYFUNCTION("vlookup(B74, IMPORTRANGE(""https://docs.google.com/spreadsheets/d/1W4ogkn7G1DLigoji8FCGt4ELYlkTu29hcIgb7tBwWhE/edit?gid=0#gid=0"",""Feuille 1!b2:e161""),3,0)"),"Pascal")</f>
        <v>Pascal</v>
      </c>
      <c r="E74" s="7">
        <f>'Classement général nom prénom'!$G74+'Classement général nom prénom'!$H74+'Classement général nom prénom'!$I74</f>
        <v>11891.01839</v>
      </c>
      <c r="F74" s="8"/>
      <c r="G74" s="9">
        <f>IFERROR(VLOOKUP(B74,'Classement S6'!$B$2:$C$200,2,0),"0")</f>
        <v>7510.864786</v>
      </c>
      <c r="H74" s="9">
        <f>IFERROR(VLOOKUP(B74,'Classement RoC'!$B$2:$C$199,2,0),"0")</f>
        <v>3832.829897</v>
      </c>
      <c r="I74" s="9">
        <f>IFERROR(VLOOKUP(B74,'Classement Surp'!$B$2:$C$199,2,0),"0")</f>
        <v>547.3237046</v>
      </c>
    </row>
    <row r="75" ht="14.25" customHeight="1">
      <c r="A75" s="6">
        <v>90.0</v>
      </c>
      <c r="B75" s="6" t="s">
        <v>96</v>
      </c>
      <c r="C75" s="30" t="str">
        <f>IFERROR(__xludf.DUMMYFUNCTION("vlookup(B75, IMPORTRANGE(""https://docs.google.com/spreadsheets/d/1W4ogkn7G1DLigoji8FCGt4ELYlkTu29hcIgb7tBwWhE/edit?gid=0#gid=0"",""Feuille 1!b2:e161""),2,0)"),"Montigny")</f>
        <v>Montigny</v>
      </c>
      <c r="D75" s="30" t="str">
        <f>IFERROR(__xludf.DUMMYFUNCTION("vlookup(B75, IMPORTRANGE(""https://docs.google.com/spreadsheets/d/1W4ogkn7G1DLigoji8FCGt4ELYlkTu29hcIgb7tBwWhE/edit?gid=0#gid=0"",""Feuille 1!b2:e161""),3,0)"),"Romain")</f>
        <v>Romain</v>
      </c>
      <c r="E75" s="7">
        <f>'Classement général nom prénom'!$G75+'Classement général nom prénom'!$H75+'Classement général nom prénom'!$I75</f>
        <v>1840.960749</v>
      </c>
      <c r="F75" s="8"/>
      <c r="G75" s="9">
        <f>IFERROR(VLOOKUP(B75,'Classement S6'!$B$2:$C$200,2,0),"0")</f>
        <v>1197.852438</v>
      </c>
      <c r="H75" s="9">
        <f>IFERROR(VLOOKUP(B75,'Classement RoC'!$B$2:$C$199,2,0),"0")</f>
        <v>231.5647799</v>
      </c>
      <c r="I75" s="9">
        <f>IFERROR(VLOOKUP(B75,'Classement Surp'!$B$2:$C$199,2,0),"0")</f>
        <v>411.5435316</v>
      </c>
    </row>
    <row r="76" ht="14.25" customHeight="1">
      <c r="A76" s="6">
        <v>15.0</v>
      </c>
      <c r="B76" s="6" t="s">
        <v>21</v>
      </c>
      <c r="C76" s="30" t="str">
        <f>IFERROR(__xludf.DUMMYFUNCTION("vlookup(B76, IMPORTRANGE(""https://docs.google.com/spreadsheets/d/1W4ogkn7G1DLigoji8FCGt4ELYlkTu29hcIgb7tBwWhE/edit?gid=0#gid=0"",""Feuille 1!b2:e161""),2,0)"),"Montigny")</f>
        <v>Montigny</v>
      </c>
      <c r="D76" s="30" t="str">
        <f>IFERROR(__xludf.DUMMYFUNCTION("vlookup(B76, IMPORTRANGE(""https://docs.google.com/spreadsheets/d/1W4ogkn7G1DLigoji8FCGt4ELYlkTu29hcIgb7tBwWhE/edit?gid=0#gid=0"",""Feuille 1!b2:e161""),3,0)"),"Vincent")</f>
        <v>Vincent</v>
      </c>
      <c r="E76" s="7">
        <f>'Classement général nom prénom'!$G76+'Classement général nom prénom'!$H76+'Classement général nom prénom'!$I76</f>
        <v>10845.28691</v>
      </c>
      <c r="F76" s="8"/>
      <c r="G76" s="9">
        <f>IFERROR(VLOOKUP(B76,'Classement S6'!$B$2:$C$200,2,0),"0")</f>
        <v>5383.091268</v>
      </c>
      <c r="H76" s="9">
        <f>IFERROR(VLOOKUP(B76,'Classement RoC'!$B$2:$C$199,2,0),"0")</f>
        <v>4203.85425</v>
      </c>
      <c r="I76" s="9">
        <f>IFERROR(VLOOKUP(B76,'Classement Surp'!$B$2:$C$199,2,0),"0")</f>
        <v>1258.341388</v>
      </c>
    </row>
    <row r="77" ht="14.25" customHeight="1">
      <c r="A77" s="6">
        <v>63.0</v>
      </c>
      <c r="B77" s="19" t="s">
        <v>69</v>
      </c>
      <c r="C77" s="30" t="str">
        <f>IFERROR(__xludf.DUMMYFUNCTION("vlookup(B77, IMPORTRANGE(""https://docs.google.com/spreadsheets/d/1W4ogkn7G1DLigoji8FCGt4ELYlkTu29hcIgb7tBwWhE/edit?gid=0#gid=0"",""Feuille 1!b2:e161""),2,0)"),"Morillon")</f>
        <v>Morillon</v>
      </c>
      <c r="D77" s="30" t="str">
        <f>IFERROR(__xludf.DUMMYFUNCTION("vlookup(B77, IMPORTRANGE(""https://docs.google.com/spreadsheets/d/1W4ogkn7G1DLigoji8FCGt4ELYlkTu29hcIgb7tBwWhE/edit?gid=0#gid=0"",""Feuille 1!b2:e161""),3,0)"),"Donovan")</f>
        <v>Donovan</v>
      </c>
      <c r="E77" s="7">
        <f>'Classement général nom prénom'!$G77+'Classement général nom prénom'!$H77+'Classement général nom prénom'!$I77</f>
        <v>4212.42582</v>
      </c>
      <c r="F77" s="11"/>
      <c r="G77" s="12">
        <f>IFERROR(VLOOKUP(B77,'Classement S6'!$B$2:$C$200,2,0),"0")</f>
        <v>3612.441936</v>
      </c>
      <c r="H77" s="12">
        <f>IFERROR(VLOOKUP(B77,'Classement RoC'!$B$2:$C$199,2,0),"0")</f>
        <v>204.9352051</v>
      </c>
      <c r="I77" s="12">
        <f>IFERROR(VLOOKUP(B77,'Classement Surp'!$B$2:$C$199,2,0),"0")</f>
        <v>395.0486797</v>
      </c>
    </row>
    <row r="78" ht="14.25" customHeight="1">
      <c r="A78" s="6">
        <v>31.0</v>
      </c>
      <c r="B78" s="6" t="s">
        <v>37</v>
      </c>
      <c r="C78" s="30" t="str">
        <f>IFERROR(__xludf.DUMMYFUNCTION("vlookup(B78, IMPORTRANGE(""https://docs.google.com/spreadsheets/d/1W4ogkn7G1DLigoji8FCGt4ELYlkTu29hcIgb7tBwWhE/edit?gid=0#gid=0"",""Feuille 1!b2:e161""),2,0)"),"mounet")</f>
        <v>mounet</v>
      </c>
      <c r="D78" s="30" t="str">
        <f>IFERROR(__xludf.DUMMYFUNCTION("vlookup(B78, IMPORTRANGE(""https://docs.google.com/spreadsheets/d/1W4ogkn7G1DLigoji8FCGt4ELYlkTu29hcIgb7tBwWhE/edit?gid=0#gid=0"",""Feuille 1!b2:e161""),3,0)"),"stephane")</f>
        <v>stephane</v>
      </c>
      <c r="E78" s="7">
        <f>'Classement général nom prénom'!$G78+'Classement général nom prénom'!$H78+'Classement général nom prénom'!$I78</f>
        <v>8642.127928</v>
      </c>
      <c r="F78" s="8"/>
      <c r="G78" s="9">
        <f>IFERROR(VLOOKUP(B78,'Classement S6'!$B$2:$C$200,2,0),"0")</f>
        <v>4124.072491</v>
      </c>
      <c r="H78" s="9">
        <f>IFERROR(VLOOKUP(B78,'Classement RoC'!$B$2:$C$199,2,0),"0")</f>
        <v>2823.405802</v>
      </c>
      <c r="I78" s="9">
        <f>IFERROR(VLOOKUP(B78,'Classement Surp'!$B$2:$C$199,2,0),"0")</f>
        <v>1694.649634</v>
      </c>
    </row>
    <row r="79" ht="14.25" customHeight="1">
      <c r="A79" s="6">
        <v>42.0</v>
      </c>
      <c r="B79" s="16" t="s">
        <v>48</v>
      </c>
      <c r="C79" s="30" t="str">
        <f>IFERROR(__xludf.DUMMYFUNCTION("vlookup(B79, IMPORTRANGE(""https://docs.google.com/spreadsheets/d/1W4ogkn7G1DLigoji8FCGt4ELYlkTu29hcIgb7tBwWhE/edit?gid=0#gid=0"",""Feuille 1!b2:e161""),2,0)"),"Navarro")</f>
        <v>Navarro</v>
      </c>
      <c r="D79" s="30" t="str">
        <f>IFERROR(__xludf.DUMMYFUNCTION("vlookup(B79, IMPORTRANGE(""https://docs.google.com/spreadsheets/d/1W4ogkn7G1DLigoji8FCGt4ELYlkTu29hcIgb7tBwWhE/edit?gid=0#gid=0"",""Feuille 1!b2:e161""),3,0)"),"Benjamin")</f>
        <v>Benjamin</v>
      </c>
      <c r="E79" s="7">
        <f>'Classement général nom prénom'!$G79+'Classement général nom prénom'!$H79+'Classement général nom prénom'!$I79</f>
        <v>6828.950362</v>
      </c>
      <c r="F79" s="11"/>
      <c r="G79" s="12">
        <f>IFERROR(VLOOKUP(B79,'Classement S6'!$B$2:$C$200,2,0),"0")</f>
        <v>4323.83197</v>
      </c>
      <c r="H79" s="12">
        <f>IFERROR(VLOOKUP(B79,'Classement RoC'!$B$2:$C$199,2,0),"0")</f>
        <v>1608.810573</v>
      </c>
      <c r="I79" s="12">
        <f>IFERROR(VLOOKUP(B79,'Classement Surp'!$B$2:$C$199,2,0),"0")</f>
        <v>896.3078179</v>
      </c>
    </row>
    <row r="80" ht="14.25" customHeight="1">
      <c r="A80" s="6">
        <v>1.0</v>
      </c>
      <c r="B80" s="6" t="s">
        <v>7</v>
      </c>
      <c r="C80" s="30" t="str">
        <f>IFERROR(__xludf.DUMMYFUNCTION("vlookup(B80, IMPORTRANGE(""https://docs.google.com/spreadsheets/d/1W4ogkn7G1DLigoji8FCGt4ELYlkTu29hcIgb7tBwWhE/edit?gid=0#gid=0"",""Feuille 1!b2:e161""),2,0)"),"Negri")</f>
        <v>Negri</v>
      </c>
      <c r="D80" s="30" t="str">
        <f>IFERROR(__xludf.DUMMYFUNCTION("vlookup(B80, IMPORTRANGE(""https://docs.google.com/spreadsheets/d/1W4ogkn7G1DLigoji8FCGt4ELYlkTu29hcIgb7tBwWhE/edit?gid=0#gid=0"",""Feuille 1!b2:e161""),3,0)"),"Ferhat")</f>
        <v>Ferhat</v>
      </c>
      <c r="E80" s="7">
        <f>'Classement général nom prénom'!$G80+'Classement général nom prénom'!$H80+'Classement général nom prénom'!$I80</f>
        <v>19417.05954</v>
      </c>
      <c r="F80" s="8"/>
      <c r="G80" s="9">
        <f>IFERROR(VLOOKUP(B80,'Classement S6'!$B$2:$C$200,2,0),"0")</f>
        <v>9527.271752</v>
      </c>
      <c r="H80" s="9">
        <f>IFERROR(VLOOKUP(B80,'Classement RoC'!$B$2:$C$199,2,0),"0")</f>
        <v>7252.881965</v>
      </c>
      <c r="I80" s="9">
        <f>IFERROR(VLOOKUP(B80,'Classement Surp'!$B$2:$C$199,2,0),"0")</f>
        <v>2636.905822</v>
      </c>
    </row>
    <row r="81" ht="14.25" customHeight="1">
      <c r="A81" s="6">
        <v>12.0</v>
      </c>
      <c r="B81" s="6" t="s">
        <v>18</v>
      </c>
      <c r="C81" s="30" t="str">
        <f>IFERROR(__xludf.DUMMYFUNCTION("vlookup(B81, IMPORTRANGE(""https://docs.google.com/spreadsheets/d/1W4ogkn7G1DLigoji8FCGt4ELYlkTu29hcIgb7tBwWhE/edit?gid=0#gid=0"",""Feuille 1!b2:e161""),2,0)"),"Nicolet")</f>
        <v>Nicolet</v>
      </c>
      <c r="D81" s="30" t="str">
        <f>IFERROR(__xludf.DUMMYFUNCTION("vlookup(B81, IMPORTRANGE(""https://docs.google.com/spreadsheets/d/1W4ogkn7G1DLigoji8FCGt4ELYlkTu29hcIgb7tBwWhE/edit?gid=0#gid=0"",""Feuille 1!b2:e161""),3,0)"),"Adrien")</f>
        <v>Adrien</v>
      </c>
      <c r="E81" s="7">
        <f>'Classement général nom prénom'!$G81+'Classement général nom prénom'!$H81+'Classement général nom prénom'!$I81</f>
        <v>11528.48805</v>
      </c>
      <c r="F81" s="8"/>
      <c r="G81" s="9">
        <f>IFERROR(VLOOKUP(B81,'Classement S6'!$B$2:$C$200,2,0),"0")</f>
        <v>6112.558925</v>
      </c>
      <c r="H81" s="9">
        <f>IFERROR(VLOOKUP(B81,'Classement RoC'!$B$2:$C$199,2,0),"0")</f>
        <v>1670.789189</v>
      </c>
      <c r="I81" s="9">
        <f>IFERROR(VLOOKUP(B81,'Classement Surp'!$B$2:$C$199,2,0),"0")</f>
        <v>3745.139932</v>
      </c>
    </row>
    <row r="82" ht="14.25" customHeight="1">
      <c r="A82" s="6">
        <v>106.0</v>
      </c>
      <c r="B82" s="32" t="s">
        <v>112</v>
      </c>
      <c r="C82" s="30" t="str">
        <f>IFERROR(__xludf.DUMMYFUNCTION("vlookup(B82, IMPORTRANGE(""https://docs.google.com/spreadsheets/d/1W4ogkn7G1DLigoji8FCGt4ELYlkTu29hcIgb7tBwWhE/edit?gid=0#gid=0"",""Feuille 1!b2:e161""),2,0)"),"Ortu")</f>
        <v>Ortu</v>
      </c>
      <c r="D82" s="30" t="str">
        <f>IFERROR(__xludf.DUMMYFUNCTION("vlookup(B82, IMPORTRANGE(""https://docs.google.com/spreadsheets/d/1W4ogkn7G1DLigoji8FCGt4ELYlkTu29hcIgb7tBwWhE/edit?gid=0#gid=0"",""Feuille 1!b2:e161""),3,0)"),"Jérémie")</f>
        <v>Jérémie</v>
      </c>
      <c r="E82" s="7">
        <f>'Classement général nom prénom'!$G82+'Classement général nom prénom'!$H82+'Classement général nom prénom'!$I82</f>
        <v>669.1364543</v>
      </c>
      <c r="F82" s="11"/>
      <c r="G82" s="12">
        <f>IFERROR(VLOOKUP(B82,'Classement S6'!$B$2:$C$200,2,0),"0")</f>
        <v>315.7333684</v>
      </c>
      <c r="H82" s="12">
        <f>IFERROR(VLOOKUP(B82,'Classement RoC'!$B$2:$C$199,2,0),"0")</f>
        <v>353.4030858</v>
      </c>
      <c r="I82" s="12" t="str">
        <f>IFERROR(VLOOKUP(B82,'Classement Surp'!$B$2:$C$199,2,0),"0")</f>
        <v>0</v>
      </c>
    </row>
    <row r="83" ht="14.25" customHeight="1">
      <c r="A83" s="6">
        <v>20.0</v>
      </c>
      <c r="B83" s="6" t="s">
        <v>26</v>
      </c>
      <c r="C83" s="30" t="str">
        <f>IFERROR(__xludf.DUMMYFUNCTION("vlookup(B83, IMPORTRANGE(""https://docs.google.com/spreadsheets/d/1W4ogkn7G1DLigoji8FCGt4ELYlkTu29hcIgb7tBwWhE/edit?gid=0#gid=0"",""Feuille 1!b2:e161""),2,0)"),"orveau")</f>
        <v>orveau</v>
      </c>
      <c r="D83" s="30" t="str">
        <f>IFERROR(__xludf.DUMMYFUNCTION("vlookup(B83, IMPORTRANGE(""https://docs.google.com/spreadsheets/d/1W4ogkn7G1DLigoji8FCGt4ELYlkTu29hcIgb7tBwWhE/edit?gid=0#gid=0"",""Feuille 1!b2:e161""),3,0)"),"philippe")</f>
        <v>philippe</v>
      </c>
      <c r="E83" s="7">
        <f>'Classement général nom prénom'!$G83+'Classement général nom prénom'!$H83+'Classement général nom prénom'!$I83</f>
        <v>10163.15223</v>
      </c>
      <c r="F83" s="8"/>
      <c r="G83" s="9">
        <f>IFERROR(VLOOKUP(B83,'Classement S6'!$B$2:$C$200,2,0),"0")</f>
        <v>4510.343168</v>
      </c>
      <c r="H83" s="9">
        <f>IFERROR(VLOOKUP(B83,'Classement RoC'!$B$2:$C$199,2,0),"0")</f>
        <v>3916.46067</v>
      </c>
      <c r="I83" s="9">
        <f>IFERROR(VLOOKUP(B83,'Classement Surp'!$B$2:$C$199,2,0),"0")</f>
        <v>1736.348392</v>
      </c>
    </row>
    <row r="84" ht="14.25" customHeight="1">
      <c r="A84" s="6">
        <v>21.0</v>
      </c>
      <c r="B84" s="15" t="s">
        <v>27</v>
      </c>
      <c r="C84" s="30" t="str">
        <f>IFERROR(__xludf.DUMMYFUNCTION("vlookup(B84, IMPORTRANGE(""https://docs.google.com/spreadsheets/d/1W4ogkn7G1DLigoji8FCGt4ELYlkTu29hcIgb7tBwWhE/edit?gid=0#gid=0"",""Feuille 1!b2:e161""),2,0)"),"Pagot")</f>
        <v>Pagot</v>
      </c>
      <c r="D84" s="30" t="str">
        <f>IFERROR(__xludf.DUMMYFUNCTION("vlookup(B84, IMPORTRANGE(""https://docs.google.com/spreadsheets/d/1W4ogkn7G1DLigoji8FCGt4ELYlkTu29hcIgb7tBwWhE/edit?gid=0#gid=0"",""Feuille 1!b2:e161""),3,0)"),"Youri")</f>
        <v>Youri</v>
      </c>
      <c r="E84" s="7">
        <f>'Classement général nom prénom'!$G84+'Classement général nom prénom'!$H84+'Classement général nom prénom'!$I84</f>
        <v>9969.141276</v>
      </c>
      <c r="F84" s="8"/>
      <c r="G84" s="9">
        <f>IFERROR(VLOOKUP(B84,'Classement S6'!$B$2:$C$200,2,0),"0")</f>
        <v>9486.727833</v>
      </c>
      <c r="H84" s="9">
        <f>IFERROR(VLOOKUP(B84,'Classement RoC'!$B$2:$C$199,2,0),"0")</f>
        <v>435.4140721</v>
      </c>
      <c r="I84" s="9">
        <f>IFERROR(VLOOKUP(B84,'Classement Surp'!$B$2:$C$199,2,0),"0")</f>
        <v>46.99937075</v>
      </c>
    </row>
    <row r="85" ht="14.25" customHeight="1">
      <c r="A85" s="6">
        <v>60.0</v>
      </c>
      <c r="B85" s="6" t="s">
        <v>66</v>
      </c>
      <c r="C85" s="30" t="str">
        <f>IFERROR(__xludf.DUMMYFUNCTION("vlookup(B85, IMPORTRANGE(""https://docs.google.com/spreadsheets/d/1W4ogkn7G1DLigoji8FCGt4ELYlkTu29hcIgb7tBwWhE/edit?gid=0#gid=0"",""Feuille 1!b2:e161""),2,0)"),"Pasquet")</f>
        <v>Pasquet</v>
      </c>
      <c r="D85" s="30" t="str">
        <f>IFERROR(__xludf.DUMMYFUNCTION("vlookup(B85, IMPORTRANGE(""https://docs.google.com/spreadsheets/d/1W4ogkn7G1DLigoji8FCGt4ELYlkTu29hcIgb7tBwWhE/edit?gid=0#gid=0"",""Feuille 1!b2:e161""),3,0)"),"Michel")</f>
        <v>Michel</v>
      </c>
      <c r="E85" s="7">
        <f>'Classement général nom prénom'!$G85+'Classement général nom prénom'!$H85+'Classement général nom prénom'!$I85</f>
        <v>4468.661074</v>
      </c>
      <c r="F85" s="11"/>
      <c r="G85" s="12">
        <f>IFERROR(VLOOKUP(B85,'Classement S6'!$B$2:$C$200,2,0),"0")</f>
        <v>2354.341043</v>
      </c>
      <c r="H85" s="12">
        <f>IFERROR(VLOOKUP(B85,'Classement RoC'!$B$2:$C$199,2,0),"0")</f>
        <v>1534.169471</v>
      </c>
      <c r="I85" s="12">
        <f>IFERROR(VLOOKUP(B85,'Classement Surp'!$B$2:$C$199,2,0),"0")</f>
        <v>580.1505604</v>
      </c>
    </row>
    <row r="86" ht="14.25" customHeight="1">
      <c r="A86" s="6">
        <v>67.0</v>
      </c>
      <c r="B86" s="19" t="s">
        <v>73</v>
      </c>
      <c r="C86" s="30" t="str">
        <f>IFERROR(__xludf.DUMMYFUNCTION("vlookup(B86, IMPORTRANGE(""https://docs.google.com/spreadsheets/d/1W4ogkn7G1DLigoji8FCGt4ELYlkTu29hcIgb7tBwWhE/edit?gid=0#gid=0"",""Feuille 1!b2:e161""),2,0)"),"Pasquet")</f>
        <v>Pasquet</v>
      </c>
      <c r="D86" s="30" t="str">
        <f>IFERROR(__xludf.DUMMYFUNCTION("vlookup(B86, IMPORTRANGE(""https://docs.google.com/spreadsheets/d/1W4ogkn7G1DLigoji8FCGt4ELYlkTu29hcIgb7tBwWhE/edit?gid=0#gid=0"",""Feuille 1!b2:e161""),3,0)"),"Sylvie")</f>
        <v>Sylvie</v>
      </c>
      <c r="E86" s="7">
        <f>'Classement général nom prénom'!$G86+'Classement général nom prénom'!$H86+'Classement général nom prénom'!$I86</f>
        <v>4013.363757</v>
      </c>
      <c r="F86" s="11"/>
      <c r="G86" s="12">
        <f>IFERROR(VLOOKUP(B86,'Classement S6'!$B$2:$C$200,2,0),"0")</f>
        <v>1418.495489</v>
      </c>
      <c r="H86" s="12">
        <f>IFERROR(VLOOKUP(B86,'Classement RoC'!$B$2:$C$199,2,0),"0")</f>
        <v>2499.288308</v>
      </c>
      <c r="I86" s="12">
        <f>IFERROR(VLOOKUP(B86,'Classement Surp'!$B$2:$C$199,2,0),"0")</f>
        <v>95.57995968</v>
      </c>
    </row>
    <row r="87" ht="14.25" customHeight="1">
      <c r="A87" s="6">
        <v>35.0</v>
      </c>
      <c r="B87" s="16" t="s">
        <v>41</v>
      </c>
      <c r="C87" s="30" t="str">
        <f>IFERROR(__xludf.DUMMYFUNCTION("vlookup(B87, IMPORTRANGE(""https://docs.google.com/spreadsheets/d/1W4ogkn7G1DLigoji8FCGt4ELYlkTu29hcIgb7tBwWhE/edit?gid=0#gid=0"",""Feuille 1!b2:e161""),2,0)"),"Peronnet")</f>
        <v>Peronnet</v>
      </c>
      <c r="D87" s="30" t="str">
        <f>IFERROR(__xludf.DUMMYFUNCTION("vlookup(B87, IMPORTRANGE(""https://docs.google.com/spreadsheets/d/1W4ogkn7G1DLigoji8FCGt4ELYlkTu29hcIgb7tBwWhE/edit?gid=0#gid=0"",""Feuille 1!b2:e161""),3,0)"),"Bruno")</f>
        <v>Bruno</v>
      </c>
      <c r="E87" s="7">
        <f>'Classement général nom prénom'!$G87+'Classement général nom prénom'!$H87+'Classement général nom prénom'!$I87</f>
        <v>8196.134526</v>
      </c>
      <c r="F87" s="11"/>
      <c r="G87" s="12">
        <f>IFERROR(VLOOKUP(B87,'Classement S6'!$B$2:$C$200,2,0),"0")</f>
        <v>4382.296869</v>
      </c>
      <c r="H87" s="12">
        <f>IFERROR(VLOOKUP(B87,'Classement RoC'!$B$2:$C$199,2,0),"0")</f>
        <v>2424.072629</v>
      </c>
      <c r="I87" s="12">
        <f>IFERROR(VLOOKUP(B87,'Classement Surp'!$B$2:$C$199,2,0),"0")</f>
        <v>1389.765028</v>
      </c>
    </row>
    <row r="88" ht="14.25" customHeight="1">
      <c r="A88" s="6">
        <v>30.0</v>
      </c>
      <c r="B88" s="6" t="s">
        <v>36</v>
      </c>
      <c r="C88" s="30" t="str">
        <f>IFERROR(__xludf.DUMMYFUNCTION("vlookup(B88, IMPORTRANGE(""https://docs.google.com/spreadsheets/d/1W4ogkn7G1DLigoji8FCGt4ELYlkTu29hcIgb7tBwWhE/edit?gid=0#gid=0"",""Feuille 1!b2:e161""),2,0)"),"Pierre")</f>
        <v>Pierre</v>
      </c>
      <c r="D88" s="30" t="str">
        <f>IFERROR(__xludf.DUMMYFUNCTION("vlookup(B88, IMPORTRANGE(""https://docs.google.com/spreadsheets/d/1W4ogkn7G1DLigoji8FCGt4ELYlkTu29hcIgb7tBwWhE/edit?gid=0#gid=0"",""Feuille 1!b2:e161""),3,0)"),"Delphine")</f>
        <v>Delphine</v>
      </c>
      <c r="E88" s="7">
        <f>'Classement général nom prénom'!$G88+'Classement général nom prénom'!$H88+'Classement général nom prénom'!$I88</f>
        <v>8656.373162</v>
      </c>
      <c r="F88" s="8"/>
      <c r="G88" s="9">
        <f>IFERROR(VLOOKUP(B88,'Classement S6'!$B$2:$C$200,2,0),"0")</f>
        <v>2884.821805</v>
      </c>
      <c r="H88" s="9">
        <f>IFERROR(VLOOKUP(B88,'Classement RoC'!$B$2:$C$199,2,0),"0")</f>
        <v>2784.68107</v>
      </c>
      <c r="I88" s="9">
        <f>IFERROR(VLOOKUP(B88,'Classement Surp'!$B$2:$C$199,2,0),"0")</f>
        <v>2986.870287</v>
      </c>
    </row>
    <row r="89" ht="14.25" customHeight="1">
      <c r="A89" s="6">
        <v>19.0</v>
      </c>
      <c r="B89" s="6" t="s">
        <v>25</v>
      </c>
      <c r="C89" s="30" t="str">
        <f>IFERROR(__xludf.DUMMYFUNCTION("vlookup(B89, IMPORTRANGE(""https://docs.google.com/spreadsheets/d/1W4ogkn7G1DLigoji8FCGt4ELYlkTu29hcIgb7tBwWhE/edit?gid=0#gid=0"",""Feuille 1!b2:e161""),2,0)"),"POURET")</f>
        <v>POURET</v>
      </c>
      <c r="D89" s="30" t="str">
        <f>IFERROR(__xludf.DUMMYFUNCTION("vlookup(B89, IMPORTRANGE(""https://docs.google.com/spreadsheets/d/1W4ogkn7G1DLigoji8FCGt4ELYlkTu29hcIgb7tBwWhE/edit?gid=0#gid=0"",""Feuille 1!b2:e161""),3,0)"),"Antoine")</f>
        <v>Antoine</v>
      </c>
      <c r="E89" s="7">
        <f>'Classement général nom prénom'!$G89+'Classement général nom prénom'!$H89+'Classement général nom prénom'!$I89</f>
        <v>10443.69794</v>
      </c>
      <c r="F89" s="8"/>
      <c r="G89" s="9">
        <f>IFERROR(VLOOKUP(B89,'Classement S6'!$B$2:$C$200,2,0),"0")</f>
        <v>6297.623567</v>
      </c>
      <c r="H89" s="9">
        <f>IFERROR(VLOOKUP(B89,'Classement RoC'!$B$2:$C$199,2,0),"0")</f>
        <v>3157.7589</v>
      </c>
      <c r="I89" s="9">
        <f>IFERROR(VLOOKUP(B89,'Classement Surp'!$B$2:$C$199,2,0),"0")</f>
        <v>988.3154774</v>
      </c>
    </row>
    <row r="90" ht="14.25" customHeight="1">
      <c r="A90" s="6">
        <v>66.0</v>
      </c>
      <c r="B90" s="16" t="s">
        <v>72</v>
      </c>
      <c r="C90" s="30" t="str">
        <f>IFERROR(__xludf.DUMMYFUNCTION("vlookup(B90, IMPORTRANGE(""https://docs.google.com/spreadsheets/d/1W4ogkn7G1DLigoji8FCGt4ELYlkTu29hcIgb7tBwWhE/edit?gid=0#gid=0"",""Feuille 1!b2:e161""),2,0)"),"Poussange")</f>
        <v>Poussange</v>
      </c>
      <c r="D90" s="30" t="str">
        <f>IFERROR(__xludf.DUMMYFUNCTION("vlookup(B90, IMPORTRANGE(""https://docs.google.com/spreadsheets/d/1W4ogkn7G1DLigoji8FCGt4ELYlkTu29hcIgb7tBwWhE/edit?gid=0#gid=0"",""Feuille 1!b2:e161""),3,0)"),"Florent")</f>
        <v>Florent</v>
      </c>
      <c r="E90" s="7">
        <f>'Classement général nom prénom'!$G90+'Classement général nom prénom'!$H90+'Classement général nom prénom'!$I90</f>
        <v>4024.397012</v>
      </c>
      <c r="F90" s="11"/>
      <c r="G90" s="12">
        <f>IFERROR(VLOOKUP(B90,'Classement S6'!$B$2:$C$200,2,0),"0")</f>
        <v>2890.494816</v>
      </c>
      <c r="H90" s="12">
        <f>IFERROR(VLOOKUP(B90,'Classement RoC'!$B$2:$C$199,2,0),"0")</f>
        <v>837.088717</v>
      </c>
      <c r="I90" s="12">
        <f>IFERROR(VLOOKUP(B90,'Classement Surp'!$B$2:$C$199,2,0),"0")</f>
        <v>296.8134787</v>
      </c>
    </row>
    <row r="91" ht="14.25" customHeight="1">
      <c r="A91" s="6">
        <v>98.0</v>
      </c>
      <c r="B91" s="16" t="s">
        <v>104</v>
      </c>
      <c r="C91" s="30" t="str">
        <f>IFERROR(__xludf.DUMMYFUNCTION("vlookup(B91, IMPORTRANGE(""https://docs.google.com/spreadsheets/d/1W4ogkn7G1DLigoji8FCGt4ELYlkTu29hcIgb7tBwWhE/edit?gid=0#gid=0"",""Feuille 1!b2:e161""),2,0)"),"Proust")</f>
        <v>Proust</v>
      </c>
      <c r="D91" s="30" t="str">
        <f>IFERROR(__xludf.DUMMYFUNCTION("vlookup(B91, IMPORTRANGE(""https://docs.google.com/spreadsheets/d/1W4ogkn7G1DLigoji8FCGt4ELYlkTu29hcIgb7tBwWhE/edit?gid=0#gid=0"",""Feuille 1!b2:e161""),3,0)"),"Teddy")</f>
        <v>Teddy</v>
      </c>
      <c r="E91" s="7">
        <f>'Classement général nom prénom'!$G91+'Classement général nom prénom'!$H91+'Classement général nom prénom'!$I91</f>
        <v>1377.070776</v>
      </c>
      <c r="F91" s="11"/>
      <c r="G91" s="12">
        <f>IFERROR(VLOOKUP(B91,'Classement S6'!$B$2:$C$200,2,0),"0")</f>
        <v>1063.828824</v>
      </c>
      <c r="H91" s="12">
        <f>IFERROR(VLOOKUP(B91,'Classement RoC'!$B$2:$C$199,2,0),"0")</f>
        <v>189.4910516</v>
      </c>
      <c r="I91" s="12">
        <f>IFERROR(VLOOKUP(B91,'Classement Surp'!$B$2:$C$199,2,0),"0")</f>
        <v>123.7508997</v>
      </c>
    </row>
    <row r="92" ht="14.25" customHeight="1">
      <c r="A92" s="6">
        <v>47.0</v>
      </c>
      <c r="B92" s="6" t="s">
        <v>53</v>
      </c>
      <c r="C92" s="30" t="str">
        <f>IFERROR(__xludf.DUMMYFUNCTION("vlookup(B92, IMPORTRANGE(""https://docs.google.com/spreadsheets/d/1W4ogkn7G1DLigoji8FCGt4ELYlkTu29hcIgb7tBwWhE/edit?gid=0#gid=0"",""Feuille 1!b2:e161""),2,0)"),"Prouteau")</f>
        <v>Prouteau</v>
      </c>
      <c r="D92" s="30" t="str">
        <f>IFERROR(__xludf.DUMMYFUNCTION("vlookup(B92, IMPORTRANGE(""https://docs.google.com/spreadsheets/d/1W4ogkn7G1DLigoji8FCGt4ELYlkTu29hcIgb7tBwWhE/edit?gid=0#gid=0"",""Feuille 1!b2:e161""),3,0)"),"Steven")</f>
        <v>Steven</v>
      </c>
      <c r="E92" s="7">
        <f>'Classement général nom prénom'!$G92+'Classement général nom prénom'!$H92+'Classement général nom prénom'!$I92</f>
        <v>6018.176211</v>
      </c>
      <c r="F92" s="8"/>
      <c r="G92" s="9">
        <f>IFERROR(VLOOKUP(B92,'Classement S6'!$B$2:$C$200,2,0),"0")</f>
        <v>2786.269577</v>
      </c>
      <c r="H92" s="9">
        <f>IFERROR(VLOOKUP(B92,'Classement RoC'!$B$2:$C$199,2,0),"0")</f>
        <v>1966.373732</v>
      </c>
      <c r="I92" s="9">
        <f>IFERROR(VLOOKUP(B92,'Classement Surp'!$B$2:$C$199,2,0),"0")</f>
        <v>1265.532902</v>
      </c>
    </row>
    <row r="93" ht="14.25" customHeight="1">
      <c r="A93" s="6">
        <v>64.0</v>
      </c>
      <c r="B93" s="17" t="s">
        <v>70</v>
      </c>
      <c r="C93" s="30" t="str">
        <f>IFERROR(__xludf.DUMMYFUNCTION("vlookup(B93, IMPORTRANGE(""https://docs.google.com/spreadsheets/d/1W4ogkn7G1DLigoji8FCGt4ELYlkTu29hcIgb7tBwWhE/edit?gid=0#gid=0"",""Feuille 1!b2:e161""),2,0)"),"quesada")</f>
        <v>quesada</v>
      </c>
      <c r="D93" s="30" t="str">
        <f>IFERROR(__xludf.DUMMYFUNCTION("vlookup(B93, IMPORTRANGE(""https://docs.google.com/spreadsheets/d/1W4ogkn7G1DLigoji8FCGt4ELYlkTu29hcIgb7tBwWhE/edit?gid=0#gid=0"",""Feuille 1!b2:e161""),3,0)"),"michel")</f>
        <v>michel</v>
      </c>
      <c r="E93" s="7">
        <f>'Classement général nom prénom'!$G93+'Classement général nom prénom'!$H93+'Classement général nom prénom'!$I93</f>
        <v>4195.959116</v>
      </c>
      <c r="F93" s="11"/>
      <c r="G93" s="12">
        <f>IFERROR(VLOOKUP(B93,'Classement S6'!$B$2:$C$200,2,0),"0")</f>
        <v>1905.648492</v>
      </c>
      <c r="H93" s="12">
        <f>IFERROR(VLOOKUP(B93,'Classement RoC'!$B$2:$C$199,2,0),"0")</f>
        <v>1916.657095</v>
      </c>
      <c r="I93" s="12">
        <f>IFERROR(VLOOKUP(B93,'Classement Surp'!$B$2:$C$199,2,0),"0")</f>
        <v>373.6535289</v>
      </c>
    </row>
    <row r="94" ht="14.25" customHeight="1">
      <c r="A94" s="6">
        <v>39.0</v>
      </c>
      <c r="B94" s="6" t="s">
        <v>45</v>
      </c>
      <c r="C94" s="30" t="str">
        <f>IFERROR(__xludf.DUMMYFUNCTION("vlookup(B94, IMPORTRANGE(""https://docs.google.com/spreadsheets/d/1W4ogkn7G1DLigoji8FCGt4ELYlkTu29hcIgb7tBwWhE/edit?gid=0#gid=0"",""Feuille 1!b2:e161""),2,0)"),"Raynaud")</f>
        <v>Raynaud</v>
      </c>
      <c r="D94" s="30" t="str">
        <f>IFERROR(__xludf.DUMMYFUNCTION("vlookup(B94, IMPORTRANGE(""https://docs.google.com/spreadsheets/d/1W4ogkn7G1DLigoji8FCGt4ELYlkTu29hcIgb7tBwWhE/edit?gid=0#gid=0"",""Feuille 1!b2:e161""),3,0)"),"Randee")</f>
        <v>Randee</v>
      </c>
      <c r="E94" s="7">
        <f>'Classement général nom prénom'!$G94+'Classement général nom prénom'!$H94+'Classement général nom prénom'!$I94</f>
        <v>7595.987106</v>
      </c>
      <c r="F94" s="8"/>
      <c r="G94" s="9">
        <f>IFERROR(VLOOKUP(B94,'Classement S6'!$B$2:$C$200,2,0),"0")</f>
        <v>2286.41456</v>
      </c>
      <c r="H94" s="9">
        <f>IFERROR(VLOOKUP(B94,'Classement RoC'!$B$2:$C$199,2,0),"0")</f>
        <v>3890.538262</v>
      </c>
      <c r="I94" s="9">
        <f>IFERROR(VLOOKUP(B94,'Classement Surp'!$B$2:$C$199,2,0),"0")</f>
        <v>1419.034285</v>
      </c>
    </row>
    <row r="95" ht="14.25" customHeight="1">
      <c r="A95" s="6">
        <v>127.0</v>
      </c>
      <c r="B95" s="25" t="s">
        <v>133</v>
      </c>
      <c r="C95" s="30" t="str">
        <f>IFERROR(__xludf.DUMMYFUNCTION("vlookup(B95, IMPORTRANGE(""https://docs.google.com/spreadsheets/d/1W4ogkn7G1DLigoji8FCGt4ELYlkTu29hcIgb7tBwWhE/edit?gid=0#gid=0"",""Feuille 1!b2:e161""),2,0)"),"reix")</f>
        <v>reix</v>
      </c>
      <c r="D95" s="30" t="str">
        <f>IFERROR(__xludf.DUMMYFUNCTION("vlookup(B95, IMPORTRANGE(""https://docs.google.com/spreadsheets/d/1W4ogkn7G1DLigoji8FCGt4ELYlkTu29hcIgb7tBwWhE/edit?gid=0#gid=0"",""Feuille 1!b2:e161""),3,0)"),"patrick")</f>
        <v>patrick</v>
      </c>
      <c r="E95" s="7">
        <f>'Classement général nom prénom'!$G95+'Classement général nom prénom'!$H95+'Classement général nom prénom'!$I95</f>
        <v>245.9184282</v>
      </c>
      <c r="F95" s="11"/>
      <c r="G95" s="12" t="str">
        <f>IFERROR(VLOOKUP(B95,'Classement S6'!$B$2:$C$200,2,0),"0")</f>
        <v>0</v>
      </c>
      <c r="H95" s="12" t="str">
        <f>IFERROR(VLOOKUP(B95,'Classement RoC'!$B$2:$C$199,2,0),"0")</f>
        <v>0</v>
      </c>
      <c r="I95" s="12">
        <f>IFERROR(VLOOKUP(B95,'Classement Surp'!$B$2:$C$199,2,0),"0")</f>
        <v>245.9184282</v>
      </c>
    </row>
    <row r="96" ht="14.25" customHeight="1">
      <c r="A96" s="6">
        <v>72.0</v>
      </c>
      <c r="B96" s="6" t="s">
        <v>78</v>
      </c>
      <c r="C96" s="30" t="str">
        <f>IFERROR(__xludf.DUMMYFUNCTION("vlookup(B96, IMPORTRANGE(""https://docs.google.com/spreadsheets/d/1W4ogkn7G1DLigoji8FCGt4ELYlkTu29hcIgb7tBwWhE/edit?gid=0#gid=0"",""Feuille 1!b2:e161""),2,0)"),"Rivière")</f>
        <v>Rivière</v>
      </c>
      <c r="D96" s="30" t="str">
        <f>IFERROR(__xludf.DUMMYFUNCTION("vlookup(B96, IMPORTRANGE(""https://docs.google.com/spreadsheets/d/1W4ogkn7G1DLigoji8FCGt4ELYlkTu29hcIgb7tBwWhE/edit?gid=0#gid=0"",""Feuille 1!b2:e161""),3,0)"),"Jennifer")</f>
        <v>Jennifer</v>
      </c>
      <c r="E96" s="7">
        <f>'Classement général nom prénom'!$G96+'Classement général nom prénom'!$H96+'Classement général nom prénom'!$I96</f>
        <v>3781.021462</v>
      </c>
      <c r="F96" s="8"/>
      <c r="G96" s="9">
        <f>IFERROR(VLOOKUP(B96,'Classement S6'!$B$2:$C$200,2,0),"0")</f>
        <v>2787.432305</v>
      </c>
      <c r="H96" s="9">
        <f>IFERROR(VLOOKUP(B96,'Classement RoC'!$B$2:$C$199,2,0),"0")</f>
        <v>23.6000433</v>
      </c>
      <c r="I96" s="9">
        <f>IFERROR(VLOOKUP(B96,'Classement Surp'!$B$2:$C$199,2,0),"0")</f>
        <v>969.9891141</v>
      </c>
    </row>
    <row r="97" ht="14.25" customHeight="1">
      <c r="A97" s="6">
        <v>43.0</v>
      </c>
      <c r="B97" s="6" t="s">
        <v>49</v>
      </c>
      <c r="C97" s="30" t="str">
        <f>IFERROR(__xludf.DUMMYFUNCTION("vlookup(B97, IMPORTRANGE(""https://docs.google.com/spreadsheets/d/1W4ogkn7G1DLigoji8FCGt4ELYlkTu29hcIgb7tBwWhE/edit?gid=0#gid=0"",""Feuille 1!b2:e161""),2,0)"),"Rogeon")</f>
        <v>Rogeon</v>
      </c>
      <c r="D97" s="30" t="str">
        <f>IFERROR(__xludf.DUMMYFUNCTION("vlookup(B97, IMPORTRANGE(""https://docs.google.com/spreadsheets/d/1W4ogkn7G1DLigoji8FCGt4ELYlkTu29hcIgb7tBwWhE/edit?gid=0#gid=0"",""Feuille 1!b2:e161""),3,0)"),"Kévin")</f>
        <v>Kévin</v>
      </c>
      <c r="E97" s="7">
        <f>'Classement général nom prénom'!$G97+'Classement général nom prénom'!$H97+'Classement général nom prénom'!$I97</f>
        <v>6687.563358</v>
      </c>
      <c r="F97" s="8"/>
      <c r="G97" s="9">
        <f>IFERROR(VLOOKUP(B97,'Classement S6'!$B$2:$C$200,2,0),"0")</f>
        <v>4567.975954</v>
      </c>
      <c r="H97" s="9">
        <f>IFERROR(VLOOKUP(B97,'Classement RoC'!$B$2:$C$199,2,0),"0")</f>
        <v>986.7008568</v>
      </c>
      <c r="I97" s="9">
        <f>IFERROR(VLOOKUP(B97,'Classement Surp'!$B$2:$C$199,2,0),"0")</f>
        <v>1132.886548</v>
      </c>
    </row>
    <row r="98" ht="14.25" customHeight="1">
      <c r="A98" s="6">
        <v>3.0</v>
      </c>
      <c r="B98" s="6" t="s">
        <v>9</v>
      </c>
      <c r="C98" s="30" t="str">
        <f>IFERROR(__xludf.DUMMYFUNCTION("vlookup(B98, IMPORTRANGE(""https://docs.google.com/spreadsheets/d/1W4ogkn7G1DLigoji8FCGt4ELYlkTu29hcIgb7tBwWhE/edit?gid=0#gid=0"",""Feuille 1!b2:e161""),2,0)"),"ROUET")</f>
        <v>ROUET</v>
      </c>
      <c r="D98" s="30" t="str">
        <f>IFERROR(__xludf.DUMMYFUNCTION("vlookup(B98, IMPORTRANGE(""https://docs.google.com/spreadsheets/d/1W4ogkn7G1DLigoji8FCGt4ELYlkTu29hcIgb7tBwWhE/edit?gid=0#gid=0"",""Feuille 1!b2:e161""),3,0)"),"Hughes")</f>
        <v>Hughes</v>
      </c>
      <c r="E98" s="7">
        <f>'Classement général nom prénom'!$G98+'Classement général nom prénom'!$H98+'Classement général nom prénom'!$I98</f>
        <v>14688.20249</v>
      </c>
      <c r="F98" s="8"/>
      <c r="G98" s="9">
        <f>IFERROR(VLOOKUP(B98,'Classement S6'!$B$2:$C$200,2,0),"0")</f>
        <v>6848.880839</v>
      </c>
      <c r="H98" s="9">
        <f>IFERROR(VLOOKUP(B98,'Classement RoC'!$B$2:$C$199,2,0),"0")</f>
        <v>4927.849388</v>
      </c>
      <c r="I98" s="9">
        <f>IFERROR(VLOOKUP(B98,'Classement Surp'!$B$2:$C$199,2,0),"0")</f>
        <v>2911.472264</v>
      </c>
    </row>
    <row r="99" ht="14.25" customHeight="1">
      <c r="A99" s="6">
        <v>81.0</v>
      </c>
      <c r="B99" s="21" t="s">
        <v>87</v>
      </c>
      <c r="C99" s="30" t="str">
        <f>IFERROR(__xludf.DUMMYFUNCTION("vlookup(B99, IMPORTRANGE(""https://docs.google.com/spreadsheets/d/1W4ogkn7G1DLigoji8FCGt4ELYlkTu29hcIgb7tBwWhE/edit?gid=0#gid=0"",""Feuille 1!b2:e161""),2,0)"),"Saimpont")</f>
        <v>Saimpont</v>
      </c>
      <c r="D99" s="30" t="str">
        <f>IFERROR(__xludf.DUMMYFUNCTION("vlookup(B99, IMPORTRANGE(""https://docs.google.com/spreadsheets/d/1W4ogkn7G1DLigoji8FCGt4ELYlkTu29hcIgb7tBwWhE/edit?gid=0#gid=0"",""Feuille 1!b2:e161""),3,0)"),"Antoine")</f>
        <v>Antoine</v>
      </c>
      <c r="E99" s="7">
        <f>'Classement général nom prénom'!$G99+'Classement général nom prénom'!$H99+'Classement général nom prénom'!$I99</f>
        <v>2880.103038</v>
      </c>
      <c r="F99" s="11"/>
      <c r="G99" s="12">
        <f>IFERROR(VLOOKUP(B99,'Classement S6'!$B$2:$C$200,2,0),"0")</f>
        <v>2570.660011</v>
      </c>
      <c r="H99" s="12">
        <f>IFERROR(VLOOKUP(B99,'Classement RoC'!$B$2:$C$199,2,0),"0")</f>
        <v>309.4430268</v>
      </c>
      <c r="I99" s="12" t="str">
        <f>IFERROR(VLOOKUP(B99,'Classement Surp'!$B$2:$C$199,2,0),"0")</f>
        <v>0</v>
      </c>
    </row>
    <row r="100" ht="14.25" customHeight="1">
      <c r="A100" s="6">
        <v>29.0</v>
      </c>
      <c r="B100" s="6" t="s">
        <v>35</v>
      </c>
      <c r="C100" s="30" t="str">
        <f>IFERROR(__xludf.DUMMYFUNCTION("vlookup(B100, IMPORTRANGE(""https://docs.google.com/spreadsheets/d/1W4ogkn7G1DLigoji8FCGt4ELYlkTu29hcIgb7tBwWhE/edit?gid=0#gid=0"",""Feuille 1!b2:e161""),2,0)"),"Sapin")</f>
        <v>Sapin</v>
      </c>
      <c r="D100" s="30" t="str">
        <f>IFERROR(__xludf.DUMMYFUNCTION("vlookup(B100, IMPORTRANGE(""https://docs.google.com/spreadsheets/d/1W4ogkn7G1DLigoji8FCGt4ELYlkTu29hcIgb7tBwWhE/edit?gid=0#gid=0"",""Feuille 1!b2:e161""),3,0)"),"Matthias")</f>
        <v>Matthias</v>
      </c>
      <c r="E100" s="7">
        <f>'Classement général nom prénom'!$G100+'Classement général nom prénom'!$H100+'Classement général nom prénom'!$I100</f>
        <v>8871.936114</v>
      </c>
      <c r="F100" s="8"/>
      <c r="G100" s="9">
        <f>IFERROR(VLOOKUP(B100,'Classement S6'!$B$2:$C$200,2,0),"0")</f>
        <v>7201.63488</v>
      </c>
      <c r="H100" s="9">
        <f>IFERROR(VLOOKUP(B100,'Classement RoC'!$B$2:$C$199,2,0),"0")</f>
        <v>1317.422948</v>
      </c>
      <c r="I100" s="9">
        <f>IFERROR(VLOOKUP(B100,'Classement Surp'!$B$2:$C$199,2,0),"0")</f>
        <v>352.8782865</v>
      </c>
    </row>
    <row r="101" ht="14.25" customHeight="1">
      <c r="A101" s="6">
        <v>40.0</v>
      </c>
      <c r="B101" s="6" t="s">
        <v>46</v>
      </c>
      <c r="C101" s="30" t="str">
        <f>IFERROR(__xludf.DUMMYFUNCTION("vlookup(B101, IMPORTRANGE(""https://docs.google.com/spreadsheets/d/1W4ogkn7G1DLigoji8FCGt4ELYlkTu29hcIgb7tBwWhE/edit?gid=0#gid=0"",""Feuille 1!b2:e161""),2,0)"),"Sauvage")</f>
        <v>Sauvage</v>
      </c>
      <c r="D101" s="30" t="str">
        <f>IFERROR(__xludf.DUMMYFUNCTION("vlookup(B101, IMPORTRANGE(""https://docs.google.com/spreadsheets/d/1W4ogkn7G1DLigoji8FCGt4ELYlkTu29hcIgb7tBwWhE/edit?gid=0#gid=0"",""Feuille 1!b2:e161""),3,0)"),"David")</f>
        <v>David</v>
      </c>
      <c r="E101" s="7">
        <f>'Classement général nom prénom'!$G101+'Classement général nom prénom'!$H101+'Classement général nom prénom'!$I101</f>
        <v>7480.710673</v>
      </c>
      <c r="F101" s="8"/>
      <c r="G101" s="9">
        <f>IFERROR(VLOOKUP(B101,'Classement S6'!$B$2:$C$200,2,0),"0")</f>
        <v>2943.23873</v>
      </c>
      <c r="H101" s="9">
        <f>IFERROR(VLOOKUP(B101,'Classement RoC'!$B$2:$C$199,2,0),"0")</f>
        <v>3197.227968</v>
      </c>
      <c r="I101" s="9">
        <f>IFERROR(VLOOKUP(B101,'Classement Surp'!$B$2:$C$199,2,0),"0")</f>
        <v>1340.243976</v>
      </c>
    </row>
    <row r="102" ht="14.25" customHeight="1">
      <c r="A102" s="6">
        <v>55.0</v>
      </c>
      <c r="B102" s="18" t="s">
        <v>61</v>
      </c>
      <c r="C102" s="30" t="str">
        <f>IFERROR(__xludf.DUMMYFUNCTION("vlookup(B102, IMPORTRANGE(""https://docs.google.com/spreadsheets/d/1W4ogkn7G1DLigoji8FCGt4ELYlkTu29hcIgb7tBwWhE/edit?gid=0#gid=0"",""Feuille 1!b2:e161""),2,0)"),"SOULARD")</f>
        <v>SOULARD</v>
      </c>
      <c r="D102" s="30" t="str">
        <f>IFERROR(__xludf.DUMMYFUNCTION("vlookup(B102, IMPORTRANGE(""https://docs.google.com/spreadsheets/d/1W4ogkn7G1DLigoji8FCGt4ELYlkTu29hcIgb7tBwWhE/edit?gid=0#gid=0"",""Feuille 1!b2:e161""),3,0)"),"Dylan")</f>
        <v>Dylan</v>
      </c>
      <c r="E102" s="7">
        <f>'Classement général nom prénom'!$G102+'Classement général nom prénom'!$H102+'Classement général nom prénom'!$I102</f>
        <v>5134.674647</v>
      </c>
      <c r="F102" s="11"/>
      <c r="G102" s="12">
        <f>IFERROR(VLOOKUP(B102,'Classement S6'!$B$2:$C$200,2,0),"0")</f>
        <v>2864.888152</v>
      </c>
      <c r="H102" s="12">
        <f>IFERROR(VLOOKUP(B102,'Classement RoC'!$B$2:$C$199,2,0),"0")</f>
        <v>1776.30372</v>
      </c>
      <c r="I102" s="12">
        <f>IFERROR(VLOOKUP(B102,'Classement Surp'!$B$2:$C$199,2,0),"0")</f>
        <v>493.4827755</v>
      </c>
    </row>
    <row r="103" ht="14.25" customHeight="1">
      <c r="A103" s="6">
        <v>100.0</v>
      </c>
      <c r="B103" s="6" t="s">
        <v>106</v>
      </c>
      <c r="C103" s="30" t="str">
        <f>IFERROR(__xludf.DUMMYFUNCTION("vlookup(B103, IMPORTRANGE(""https://docs.google.com/spreadsheets/d/1W4ogkn7G1DLigoji8FCGt4ELYlkTu29hcIgb7tBwWhE/edit?gid=0#gid=0"",""Feuille 1!b2:e161""),2,0)"),"Thibeault")</f>
        <v>Thibeault</v>
      </c>
      <c r="D103" s="30" t="str">
        <f>IFERROR(__xludf.DUMMYFUNCTION("vlookup(B103, IMPORTRANGE(""https://docs.google.com/spreadsheets/d/1W4ogkn7G1DLigoji8FCGt4ELYlkTu29hcIgb7tBwWhE/edit?gid=0#gid=0"",""Feuille 1!b2:e161""),3,0)"),"Pascal")</f>
        <v>Pascal</v>
      </c>
      <c r="E103" s="7">
        <f>'Classement général nom prénom'!$G103+'Classement général nom prénom'!$H103+'Classement général nom prénom'!$I103</f>
        <v>1246.323251</v>
      </c>
      <c r="F103" s="8"/>
      <c r="G103" s="9">
        <f>IFERROR(VLOOKUP(B103,'Classement S6'!$B$2:$C$200,2,0),"0")</f>
        <v>1015.23463</v>
      </c>
      <c r="H103" s="9">
        <f>IFERROR(VLOOKUP(B103,'Classement RoC'!$B$2:$C$199,2,0),"0")</f>
        <v>0</v>
      </c>
      <c r="I103" s="9">
        <f>IFERROR(VLOOKUP(B103,'Classement Surp'!$B$2:$C$199,2,0),"0")</f>
        <v>231.0886203</v>
      </c>
    </row>
    <row r="104" ht="14.25" customHeight="1">
      <c r="A104" s="6">
        <v>17.0</v>
      </c>
      <c r="B104" s="6" t="s">
        <v>23</v>
      </c>
      <c r="C104" s="30" t="str">
        <f>IFERROR(__xludf.DUMMYFUNCTION("vlookup(B104, IMPORTRANGE(""https://docs.google.com/spreadsheets/d/1W4ogkn7G1DLigoji8FCGt4ELYlkTu29hcIgb7tBwWhE/edit?gid=0#gid=0"",""Feuille 1!b2:e161""),2,0)"),"Tintané")</f>
        <v>Tintané</v>
      </c>
      <c r="D104" s="30" t="str">
        <f>IFERROR(__xludf.DUMMYFUNCTION("vlookup(B104, IMPORTRANGE(""https://docs.google.com/spreadsheets/d/1W4ogkn7G1DLigoji8FCGt4ELYlkTu29hcIgb7tBwWhE/edit?gid=0#gid=0"",""Feuille 1!b2:e161""),3,0)"),"Patrice")</f>
        <v>Patrice</v>
      </c>
      <c r="E104" s="7">
        <f>'Classement général nom prénom'!$G104+'Classement général nom prénom'!$H104+'Classement général nom prénom'!$I104</f>
        <v>10601.86332</v>
      </c>
      <c r="F104" s="8"/>
      <c r="G104" s="9">
        <f>IFERROR(VLOOKUP(B104,'Classement S6'!$B$2:$C$200,2,0),"0")</f>
        <v>7021.314147</v>
      </c>
      <c r="H104" s="9">
        <f>IFERROR(VLOOKUP(B104,'Classement RoC'!$B$2:$C$199,2,0),"0")</f>
        <v>2481.476578</v>
      </c>
      <c r="I104" s="9">
        <f>IFERROR(VLOOKUP(B104,'Classement Surp'!$B$2:$C$199,2,0),"0")</f>
        <v>1099.072593</v>
      </c>
    </row>
    <row r="105" ht="14.25" customHeight="1">
      <c r="A105" s="6">
        <v>102.0</v>
      </c>
      <c r="B105" s="13" t="s">
        <v>108</v>
      </c>
      <c r="C105" s="30" t="str">
        <f>IFERROR(__xludf.DUMMYFUNCTION("vlookup(B105, IMPORTRANGE(""https://docs.google.com/spreadsheets/d/1W4ogkn7G1DLigoji8FCGt4ELYlkTu29hcIgb7tBwWhE/edit?gid=0#gid=0"",""Feuille 1!b2:e161""),2,0)"),"Torselli")</f>
        <v>Torselli</v>
      </c>
      <c r="D105" s="30" t="str">
        <f>IFERROR(__xludf.DUMMYFUNCTION("vlookup(B105, IMPORTRANGE(""https://docs.google.com/spreadsheets/d/1W4ogkn7G1DLigoji8FCGt4ELYlkTu29hcIgb7tBwWhE/edit?gid=0#gid=0"",""Feuille 1!b2:e161""),3,0)"),"Lucas")</f>
        <v>Lucas</v>
      </c>
      <c r="E105" s="7">
        <f>'Classement général nom prénom'!$G105+'Classement général nom prénom'!$H105+'Classement général nom prénom'!$I105</f>
        <v>1074.859633</v>
      </c>
      <c r="F105" s="8"/>
      <c r="G105" s="9">
        <f>IFERROR(VLOOKUP(B105,'Classement S6'!$B$2:$C$200,2,0),"0")</f>
        <v>172.8529418</v>
      </c>
      <c r="H105" s="9">
        <f>IFERROR(VLOOKUP(B105,'Classement RoC'!$B$2:$C$199,2,0),"0")</f>
        <v>902.0066915</v>
      </c>
      <c r="I105" s="9" t="str">
        <f>IFERROR(VLOOKUP(B105,'Classement Surp'!$B$2:$C$199,2,0),"0")</f>
        <v>0</v>
      </c>
    </row>
    <row r="106" ht="14.25" customHeight="1">
      <c r="A106" s="6">
        <v>45.0</v>
      </c>
      <c r="B106" s="6" t="s">
        <v>51</v>
      </c>
      <c r="C106" s="30" t="str">
        <f>IFERROR(__xludf.DUMMYFUNCTION("vlookup(B106, IMPORTRANGE(""https://docs.google.com/spreadsheets/d/1W4ogkn7G1DLigoji8FCGt4ELYlkTu29hcIgb7tBwWhE/edit?gid=0#gid=0"",""Feuille 1!b2:e161""),2,0)"),"Trouve")</f>
        <v>Trouve</v>
      </c>
      <c r="D106" s="30" t="str">
        <f>IFERROR(__xludf.DUMMYFUNCTION("vlookup(B106, IMPORTRANGE(""https://docs.google.com/spreadsheets/d/1W4ogkn7G1DLigoji8FCGt4ELYlkTu29hcIgb7tBwWhE/edit?gid=0#gid=0"",""Feuille 1!b2:e161""),3,0)"),"Maxim")</f>
        <v>Maxim</v>
      </c>
      <c r="E106" s="7">
        <f>'Classement général nom prénom'!$G106+'Classement général nom prénom'!$H106+'Classement général nom prénom'!$I106</f>
        <v>6365.333499</v>
      </c>
      <c r="F106" s="8"/>
      <c r="G106" s="9">
        <f>IFERROR(VLOOKUP(B106,'Classement S6'!$B$2:$C$200,2,0),"0")</f>
        <v>3902.401114</v>
      </c>
      <c r="H106" s="9">
        <f>IFERROR(VLOOKUP(B106,'Classement RoC'!$B$2:$C$199,2,0),"0")</f>
        <v>1903.856867</v>
      </c>
      <c r="I106" s="9">
        <f>IFERROR(VLOOKUP(B106,'Classement Surp'!$B$2:$C$199,2,0),"0")</f>
        <v>559.0755185</v>
      </c>
    </row>
    <row r="107" ht="14.25" customHeight="1">
      <c r="A107" s="6">
        <v>23.0</v>
      </c>
      <c r="B107" s="6" t="s">
        <v>29</v>
      </c>
      <c r="C107" s="30" t="str">
        <f>IFERROR(__xludf.DUMMYFUNCTION("vlookup(B107, IMPORTRANGE(""https://docs.google.com/spreadsheets/d/1W4ogkn7G1DLigoji8FCGt4ELYlkTu29hcIgb7tBwWhE/edit?gid=0#gid=0"",""Feuille 1!b2:e161""),2,0)"),"Verdier")</f>
        <v>Verdier</v>
      </c>
      <c r="D107" s="30" t="str">
        <f>IFERROR(__xludf.DUMMYFUNCTION("vlookup(B107, IMPORTRANGE(""https://docs.google.com/spreadsheets/d/1W4ogkn7G1DLigoji8FCGt4ELYlkTu29hcIgb7tBwWhE/edit?gid=0#gid=0"",""Feuille 1!b2:e161""),3,0)"),"Anthony")</f>
        <v>Anthony</v>
      </c>
      <c r="E107" s="7">
        <f>'Classement général nom prénom'!$G107+'Classement général nom prénom'!$H107+'Classement général nom prénom'!$I107</f>
        <v>9855.304888</v>
      </c>
      <c r="F107" s="8"/>
      <c r="G107" s="9">
        <f>IFERROR(VLOOKUP(B107,'Classement S6'!$B$2:$C$200,2,0),"0")</f>
        <v>5866.568466</v>
      </c>
      <c r="H107" s="9">
        <f>IFERROR(VLOOKUP(B107,'Classement RoC'!$B$2:$C$199,2,0),"0")</f>
        <v>2164.411984</v>
      </c>
      <c r="I107" s="9">
        <f>IFERROR(VLOOKUP(B107,'Classement Surp'!$B$2:$C$199,2,0),"0")</f>
        <v>1824.324438</v>
      </c>
    </row>
  </sheetData>
  <conditionalFormatting sqref="B2:B49 C2:D107">
    <cfRule type="containsText" dxfId="0" priority="1" operator="containsText" text="0">
      <formula>NOT(ISERROR(SEARCH(("0"),(B2))))</formula>
    </cfRule>
  </conditionalFormatting>
  <conditionalFormatting sqref="B2:B49 C2:D107">
    <cfRule type="containsText" dxfId="0" priority="2" operator="containsText" text="0">
      <formula>NOT(ISERROR(SEARCH(("0"),(B2))))</formula>
    </cfRule>
  </conditionalFormatting>
  <printOptions/>
  <pageMargins bottom="0.75" footer="0.0" header="0.0" left="0.7" right="0.7" top="0.75"/>
  <pageSetup paperSize="9" orientation="portrait"/>
  <drawing r:id="rId1"/>
  <tableParts count="2">
    <tablePart r:id="rId4"/>
    <tablePart r:id="rId5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148" t="s">
        <v>168</v>
      </c>
      <c r="B1" s="149" t="s">
        <v>197</v>
      </c>
      <c r="C1" s="150" t="s">
        <v>169</v>
      </c>
      <c r="D1" s="151" t="s">
        <v>198</v>
      </c>
      <c r="E1" s="152" t="s">
        <v>199</v>
      </c>
      <c r="G1" s="153" t="s">
        <v>200</v>
      </c>
      <c r="H1" s="121">
        <f>MATCH("",A2:A1001,-1)</f>
        <v>51</v>
      </c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</row>
    <row r="2" ht="14.25" customHeight="1">
      <c r="A2" s="155" t="str">
        <f>IFERROR(__xludf.DUMMYFUNCTION(" IMPORTRANGE(""https://docs.google.com/spreadsheets/d/1JUtMwm38GdhgaRbPH6ccvfDGMwNCCqD5sMsi4_96_Fo/edit#gid=695545632"",""Roller Coaster!A2:A161"")"),"immond")</f>
        <v>immond</v>
      </c>
      <c r="B2" s="156">
        <v>1.0</v>
      </c>
      <c r="C2" s="157">
        <f t="shared" ref="C2:C160" si="1">525*(1-(B2/($H$1+1)))*POWER((SQRT(($H$1+1)/B2)),1/2)</f>
        <v>1382.696845</v>
      </c>
      <c r="D2" s="158" t="str">
        <f>VLOOKUP(A2,'Classement RoC'!$B$2:$C$149,1,0)</f>
        <v>immond</v>
      </c>
      <c r="E2" s="159" t="str">
        <f t="shared" ref="E2:E160" si="2">IF(D2=A2,"","erreur")</f>
        <v/>
      </c>
      <c r="F2" s="120" t="str">
        <f>VLOOKUP(A2,'Classement Général'!$B$2:$B$146,1,0)</f>
        <v>immond</v>
      </c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ht="14.25" customHeight="1">
      <c r="A3" s="160" t="str">
        <f>IFERROR(__xludf.DUMMYFUNCTION("""COMPUTED_VALUE"""),"Mako Lemore")</f>
        <v>Mako Lemore</v>
      </c>
      <c r="B3" s="161">
        <v>2.0</v>
      </c>
      <c r="C3" s="157">
        <f t="shared" si="1"/>
        <v>1139.906686</v>
      </c>
      <c r="D3" s="158" t="str">
        <f>VLOOKUP(A3,'Classement RoC'!$B$2:$C$149,1,0)</f>
        <v>Mako Lemore</v>
      </c>
      <c r="E3" s="159" t="str">
        <f t="shared" si="2"/>
        <v/>
      </c>
      <c r="F3" s="120" t="str">
        <f>VLOOKUP(A3,'Classement Général'!$B$2:$B$146,1,0)</f>
        <v>Mako Lemore</v>
      </c>
      <c r="G3" s="162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ht="14.25" customHeight="1">
      <c r="A4" s="160" t="str">
        <f>IFERROR(__xludf.DUMMYFUNCTION("""COMPUTED_VALUE"""),"PocketBike")</f>
        <v>PocketBike</v>
      </c>
      <c r="B4" s="156">
        <v>3.0</v>
      </c>
      <c r="C4" s="157">
        <f t="shared" si="1"/>
        <v>1009.421526</v>
      </c>
      <c r="D4" s="158" t="str">
        <f>VLOOKUP(A4,'Classement RoC'!$B$2:$C$149,1,0)</f>
        <v>PocketBike</v>
      </c>
      <c r="E4" s="159" t="str">
        <f t="shared" si="2"/>
        <v/>
      </c>
      <c r="F4" s="120" t="str">
        <f>VLOOKUP(A4,'Classement Général'!$B$2:$B$146,1,0)</f>
        <v>PocketBike</v>
      </c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ht="14.25" customHeight="1">
      <c r="A5" s="160" t="str">
        <f>IFERROR(__xludf.DUMMYFUNCTION("""COMPUTED_VALUE"""),"Dirty Bazaar")</f>
        <v>Dirty Bazaar</v>
      </c>
      <c r="B5" s="161">
        <v>4.0</v>
      </c>
      <c r="C5" s="157">
        <f t="shared" si="1"/>
        <v>920.2017084</v>
      </c>
      <c r="D5" s="158" t="str">
        <f>VLOOKUP(A5,'Classement RoC'!$B$2:$C$149,1,0)</f>
        <v>Dirty Bazaar</v>
      </c>
      <c r="E5" s="163" t="str">
        <f t="shared" si="2"/>
        <v/>
      </c>
      <c r="F5" s="120" t="str">
        <f>VLOOKUP(A5,'Classement Général'!$B$2:$B$146,1,0)</f>
        <v>Dirty Bazaar</v>
      </c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ht="14.25" customHeight="1">
      <c r="A6" s="160" t="str">
        <f>IFERROR(__xludf.DUMMYFUNCTION("""COMPUTED_VALUE"""),"-BartMan-")</f>
        <v>-BartMan-</v>
      </c>
      <c r="B6" s="156">
        <v>5.0</v>
      </c>
      <c r="C6" s="157">
        <f t="shared" si="1"/>
        <v>852.1423559</v>
      </c>
      <c r="D6" s="158" t="str">
        <f>VLOOKUP(A6,'Classement RoC'!$B$2:$C$149,1,0)</f>
        <v>-bartman-</v>
      </c>
      <c r="E6" s="163" t="str">
        <f t="shared" si="2"/>
        <v/>
      </c>
      <c r="F6" s="120" t="str">
        <f>VLOOKUP(A6,'Classement Général'!$B$2:$B$146,1,0)</f>
        <v>-bartman-</v>
      </c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</row>
    <row r="7" ht="14.25" customHeight="1">
      <c r="A7" s="160" t="str">
        <f>IFERROR(__xludf.DUMMYFUNCTION("""COMPUTED_VALUE"""),"Patgaret")</f>
        <v>Patgaret</v>
      </c>
      <c r="B7" s="161">
        <v>6.0</v>
      </c>
      <c r="C7" s="157">
        <f t="shared" si="1"/>
        <v>796.8504363</v>
      </c>
      <c r="D7" s="158" t="str">
        <f>VLOOKUP(A7,'Classement RoC'!$B$2:$C$149,1,0)</f>
        <v>Patgaret</v>
      </c>
      <c r="E7" s="163" t="str">
        <f t="shared" si="2"/>
        <v/>
      </c>
      <c r="F7" s="120" t="str">
        <f>VLOOKUP(A7,'Classement Général'!$B$2:$B$146,1,0)</f>
        <v>Patgaret</v>
      </c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</row>
    <row r="8" ht="14.25" customHeight="1">
      <c r="A8" s="160" t="str">
        <f>IFERROR(__xludf.DUMMYFUNCTION("""COMPUTED_VALUE"""),"POMB1664")</f>
        <v>POMB1664</v>
      </c>
      <c r="B8" s="156">
        <v>7.0</v>
      </c>
      <c r="C8" s="157">
        <f t="shared" si="1"/>
        <v>750.057917</v>
      </c>
      <c r="D8" s="158" t="str">
        <f>VLOOKUP(A8,'Classement RoC'!$B$2:$C$149,1,0)</f>
        <v>POMB1664</v>
      </c>
      <c r="E8" s="163" t="str">
        <f t="shared" si="2"/>
        <v/>
      </c>
      <c r="F8" s="120" t="str">
        <f>VLOOKUP(A8,'Classement Général'!$B$2:$B$146,1,0)</f>
        <v>POMB1664</v>
      </c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</row>
    <row r="9" ht="14.25" customHeight="1">
      <c r="A9" s="160" t="str">
        <f>IFERROR(__xludf.DUMMYFUNCTION("""COMPUTED_VALUE"""),"christ86000")</f>
        <v>christ86000</v>
      </c>
      <c r="B9" s="161">
        <v>8.0</v>
      </c>
      <c r="C9" s="157">
        <f t="shared" si="1"/>
        <v>709.3114581</v>
      </c>
      <c r="D9" s="158" t="str">
        <f>VLOOKUP(A9,'Classement RoC'!$B$2:$C$149,1,0)</f>
        <v>christ86000</v>
      </c>
      <c r="E9" s="163" t="str">
        <f t="shared" si="2"/>
        <v/>
      </c>
      <c r="F9" s="120" t="str">
        <f>VLOOKUP(A9,'Classement Général'!$B$2:$B$146,1,0)</f>
        <v>christ86000</v>
      </c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</row>
    <row r="10" ht="14.25" customHeight="1">
      <c r="A10" s="160" t="str">
        <f>IFERROR(__xludf.DUMMYFUNCTION("""COMPUTED_VALUE"""),"_VisMaVie_")</f>
        <v>_VisMaVie_</v>
      </c>
      <c r="B10" s="156">
        <v>9.0</v>
      </c>
      <c r="C10" s="157">
        <f t="shared" si="1"/>
        <v>673.076804</v>
      </c>
      <c r="D10" s="158" t="str">
        <f>VLOOKUP(A10,'Classement RoC'!$B$2:$C$149,1,0)</f>
        <v>_VisMaVie_</v>
      </c>
      <c r="E10" s="163" t="str">
        <f t="shared" si="2"/>
        <v/>
      </c>
      <c r="F10" s="120" t="str">
        <f>VLOOKUP(A10,'Classement Général'!$B$2:$B$146,1,0)</f>
        <v>_VisMaVie_</v>
      </c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ht="14.25" customHeight="1">
      <c r="A11" s="160" t="str">
        <f>IFERROR(__xludf.DUMMYFUNCTION("""COMPUTED_VALUE"""),"NezuKO-demon")</f>
        <v>NezuKO-demon</v>
      </c>
      <c r="B11" s="161">
        <v>10.0</v>
      </c>
      <c r="C11" s="157">
        <f t="shared" si="1"/>
        <v>640.3332979</v>
      </c>
      <c r="D11" s="158" t="str">
        <f>VLOOKUP(A11,'Classement RoC'!$B$2:$C$149,1,0)</f>
        <v>NezuKO-demon</v>
      </c>
      <c r="E11" s="163" t="str">
        <f t="shared" si="2"/>
        <v/>
      </c>
      <c r="F11" s="120" t="str">
        <f>VLOOKUP(A11,'Classement Général'!$B$2:$B$146,1,0)</f>
        <v>NezuKO-demon</v>
      </c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</row>
    <row r="12" ht="14.25" customHeight="1">
      <c r="A12" s="160" t="str">
        <f>IFERROR(__xludf.DUMMYFUNCTION("""COMPUTED_VALUE"""),"Marypops64")</f>
        <v>Marypops64</v>
      </c>
      <c r="B12" s="156">
        <v>11.0</v>
      </c>
      <c r="C12" s="157">
        <f t="shared" si="1"/>
        <v>610.3690182</v>
      </c>
      <c r="D12" s="158" t="str">
        <f>VLOOKUP(A12,'Classement RoC'!$B$2:$C$149,1,0)</f>
        <v>Marypops64</v>
      </c>
      <c r="E12" s="163" t="str">
        <f t="shared" si="2"/>
        <v/>
      </c>
      <c r="F12" s="120" t="str">
        <f>VLOOKUP(A12,'Classement Général'!$B$2:$B$146,1,0)</f>
        <v>marypops64</v>
      </c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ht="14.25" customHeight="1">
      <c r="A13" s="160" t="str">
        <f>IFERROR(__xludf.DUMMYFUNCTION("""COMPUTED_VALUE"""),"Mikalack")</f>
        <v>Mikalack</v>
      </c>
      <c r="B13" s="161">
        <v>12.0</v>
      </c>
      <c r="C13" s="157">
        <f t="shared" si="1"/>
        <v>582.6684134</v>
      </c>
      <c r="D13" s="158" t="str">
        <f>VLOOKUP(A13,'Classement RoC'!$B$2:$C$149,1,0)</f>
        <v>Mikalack</v>
      </c>
      <c r="E13" s="163" t="str">
        <f t="shared" si="2"/>
        <v/>
      </c>
      <c r="F13" s="120" t="str">
        <f>VLOOKUP(A13,'Classement Général'!$B$2:$B$146,1,0)</f>
        <v>Mikalack</v>
      </c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ht="14.25" customHeight="1">
      <c r="A14" s="160" t="str">
        <f>IFERROR(__xludf.DUMMYFUNCTION("""COMPUTED_VALUE"""),"LEGOLEGOTE")</f>
        <v>LEGOLEGOTE</v>
      </c>
      <c r="B14" s="156">
        <v>13.0</v>
      </c>
      <c r="C14" s="157">
        <f t="shared" si="1"/>
        <v>556.8465902</v>
      </c>
      <c r="D14" s="158" t="str">
        <f>VLOOKUP(A14,'Classement RoC'!$B$2:$C$149,1,0)</f>
        <v>LEGOLEGOTE</v>
      </c>
      <c r="E14" s="163" t="str">
        <f t="shared" si="2"/>
        <v/>
      </c>
      <c r="F14" s="120" t="str">
        <f>VLOOKUP(A14,'Classement Général'!$B$2:$B$146,1,0)</f>
        <v>LEGOLEGOTE</v>
      </c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</row>
    <row r="15" ht="14.25" customHeight="1">
      <c r="A15" s="160" t="str">
        <f>IFERROR(__xludf.DUMMYFUNCTION("""COMPUTED_VALUE"""),"Le_Pictavien")</f>
        <v>Le_Pictavien</v>
      </c>
      <c r="B15" s="161">
        <v>14.0</v>
      </c>
      <c r="C15" s="157">
        <f t="shared" si="1"/>
        <v>532.6088559</v>
      </c>
      <c r="D15" s="158" t="str">
        <f>VLOOKUP(A15,'Classement RoC'!$B$2:$C$149,1,0)</f>
        <v>Le_Pictavien</v>
      </c>
      <c r="E15" s="163" t="str">
        <f t="shared" si="2"/>
        <v/>
      </c>
      <c r="F15" s="120" t="str">
        <f>VLOOKUP(A15,'Classement Général'!$B$2:$B$146,1,0)</f>
        <v>Le_Pictavien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</row>
    <row r="16" ht="14.25" customHeight="1">
      <c r="A16" s="160" t="str">
        <f>IFERROR(__xludf.DUMMYFUNCTION("""COMPUTED_VALUE"""),"erniedog56x")</f>
        <v>erniedog56x</v>
      </c>
      <c r="B16" s="156">
        <v>15.0</v>
      </c>
      <c r="C16" s="157">
        <f t="shared" si="1"/>
        <v>509.7247306</v>
      </c>
      <c r="D16" s="158" t="str">
        <f>VLOOKUP(A16,'Classement RoC'!$B$2:$C$149,1,0)</f>
        <v>erniedog56x</v>
      </c>
      <c r="E16" s="163" t="str">
        <f t="shared" si="2"/>
        <v/>
      </c>
      <c r="F16" s="120" t="str">
        <f>VLOOKUP(A16,'Classement Général'!$B$2:$B$146,1,0)</f>
        <v>erniedog56x</v>
      </c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ht="14.25" customHeight="1">
      <c r="A17" s="160" t="str">
        <f>IFERROR(__xludf.DUMMYFUNCTION("""COMPUTED_VALUE"""),"8kinder6")</f>
        <v>8kinder6</v>
      </c>
      <c r="B17" s="161">
        <v>16.0</v>
      </c>
      <c r="C17" s="157">
        <f t="shared" si="1"/>
        <v>488.0106511</v>
      </c>
      <c r="D17" s="158" t="str">
        <f>VLOOKUP(A17,'Classement RoC'!$B$2:$C$149,1,0)</f>
        <v>8kinder6</v>
      </c>
      <c r="E17" s="163" t="str">
        <f t="shared" si="2"/>
        <v/>
      </c>
      <c r="F17" s="120" t="str">
        <f>VLOOKUP(A17,'Classement Général'!$B$2:$B$146,1,0)</f>
        <v>8kinder6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</row>
    <row r="18" ht="14.25" customHeight="1">
      <c r="A18" s="160" t="str">
        <f>IFERROR(__xludf.DUMMYFUNCTION("""COMPUTED_VALUE"""),"Redblood92")</f>
        <v>Redblood92</v>
      </c>
      <c r="B18" s="156">
        <v>17.0</v>
      </c>
      <c r="C18" s="157">
        <f t="shared" si="1"/>
        <v>467.318108</v>
      </c>
      <c r="D18" s="158" t="str">
        <f>VLOOKUP(A18,'Classement RoC'!$B$2:$C$149,1,0)</f>
        <v>Redblood92</v>
      </c>
      <c r="E18" s="163" t="str">
        <f t="shared" si="2"/>
        <v/>
      </c>
      <c r="F18" s="120" t="str">
        <f>VLOOKUP(A18,'Classement Général'!$B$2:$B$146,1,0)</f>
        <v>Redblood92</v>
      </c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</row>
    <row r="19" ht="14.25" customHeight="1">
      <c r="A19" s="160" t="str">
        <f>IFERROR(__xludf.DUMMYFUNCTION("""COMPUTED_VALUE"""),"fiodor86")</f>
        <v>fiodor86</v>
      </c>
      <c r="B19" s="161">
        <v>18.0</v>
      </c>
      <c r="C19" s="157">
        <f t="shared" si="1"/>
        <v>447.5252939</v>
      </c>
      <c r="D19" s="158" t="str">
        <f>VLOOKUP(A19,'Classement RoC'!$B$2:$C$149,1,0)</f>
        <v>fiodor86</v>
      </c>
      <c r="E19" s="163" t="str">
        <f t="shared" si="2"/>
        <v/>
      </c>
      <c r="F19" s="120" t="str">
        <f>VLOOKUP(A19,'Classement Général'!$B$2:$B$146,1,0)</f>
        <v>fiodor86</v>
      </c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</row>
    <row r="20" ht="14.25" customHeight="1">
      <c r="A20" s="160" t="str">
        <f>IFERROR(__xludf.DUMMYFUNCTION("""COMPUTED_VALUE"""),"BBH 75")</f>
        <v>BBH 75</v>
      </c>
      <c r="B20" s="156">
        <v>19.0</v>
      </c>
      <c r="C20" s="157">
        <f t="shared" si="1"/>
        <v>428.5310898</v>
      </c>
      <c r="D20" s="158" t="str">
        <f>VLOOKUP(A20,'Classement RoC'!$B$2:$C$149,1,0)</f>
        <v>BBH 75</v>
      </c>
      <c r="E20" s="163" t="str">
        <f t="shared" si="2"/>
        <v/>
      </c>
      <c r="F20" s="120" t="str">
        <f>VLOOKUP(A20,'Classement Général'!$B$2:$B$146,1,0)</f>
        <v>BBH 75</v>
      </c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</row>
    <row r="21" ht="14.25" customHeight="1">
      <c r="A21" s="160" t="str">
        <f>IFERROR(__xludf.DUMMYFUNCTION("""COMPUTED_VALUE"""),"Fistipanda")</f>
        <v>Fistipanda</v>
      </c>
      <c r="B21" s="161">
        <v>20.0</v>
      </c>
      <c r="C21" s="157">
        <f t="shared" si="1"/>
        <v>410.2506474</v>
      </c>
      <c r="D21" s="158" t="str">
        <f>VLOOKUP(A21,'Classement RoC'!$B$2:$C$149,1,0)</f>
        <v>Fistipanda</v>
      </c>
      <c r="E21" s="163" t="str">
        <f t="shared" si="2"/>
        <v/>
      </c>
      <c r="F21" s="120" t="str">
        <f>VLOOKUP(A21,'Classement Général'!$B$2:$B$146,1,0)</f>
        <v>Fistipanda</v>
      </c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</row>
    <row r="22" ht="14.25" customHeight="1">
      <c r="A22" s="160" t="str">
        <f>IFERROR(__xludf.DUMMYFUNCTION("""COMPUTED_VALUE"""),"KamehamehAS")</f>
        <v>KamehamehAS</v>
      </c>
      <c r="B22" s="156">
        <v>21.0</v>
      </c>
      <c r="C22" s="157">
        <f t="shared" si="1"/>
        <v>392.6120871</v>
      </c>
      <c r="D22" s="158" t="str">
        <f>VLOOKUP(A22,'Classement RoC'!$B$2:$C$149,1,0)</f>
        <v>KamehamehAS</v>
      </c>
      <c r="E22" s="163" t="str">
        <f t="shared" si="2"/>
        <v/>
      </c>
      <c r="F22" s="120" t="str">
        <f>VLOOKUP(A22,'Classement Général'!$B$2:$B$146,1,0)</f>
        <v>KamehamehAS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</row>
    <row r="23" ht="14.25" customHeight="1">
      <c r="A23" s="160" t="str">
        <f>IFERROR(__xludf.DUMMYFUNCTION("""COMPUTED_VALUE"""),"Legabodu86")</f>
        <v>Legabodu86</v>
      </c>
      <c r="B23" s="161">
        <v>22.0</v>
      </c>
      <c r="C23" s="157">
        <f t="shared" si="1"/>
        <v>375.5539898</v>
      </c>
      <c r="D23" s="158" t="str">
        <f>VLOOKUP(A23,'Classement RoC'!$B$2:$C$149,1,0)</f>
        <v>Legabodu86</v>
      </c>
      <c r="E23" s="163" t="str">
        <f t="shared" si="2"/>
        <v/>
      </c>
      <c r="F23" s="120" t="str">
        <f>VLOOKUP(A23,'Classement Général'!$B$2:$B$146,1,0)</f>
        <v>Legabodu86</v>
      </c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</row>
    <row r="24" ht="14.25" customHeight="1">
      <c r="A24" s="160" t="str">
        <f>IFERROR(__xludf.DUMMYFUNCTION("""COMPUTED_VALUE"""),"Like_A_Fish")</f>
        <v>Like_A_Fish</v>
      </c>
      <c r="B24" s="156">
        <v>23.0</v>
      </c>
      <c r="C24" s="157">
        <f t="shared" si="1"/>
        <v>359.0234654</v>
      </c>
      <c r="D24" s="158" t="str">
        <f>VLOOKUP(A24,'Classement RoC'!$B$2:$C$149,1,0)</f>
        <v>Like_A_Fish</v>
      </c>
      <c r="E24" s="163" t="str">
        <f t="shared" si="2"/>
        <v/>
      </c>
      <c r="F24" s="120" t="str">
        <f>VLOOKUP(A24,'Classement Général'!$B$2:$B$146,1,0)</f>
        <v>Like_A_Fish</v>
      </c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</row>
    <row r="25" ht="14.25" customHeight="1">
      <c r="A25" s="160" t="str">
        <f>IFERROR(__xludf.DUMMYFUNCTION("""COMPUTED_VALUE"""),"Phil1308")</f>
        <v>Phil1308</v>
      </c>
      <c r="B25" s="161">
        <v>24.0</v>
      </c>
      <c r="C25" s="157">
        <f t="shared" si="1"/>
        <v>342.9746461</v>
      </c>
      <c r="D25" s="158" t="str">
        <f>VLOOKUP(A25,'Classement RoC'!$B$2:$C$149,1,0)</f>
        <v>Phil1308</v>
      </c>
      <c r="E25" s="163" t="str">
        <f t="shared" si="2"/>
        <v/>
      </c>
      <c r="F25" s="120" t="str">
        <f>VLOOKUP(A25,'Classement Général'!$B$2:$B$146,1,0)</f>
        <v>Phil1308</v>
      </c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</row>
    <row r="26" ht="14.25" customHeight="1">
      <c r="A26" s="160" t="str">
        <f>IFERROR(__xludf.DUMMYFUNCTION("""COMPUTED_VALUE"""),"Belussac")</f>
        <v>Belussac</v>
      </c>
      <c r="B26" s="156">
        <v>25.0</v>
      </c>
      <c r="C26" s="157">
        <f t="shared" si="1"/>
        <v>327.3674969</v>
      </c>
      <c r="D26" s="158" t="str">
        <f>VLOOKUP(A26,'Classement RoC'!$B$2:$C$149,1,0)</f>
        <v>Belussac</v>
      </c>
      <c r="E26" s="163" t="str">
        <f t="shared" si="2"/>
        <v/>
      </c>
      <c r="F26" s="120" t="str">
        <f>VLOOKUP(A26,'Classement Général'!$B$2:$B$146,1,0)</f>
        <v>belussac</v>
      </c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</row>
    <row r="27" ht="14.25" customHeight="1">
      <c r="A27" s="160" t="str">
        <f>IFERROR(__xludf.DUMMYFUNCTION("""COMPUTED_VALUE"""),"DonnesTchips")</f>
        <v>DonnesTchips</v>
      </c>
      <c r="B27" s="161">
        <v>26.0</v>
      </c>
      <c r="C27" s="157">
        <f t="shared" si="1"/>
        <v>312.1668677</v>
      </c>
      <c r="D27" s="158" t="str">
        <f>VLOOKUP(A27,'Classement RoC'!$B$2:$C$149,1,0)</f>
        <v>DonnesTchips</v>
      </c>
      <c r="E27" s="163" t="str">
        <f t="shared" si="2"/>
        <v/>
      </c>
      <c r="F27" s="120" t="str">
        <f>VLOOKUP(A27,'Classement Général'!$B$2:$B$146,1,0)</f>
        <v>DonnesTchips</v>
      </c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</row>
    <row r="28" ht="14.25" customHeight="1">
      <c r="A28" s="160" t="str">
        <f>IFERROR(__xludf.DUMMYFUNCTION("""COMPUTED_VALUE"""),"lifeofpark")</f>
        <v>lifeofpark</v>
      </c>
      <c r="B28" s="156">
        <v>27.0</v>
      </c>
      <c r="C28" s="157">
        <f t="shared" si="1"/>
        <v>297.3417296</v>
      </c>
      <c r="D28" s="158" t="str">
        <f>VLOOKUP(A28,'Classement RoC'!$B$2:$C$149,1,0)</f>
        <v>lifeofpark</v>
      </c>
      <c r="E28" s="163" t="str">
        <f t="shared" si="2"/>
        <v/>
      </c>
      <c r="F28" s="120" t="str">
        <f>VLOOKUP(A28,'Classement Général'!$B$2:$B$146,1,0)</f>
        <v>lifeofpark</v>
      </c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</row>
    <row r="29" ht="14.25" customHeight="1">
      <c r="A29" s="160" t="str">
        <f>IFERROR(__xludf.DUMMYFUNCTION("""COMPUTED_VALUE"""),"SINGE7")</f>
        <v>SINGE7</v>
      </c>
      <c r="B29" s="161">
        <v>28.0</v>
      </c>
      <c r="C29" s="157">
        <f t="shared" si="1"/>
        <v>282.8645543</v>
      </c>
      <c r="D29" s="158" t="str">
        <f>VLOOKUP(A29,'Classement RoC'!$B$2:$C$149,1,0)</f>
        <v>SINGE7</v>
      </c>
      <c r="E29" s="163" t="str">
        <f t="shared" si="2"/>
        <v/>
      </c>
      <c r="F29" s="120" t="str">
        <f>VLOOKUP(A29,'Classement Général'!$B$2:$B$146,1,0)</f>
        <v>SINGE7</v>
      </c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</row>
    <row r="30" ht="14.25" customHeight="1">
      <c r="A30" s="160" t="str">
        <f>IFERROR(__xludf.DUMMYFUNCTION("""COMPUTED_VALUE"""),"Modoriya")</f>
        <v>Modoriya</v>
      </c>
      <c r="B30" s="156">
        <v>29.0</v>
      </c>
      <c r="C30" s="157">
        <f t="shared" si="1"/>
        <v>268.7108064</v>
      </c>
      <c r="D30" s="158" t="str">
        <f>VLOOKUP(A30,'Classement RoC'!$B$2:$C$149,1,0)</f>
        <v>Modoriya</v>
      </c>
      <c r="E30" s="163" t="str">
        <f t="shared" si="2"/>
        <v/>
      </c>
      <c r="F30" s="120" t="str">
        <f>VLOOKUP(A30,'Classement Général'!$B$2:$B$146,1,0)</f>
        <v>Modoriya</v>
      </c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</row>
    <row r="31" ht="14.25" customHeight="1">
      <c r="A31" s="160" t="str">
        <f>IFERROR(__xludf.DUMMYFUNCTION("""COMPUTED_VALUE"""),"UnPetitJaune")</f>
        <v>UnPetitJaune</v>
      </c>
      <c r="B31" s="161">
        <v>30.0</v>
      </c>
      <c r="C31" s="157">
        <f t="shared" si="1"/>
        <v>254.8585236</v>
      </c>
      <c r="D31" s="158" t="str">
        <f>VLOOKUP(A31,'Classement RoC'!$B$2:$C$149,1,0)</f>
        <v>UnPetitJaune</v>
      </c>
      <c r="E31" s="163" t="str">
        <f t="shared" si="2"/>
        <v/>
      </c>
      <c r="F31" s="120" t="str">
        <f>VLOOKUP(A31,'Classement Général'!$B$2:$B$146,1,0)</f>
        <v>UnPetitJaune</v>
      </c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</row>
    <row r="32" ht="14.25" customHeight="1">
      <c r="A32" s="160" t="str">
        <f>IFERROR(__xludf.DUMMYFUNCTION("""COMPUTED_VALUE"""),"Pachavi")</f>
        <v>Pachavi</v>
      </c>
      <c r="B32" s="156">
        <v>31.0</v>
      </c>
      <c r="C32" s="157">
        <f t="shared" si="1"/>
        <v>241.2879685</v>
      </c>
      <c r="D32" s="158" t="str">
        <f>VLOOKUP(A32,'Classement RoC'!$B$2:$C$149,1,0)</f>
        <v>Pachavi</v>
      </c>
      <c r="E32" s="163" t="str">
        <f t="shared" si="2"/>
        <v/>
      </c>
      <c r="F32" s="120" t="str">
        <f>VLOOKUP(A32,'Classement Général'!$B$2:$B$146,1,0)</f>
        <v>Pachavi</v>
      </c>
      <c r="G32" s="154"/>
      <c r="H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</row>
    <row r="33" ht="14.25" customHeight="1">
      <c r="A33" s="160" t="str">
        <f>IFERROR(__xludf.DUMMYFUNCTION("""COMPUTED_VALUE"""),"Manu8671")</f>
        <v>Manu8671</v>
      </c>
      <c r="B33" s="161">
        <v>32.0</v>
      </c>
      <c r="C33" s="157">
        <f t="shared" si="1"/>
        <v>227.9813373</v>
      </c>
      <c r="D33" s="158" t="str">
        <f>VLOOKUP(A33,'Classement RoC'!$B$2:$C$149,1,0)</f>
        <v>Manu8671</v>
      </c>
      <c r="E33" s="163" t="str">
        <f t="shared" si="2"/>
        <v/>
      </c>
      <c r="F33" s="120" t="str">
        <f>VLOOKUP(A33,'Classement Général'!$B$2:$B$146,1,0)</f>
        <v>Manu8671</v>
      </c>
      <c r="G33" s="154"/>
      <c r="H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</row>
    <row r="34" ht="14.25" customHeight="1">
      <c r="A34" s="160" t="str">
        <f>IFERROR(__xludf.DUMMYFUNCTION("""COMPUTED_VALUE"""),"A_iniesta")</f>
        <v>A_iniesta</v>
      </c>
      <c r="B34" s="156">
        <v>33.0</v>
      </c>
      <c r="C34" s="157">
        <f t="shared" si="1"/>
        <v>214.9225138</v>
      </c>
      <c r="D34" s="158" t="str">
        <f>VLOOKUP(A34,'Classement RoC'!$B$2:$C$149,1,0)</f>
        <v>A_iniesta</v>
      </c>
      <c r="E34" s="163" t="str">
        <f t="shared" si="2"/>
        <v/>
      </c>
      <c r="F34" s="120" t="str">
        <f>VLOOKUP(A34,'Classement Général'!$B$2:$B$146,1,0)</f>
        <v>A_iniesta</v>
      </c>
      <c r="G34" s="154"/>
      <c r="H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</row>
    <row r="35" ht="14.25" customHeight="1">
      <c r="A35" s="160" t="str">
        <f>IFERROR(__xludf.DUMMYFUNCTION("""COMPUTED_VALUE"""),"Kiki Bazaar")</f>
        <v>Kiki Bazaar</v>
      </c>
      <c r="B35" s="161">
        <v>34.0</v>
      </c>
      <c r="C35" s="157">
        <f t="shared" si="1"/>
        <v>202.0968626</v>
      </c>
      <c r="D35" s="158" t="str">
        <f>VLOOKUP(A35,'Classement RoC'!$B$2:$C$149,1,0)</f>
        <v>Kiki Bazaar</v>
      </c>
      <c r="E35" s="163" t="str">
        <f t="shared" si="2"/>
        <v/>
      </c>
      <c r="F35" s="120" t="str">
        <f>VLOOKUP(A35,'Classement Général'!$B$2:$B$146,1,0)</f>
        <v>Kiki Bazaar</v>
      </c>
      <c r="G35" s="154"/>
      <c r="H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</row>
    <row r="36" ht="14.25" customHeight="1">
      <c r="A36" s="160" t="str">
        <f>IFERROR(__xludf.DUMMYFUNCTION("""COMPUTED_VALUE"""),"QQkicall")</f>
        <v>QQkicall</v>
      </c>
      <c r="B36" s="156">
        <v>35.0</v>
      </c>
      <c r="C36" s="157">
        <f t="shared" si="1"/>
        <v>189.4910516</v>
      </c>
      <c r="D36" s="158" t="str">
        <f>VLOOKUP(A36,'Classement RoC'!$B$2:$C$149,1,0)</f>
        <v>QQkicall</v>
      </c>
      <c r="E36" s="163" t="str">
        <f t="shared" si="2"/>
        <v/>
      </c>
      <c r="F36" s="120" t="str">
        <f>VLOOKUP(A36,'Classement Général'!$B$2:$B$146,1,0)</f>
        <v>QQKicall</v>
      </c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</row>
    <row r="37" ht="14.25" customHeight="1">
      <c r="A37" s="160" t="str">
        <f>IFERROR(__xludf.DUMMYFUNCTION("""COMPUTED_VALUE"""),"FridAKahlo")</f>
        <v>FridAKahlo</v>
      </c>
      <c r="B37" s="161">
        <v>36.0</v>
      </c>
      <c r="C37" s="157">
        <f t="shared" si="1"/>
        <v>177.0929014</v>
      </c>
      <c r="D37" s="158" t="str">
        <f>VLOOKUP(A37,'Classement RoC'!$B$2:$C$149,1,0)</f>
        <v>FridAKahlo</v>
      </c>
      <c r="E37" s="163" t="str">
        <f t="shared" si="2"/>
        <v/>
      </c>
      <c r="F37" s="120" t="str">
        <f>VLOOKUP(A37,'Classement Général'!$B$2:$B$146,1,0)</f>
        <v>FridAKahlo</v>
      </c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</row>
    <row r="38" ht="14.25" customHeight="1">
      <c r="A38" s="160" t="str">
        <f>IFERROR(__xludf.DUMMYFUNCTION("""COMPUTED_VALUE"""),"Manon")</f>
        <v>Manon</v>
      </c>
      <c r="B38" s="156">
        <v>37.0</v>
      </c>
      <c r="C38" s="157">
        <f t="shared" si="1"/>
        <v>164.8912551</v>
      </c>
      <c r="D38" s="158" t="str">
        <f>VLOOKUP(A38,'Classement RoC'!$B$2:$C$149,1,0)</f>
        <v>Manon</v>
      </c>
      <c r="E38" s="163" t="str">
        <f t="shared" si="2"/>
        <v/>
      </c>
      <c r="F38" s="120" t="str">
        <f>VLOOKUP(A38,'Classement Général'!$B$2:$B$146,1,0)</f>
        <v>Manon</v>
      </c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</row>
    <row r="39" ht="14.25" customHeight="1">
      <c r="A39" s="160" t="str">
        <f>IFERROR(__xludf.DUMMYFUNCTION("""COMPUTED_VALUE"""),"--WondeR--")</f>
        <v>--WondeR--</v>
      </c>
      <c r="B39" s="161">
        <v>38.0</v>
      </c>
      <c r="C39" s="157">
        <f t="shared" si="1"/>
        <v>152.8758667</v>
      </c>
      <c r="D39" s="158" t="str">
        <f>VLOOKUP(A39,'Classement RoC'!$B$2:$C$149,1,0)</f>
        <v>--WondeR--</v>
      </c>
      <c r="E39" s="163" t="str">
        <f t="shared" si="2"/>
        <v/>
      </c>
      <c r="F39" s="120" t="str">
        <f>VLOOKUP(A39,'Classement Général'!$B$2:$B$146,1,0)</f>
        <v>--WondeR--</v>
      </c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</row>
    <row r="40" ht="14.25" customHeight="1">
      <c r="A40" s="160" t="str">
        <f>IFERROR(__xludf.DUMMYFUNCTION("""COMPUTED_VALUE"""),". BARBAPAPA66")</f>
        <v>. BARBAPAPA66</v>
      </c>
      <c r="B40" s="156">
        <v>39.0</v>
      </c>
      <c r="C40" s="157">
        <f t="shared" si="1"/>
        <v>141.0373036</v>
      </c>
      <c r="D40" s="158" t="str">
        <f>VLOOKUP(A40,'Classement RoC'!$B$2:$C$149,1,0)</f>
        <v>. BARBAPAPA66</v>
      </c>
      <c r="E40" s="163" t="str">
        <f t="shared" si="2"/>
        <v/>
      </c>
      <c r="F40" s="120" t="str">
        <f>VLOOKUP(A40,'Classement Général'!$B$2:$B$146,1,0)</f>
        <v>. BARBAPAPA66</v>
      </c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</row>
    <row r="41" ht="14.25" customHeight="1">
      <c r="A41" s="160" t="str">
        <f>IFERROR(__xludf.DUMMYFUNCTION("""COMPUTED_VALUE"""),"KKPTETYO")</f>
        <v>KKPTETYO</v>
      </c>
      <c r="B41" s="161">
        <v>40.0</v>
      </c>
      <c r="C41" s="157">
        <f t="shared" si="1"/>
        <v>129.366862</v>
      </c>
      <c r="D41" s="158" t="str">
        <f>VLOOKUP(A41,'Classement RoC'!$B$2:$C$149,1,0)</f>
        <v>KKPTETYO</v>
      </c>
      <c r="E41" s="163" t="str">
        <f t="shared" si="2"/>
        <v/>
      </c>
      <c r="F41" s="120" t="str">
        <f>VLOOKUP(A41,'Classement Général'!$B$2:$B$146,1,0)</f>
        <v>KKPTETYO</v>
      </c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</row>
    <row r="42" ht="14.25" customHeight="1">
      <c r="A42" s="160" t="str">
        <f>IFERROR(__xludf.DUMMYFUNCTION("""COMPUTED_VALUE"""),"gregmoore")</f>
        <v>gregmoore</v>
      </c>
      <c r="B42" s="156">
        <v>41.0</v>
      </c>
      <c r="C42" s="157">
        <f t="shared" si="1"/>
        <v>117.8564938</v>
      </c>
      <c r="D42" s="158" t="str">
        <f>VLOOKUP(A42,'Classement RoC'!$B$2:$C$149,1,0)</f>
        <v>gregmoore</v>
      </c>
      <c r="E42" s="163" t="str">
        <f t="shared" si="2"/>
        <v/>
      </c>
      <c r="F42" s="120" t="str">
        <f>VLOOKUP(A42,'Classement Général'!$B$2:$B$146,1,0)</f>
        <v>gregmoore</v>
      </c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</row>
    <row r="43" ht="14.25" customHeight="1">
      <c r="A43" s="160" t="str">
        <f>IFERROR(__xludf.DUMMYFUNCTION("""COMPUTED_VALUE"""),"chatouill86")</f>
        <v>chatouill86</v>
      </c>
      <c r="B43" s="161">
        <v>42.0</v>
      </c>
      <c r="C43" s="157">
        <f t="shared" si="1"/>
        <v>106.4987409</v>
      </c>
      <c r="D43" s="158" t="str">
        <f>VLOOKUP(A43,'Classement RoC'!$B$2:$C$149,1,0)</f>
        <v>chatouill86</v>
      </c>
      <c r="E43" s="163" t="str">
        <f t="shared" si="2"/>
        <v/>
      </c>
      <c r="F43" s="120" t="str">
        <f>VLOOKUP(A43,'Classement Général'!$B$2:$B$146,1,0)</f>
        <v>chatouill86</v>
      </c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</row>
    <row r="44" ht="14.25" customHeight="1">
      <c r="A44" s="160" t="str">
        <f>IFERROR(__xludf.DUMMYFUNCTION("""COMPUTED_VALUE"""),"Sab86360")</f>
        <v>Sab86360</v>
      </c>
      <c r="B44" s="156">
        <v>43.0</v>
      </c>
      <c r="C44" s="157">
        <f t="shared" si="1"/>
        <v>95.28667908</v>
      </c>
      <c r="D44" s="158" t="str">
        <f>VLOOKUP(A44,'Classement RoC'!$B$2:$C$149,1,0)</f>
        <v>Sab86360</v>
      </c>
      <c r="E44" s="163" t="str">
        <f t="shared" si="2"/>
        <v/>
      </c>
      <c r="F44" s="120" t="str">
        <f>VLOOKUP(A44,'Classement Général'!$B$2:$B$146,1,0)</f>
        <v>Sab86360</v>
      </c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</row>
    <row r="45" ht="14.25" customHeight="1">
      <c r="A45" s="160" t="str">
        <f>IFERROR(__xludf.DUMMYFUNCTION("""COMPUTED_VALUE"""),"kiki86 x")</f>
        <v>kiki86 x</v>
      </c>
      <c r="B45" s="161">
        <v>44.0</v>
      </c>
      <c r="C45" s="157">
        <f t="shared" si="1"/>
        <v>84.21386767</v>
      </c>
      <c r="D45" s="158" t="str">
        <f>VLOOKUP(A45,'Classement RoC'!$B$2:$C$149,1,0)</f>
        <v>kiki86 x</v>
      </c>
      <c r="E45" s="163" t="str">
        <f t="shared" si="2"/>
        <v/>
      </c>
      <c r="F45" s="120" t="str">
        <f>VLOOKUP(A45,'Classement Général'!$B$2:$B$146,1,0)</f>
        <v>kiki86 x</v>
      </c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</row>
    <row r="46" ht="14.25" customHeight="1">
      <c r="A46" s="160" t="str">
        <f>IFERROR(__xludf.DUMMYFUNCTION("""COMPUTED_VALUE"""),"Kevfurious")</f>
        <v>Kevfurious</v>
      </c>
      <c r="B46" s="156">
        <v>45.0</v>
      </c>
      <c r="C46" s="157">
        <f t="shared" si="1"/>
        <v>73.27430489</v>
      </c>
      <c r="D46" s="158" t="str">
        <f>VLOOKUP(A46,'Classement RoC'!$B$2:$C$149,1,0)</f>
        <v>Kevfurious</v>
      </c>
      <c r="E46" s="163" t="str">
        <f t="shared" si="2"/>
        <v/>
      </c>
      <c r="F46" s="120" t="str">
        <f>VLOOKUP(A46,'Classement Général'!$B$2:$B$146,1,0)</f>
        <v>Kevfurious</v>
      </c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</row>
    <row r="47" ht="14.25" customHeight="1">
      <c r="A47" s="160" t="str">
        <f>IFERROR(__xludf.DUMMYFUNCTION("""COMPUTED_VALUE"""),"JM-Chatte")</f>
        <v>JM-Chatte</v>
      </c>
      <c r="B47" s="161">
        <v>46.0</v>
      </c>
      <c r="C47" s="157">
        <f t="shared" si="1"/>
        <v>62.46238864</v>
      </c>
      <c r="D47" s="158" t="str">
        <f>VLOOKUP(A47,'Classement RoC'!$B$2:$C$149,1,0)</f>
        <v>JM-Chatte</v>
      </c>
      <c r="E47" s="163" t="str">
        <f t="shared" si="2"/>
        <v/>
      </c>
      <c r="F47" s="120" t="str">
        <f>VLOOKUP(A47,'Classement Général'!$B$2:$B$146,1,0)</f>
        <v>JM-Chatte</v>
      </c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</row>
    <row r="48" ht="14.25" customHeight="1">
      <c r="A48" s="160" t="str">
        <f>IFERROR(__xludf.DUMMYFUNCTION("""COMPUTED_VALUE"""),"imberbe")</f>
        <v>imberbe</v>
      </c>
      <c r="B48" s="156">
        <v>47.0</v>
      </c>
      <c r="C48" s="157">
        <f t="shared" si="1"/>
        <v>51.77288133</v>
      </c>
      <c r="D48" s="158" t="str">
        <f>VLOOKUP(A48,'Classement RoC'!$B$2:$C$149,1,0)</f>
        <v>imberbe</v>
      </c>
      <c r="E48" s="163" t="str">
        <f t="shared" si="2"/>
        <v/>
      </c>
      <c r="F48" s="120" t="str">
        <f>VLOOKUP(A48,'Classement Général'!$B$2:$B$146,1,0)</f>
        <v>imberbe</v>
      </c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 ht="14.25" customHeight="1">
      <c r="A49" s="160" t="str">
        <f>IFERROR(__xludf.DUMMYFUNCTION("""COMPUTED_VALUE"""),"rastamokett")</f>
        <v>rastamokett</v>
      </c>
      <c r="B49" s="161">
        <v>48.0</v>
      </c>
      <c r="C49" s="157">
        <f t="shared" si="1"/>
        <v>41.20087863</v>
      </c>
      <c r="D49" s="158" t="str">
        <f>VLOOKUP(A49,'Classement RoC'!$B$2:$C$149,1,0)</f>
        <v>rastamokett</v>
      </c>
      <c r="E49" s="163" t="str">
        <f t="shared" si="2"/>
        <v/>
      </c>
      <c r="F49" s="120" t="str">
        <f>VLOOKUP(A49,'Classement Général'!$B$2:$B$146,1,0)</f>
        <v>rastamokett</v>
      </c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50" ht="14.25" customHeight="1">
      <c r="A50" s="160" t="str">
        <f>IFERROR(__xludf.DUMMYFUNCTION("""COMPUTED_VALUE"""),"Mitch")</f>
        <v>Mitch</v>
      </c>
      <c r="B50" s="156">
        <v>49.0</v>
      </c>
      <c r="C50" s="157">
        <f t="shared" si="1"/>
        <v>30.74178142</v>
      </c>
      <c r="D50" s="158" t="str">
        <f>VLOOKUP(A50,'Classement RoC'!$B$2:$C$149,1,0)</f>
        <v>Mitch</v>
      </c>
      <c r="E50" s="163" t="str">
        <f t="shared" si="2"/>
        <v/>
      </c>
      <c r="F50" s="120" t="str">
        <f>VLOOKUP(A50,'Classement Général'!$B$2:$B$146,1,0)</f>
        <v>Mitch</v>
      </c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</row>
    <row r="51" ht="14.25" customHeight="1">
      <c r="A51" s="160" t="str">
        <f>IFERROR(__xludf.DUMMYFUNCTION("""COMPUTED_VALUE"""),".choco")</f>
        <v>.choco</v>
      </c>
      <c r="B51" s="161">
        <v>50.0</v>
      </c>
      <c r="C51" s="157">
        <f t="shared" si="1"/>
        <v>20.39127071</v>
      </c>
      <c r="D51" s="158" t="str">
        <f>VLOOKUP(A51,'Classement RoC'!$B$2:$C$149,1,0)</f>
        <v>.choco</v>
      </c>
      <c r="E51" s="163" t="str">
        <f t="shared" si="2"/>
        <v/>
      </c>
      <c r="F51" s="120" t="str">
        <f>VLOOKUP(A51,'Classement Général'!$B$2:$B$146,1,0)</f>
        <v>.choco</v>
      </c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</row>
    <row r="52" ht="14.25" customHeight="1">
      <c r="A52" s="160" t="str">
        <f>IFERROR(__xludf.DUMMYFUNCTION("""COMPUTED_VALUE"""),"Stross411")</f>
        <v>Stross411</v>
      </c>
      <c r="B52" s="156">
        <v>51.0</v>
      </c>
      <c r="C52" s="157">
        <f t="shared" si="1"/>
        <v>10.145285</v>
      </c>
      <c r="D52" s="158" t="str">
        <f>VLOOKUP(A52,'Classement RoC'!$B$2:$C$149,1,0)</f>
        <v>Stross411</v>
      </c>
      <c r="E52" s="163" t="str">
        <f t="shared" si="2"/>
        <v/>
      </c>
      <c r="F52" s="120" t="str">
        <f>VLOOKUP(A52,'Classement Général'!$B$2:$B$146,1,0)</f>
        <v>Stross411</v>
      </c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</row>
    <row r="53" ht="14.25" customHeight="1">
      <c r="A53" s="160"/>
      <c r="B53" s="161">
        <v>52.0</v>
      </c>
      <c r="C53" s="157">
        <f t="shared" si="1"/>
        <v>0</v>
      </c>
      <c r="D53" s="158" t="str">
        <f>VLOOKUP(A53,'Classement RoC'!$B$2:$C$149,1,0)</f>
        <v>#N/A</v>
      </c>
      <c r="E53" s="163" t="str">
        <f t="shared" si="2"/>
        <v>#N/A</v>
      </c>
      <c r="F53" s="120" t="str">
        <f>VLOOKUP(A53,'Classement Général'!$B$2:$B$146,1,0)</f>
        <v>#N/A</v>
      </c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</row>
    <row r="54" ht="14.25" customHeight="1">
      <c r="A54" s="160"/>
      <c r="B54" s="156">
        <v>53.0</v>
      </c>
      <c r="C54" s="157">
        <f t="shared" si="1"/>
        <v>-10.04818976</v>
      </c>
      <c r="D54" s="158" t="str">
        <f>VLOOKUP(A54,'Classement RoC'!$B$2:$C$149,1,0)</f>
        <v>#N/A</v>
      </c>
      <c r="E54" s="163" t="str">
        <f t="shared" si="2"/>
        <v>#N/A</v>
      </c>
      <c r="F54" s="120" t="str">
        <f>VLOOKUP(A54,'Classement Général'!$B$2:$B$146,1,0)</f>
        <v>#N/A</v>
      </c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</row>
    <row r="55" ht="14.25" customHeight="1">
      <c r="A55" s="160"/>
      <c r="B55" s="161">
        <v>54.0</v>
      </c>
      <c r="C55" s="157">
        <f t="shared" si="1"/>
        <v>-20.00268756</v>
      </c>
      <c r="D55" s="158" t="str">
        <f>VLOOKUP(A55,'Classement RoC'!$B$2:$C$149,1,0)</f>
        <v>#N/A</v>
      </c>
      <c r="E55" s="163" t="str">
        <f t="shared" si="2"/>
        <v>#N/A</v>
      </c>
      <c r="F55" s="120" t="str">
        <f>VLOOKUP(A55,'Classement Général'!$B$2:$B$146,1,0)</f>
        <v>#N/A</v>
      </c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</row>
    <row r="56" ht="14.25" customHeight="1">
      <c r="A56" s="160"/>
      <c r="B56" s="156">
        <v>55.0</v>
      </c>
      <c r="C56" s="157">
        <f t="shared" si="1"/>
        <v>-29.86670952</v>
      </c>
      <c r="D56" s="158" t="str">
        <f>VLOOKUP(A56,'Classement RoC'!$B$2:$C$149,1,0)</f>
        <v>#N/A</v>
      </c>
      <c r="E56" s="163" t="str">
        <f t="shared" si="2"/>
        <v>#N/A</v>
      </c>
      <c r="F56" s="120" t="str">
        <f>VLOOKUP(A56,'Classement Général'!$B$2:$B$146,1,0)</f>
        <v>#N/A</v>
      </c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</row>
    <row r="57" ht="14.25" customHeight="1">
      <c r="A57" s="160"/>
      <c r="B57" s="161">
        <v>56.0</v>
      </c>
      <c r="C57" s="157">
        <f t="shared" si="1"/>
        <v>-39.64329829</v>
      </c>
      <c r="D57" s="158" t="str">
        <f>VLOOKUP(A57,'Classement RoC'!$B$2:$C$149,1,0)</f>
        <v>#N/A</v>
      </c>
      <c r="E57" s="163" t="str">
        <f t="shared" si="2"/>
        <v>#N/A</v>
      </c>
      <c r="F57" s="120" t="str">
        <f>VLOOKUP(A57,'Classement Général'!$B$2:$B$146,1,0)</f>
        <v>#N/A</v>
      </c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</row>
    <row r="58" ht="14.25" customHeight="1">
      <c r="A58" s="160"/>
      <c r="B58" s="156">
        <v>57.0</v>
      </c>
      <c r="C58" s="157">
        <f t="shared" si="1"/>
        <v>-49.33533552</v>
      </c>
      <c r="D58" s="158" t="str">
        <f>VLOOKUP(A58,'Classement RoC'!$B$2:$C$149,1,0)</f>
        <v>#N/A</v>
      </c>
      <c r="E58" s="163" t="str">
        <f t="shared" si="2"/>
        <v>#N/A</v>
      </c>
      <c r="F58" s="120" t="str">
        <f>VLOOKUP(A58,'Classement Général'!$B$2:$B$146,1,0)</f>
        <v>#N/A</v>
      </c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</row>
    <row r="59" ht="14.25" customHeight="1">
      <c r="A59" s="160"/>
      <c r="B59" s="161">
        <v>58.0</v>
      </c>
      <c r="C59" s="157">
        <f t="shared" si="1"/>
        <v>-58.94555317</v>
      </c>
      <c r="D59" s="158" t="str">
        <f>VLOOKUP(A59,'Classement RoC'!$B$2:$C$149,1,0)</f>
        <v>#N/A</v>
      </c>
      <c r="E59" s="163" t="str">
        <f t="shared" si="2"/>
        <v>#N/A</v>
      </c>
      <c r="F59" s="120" t="str">
        <f>VLOOKUP(A59,'Classement Général'!$B$2:$B$146,1,0)</f>
        <v>#N/A</v>
      </c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</row>
    <row r="60" ht="14.25" customHeight="1">
      <c r="A60" s="160"/>
      <c r="B60" s="156">
        <v>59.0</v>
      </c>
      <c r="C60" s="157">
        <f t="shared" si="1"/>
        <v>-68.47654389</v>
      </c>
      <c r="D60" s="158" t="str">
        <f>VLOOKUP(A60,'Classement RoC'!$B$2:$C$149,1,0)</f>
        <v>#N/A</v>
      </c>
      <c r="E60" s="163" t="str">
        <f t="shared" si="2"/>
        <v>#N/A</v>
      </c>
      <c r="F60" s="120" t="str">
        <f>VLOOKUP(A60,'Classement Général'!$B$2:$B$146,1,0)</f>
        <v>#N/A</v>
      </c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</row>
    <row r="61" ht="14.25" customHeight="1">
      <c r="A61" s="160"/>
      <c r="B61" s="161">
        <v>60.0</v>
      </c>
      <c r="C61" s="157">
        <f t="shared" si="1"/>
        <v>-77.93077049</v>
      </c>
      <c r="D61" s="158" t="str">
        <f>VLOOKUP(A61,'Classement RoC'!$B$2:$C$149,1,0)</f>
        <v>#N/A</v>
      </c>
      <c r="E61" s="163" t="str">
        <f t="shared" si="2"/>
        <v>#N/A</v>
      </c>
      <c r="F61" s="120" t="str">
        <f>VLOOKUP(A61,'Classement Général'!$B$2:$B$146,1,0)</f>
        <v>#N/A</v>
      </c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</row>
    <row r="62" ht="14.25" customHeight="1">
      <c r="A62" s="160"/>
      <c r="B62" s="156">
        <v>61.0</v>
      </c>
      <c r="C62" s="157">
        <f t="shared" si="1"/>
        <v>-87.3105746</v>
      </c>
      <c r="D62" s="158" t="str">
        <f>VLOOKUP(A62,'Classement RoC'!$B$2:$C$149,1,0)</f>
        <v>#N/A</v>
      </c>
      <c r="E62" s="163" t="str">
        <f t="shared" si="2"/>
        <v>#N/A</v>
      </c>
      <c r="F62" s="120" t="str">
        <f>VLOOKUP(A62,'Classement Général'!$B$2:$B$146,1,0)</f>
        <v>#N/A</v>
      </c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</row>
    <row r="63" ht="14.25" customHeight="1">
      <c r="A63" s="160"/>
      <c r="B63" s="161">
        <v>62.0</v>
      </c>
      <c r="C63" s="157">
        <f t="shared" si="1"/>
        <v>-96.61818465</v>
      </c>
      <c r="D63" s="158" t="str">
        <f>VLOOKUP(A63,'Classement RoC'!$B$2:$C$149,1,0)</f>
        <v>#N/A</v>
      </c>
      <c r="E63" s="163" t="str">
        <f t="shared" si="2"/>
        <v>#N/A</v>
      </c>
      <c r="F63" s="120" t="str">
        <f>VLOOKUP(A63,'Classement Général'!$B$2:$B$146,1,0)</f>
        <v>#N/A</v>
      </c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</row>
    <row r="64" ht="14.25" customHeight="1">
      <c r="A64" s="160"/>
      <c r="B64" s="156">
        <v>63.0</v>
      </c>
      <c r="C64" s="157">
        <f t="shared" si="1"/>
        <v>-105.8557232</v>
      </c>
      <c r="D64" s="158" t="str">
        <f>VLOOKUP(A64,'Classement RoC'!$B$2:$C$149,1,0)</f>
        <v>#N/A</v>
      </c>
      <c r="E64" s="163" t="str">
        <f t="shared" si="2"/>
        <v>#N/A</v>
      </c>
      <c r="F64" s="120" t="str">
        <f>VLOOKUP(A64,'Classement Général'!$B$2:$B$146,1,0)</f>
        <v>#N/A</v>
      </c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</row>
    <row r="65" ht="14.25" customHeight="1">
      <c r="A65" s="160"/>
      <c r="B65" s="161">
        <v>64.0</v>
      </c>
      <c r="C65" s="157">
        <f t="shared" si="1"/>
        <v>-115.0252136</v>
      </c>
      <c r="D65" s="158" t="str">
        <f>VLOOKUP(A65,'Classement RoC'!$B$2:$C$149,1,0)</f>
        <v>#N/A</v>
      </c>
      <c r="E65" s="163" t="str">
        <f t="shared" si="2"/>
        <v>#N/A</v>
      </c>
      <c r="F65" s="120" t="str">
        <f>VLOOKUP(A65,'Classement Général'!$B$2:$B$146,1,0)</f>
        <v>#N/A</v>
      </c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</row>
    <row r="66" ht="14.25" customHeight="1">
      <c r="A66" s="160"/>
      <c r="B66" s="156">
        <v>65.0</v>
      </c>
      <c r="C66" s="157">
        <f t="shared" si="1"/>
        <v>-124.1285862</v>
      </c>
      <c r="D66" s="158" t="str">
        <f>VLOOKUP(A66,'Classement RoC'!$B$2:$C$149,1,0)</f>
        <v>#N/A</v>
      </c>
      <c r="E66" s="163" t="str">
        <f t="shared" si="2"/>
        <v>#N/A</v>
      </c>
      <c r="F66" s="120" t="str">
        <f>VLOOKUP(A66,'Classement Général'!$B$2:$B$146,1,0)</f>
        <v>#N/A</v>
      </c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</row>
    <row r="67" ht="14.25" customHeight="1">
      <c r="A67" s="160"/>
      <c r="B67" s="161">
        <v>66.0</v>
      </c>
      <c r="C67" s="157">
        <f t="shared" si="1"/>
        <v>-133.1676842</v>
      </c>
      <c r="D67" s="158" t="str">
        <f>VLOOKUP(A67,'Classement RoC'!$B$2:$C$149,1,0)</f>
        <v>#N/A</v>
      </c>
      <c r="E67" s="163" t="str">
        <f t="shared" si="2"/>
        <v>#N/A</v>
      </c>
      <c r="F67" s="120" t="str">
        <f>VLOOKUP(A67,'Classement Général'!$B$2:$B$146,1,0)</f>
        <v>#N/A</v>
      </c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</row>
    <row r="68" ht="14.25" customHeight="1">
      <c r="A68" s="160"/>
      <c r="B68" s="156">
        <v>67.0</v>
      </c>
      <c r="C68" s="157">
        <f t="shared" si="1"/>
        <v>-142.1442689</v>
      </c>
      <c r="D68" s="158" t="str">
        <f>VLOOKUP(A68,'Classement RoC'!$B$2:$C$149,1,0)</f>
        <v>#N/A</v>
      </c>
      <c r="E68" s="163" t="str">
        <f t="shared" si="2"/>
        <v>#N/A</v>
      </c>
      <c r="F68" s="120" t="str">
        <f>VLOOKUP(A68,'Classement Général'!$B$2:$B$146,1,0)</f>
        <v>#N/A</v>
      </c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</row>
    <row r="69" ht="14.25" customHeight="1">
      <c r="A69" s="160"/>
      <c r="B69" s="161">
        <v>68.0</v>
      </c>
      <c r="C69" s="157">
        <f t="shared" si="1"/>
        <v>-151.0600243</v>
      </c>
      <c r="D69" s="158" t="str">
        <f>VLOOKUP(A69,'Classement RoC'!$B$2:$C$149,1,0)</f>
        <v>#N/A</v>
      </c>
      <c r="E69" s="163" t="str">
        <f t="shared" si="2"/>
        <v>#N/A</v>
      </c>
      <c r="F69" s="120" t="str">
        <f>VLOOKUP(A69,'Classement Général'!$B$2:$B$146,1,0)</f>
        <v>#N/A</v>
      </c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</row>
    <row r="70" ht="14.25" customHeight="1">
      <c r="A70" s="160"/>
      <c r="B70" s="156">
        <v>69.0</v>
      </c>
      <c r="C70" s="157">
        <f t="shared" si="1"/>
        <v>-159.916562</v>
      </c>
      <c r="D70" s="158" t="str">
        <f>VLOOKUP(A70,'Classement RoC'!$B$2:$C$149,1,0)</f>
        <v>#N/A</v>
      </c>
      <c r="E70" s="163" t="str">
        <f t="shared" si="2"/>
        <v>#N/A</v>
      </c>
      <c r="F70" s="120" t="str">
        <f>VLOOKUP(A70,'Classement Général'!$B$2:$B$146,1,0)</f>
        <v>#N/A</v>
      </c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</row>
    <row r="71" ht="14.25" customHeight="1">
      <c r="A71" s="160"/>
      <c r="B71" s="161">
        <v>70.0</v>
      </c>
      <c r="C71" s="157">
        <f t="shared" si="1"/>
        <v>-168.7154252</v>
      </c>
      <c r="D71" s="158" t="str">
        <f>VLOOKUP(A71,'Classement RoC'!$B$2:$C$149,1,0)</f>
        <v>#N/A</v>
      </c>
      <c r="E71" s="163" t="str">
        <f t="shared" si="2"/>
        <v>#N/A</v>
      </c>
      <c r="F71" s="120" t="str">
        <f>VLOOKUP(A71,'Classement Général'!$B$2:$B$146,1,0)</f>
        <v>#N/A</v>
      </c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</row>
    <row r="72" ht="14.25" customHeight="1">
      <c r="A72" s="160"/>
      <c r="B72" s="156">
        <v>71.0</v>
      </c>
      <c r="C72" s="157">
        <f t="shared" si="1"/>
        <v>-177.4580927</v>
      </c>
      <c r="D72" s="158" t="str">
        <f>VLOOKUP(A72,'Classement RoC'!$B$2:$C$149,1,0)</f>
        <v>#N/A</v>
      </c>
      <c r="E72" s="163" t="str">
        <f t="shared" si="2"/>
        <v>#N/A</v>
      </c>
      <c r="F72" s="120" t="str">
        <f>VLOOKUP(A72,'Classement Général'!$B$2:$B$146,1,0)</f>
        <v>#N/A</v>
      </c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</row>
    <row r="73" ht="14.25" customHeight="1">
      <c r="A73" s="160"/>
      <c r="B73" s="161">
        <v>72.0</v>
      </c>
      <c r="C73" s="157">
        <f t="shared" si="1"/>
        <v>-186.1459824</v>
      </c>
      <c r="D73" s="158" t="str">
        <f>VLOOKUP(A73,'Classement RoC'!$B$2:$C$149,1,0)</f>
        <v>#N/A</v>
      </c>
      <c r="E73" s="163" t="str">
        <f t="shared" si="2"/>
        <v>#N/A</v>
      </c>
      <c r="F73" s="120" t="str">
        <f>VLOOKUP(A73,'Classement Général'!$B$2:$B$146,1,0)</f>
        <v>#N/A</v>
      </c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</row>
    <row r="74" ht="14.25" customHeight="1">
      <c r="A74" s="160"/>
      <c r="B74" s="156">
        <v>73.0</v>
      </c>
      <c r="C74" s="157">
        <f t="shared" si="1"/>
        <v>-194.7804547</v>
      </c>
      <c r="D74" s="158" t="str">
        <f>VLOOKUP(A74,'Classement RoC'!$B$2:$C$149,1,0)</f>
        <v>#N/A</v>
      </c>
      <c r="E74" s="163" t="str">
        <f t="shared" si="2"/>
        <v>#N/A</v>
      </c>
      <c r="F74" s="120" t="str">
        <f>VLOOKUP(A74,'Classement Général'!$B$2:$B$146,1,0)</f>
        <v>#N/A</v>
      </c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</row>
    <row r="75" ht="14.25" customHeight="1">
      <c r="A75" s="160"/>
      <c r="B75" s="161">
        <v>74.0</v>
      </c>
      <c r="C75" s="157">
        <f t="shared" si="1"/>
        <v>-203.3628158</v>
      </c>
      <c r="D75" s="158" t="str">
        <f>VLOOKUP(A75,'Classement RoC'!$B$2:$C$149,1,0)</f>
        <v>#N/A</v>
      </c>
      <c r="E75" s="163" t="str">
        <f t="shared" si="2"/>
        <v>#N/A</v>
      </c>
      <c r="F75" s="120" t="str">
        <f>VLOOKUP(A75,'Classement Général'!$B$2:$B$146,1,0)</f>
        <v>#N/A</v>
      </c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</row>
    <row r="76" ht="14.25" customHeight="1">
      <c r="A76" s="160"/>
      <c r="B76" s="156">
        <v>75.0</v>
      </c>
      <c r="C76" s="157">
        <f t="shared" si="1"/>
        <v>-211.8943203</v>
      </c>
      <c r="D76" s="158" t="str">
        <f>VLOOKUP(A76,'Classement RoC'!$B$2:$C$149,1,0)</f>
        <v>#N/A</v>
      </c>
      <c r="E76" s="163" t="str">
        <f t="shared" si="2"/>
        <v>#N/A</v>
      </c>
      <c r="F76" s="120" t="str">
        <f>VLOOKUP(A76,'Classement Général'!$B$2:$B$146,1,0)</f>
        <v>#N/A</v>
      </c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</row>
    <row r="77" ht="14.25" customHeight="1">
      <c r="A77" s="160"/>
      <c r="B77" s="161">
        <v>76.0</v>
      </c>
      <c r="C77" s="157">
        <f t="shared" si="1"/>
        <v>-220.3761742</v>
      </c>
      <c r="D77" s="158" t="str">
        <f>VLOOKUP(A77,'Classement RoC'!$B$2:$C$149,1,0)</f>
        <v>#N/A</v>
      </c>
      <c r="E77" s="163" t="str">
        <f t="shared" si="2"/>
        <v>#N/A</v>
      </c>
      <c r="F77" s="120" t="str">
        <f>VLOOKUP(A77,'Classement Général'!$B$2:$B$146,1,0)</f>
        <v>#N/A</v>
      </c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</row>
    <row r="78" ht="14.25" customHeight="1">
      <c r="A78" s="160"/>
      <c r="B78" s="156">
        <v>77.0</v>
      </c>
      <c r="C78" s="157">
        <f t="shared" si="1"/>
        <v>-228.8095374</v>
      </c>
      <c r="D78" s="158" t="str">
        <f>VLOOKUP(A78,'Classement RoC'!$B$2:$C$149,1,0)</f>
        <v>#N/A</v>
      </c>
      <c r="E78" s="163" t="str">
        <f t="shared" si="2"/>
        <v>#N/A</v>
      </c>
      <c r="F78" s="120" t="str">
        <f>VLOOKUP(A78,'Classement Général'!$B$2:$B$146,1,0)</f>
        <v>#N/A</v>
      </c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</row>
    <row r="79" ht="14.25" customHeight="1">
      <c r="A79" s="160"/>
      <c r="B79" s="161">
        <v>78.0</v>
      </c>
      <c r="C79" s="157">
        <f t="shared" si="1"/>
        <v>-237.1955259</v>
      </c>
      <c r="D79" s="158" t="str">
        <f>VLOOKUP(A79,'Classement RoC'!$B$2:$C$149,1,0)</f>
        <v>#N/A</v>
      </c>
      <c r="E79" s="163" t="str">
        <f t="shared" si="2"/>
        <v>#N/A</v>
      </c>
      <c r="F79" s="120" t="str">
        <f>VLOOKUP(A79,'Classement Général'!$B$2:$B$146,1,0)</f>
        <v>#N/A</v>
      </c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</row>
    <row r="80" ht="14.25" customHeight="1">
      <c r="A80" s="160"/>
      <c r="B80" s="156">
        <v>79.0</v>
      </c>
      <c r="C80" s="157">
        <f t="shared" si="1"/>
        <v>-245.5352144</v>
      </c>
      <c r="D80" s="158" t="str">
        <f>VLOOKUP(A80,'Classement RoC'!$B$2:$C$149,1,0)</f>
        <v>#N/A</v>
      </c>
      <c r="E80" s="163" t="str">
        <f t="shared" si="2"/>
        <v>#N/A</v>
      </c>
      <c r="F80" s="120" t="str">
        <f>VLOOKUP(A80,'Classement Général'!$B$2:$B$146,1,0)</f>
        <v>#N/A</v>
      </c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</row>
    <row r="81" ht="14.25" customHeight="1">
      <c r="A81" s="160"/>
      <c r="B81" s="161">
        <v>80.0</v>
      </c>
      <c r="C81" s="157">
        <f t="shared" si="1"/>
        <v>-253.8296379</v>
      </c>
      <c r="D81" s="158" t="str">
        <f>VLOOKUP(A81,'Classement RoC'!$B$2:$C$149,1,0)</f>
        <v>#N/A</v>
      </c>
      <c r="E81" s="163" t="str">
        <f t="shared" si="2"/>
        <v>#N/A</v>
      </c>
      <c r="F81" s="120" t="str">
        <f>VLOOKUP(A81,'Classement Général'!$B$2:$B$146,1,0)</f>
        <v>#N/A</v>
      </c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</row>
    <row r="82" ht="14.25" customHeight="1">
      <c r="A82" s="160"/>
      <c r="B82" s="156">
        <v>81.0</v>
      </c>
      <c r="C82" s="157">
        <f t="shared" si="1"/>
        <v>-262.0797941</v>
      </c>
      <c r="D82" s="158" t="str">
        <f>VLOOKUP(A82,'Classement RoC'!$B$2:$C$149,1,0)</f>
        <v>#N/A</v>
      </c>
      <c r="E82" s="163" t="str">
        <f t="shared" si="2"/>
        <v>#N/A</v>
      </c>
      <c r="F82" s="120" t="str">
        <f>VLOOKUP(A82,'Classement Général'!$B$2:$B$146,1,0)</f>
        <v>#N/A</v>
      </c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</row>
    <row r="83" ht="14.25" customHeight="1">
      <c r="A83" s="160"/>
      <c r="B83" s="161">
        <v>82.0</v>
      </c>
      <c r="C83" s="157">
        <f t="shared" si="1"/>
        <v>-270.2866449</v>
      </c>
      <c r="D83" s="158" t="str">
        <f>VLOOKUP(A83,'Classement RoC'!$B$2:$C$149,1,0)</f>
        <v>#N/A</v>
      </c>
      <c r="E83" s="163" t="str">
        <f t="shared" si="2"/>
        <v>#N/A</v>
      </c>
      <c r="F83" s="120" t="str">
        <f>VLOOKUP(A83,'Classement Général'!$B$2:$B$146,1,0)</f>
        <v>#N/A</v>
      </c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</row>
    <row r="84" ht="14.25" customHeight="1">
      <c r="A84" s="160"/>
      <c r="B84" s="156">
        <v>83.0</v>
      </c>
      <c r="C84" s="157">
        <f t="shared" si="1"/>
        <v>-278.4511183</v>
      </c>
      <c r="D84" s="158" t="str">
        <f>VLOOKUP(A84,'Classement RoC'!$B$2:$C$149,1,0)</f>
        <v>#N/A</v>
      </c>
      <c r="E84" s="163" t="str">
        <f t="shared" si="2"/>
        <v>#N/A</v>
      </c>
      <c r="F84" s="120" t="str">
        <f>VLOOKUP(A84,'Classement Général'!$B$2:$B$146,1,0)</f>
        <v>#N/A</v>
      </c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</row>
    <row r="85" ht="14.25" customHeight="1">
      <c r="A85" s="160"/>
      <c r="B85" s="161">
        <v>84.0</v>
      </c>
      <c r="C85" s="157">
        <f t="shared" si="1"/>
        <v>-286.5741101</v>
      </c>
      <c r="D85" s="158" t="str">
        <f>VLOOKUP(A85,'Classement RoC'!$B$2:$C$149,1,0)</f>
        <v>#N/A</v>
      </c>
      <c r="E85" s="163" t="str">
        <f t="shared" si="2"/>
        <v>#N/A</v>
      </c>
      <c r="F85" s="120" t="str">
        <f>VLOOKUP(A85,'Classement Général'!$B$2:$B$146,1,0)</f>
        <v>#N/A</v>
      </c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</row>
    <row r="86" ht="14.25" customHeight="1">
      <c r="A86" s="160"/>
      <c r="B86" s="156">
        <v>85.0</v>
      </c>
      <c r="C86" s="157">
        <f t="shared" si="1"/>
        <v>-294.6564852</v>
      </c>
      <c r="D86" s="158" t="str">
        <f>VLOOKUP(A86,'Classement RoC'!$B$2:$C$149,1,0)</f>
        <v>#N/A</v>
      </c>
      <c r="E86" s="163" t="str">
        <f t="shared" si="2"/>
        <v>#N/A</v>
      </c>
      <c r="F86" s="120" t="str">
        <f>VLOOKUP(A86,'Classement Général'!$B$2:$B$146,1,0)</f>
        <v>#N/A</v>
      </c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</row>
    <row r="87" ht="14.25" customHeight="1">
      <c r="A87" s="160"/>
      <c r="B87" s="161">
        <v>86.0</v>
      </c>
      <c r="C87" s="157">
        <f t="shared" si="1"/>
        <v>-302.6990792</v>
      </c>
      <c r="D87" s="158" t="str">
        <f>VLOOKUP(A87,'Classement RoC'!$B$2:$C$149,1,0)</f>
        <v>#N/A</v>
      </c>
      <c r="E87" s="163" t="str">
        <f t="shared" si="2"/>
        <v>#N/A</v>
      </c>
      <c r="F87" s="120" t="str">
        <f>VLOOKUP(A87,'Classement Général'!$B$2:$B$146,1,0)</f>
        <v>#N/A</v>
      </c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</row>
    <row r="88" ht="14.25" customHeight="1">
      <c r="A88" s="160"/>
      <c r="B88" s="156">
        <v>87.0</v>
      </c>
      <c r="C88" s="157">
        <f t="shared" si="1"/>
        <v>-310.7026997</v>
      </c>
      <c r="D88" s="158" t="str">
        <f>VLOOKUP(A88,'Classement RoC'!$B$2:$C$149,1,0)</f>
        <v>#N/A</v>
      </c>
      <c r="E88" s="163" t="str">
        <f t="shared" si="2"/>
        <v>#N/A</v>
      </c>
      <c r="F88" s="120" t="str">
        <f>VLOOKUP(A88,'Classement Général'!$B$2:$B$146,1,0)</f>
        <v>#N/A</v>
      </c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</row>
    <row r="89" ht="14.25" customHeight="1">
      <c r="A89" s="160"/>
      <c r="B89" s="161">
        <v>88.0</v>
      </c>
      <c r="C89" s="157">
        <f t="shared" si="1"/>
        <v>-318.6681275</v>
      </c>
      <c r="D89" s="158" t="str">
        <f>VLOOKUP(A89,'Classement RoC'!$B$2:$C$149,1,0)</f>
        <v>#N/A</v>
      </c>
      <c r="E89" s="163" t="str">
        <f t="shared" si="2"/>
        <v>#N/A</v>
      </c>
      <c r="F89" s="120" t="str">
        <f>VLOOKUP(A89,'Classement Général'!$B$2:$B$146,1,0)</f>
        <v>#N/A</v>
      </c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</row>
    <row r="90" ht="14.25" customHeight="1">
      <c r="A90" s="160"/>
      <c r="B90" s="156">
        <v>89.0</v>
      </c>
      <c r="C90" s="157">
        <f t="shared" si="1"/>
        <v>-326.5961178</v>
      </c>
      <c r="D90" s="158" t="str">
        <f>VLOOKUP(A90,'Classement RoC'!$B$2:$C$149,1,0)</f>
        <v>#N/A</v>
      </c>
      <c r="E90" s="163" t="str">
        <f t="shared" si="2"/>
        <v>#N/A</v>
      </c>
      <c r="F90" s="120" t="str">
        <f>VLOOKUP(A90,'Classement Général'!$B$2:$B$146,1,0)</f>
        <v>#N/A</v>
      </c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</row>
    <row r="91" ht="14.25" customHeight="1">
      <c r="A91" s="160"/>
      <c r="B91" s="161">
        <v>90.0</v>
      </c>
      <c r="C91" s="157">
        <f t="shared" si="1"/>
        <v>-334.4874017</v>
      </c>
      <c r="D91" s="158" t="str">
        <f>VLOOKUP(A91,'Classement RoC'!$B$2:$C$149,1,0)</f>
        <v>#N/A</v>
      </c>
      <c r="E91" s="163" t="str">
        <f t="shared" si="2"/>
        <v>#N/A</v>
      </c>
      <c r="F91" s="120" t="str">
        <f>VLOOKUP(A91,'Classement Général'!$B$2:$B$146,1,0)</f>
        <v>#N/A</v>
      </c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</row>
    <row r="92" ht="14.25" customHeight="1">
      <c r="A92" s="160"/>
      <c r="B92" s="156">
        <v>91.0</v>
      </c>
      <c r="C92" s="157">
        <f t="shared" si="1"/>
        <v>-342.3426867</v>
      </c>
      <c r="D92" s="158" t="str">
        <f>VLOOKUP(A92,'Classement RoC'!$B$2:$C$149,1,0)</f>
        <v>#N/A</v>
      </c>
      <c r="E92" s="163" t="str">
        <f t="shared" si="2"/>
        <v>#N/A</v>
      </c>
      <c r="F92" s="120" t="str">
        <f>VLOOKUP(A92,'Classement Général'!$B$2:$B$146,1,0)</f>
        <v>#N/A</v>
      </c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</row>
    <row r="93" ht="14.25" customHeight="1">
      <c r="A93" s="160"/>
      <c r="B93" s="161">
        <v>92.0</v>
      </c>
      <c r="C93" s="157">
        <f t="shared" si="1"/>
        <v>-350.1626579</v>
      </c>
      <c r="D93" s="158" t="str">
        <f>VLOOKUP(A93,'Classement RoC'!$B$2:$C$149,1,0)</f>
        <v>#N/A</v>
      </c>
      <c r="E93" s="163" t="str">
        <f t="shared" si="2"/>
        <v>#N/A</v>
      </c>
      <c r="F93" s="120" t="str">
        <f>VLOOKUP(A93,'Classement Général'!$B$2:$B$146,1,0)</f>
        <v>#N/A</v>
      </c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</row>
    <row r="94" ht="14.25" customHeight="1">
      <c r="A94" s="160"/>
      <c r="B94" s="156">
        <v>93.0</v>
      </c>
      <c r="C94" s="157">
        <f t="shared" si="1"/>
        <v>-357.9479795</v>
      </c>
      <c r="D94" s="158" t="str">
        <f>VLOOKUP(A94,'Classement RoC'!$B$2:$C$149,1,0)</f>
        <v>#N/A</v>
      </c>
      <c r="E94" s="163" t="str">
        <f t="shared" si="2"/>
        <v>#N/A</v>
      </c>
      <c r="F94" s="120" t="str">
        <f>VLOOKUP(A94,'Classement Général'!$B$2:$B$146,1,0)</f>
        <v>#N/A</v>
      </c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</row>
    <row r="95" ht="14.25" customHeight="1">
      <c r="A95" s="160"/>
      <c r="B95" s="161">
        <v>94.0</v>
      </c>
      <c r="C95" s="157">
        <f t="shared" si="1"/>
        <v>-365.6992946</v>
      </c>
      <c r="D95" s="158" t="str">
        <f>VLOOKUP(A95,'Classement RoC'!$B$2:$C$149,1,0)</f>
        <v>#N/A</v>
      </c>
      <c r="E95" s="163" t="str">
        <f t="shared" si="2"/>
        <v>#N/A</v>
      </c>
      <c r="F95" s="120" t="str">
        <f>VLOOKUP(A95,'Classement Général'!$B$2:$B$146,1,0)</f>
        <v>#N/A</v>
      </c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</row>
    <row r="96" ht="14.25" customHeight="1">
      <c r="A96" s="160"/>
      <c r="B96" s="156">
        <v>95.0</v>
      </c>
      <c r="C96" s="157">
        <f t="shared" si="1"/>
        <v>-373.4172273</v>
      </c>
      <c r="D96" s="158" t="str">
        <f>VLOOKUP(A96,'Classement RoC'!$B$2:$C$149,1,0)</f>
        <v>#N/A</v>
      </c>
      <c r="E96" s="163" t="str">
        <f t="shared" si="2"/>
        <v>#N/A</v>
      </c>
      <c r="F96" s="120" t="str">
        <f>VLOOKUP(A96,'Classement Général'!$B$2:$B$146,1,0)</f>
        <v>#N/A</v>
      </c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</row>
    <row r="97" ht="14.25" customHeight="1">
      <c r="A97" s="160"/>
      <c r="B97" s="161">
        <v>96.0</v>
      </c>
      <c r="C97" s="157">
        <f t="shared" si="1"/>
        <v>-381.1023826</v>
      </c>
      <c r="D97" s="158" t="str">
        <f>VLOOKUP(A97,'Classement RoC'!$B$2:$C$149,1,0)</f>
        <v>#N/A</v>
      </c>
      <c r="E97" s="163" t="str">
        <f t="shared" si="2"/>
        <v>#N/A</v>
      </c>
      <c r="F97" s="120" t="str">
        <f>VLOOKUP(A97,'Classement Général'!$B$2:$B$146,1,0)</f>
        <v>#N/A</v>
      </c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</row>
    <row r="98" ht="14.25" customHeight="1">
      <c r="A98" s="160"/>
      <c r="B98" s="156">
        <v>97.0</v>
      </c>
      <c r="C98" s="157">
        <f t="shared" si="1"/>
        <v>-388.7553474</v>
      </c>
      <c r="D98" s="158" t="str">
        <f>VLOOKUP(A98,'Classement RoC'!$B$2:$C$149,1,0)</f>
        <v>#N/A</v>
      </c>
      <c r="E98" s="163" t="str">
        <f t="shared" si="2"/>
        <v>#N/A</v>
      </c>
      <c r="F98" s="120" t="str">
        <f>VLOOKUP(A98,'Classement Général'!$B$2:$B$146,1,0)</f>
        <v>#N/A</v>
      </c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</row>
    <row r="99" ht="14.25" customHeight="1">
      <c r="A99" s="160"/>
      <c r="B99" s="161">
        <v>98.0</v>
      </c>
      <c r="C99" s="157">
        <f t="shared" si="1"/>
        <v>-396.3766916</v>
      </c>
      <c r="D99" s="158" t="str">
        <f>VLOOKUP(A99,'Classement RoC'!$B$2:$C$149,1,0)</f>
        <v>#N/A</v>
      </c>
      <c r="E99" s="163" t="str">
        <f t="shared" si="2"/>
        <v>#N/A</v>
      </c>
      <c r="F99" s="120" t="str">
        <f>VLOOKUP(A99,'Classement Général'!$B$2:$B$146,1,0)</f>
        <v>#N/A</v>
      </c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</row>
    <row r="100" ht="14.25" customHeight="1">
      <c r="A100" s="160"/>
      <c r="B100" s="156">
        <v>99.0</v>
      </c>
      <c r="C100" s="157">
        <f t="shared" si="1"/>
        <v>-403.9669682</v>
      </c>
      <c r="D100" s="158" t="str">
        <f>VLOOKUP(A100,'Classement RoC'!$B$2:$C$149,1,0)</f>
        <v>#N/A</v>
      </c>
      <c r="E100" s="163" t="str">
        <f t="shared" si="2"/>
        <v>#N/A</v>
      </c>
      <c r="F100" s="120" t="str">
        <f>VLOOKUP(A100,'Classement Général'!$B$2:$B$146,1,0)</f>
        <v>#N/A</v>
      </c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</row>
    <row r="101" ht="14.25" customHeight="1">
      <c r="A101" s="160"/>
      <c r="B101" s="161">
        <v>100.0</v>
      </c>
      <c r="C101" s="157">
        <f t="shared" si="1"/>
        <v>-411.5267146</v>
      </c>
      <c r="D101" s="158" t="str">
        <f>VLOOKUP(A101,'Classement RoC'!$B$2:$C$149,1,0)</f>
        <v>#N/A</v>
      </c>
      <c r="E101" s="163" t="str">
        <f t="shared" si="2"/>
        <v>#N/A</v>
      </c>
      <c r="F101" s="120" t="str">
        <f>VLOOKUP(A101,'Classement Général'!$B$2:$B$146,1,0)</f>
        <v>#N/A</v>
      </c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</row>
    <row r="102" ht="14.25" customHeight="1">
      <c r="A102" s="160"/>
      <c r="B102" s="156">
        <v>101.0</v>
      </c>
      <c r="C102" s="157">
        <f t="shared" si="1"/>
        <v>-419.0564526</v>
      </c>
      <c r="D102" s="158" t="str">
        <f>VLOOKUP(A102,'Classement RoC'!$B$2:$C$149,1,0)</f>
        <v>#N/A</v>
      </c>
      <c r="E102" s="163" t="str">
        <f t="shared" si="2"/>
        <v>#N/A</v>
      </c>
      <c r="F102" s="120" t="str">
        <f>VLOOKUP(A102,'Classement Général'!$B$2:$B$146,1,0)</f>
        <v>#N/A</v>
      </c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</row>
    <row r="103" ht="14.25" customHeight="1">
      <c r="A103" s="160"/>
      <c r="B103" s="161">
        <v>102.0</v>
      </c>
      <c r="C103" s="157">
        <f t="shared" si="1"/>
        <v>-426.5566894</v>
      </c>
      <c r="D103" s="158" t="str">
        <f>VLOOKUP(A103,'Classement RoC'!$B$2:$C$149,1,0)</f>
        <v>#N/A</v>
      </c>
      <c r="E103" s="163" t="str">
        <f t="shared" si="2"/>
        <v>#N/A</v>
      </c>
      <c r="F103" s="120" t="str">
        <f>VLOOKUP(A103,'Classement Général'!$B$2:$B$146,1,0)</f>
        <v>#N/A</v>
      </c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</row>
    <row r="104" ht="14.25" customHeight="1">
      <c r="A104" s="160"/>
      <c r="B104" s="156">
        <v>103.0</v>
      </c>
      <c r="C104" s="157">
        <f t="shared" si="1"/>
        <v>-434.027918</v>
      </c>
      <c r="D104" s="158" t="str">
        <f>VLOOKUP(A104,'Classement RoC'!$B$2:$C$149,1,0)</f>
        <v>#N/A</v>
      </c>
      <c r="E104" s="163" t="str">
        <f t="shared" si="2"/>
        <v>#N/A</v>
      </c>
      <c r="F104" s="120" t="str">
        <f>VLOOKUP(A104,'Classement Général'!$B$2:$B$146,1,0)</f>
        <v>#N/A</v>
      </c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</row>
    <row r="105" ht="14.25" customHeight="1">
      <c r="A105" s="160"/>
      <c r="B105" s="161">
        <v>104.0</v>
      </c>
      <c r="C105" s="157">
        <f t="shared" si="1"/>
        <v>-441.470618</v>
      </c>
      <c r="D105" s="158" t="str">
        <f>VLOOKUP(A105,'Classement RoC'!$B$2:$C$149,1,0)</f>
        <v>#N/A</v>
      </c>
      <c r="E105" s="163" t="str">
        <f t="shared" si="2"/>
        <v>#N/A</v>
      </c>
      <c r="F105" s="120" t="str">
        <f>VLOOKUP(A105,'Classement Général'!$B$2:$B$146,1,0)</f>
        <v>#N/A</v>
      </c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</row>
    <row r="106" ht="14.25" customHeight="1">
      <c r="A106" s="160"/>
      <c r="B106" s="156">
        <v>105.0</v>
      </c>
      <c r="C106" s="157">
        <f t="shared" si="1"/>
        <v>-448.8852556</v>
      </c>
      <c r="D106" s="158" t="str">
        <f>VLOOKUP(A106,'Classement RoC'!$B$2:$C$149,1,0)</f>
        <v>#N/A</v>
      </c>
      <c r="E106" s="163" t="str">
        <f t="shared" si="2"/>
        <v>#N/A</v>
      </c>
      <c r="F106" s="120" t="str">
        <f>VLOOKUP(A106,'Classement Général'!$B$2:$B$146,1,0)</f>
        <v>#N/A</v>
      </c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</row>
    <row r="107" ht="14.25" customHeight="1">
      <c r="A107" s="160"/>
      <c r="B107" s="161">
        <v>106.0</v>
      </c>
      <c r="C107" s="157">
        <f t="shared" si="1"/>
        <v>-456.2722846</v>
      </c>
      <c r="D107" s="158" t="str">
        <f>VLOOKUP(A107,'Classement RoC'!$B$2:$C$149,1,0)</f>
        <v>#N/A</v>
      </c>
      <c r="E107" s="163" t="str">
        <f t="shared" si="2"/>
        <v>#N/A</v>
      </c>
      <c r="F107" s="120" t="str">
        <f>VLOOKUP(A107,'Classement Général'!$B$2:$B$146,1,0)</f>
        <v>#N/A</v>
      </c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</row>
    <row r="108" ht="14.25" customHeight="1">
      <c r="A108" s="160"/>
      <c r="B108" s="156">
        <v>107.0</v>
      </c>
      <c r="C108" s="157">
        <f t="shared" si="1"/>
        <v>-463.6321466</v>
      </c>
      <c r="D108" s="158" t="str">
        <f>VLOOKUP(A108,'Classement RoC'!$B$2:$C$149,1,0)</f>
        <v>#N/A</v>
      </c>
      <c r="E108" s="163" t="str">
        <f t="shared" si="2"/>
        <v>#N/A</v>
      </c>
      <c r="F108" s="120" t="str">
        <f>VLOOKUP(A108,'Classement Général'!$B$2:$B$146,1,0)</f>
        <v>#N/A</v>
      </c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</row>
    <row r="109" ht="14.25" customHeight="1">
      <c r="A109" s="160"/>
      <c r="B109" s="161">
        <v>108.0</v>
      </c>
      <c r="C109" s="157">
        <f t="shared" si="1"/>
        <v>-470.9652714</v>
      </c>
      <c r="D109" s="158" t="str">
        <f>VLOOKUP(A109,'Classement RoC'!$B$2:$C$149,1,0)</f>
        <v>#N/A</v>
      </c>
      <c r="E109" s="163" t="str">
        <f t="shared" si="2"/>
        <v>#N/A</v>
      </c>
      <c r="F109" s="120" t="str">
        <f>VLOOKUP(A109,'Classement Général'!$B$2:$B$146,1,0)</f>
        <v>#N/A</v>
      </c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</row>
    <row r="110" ht="14.25" customHeight="1">
      <c r="A110" s="160"/>
      <c r="B110" s="156">
        <v>109.0</v>
      </c>
      <c r="C110" s="157">
        <f t="shared" si="1"/>
        <v>-478.2720778</v>
      </c>
      <c r="D110" s="158" t="str">
        <f>VLOOKUP(A110,'Classement RoC'!$B$2:$C$149,1,0)</f>
        <v>#N/A</v>
      </c>
      <c r="E110" s="163" t="str">
        <f t="shared" si="2"/>
        <v>#N/A</v>
      </c>
      <c r="F110" s="120" t="str">
        <f>VLOOKUP(A110,'Classement Général'!$B$2:$B$146,1,0)</f>
        <v>#N/A</v>
      </c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</row>
    <row r="111" ht="14.25" customHeight="1">
      <c r="A111" s="160"/>
      <c r="B111" s="161">
        <v>110.0</v>
      </c>
      <c r="C111" s="157">
        <f t="shared" si="1"/>
        <v>-485.5529734</v>
      </c>
      <c r="D111" s="158" t="str">
        <f>VLOOKUP(A111,'Classement RoC'!$B$2:$C$149,1,0)</f>
        <v>#N/A</v>
      </c>
      <c r="E111" s="163" t="str">
        <f t="shared" si="2"/>
        <v>#N/A</v>
      </c>
      <c r="F111" s="120" t="str">
        <f>VLOOKUP(A111,'Classement Général'!$B$2:$B$146,1,0)</f>
        <v>#N/A</v>
      </c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</row>
    <row r="112" ht="14.25" customHeight="1">
      <c r="A112" s="160"/>
      <c r="B112" s="156">
        <v>111.0</v>
      </c>
      <c r="C112" s="157">
        <f t="shared" si="1"/>
        <v>-492.8083555</v>
      </c>
      <c r="D112" s="158" t="str">
        <f>VLOOKUP(A112,'Classement RoC'!$B$2:$C$149,1,0)</f>
        <v>#N/A</v>
      </c>
      <c r="E112" s="163" t="str">
        <f t="shared" si="2"/>
        <v>#N/A</v>
      </c>
      <c r="F112" s="120" t="str">
        <f>VLOOKUP(A112,'Classement Général'!$B$2:$B$146,1,0)</f>
        <v>#N/A</v>
      </c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</row>
    <row r="113" ht="14.25" customHeight="1">
      <c r="A113" s="160"/>
      <c r="B113" s="161">
        <v>112.0</v>
      </c>
      <c r="C113" s="157">
        <f t="shared" si="1"/>
        <v>-500.0386113</v>
      </c>
      <c r="D113" s="158" t="str">
        <f>VLOOKUP(A113,'Classement RoC'!$B$2:$C$149,1,0)</f>
        <v>#N/A</v>
      </c>
      <c r="E113" s="163" t="str">
        <f t="shared" si="2"/>
        <v>#N/A</v>
      </c>
      <c r="F113" s="120" t="str">
        <f>VLOOKUP(A113,'Classement Général'!$B$2:$B$146,1,0)</f>
        <v>#N/A</v>
      </c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</row>
    <row r="114" ht="14.25" customHeight="1">
      <c r="A114" s="160"/>
      <c r="B114" s="156">
        <v>113.0</v>
      </c>
      <c r="C114" s="157">
        <f t="shared" si="1"/>
        <v>-507.2441182</v>
      </c>
      <c r="D114" s="158" t="str">
        <f>VLOOKUP(A114,'Classement RoC'!$B$2:$C$149,1,0)</f>
        <v>#N/A</v>
      </c>
      <c r="E114" s="163" t="str">
        <f t="shared" si="2"/>
        <v>#N/A</v>
      </c>
      <c r="F114" s="120" t="str">
        <f>VLOOKUP(A114,'Classement Général'!$B$2:$B$146,1,0)</f>
        <v>#N/A</v>
      </c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</row>
    <row r="115" ht="14.25" customHeight="1">
      <c r="A115" s="160"/>
      <c r="B115" s="161">
        <v>114.0</v>
      </c>
      <c r="C115" s="157">
        <f t="shared" si="1"/>
        <v>-514.4252441</v>
      </c>
      <c r="D115" s="158" t="str">
        <f>VLOOKUP(A115,'Classement RoC'!$B$2:$C$149,1,0)</f>
        <v>#N/A</v>
      </c>
      <c r="E115" s="163" t="str">
        <f t="shared" si="2"/>
        <v>#N/A</v>
      </c>
      <c r="F115" s="120" t="str">
        <f>VLOOKUP(A115,'Classement Général'!$B$2:$B$146,1,0)</f>
        <v>#N/A</v>
      </c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</row>
    <row r="116" ht="14.25" customHeight="1">
      <c r="A116" s="160"/>
      <c r="B116" s="156">
        <v>115.0</v>
      </c>
      <c r="C116" s="157">
        <f t="shared" si="1"/>
        <v>-521.582348</v>
      </c>
      <c r="D116" s="158" t="str">
        <f>VLOOKUP(A116,'Classement RoC'!$B$2:$C$149,1,0)</f>
        <v>#N/A</v>
      </c>
      <c r="E116" s="163" t="str">
        <f t="shared" si="2"/>
        <v>#N/A</v>
      </c>
      <c r="F116" s="120" t="str">
        <f>VLOOKUP(A116,'Classement Général'!$B$2:$B$146,1,0)</f>
        <v>#N/A</v>
      </c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</row>
    <row r="117" ht="14.25" customHeight="1">
      <c r="A117" s="160"/>
      <c r="B117" s="161">
        <v>116.0</v>
      </c>
      <c r="C117" s="157">
        <f t="shared" si="1"/>
        <v>-528.7157798</v>
      </c>
      <c r="D117" s="158" t="str">
        <f>VLOOKUP(A117,'Classement RoC'!$B$2:$C$149,1,0)</f>
        <v>#N/A</v>
      </c>
      <c r="E117" s="163" t="str">
        <f t="shared" si="2"/>
        <v>#N/A</v>
      </c>
      <c r="F117" s="120" t="str">
        <f>VLOOKUP(A117,'Classement Général'!$B$2:$B$146,1,0)</f>
        <v>#N/A</v>
      </c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</row>
    <row r="118" ht="14.25" customHeight="1">
      <c r="A118" s="160"/>
      <c r="B118" s="156">
        <v>117.0</v>
      </c>
      <c r="C118" s="157">
        <f t="shared" si="1"/>
        <v>-535.8258812</v>
      </c>
      <c r="D118" s="158" t="str">
        <f>VLOOKUP(A118,'Classement RoC'!$B$2:$C$149,1,0)</f>
        <v>#N/A</v>
      </c>
      <c r="E118" s="163" t="str">
        <f t="shared" si="2"/>
        <v>#N/A</v>
      </c>
      <c r="F118" s="120" t="str">
        <f>VLOOKUP(A118,'Classement Général'!$B$2:$B$146,1,0)</f>
        <v>#N/A</v>
      </c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</row>
    <row r="119" ht="14.25" customHeight="1">
      <c r="A119" s="160"/>
      <c r="B119" s="161">
        <v>118.0</v>
      </c>
      <c r="C119" s="157">
        <f t="shared" si="1"/>
        <v>-542.9129856</v>
      </c>
      <c r="D119" s="158" t="str">
        <f>VLOOKUP(A119,'Classement RoC'!$B$2:$C$149,1,0)</f>
        <v>#N/A</v>
      </c>
      <c r="E119" s="163" t="str">
        <f t="shared" si="2"/>
        <v>#N/A</v>
      </c>
      <c r="F119" s="120" t="str">
        <f>VLOOKUP(A119,'Classement Général'!$B$2:$B$146,1,0)</f>
        <v>#N/A</v>
      </c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</row>
    <row r="120" ht="14.25" customHeight="1">
      <c r="A120" s="160"/>
      <c r="B120" s="156">
        <v>119.0</v>
      </c>
      <c r="C120" s="157">
        <f t="shared" si="1"/>
        <v>-549.9774183</v>
      </c>
      <c r="D120" s="158" t="str">
        <f>VLOOKUP(A120,'Classement RoC'!$B$2:$C$149,1,0)</f>
        <v>#N/A</v>
      </c>
      <c r="E120" s="163" t="str">
        <f t="shared" si="2"/>
        <v>#N/A</v>
      </c>
      <c r="F120" s="120" t="str">
        <f>VLOOKUP(A120,'Classement Général'!$B$2:$B$146,1,0)</f>
        <v>#N/A</v>
      </c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</row>
    <row r="121" ht="14.25" customHeight="1">
      <c r="A121" s="160"/>
      <c r="B121" s="161">
        <v>120.0</v>
      </c>
      <c r="C121" s="157">
        <f t="shared" si="1"/>
        <v>-557.0194971</v>
      </c>
      <c r="D121" s="158" t="str">
        <f>VLOOKUP(A121,'Classement RoC'!$B$2:$C$149,1,0)</f>
        <v>#N/A</v>
      </c>
      <c r="E121" s="163" t="str">
        <f t="shared" si="2"/>
        <v>#N/A</v>
      </c>
      <c r="F121" s="120" t="str">
        <f>VLOOKUP(A121,'Classement Général'!$B$2:$B$146,1,0)</f>
        <v>#N/A</v>
      </c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</row>
    <row r="122" ht="14.25" customHeight="1">
      <c r="A122" s="160"/>
      <c r="B122" s="156">
        <v>121.0</v>
      </c>
      <c r="C122" s="157">
        <f t="shared" si="1"/>
        <v>-564.0395323</v>
      </c>
      <c r="D122" s="158" t="str">
        <f>VLOOKUP(A122,'Classement RoC'!$B$2:$C$149,1,0)</f>
        <v>#N/A</v>
      </c>
      <c r="E122" s="163" t="str">
        <f t="shared" si="2"/>
        <v>#N/A</v>
      </c>
      <c r="F122" s="120" t="str">
        <f>VLOOKUP(A122,'Classement Général'!$B$2:$B$146,1,0)</f>
        <v>#N/A</v>
      </c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</row>
    <row r="123" ht="14.25" customHeight="1">
      <c r="A123" s="160"/>
      <c r="B123" s="161">
        <v>122.0</v>
      </c>
      <c r="C123" s="157">
        <f t="shared" si="1"/>
        <v>-571.0378271</v>
      </c>
      <c r="D123" s="158" t="str">
        <f>VLOOKUP(A123,'Classement RoC'!$B$2:$C$149,1,0)</f>
        <v>#N/A</v>
      </c>
      <c r="E123" s="163" t="str">
        <f t="shared" si="2"/>
        <v>#N/A</v>
      </c>
      <c r="F123" s="120" t="str">
        <f>VLOOKUP(A123,'Classement Général'!$B$2:$B$146,1,0)</f>
        <v>#N/A</v>
      </c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</row>
    <row r="124" ht="14.25" customHeight="1">
      <c r="A124" s="160"/>
      <c r="B124" s="156">
        <v>123.0</v>
      </c>
      <c r="C124" s="157">
        <f t="shared" si="1"/>
        <v>-578.0146774</v>
      </c>
      <c r="D124" s="158" t="str">
        <f>VLOOKUP(A124,'Classement RoC'!$B$2:$C$149,1,0)</f>
        <v>#N/A</v>
      </c>
      <c r="E124" s="163" t="str">
        <f t="shared" si="2"/>
        <v>#N/A</v>
      </c>
      <c r="F124" s="120" t="str">
        <f>VLOOKUP(A124,'Classement Général'!$B$2:$B$146,1,0)</f>
        <v>#N/A</v>
      </c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</row>
    <row r="125" ht="14.25" customHeight="1">
      <c r="A125" s="160"/>
      <c r="B125" s="161">
        <v>124.0</v>
      </c>
      <c r="C125" s="157">
        <f t="shared" si="1"/>
        <v>-584.9703729</v>
      </c>
      <c r="D125" s="158" t="str">
        <f>VLOOKUP(A125,'Classement RoC'!$B$2:$C$149,1,0)</f>
        <v>#N/A</v>
      </c>
      <c r="E125" s="163" t="str">
        <f t="shared" si="2"/>
        <v>#N/A</v>
      </c>
      <c r="F125" s="120" t="str">
        <f>VLOOKUP(A125,'Classement Général'!$B$2:$B$146,1,0)</f>
        <v>#N/A</v>
      </c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</row>
    <row r="126" ht="14.25" customHeight="1">
      <c r="A126" s="160"/>
      <c r="B126" s="156">
        <v>125.0</v>
      </c>
      <c r="C126" s="157">
        <f t="shared" si="1"/>
        <v>-591.9051962</v>
      </c>
      <c r="D126" s="158" t="str">
        <f>VLOOKUP(A126,'Classement RoC'!$B$2:$C$149,1,0)</f>
        <v>#N/A</v>
      </c>
      <c r="E126" s="163" t="str">
        <f t="shared" si="2"/>
        <v>#N/A</v>
      </c>
      <c r="F126" s="120" t="str">
        <f>VLOOKUP(A126,'Classement Général'!$B$2:$B$146,1,0)</f>
        <v>#N/A</v>
      </c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</row>
    <row r="127" ht="14.25" customHeight="1">
      <c r="A127" s="160"/>
      <c r="B127" s="161">
        <v>126.0</v>
      </c>
      <c r="C127" s="157">
        <f t="shared" si="1"/>
        <v>-598.8194239</v>
      </c>
      <c r="D127" s="158" t="str">
        <f>VLOOKUP(A127,'Classement RoC'!$B$2:$C$149,1,0)</f>
        <v>#N/A</v>
      </c>
      <c r="E127" s="163" t="str">
        <f t="shared" si="2"/>
        <v>#N/A</v>
      </c>
      <c r="F127" s="120" t="str">
        <f>VLOOKUP(A127,'Classement Général'!$B$2:$B$146,1,0)</f>
        <v>#N/A</v>
      </c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</row>
    <row r="128" ht="14.25" customHeight="1">
      <c r="A128" s="160"/>
      <c r="B128" s="156">
        <v>127.0</v>
      </c>
      <c r="C128" s="157">
        <f t="shared" si="1"/>
        <v>-605.7133265</v>
      </c>
      <c r="D128" s="158" t="str">
        <f>VLOOKUP(A128,'Classement RoC'!$B$2:$C$149,1,0)</f>
        <v>#N/A</v>
      </c>
      <c r="E128" s="163" t="str">
        <f t="shared" si="2"/>
        <v>#N/A</v>
      </c>
      <c r="F128" s="120" t="str">
        <f>VLOOKUP(A128,'Classement Général'!$B$2:$B$146,1,0)</f>
        <v>#N/A</v>
      </c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</row>
    <row r="129" ht="14.25" customHeight="1">
      <c r="A129" s="160"/>
      <c r="B129" s="161">
        <v>128.0</v>
      </c>
      <c r="C129" s="157">
        <f t="shared" si="1"/>
        <v>-612.5871683</v>
      </c>
      <c r="D129" s="158" t="str">
        <f>VLOOKUP(A129,'Classement RoC'!$B$2:$C$149,1,0)</f>
        <v>#N/A</v>
      </c>
      <c r="E129" s="163" t="str">
        <f t="shared" si="2"/>
        <v>#N/A</v>
      </c>
      <c r="F129" s="120" t="str">
        <f>VLOOKUP(A129,'Classement Général'!$B$2:$B$146,1,0)</f>
        <v>#N/A</v>
      </c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</row>
    <row r="130" ht="14.25" customHeight="1">
      <c r="A130" s="160"/>
      <c r="B130" s="156">
        <v>129.0</v>
      </c>
      <c r="C130" s="157">
        <f t="shared" si="1"/>
        <v>-619.4412081</v>
      </c>
      <c r="D130" s="158" t="str">
        <f>VLOOKUP(A130,'Classement RoC'!$B$2:$C$149,1,0)</f>
        <v>#N/A</v>
      </c>
      <c r="E130" s="163" t="str">
        <f t="shared" si="2"/>
        <v>#N/A</v>
      </c>
      <c r="F130" s="120" t="str">
        <f>VLOOKUP(A130,'Classement Général'!$B$2:$B$146,1,0)</f>
        <v>#N/A</v>
      </c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</row>
    <row r="131" ht="14.25" customHeight="1">
      <c r="A131" s="160"/>
      <c r="B131" s="161">
        <v>130.0</v>
      </c>
      <c r="C131" s="157">
        <f t="shared" si="1"/>
        <v>-626.2756989</v>
      </c>
      <c r="D131" s="158" t="str">
        <f>VLOOKUP(A131,'Classement RoC'!$B$2:$C$149,1,0)</f>
        <v>#N/A</v>
      </c>
      <c r="E131" s="163" t="str">
        <f t="shared" si="2"/>
        <v>#N/A</v>
      </c>
      <c r="F131" s="120" t="str">
        <f>VLOOKUP(A131,'Classement Général'!$B$2:$B$146,1,0)</f>
        <v>#N/A</v>
      </c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</row>
    <row r="132" ht="14.25" customHeight="1">
      <c r="A132" s="160"/>
      <c r="B132" s="156">
        <v>131.0</v>
      </c>
      <c r="C132" s="157">
        <f t="shared" si="1"/>
        <v>-633.0908883</v>
      </c>
      <c r="D132" s="158" t="str">
        <f>VLOOKUP(A132,'Classement RoC'!$B$2:$C$149,1,0)</f>
        <v>#N/A</v>
      </c>
      <c r="E132" s="163" t="str">
        <f t="shared" si="2"/>
        <v>#N/A</v>
      </c>
      <c r="F132" s="120" t="str">
        <f>VLOOKUP(A132,'Classement Général'!$B$2:$B$146,1,0)</f>
        <v>#N/A</v>
      </c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</row>
    <row r="133" ht="14.25" customHeight="1">
      <c r="A133" s="160"/>
      <c r="B133" s="161">
        <v>132.0</v>
      </c>
      <c r="C133" s="157">
        <f t="shared" si="1"/>
        <v>-639.8870188</v>
      </c>
      <c r="D133" s="158" t="str">
        <f>VLOOKUP(A133,'Classement RoC'!$B$2:$C$149,1,0)</f>
        <v>#N/A</v>
      </c>
      <c r="E133" s="163" t="str">
        <f t="shared" si="2"/>
        <v>#N/A</v>
      </c>
      <c r="F133" s="120" t="str">
        <f>VLOOKUP(A133,'Classement Général'!$B$2:$B$146,1,0)</f>
        <v>#N/A</v>
      </c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</row>
    <row r="134" ht="14.25" customHeight="1">
      <c r="A134" s="160"/>
      <c r="B134" s="156">
        <v>133.0</v>
      </c>
      <c r="C134" s="157">
        <f t="shared" si="1"/>
        <v>-646.6643276</v>
      </c>
      <c r="D134" s="158" t="str">
        <f>VLOOKUP(A134,'Classement RoC'!$B$2:$C$149,1,0)</f>
        <v>#N/A</v>
      </c>
      <c r="E134" s="163" t="str">
        <f t="shared" si="2"/>
        <v>#N/A</v>
      </c>
      <c r="F134" s="120" t="str">
        <f>VLOOKUP(A134,'Classement Général'!$B$2:$B$146,1,0)</f>
        <v>#N/A</v>
      </c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</row>
    <row r="135" ht="14.25" customHeight="1">
      <c r="A135" s="160"/>
      <c r="B135" s="161">
        <v>134.0</v>
      </c>
      <c r="C135" s="157">
        <f t="shared" si="1"/>
        <v>-653.423047</v>
      </c>
      <c r="D135" s="158" t="str">
        <f>VLOOKUP(A135,'Classement RoC'!$B$2:$C$149,1,0)</f>
        <v>#N/A</v>
      </c>
      <c r="E135" s="163" t="str">
        <f t="shared" si="2"/>
        <v>#N/A</v>
      </c>
      <c r="F135" s="120" t="str">
        <f>VLOOKUP(A135,'Classement Général'!$B$2:$B$146,1,0)</f>
        <v>#N/A</v>
      </c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</row>
    <row r="136" ht="14.25" customHeight="1">
      <c r="A136" s="160"/>
      <c r="B136" s="156">
        <v>135.0</v>
      </c>
      <c r="C136" s="157">
        <f t="shared" si="1"/>
        <v>-660.1634044</v>
      </c>
      <c r="D136" s="158" t="str">
        <f>VLOOKUP(A136,'Classement RoC'!$B$2:$C$149,1,0)</f>
        <v>#N/A</v>
      </c>
      <c r="E136" s="163" t="str">
        <f t="shared" si="2"/>
        <v>#N/A</v>
      </c>
      <c r="F136" s="120" t="str">
        <f>VLOOKUP(A136,'Classement Général'!$B$2:$B$146,1,0)</f>
        <v>#N/A</v>
      </c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</row>
    <row r="137" ht="14.25" customHeight="1">
      <c r="A137" s="160"/>
      <c r="B137" s="161">
        <v>136.0</v>
      </c>
      <c r="C137" s="157">
        <f t="shared" si="1"/>
        <v>-666.8856227</v>
      </c>
      <c r="D137" s="158" t="str">
        <f>VLOOKUP(A137,'Classement RoC'!$B$2:$C$149,1,0)</f>
        <v>#N/A</v>
      </c>
      <c r="E137" s="163" t="str">
        <f t="shared" si="2"/>
        <v>#N/A</v>
      </c>
      <c r="F137" s="120" t="str">
        <f>VLOOKUP(A137,'Classement Général'!$B$2:$B$146,1,0)</f>
        <v>#N/A</v>
      </c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</row>
    <row r="138" ht="14.25" customHeight="1">
      <c r="A138" s="160"/>
      <c r="B138" s="156">
        <v>137.0</v>
      </c>
      <c r="C138" s="157">
        <f t="shared" si="1"/>
        <v>-673.5899202</v>
      </c>
      <c r="D138" s="158" t="str">
        <f>VLOOKUP(A138,'Classement RoC'!$B$2:$C$149,1,0)</f>
        <v>#N/A</v>
      </c>
      <c r="E138" s="163" t="str">
        <f t="shared" si="2"/>
        <v>#N/A</v>
      </c>
      <c r="F138" s="120" t="str">
        <f>VLOOKUP(A138,'Classement Général'!$B$2:$B$146,1,0)</f>
        <v>#N/A</v>
      </c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</row>
    <row r="139" ht="14.25" customHeight="1">
      <c r="A139" s="160"/>
      <c r="B139" s="161">
        <v>138.0</v>
      </c>
      <c r="C139" s="157">
        <f t="shared" si="1"/>
        <v>-680.2765105</v>
      </c>
      <c r="D139" s="158" t="str">
        <f>VLOOKUP(A139,'Classement RoC'!$B$2:$C$149,1,0)</f>
        <v>#N/A</v>
      </c>
      <c r="E139" s="163" t="str">
        <f t="shared" si="2"/>
        <v>#N/A</v>
      </c>
      <c r="F139" s="120" t="str">
        <f>VLOOKUP(A139,'Classement Général'!$B$2:$B$146,1,0)</f>
        <v>#N/A</v>
      </c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</row>
    <row r="140" ht="14.25" customHeight="1">
      <c r="A140" s="160"/>
      <c r="B140" s="156">
        <v>139.0</v>
      </c>
      <c r="C140" s="157">
        <f t="shared" si="1"/>
        <v>-686.9456033</v>
      </c>
      <c r="D140" s="158" t="str">
        <f>VLOOKUP(A140,'Classement RoC'!$B$2:$C$149,1,0)</f>
        <v>#N/A</v>
      </c>
      <c r="E140" s="163" t="str">
        <f t="shared" si="2"/>
        <v>#N/A</v>
      </c>
      <c r="F140" s="120" t="str">
        <f>VLOOKUP(A140,'Classement Général'!$B$2:$B$146,1,0)</f>
        <v>#N/A</v>
      </c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</row>
    <row r="141" ht="14.25" customHeight="1">
      <c r="A141" s="160"/>
      <c r="B141" s="161">
        <v>140.0</v>
      </c>
      <c r="C141" s="157">
        <f t="shared" si="1"/>
        <v>-693.5974039</v>
      </c>
      <c r="D141" s="158" t="str">
        <f>VLOOKUP(A141,'Classement RoC'!$B$2:$C$149,1,0)</f>
        <v>#N/A</v>
      </c>
      <c r="E141" s="163" t="str">
        <f t="shared" si="2"/>
        <v>#N/A</v>
      </c>
      <c r="F141" s="120" t="str">
        <f>VLOOKUP(A141,'Classement Général'!$B$2:$B$146,1,0)</f>
        <v>#N/A</v>
      </c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</row>
    <row r="142" ht="14.25" customHeight="1">
      <c r="A142" s="160"/>
      <c r="B142" s="156">
        <v>141.0</v>
      </c>
      <c r="C142" s="157">
        <f t="shared" si="1"/>
        <v>-700.2321135</v>
      </c>
      <c r="D142" s="158" t="str">
        <f>VLOOKUP(A142,'Classement RoC'!$B$2:$C$149,1,0)</f>
        <v>#N/A</v>
      </c>
      <c r="E142" s="163" t="str">
        <f t="shared" si="2"/>
        <v>#N/A</v>
      </c>
      <c r="F142" s="120" t="str">
        <f>VLOOKUP(A142,'Classement Général'!$B$2:$B$146,1,0)</f>
        <v>#N/A</v>
      </c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</row>
    <row r="143" ht="14.25" customHeight="1">
      <c r="A143" s="160"/>
      <c r="B143" s="161">
        <v>142.0</v>
      </c>
      <c r="C143" s="157">
        <f t="shared" si="1"/>
        <v>-706.8499295</v>
      </c>
      <c r="D143" s="158" t="str">
        <f>VLOOKUP(A143,'Classement RoC'!$B$2:$C$149,1,0)</f>
        <v>#N/A</v>
      </c>
      <c r="E143" s="163" t="str">
        <f t="shared" si="2"/>
        <v>#N/A</v>
      </c>
      <c r="F143" s="120" t="str">
        <f>VLOOKUP(A143,'Classement Général'!$B$2:$B$146,1,0)</f>
        <v>#N/A</v>
      </c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</row>
    <row r="144" ht="14.25" customHeight="1">
      <c r="A144" s="160"/>
      <c r="B144" s="156">
        <v>143.0</v>
      </c>
      <c r="C144" s="157">
        <f t="shared" si="1"/>
        <v>-713.4510454</v>
      </c>
      <c r="D144" s="158" t="str">
        <f>VLOOKUP(A144,'Classement RoC'!$B$2:$C$149,1,0)</f>
        <v>#N/A</v>
      </c>
      <c r="E144" s="163" t="str">
        <f t="shared" si="2"/>
        <v>#N/A</v>
      </c>
      <c r="F144" s="120" t="str">
        <f>VLOOKUP(A144,'Classement Général'!$B$2:$B$146,1,0)</f>
        <v>#N/A</v>
      </c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</row>
    <row r="145" ht="14.25" customHeight="1">
      <c r="A145" s="160"/>
      <c r="B145" s="161">
        <v>144.0</v>
      </c>
      <c r="C145" s="157">
        <f t="shared" si="1"/>
        <v>-720.0356508</v>
      </c>
      <c r="D145" s="158" t="str">
        <f>VLOOKUP(A145,'Classement RoC'!$B$2:$C$149,1,0)</f>
        <v>#N/A</v>
      </c>
      <c r="E145" s="163" t="str">
        <f t="shared" si="2"/>
        <v>#N/A</v>
      </c>
      <c r="F145" s="120" t="str">
        <f>VLOOKUP(A145,'Classement Général'!$B$2:$B$146,1,0)</f>
        <v>#N/A</v>
      </c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</row>
    <row r="146" ht="14.25" customHeight="1">
      <c r="A146" s="160"/>
      <c r="B146" s="156">
        <v>145.0</v>
      </c>
      <c r="C146" s="157">
        <f t="shared" si="1"/>
        <v>-726.6039319</v>
      </c>
      <c r="D146" s="158" t="str">
        <f>VLOOKUP(A146,'Classement RoC'!$B$2:$C$149,1,0)</f>
        <v>#N/A</v>
      </c>
      <c r="E146" s="163" t="str">
        <f t="shared" si="2"/>
        <v>#N/A</v>
      </c>
      <c r="F146" s="120" t="str">
        <f>VLOOKUP(A146,'Classement Général'!$B$2:$B$146,1,0)</f>
        <v>#N/A</v>
      </c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</row>
    <row r="147" ht="14.25" customHeight="1">
      <c r="A147" s="160"/>
      <c r="B147" s="161">
        <v>146.0</v>
      </c>
      <c r="C147" s="157">
        <f t="shared" si="1"/>
        <v>-733.1560713</v>
      </c>
      <c r="D147" s="158" t="str">
        <f>VLOOKUP(A147,'Classement RoC'!$B$2:$C$149,1,0)</f>
        <v>#N/A</v>
      </c>
      <c r="E147" s="163" t="str">
        <f t="shared" si="2"/>
        <v>#N/A</v>
      </c>
      <c r="F147" s="120" t="str">
        <f>VLOOKUP(A147,'Classement Général'!$B$2:$B$146,1,0)</f>
        <v>#N/A</v>
      </c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</row>
    <row r="148" ht="14.25" customHeight="1">
      <c r="A148" s="160"/>
      <c r="B148" s="156">
        <v>147.0</v>
      </c>
      <c r="C148" s="157">
        <f t="shared" si="1"/>
        <v>-739.692248</v>
      </c>
      <c r="D148" s="158" t="str">
        <f>VLOOKUP(A148,'Classement RoC'!$B$2:$C$149,1,0)</f>
        <v>#N/A</v>
      </c>
      <c r="E148" s="163" t="str">
        <f t="shared" si="2"/>
        <v>#N/A</v>
      </c>
      <c r="F148" s="120" t="str">
        <f>VLOOKUP(A148,'Classement Général'!$B$2:$B$146,1,0)</f>
        <v>#N/A</v>
      </c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</row>
    <row r="149" ht="14.25" customHeight="1">
      <c r="A149" s="160"/>
      <c r="B149" s="161">
        <v>148.0</v>
      </c>
      <c r="C149" s="157">
        <f t="shared" si="1"/>
        <v>-746.2126377</v>
      </c>
      <c r="D149" s="158" t="str">
        <f>VLOOKUP(A149,'Classement RoC'!$B$2:$C$149,1,0)</f>
        <v>#N/A</v>
      </c>
      <c r="E149" s="163" t="str">
        <f t="shared" si="2"/>
        <v>#N/A</v>
      </c>
      <c r="F149" s="120" t="str">
        <f>VLOOKUP(A149,'Classement Général'!$B$2:$B$146,1,0)</f>
        <v>#N/A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</row>
    <row r="150" ht="14.25" customHeight="1">
      <c r="A150" s="160"/>
      <c r="B150" s="156">
        <v>149.0</v>
      </c>
      <c r="C150" s="157">
        <f t="shared" si="1"/>
        <v>-752.7174129</v>
      </c>
      <c r="D150" s="158" t="str">
        <f>VLOOKUP(A150,'Classement RoC'!$B$2:$C$149,1,0)</f>
        <v>#N/A</v>
      </c>
      <c r="E150" s="163" t="str">
        <f t="shared" si="2"/>
        <v>#N/A</v>
      </c>
      <c r="F150" s="120" t="str">
        <f>VLOOKUP(A150,'Classement Général'!$B$2:$B$146,1,0)</f>
        <v>#N/A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</row>
    <row r="151" ht="14.25" customHeight="1">
      <c r="A151" s="160"/>
      <c r="B151" s="161">
        <v>150.0</v>
      </c>
      <c r="C151" s="157">
        <f t="shared" si="1"/>
        <v>-759.2067429</v>
      </c>
      <c r="D151" s="158" t="str">
        <f>VLOOKUP(A151,'Classement RoC'!$B$2:$C$149,1,0)</f>
        <v>#N/A</v>
      </c>
      <c r="E151" s="163" t="str">
        <f t="shared" si="2"/>
        <v>#N/A</v>
      </c>
      <c r="F151" s="120" t="str">
        <f>VLOOKUP(A151,'Classement Général'!$B$2:$B$146,1,0)</f>
        <v>#N/A</v>
      </c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</row>
    <row r="152" ht="14.25" customHeight="1">
      <c r="A152" s="160"/>
      <c r="B152" s="156">
        <v>151.0</v>
      </c>
      <c r="C152" s="157">
        <f t="shared" si="1"/>
        <v>-765.6807938</v>
      </c>
      <c r="D152" s="158" t="str">
        <f>VLOOKUP(A152,'Classement RoC'!$B$2:$C$149,1,0)</f>
        <v>#N/A</v>
      </c>
      <c r="E152" s="163" t="str">
        <f t="shared" si="2"/>
        <v>#N/A</v>
      </c>
      <c r="F152" s="120" t="str">
        <f>VLOOKUP(A152,'Classement Général'!$B$2:$B$146,1,0)</f>
        <v>#N/A</v>
      </c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</row>
    <row r="153" ht="14.25" customHeight="1">
      <c r="A153" s="160"/>
      <c r="B153" s="161">
        <v>152.0</v>
      </c>
      <c r="C153" s="157">
        <f t="shared" si="1"/>
        <v>-772.1397287</v>
      </c>
      <c r="D153" s="158" t="str">
        <f>VLOOKUP(A153,'Classement RoC'!$B$2:$C$149,1,0)</f>
        <v>#N/A</v>
      </c>
      <c r="E153" s="163" t="str">
        <f t="shared" si="2"/>
        <v>#N/A</v>
      </c>
      <c r="F153" s="120" t="str">
        <f>VLOOKUP(A153,'Classement Général'!$B$2:$B$146,1,0)</f>
        <v>#N/A</v>
      </c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</row>
    <row r="154" ht="14.25" customHeight="1">
      <c r="A154" s="160"/>
      <c r="B154" s="156">
        <v>153.0</v>
      </c>
      <c r="C154" s="157">
        <f t="shared" si="1"/>
        <v>-778.5837079</v>
      </c>
      <c r="D154" s="158" t="str">
        <f>VLOOKUP(A154,'Classement RoC'!$B$2:$C$149,1,0)</f>
        <v>#N/A</v>
      </c>
      <c r="E154" s="163" t="str">
        <f t="shared" si="2"/>
        <v>#N/A</v>
      </c>
      <c r="F154" s="120" t="str">
        <f>VLOOKUP(A154,'Classement Général'!$B$2:$B$146,1,0)</f>
        <v>#N/A</v>
      </c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</row>
    <row r="155" ht="14.25" customHeight="1">
      <c r="A155" s="160"/>
      <c r="B155" s="161">
        <v>154.0</v>
      </c>
      <c r="C155" s="157">
        <f t="shared" si="1"/>
        <v>-785.0128887</v>
      </c>
      <c r="D155" s="158" t="str">
        <f>VLOOKUP(A155,'Classement RoC'!$B$2:$C$149,1,0)</f>
        <v>#N/A</v>
      </c>
      <c r="E155" s="163" t="str">
        <f t="shared" si="2"/>
        <v>#N/A</v>
      </c>
      <c r="F155" s="120" t="str">
        <f>VLOOKUP(A155,'Classement Général'!$B$2:$B$146,1,0)</f>
        <v>#N/A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</row>
    <row r="156" ht="14.25" customHeight="1">
      <c r="A156" s="160"/>
      <c r="B156" s="156">
        <v>155.0</v>
      </c>
      <c r="C156" s="157">
        <f t="shared" si="1"/>
        <v>-791.4274254</v>
      </c>
      <c r="D156" s="158" t="str">
        <f>VLOOKUP(A156,'Classement RoC'!$B$2:$C$149,1,0)</f>
        <v>#N/A</v>
      </c>
      <c r="E156" s="163" t="str">
        <f t="shared" si="2"/>
        <v>#N/A</v>
      </c>
      <c r="F156" s="120" t="str">
        <f>VLOOKUP(A156,'Classement Général'!$B$2:$B$146,1,0)</f>
        <v>#N/A</v>
      </c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</row>
    <row r="157" ht="14.25" customHeight="1">
      <c r="A157" s="160"/>
      <c r="B157" s="161">
        <v>156.0</v>
      </c>
      <c r="C157" s="157">
        <f t="shared" si="1"/>
        <v>-797.8274699</v>
      </c>
      <c r="D157" s="158" t="str">
        <f>VLOOKUP(A157,'Classement RoC'!$B$2:$C$149,1,0)</f>
        <v>#N/A</v>
      </c>
      <c r="E157" s="163" t="str">
        <f t="shared" si="2"/>
        <v>#N/A</v>
      </c>
      <c r="F157" s="120" t="str">
        <f>VLOOKUP(A157,'Classement Général'!$B$2:$B$146,1,0)</f>
        <v>#N/A</v>
      </c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</row>
    <row r="158" ht="14.25" customHeight="1">
      <c r="A158" s="160"/>
      <c r="B158" s="156">
        <v>157.0</v>
      </c>
      <c r="C158" s="157">
        <f t="shared" si="1"/>
        <v>-804.2131713</v>
      </c>
      <c r="D158" s="158" t="str">
        <f>VLOOKUP(A158,'Classement RoC'!$B$2:$C$149,1,0)</f>
        <v>#N/A</v>
      </c>
      <c r="E158" s="163" t="str">
        <f t="shared" si="2"/>
        <v>#N/A</v>
      </c>
      <c r="F158" s="120" t="str">
        <f>VLOOKUP(A158,'Classement Général'!$B$2:$B$146,1,0)</f>
        <v>#N/A</v>
      </c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</row>
    <row r="159" ht="14.25" customHeight="1">
      <c r="A159" s="160"/>
      <c r="B159" s="161">
        <v>158.0</v>
      </c>
      <c r="C159" s="157">
        <f t="shared" si="1"/>
        <v>-810.584676</v>
      </c>
      <c r="D159" s="158" t="str">
        <f>VLOOKUP(A159,'Classement RoC'!$B$2:$C$149,1,0)</f>
        <v>#N/A</v>
      </c>
      <c r="E159" s="163" t="str">
        <f t="shared" si="2"/>
        <v>#N/A</v>
      </c>
      <c r="F159" s="120" t="str">
        <f>VLOOKUP(A159,'Classement Général'!$B$2:$B$146,1,0)</f>
        <v>#N/A</v>
      </c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</row>
    <row r="160" ht="14.25" customHeight="1">
      <c r="A160" s="160"/>
      <c r="B160" s="156">
        <v>159.0</v>
      </c>
      <c r="C160" s="157">
        <f t="shared" si="1"/>
        <v>-816.942128</v>
      </c>
      <c r="D160" s="158" t="str">
        <f>VLOOKUP(A160,'Classement RoC'!$B$2:$C$149,1,0)</f>
        <v>#N/A</v>
      </c>
      <c r="E160" s="163" t="str">
        <f t="shared" si="2"/>
        <v>#N/A</v>
      </c>
      <c r="F160" s="120" t="str">
        <f>VLOOKUP(A160,'Classement Général'!$B$2:$B$146,1,0)</f>
        <v>#N/A</v>
      </c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</row>
    <row r="161" ht="14.25" customHeight="1">
      <c r="A161" s="164"/>
      <c r="B161" s="165"/>
      <c r="C161" s="166"/>
      <c r="D161" s="167"/>
      <c r="E161" s="168"/>
      <c r="F161" s="120" t="str">
        <f>VLOOKUP(A161,'Classement Général'!$B$2:$B$146,1,0)</f>
        <v>#N/A</v>
      </c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</row>
    <row r="162" ht="14.25" customHeight="1">
      <c r="A162" s="164"/>
      <c r="B162" s="165"/>
      <c r="C162" s="166"/>
      <c r="D162" s="167"/>
      <c r="E162" s="168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4"/>
    </row>
    <row r="163" ht="14.25" customHeight="1">
      <c r="A163" s="164"/>
      <c r="B163" s="165"/>
      <c r="C163" s="166"/>
      <c r="D163" s="167"/>
      <c r="E163" s="168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</row>
    <row r="164" ht="14.25" customHeight="1">
      <c r="A164" s="164"/>
      <c r="B164" s="165"/>
      <c r="C164" s="166"/>
      <c r="D164" s="167"/>
      <c r="E164" s="168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</row>
    <row r="165" ht="14.25" customHeight="1">
      <c r="A165" s="164"/>
      <c r="B165" s="165"/>
      <c r="C165" s="166"/>
      <c r="D165" s="167"/>
      <c r="E165" s="168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</row>
    <row r="166" ht="14.25" customHeight="1">
      <c r="A166" s="164"/>
      <c r="B166" s="165"/>
      <c r="C166" s="166"/>
      <c r="D166" s="167"/>
      <c r="E166" s="168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</row>
    <row r="167" ht="14.25" customHeight="1">
      <c r="A167" s="164"/>
      <c r="B167" s="165"/>
      <c r="C167" s="166"/>
      <c r="D167" s="167"/>
      <c r="E167" s="168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</row>
    <row r="168" ht="14.25" customHeight="1">
      <c r="A168" s="164"/>
      <c r="B168" s="165"/>
      <c r="C168" s="166"/>
      <c r="D168" s="167"/>
      <c r="E168" s="168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</row>
    <row r="169" ht="14.25" customHeight="1">
      <c r="A169" s="164"/>
      <c r="B169" s="165"/>
      <c r="C169" s="166"/>
      <c r="D169" s="167"/>
      <c r="E169" s="168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</row>
    <row r="170" ht="14.25" customHeight="1">
      <c r="A170" s="164"/>
      <c r="B170" s="165"/>
      <c r="C170" s="166"/>
      <c r="D170" s="167"/>
      <c r="E170" s="168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</row>
    <row r="171" ht="14.25" customHeight="1">
      <c r="A171" s="164"/>
      <c r="B171" s="165"/>
      <c r="C171" s="166"/>
      <c r="D171" s="167"/>
      <c r="E171" s="168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</row>
    <row r="172" ht="14.25" customHeight="1">
      <c r="A172" s="164"/>
      <c r="B172" s="165"/>
      <c r="C172" s="166"/>
      <c r="D172" s="167"/>
      <c r="E172" s="168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</row>
    <row r="173" ht="14.25" customHeight="1">
      <c r="A173" s="164"/>
      <c r="B173" s="165"/>
      <c r="C173" s="166"/>
      <c r="D173" s="167"/>
      <c r="E173" s="168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</row>
    <row r="174" ht="14.25" customHeight="1">
      <c r="A174" s="164"/>
      <c r="B174" s="165"/>
      <c r="C174" s="166"/>
      <c r="D174" s="167"/>
      <c r="E174" s="168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</row>
    <row r="175" ht="14.25" customHeight="1">
      <c r="A175" s="164"/>
      <c r="B175" s="165"/>
      <c r="C175" s="166"/>
      <c r="D175" s="167"/>
      <c r="E175" s="168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</row>
    <row r="176" ht="14.25" customHeight="1">
      <c r="A176" s="164"/>
      <c r="B176" s="165"/>
      <c r="C176" s="166"/>
      <c r="D176" s="167"/>
      <c r="E176" s="168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</row>
    <row r="177" ht="14.25" customHeight="1">
      <c r="A177" s="164"/>
      <c r="B177" s="165"/>
      <c r="C177" s="166"/>
      <c r="D177" s="167"/>
      <c r="E177" s="168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4"/>
    </row>
    <row r="178" ht="14.25" customHeight="1">
      <c r="A178" s="164"/>
      <c r="B178" s="165"/>
      <c r="C178" s="166"/>
      <c r="D178" s="167"/>
      <c r="E178" s="168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</row>
    <row r="179" ht="14.25" customHeight="1">
      <c r="A179" s="164"/>
      <c r="B179" s="165"/>
      <c r="C179" s="166"/>
      <c r="D179" s="167"/>
      <c r="E179" s="168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4"/>
    </row>
    <row r="180" ht="14.25" customHeight="1">
      <c r="A180" s="164"/>
      <c r="B180" s="165"/>
      <c r="C180" s="166"/>
      <c r="D180" s="167"/>
      <c r="E180" s="168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</row>
    <row r="181" ht="14.25" customHeight="1">
      <c r="A181" s="164"/>
      <c r="B181" s="165"/>
      <c r="C181" s="166"/>
      <c r="D181" s="167"/>
      <c r="E181" s="168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</row>
    <row r="182" ht="14.25" customHeight="1">
      <c r="A182" s="164"/>
      <c r="B182" s="165"/>
      <c r="C182" s="166"/>
      <c r="D182" s="167"/>
      <c r="E182" s="168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154"/>
    </row>
    <row r="183" ht="14.25" customHeight="1">
      <c r="A183" s="164"/>
      <c r="B183" s="165"/>
      <c r="C183" s="166"/>
      <c r="D183" s="167"/>
      <c r="E183" s="168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4"/>
    </row>
    <row r="184" ht="14.25" customHeight="1">
      <c r="A184" s="164"/>
      <c r="B184" s="165"/>
      <c r="C184" s="166"/>
      <c r="D184" s="167"/>
      <c r="E184" s="168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</row>
    <row r="185" ht="14.25" customHeight="1">
      <c r="A185" s="164"/>
      <c r="B185" s="165"/>
      <c r="C185" s="166"/>
      <c r="D185" s="167"/>
      <c r="E185" s="168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</row>
    <row r="186" ht="14.25" customHeight="1">
      <c r="A186" s="164"/>
      <c r="B186" s="165"/>
      <c r="C186" s="166"/>
      <c r="D186" s="167"/>
      <c r="E186" s="168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</row>
    <row r="187" ht="14.25" customHeight="1">
      <c r="A187" s="164"/>
      <c r="B187" s="165"/>
      <c r="C187" s="166"/>
      <c r="D187" s="167"/>
      <c r="E187" s="168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</row>
    <row r="188" ht="14.25" customHeight="1">
      <c r="A188" s="164"/>
      <c r="B188" s="165"/>
      <c r="C188" s="166"/>
      <c r="D188" s="167"/>
      <c r="E188" s="168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</row>
    <row r="189" ht="14.25" customHeight="1">
      <c r="A189" s="164"/>
      <c r="B189" s="165"/>
      <c r="C189" s="166"/>
      <c r="D189" s="167"/>
      <c r="E189" s="168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</row>
    <row r="190" ht="14.25" customHeight="1">
      <c r="A190" s="164"/>
      <c r="B190" s="165"/>
      <c r="C190" s="166"/>
      <c r="D190" s="167"/>
      <c r="E190" s="168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</row>
    <row r="191" ht="14.25" customHeight="1">
      <c r="A191" s="164"/>
      <c r="B191" s="165"/>
      <c r="C191" s="166"/>
      <c r="D191" s="167"/>
      <c r="E191" s="168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</row>
    <row r="192" ht="14.25" customHeight="1">
      <c r="A192" s="164"/>
      <c r="B192" s="165"/>
      <c r="C192" s="166"/>
      <c r="D192" s="167"/>
      <c r="E192" s="168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</row>
    <row r="193" ht="14.25" customHeight="1">
      <c r="A193" s="164"/>
      <c r="B193" s="165"/>
      <c r="C193" s="166"/>
      <c r="D193" s="167"/>
      <c r="E193" s="168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</row>
    <row r="194" ht="14.25" customHeight="1">
      <c r="A194" s="164"/>
      <c r="B194" s="165"/>
      <c r="C194" s="166"/>
      <c r="D194" s="167"/>
      <c r="E194" s="168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</row>
    <row r="195" ht="14.25" customHeight="1">
      <c r="A195" s="164"/>
      <c r="B195" s="165"/>
      <c r="C195" s="166"/>
      <c r="D195" s="167"/>
      <c r="E195" s="168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</row>
    <row r="196" ht="14.25" customHeight="1">
      <c r="A196" s="164"/>
      <c r="B196" s="165"/>
      <c r="C196" s="166"/>
      <c r="D196" s="167"/>
      <c r="E196" s="168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</row>
    <row r="197" ht="14.25" customHeight="1">
      <c r="A197" s="164"/>
      <c r="B197" s="165"/>
      <c r="C197" s="166"/>
      <c r="D197" s="167"/>
      <c r="E197" s="168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</row>
    <row r="198" ht="14.25" customHeight="1">
      <c r="A198" s="164"/>
      <c r="B198" s="165"/>
      <c r="C198" s="166"/>
      <c r="D198" s="167"/>
      <c r="E198" s="168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</row>
    <row r="199" ht="14.25" customHeight="1">
      <c r="A199" s="164"/>
      <c r="B199" s="165"/>
      <c r="C199" s="166"/>
      <c r="D199" s="167"/>
      <c r="E199" s="168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154"/>
    </row>
    <row r="200" ht="14.25" customHeight="1">
      <c r="A200" s="164"/>
      <c r="B200" s="165"/>
      <c r="C200" s="166"/>
      <c r="D200" s="167"/>
      <c r="E200" s="168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4"/>
    </row>
    <row r="201" ht="14.25" customHeight="1">
      <c r="A201" s="164"/>
      <c r="B201" s="165"/>
      <c r="C201" s="166"/>
      <c r="D201" s="167"/>
      <c r="E201" s="168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</row>
    <row r="202" ht="14.25" customHeight="1">
      <c r="A202" s="164"/>
      <c r="B202" s="165"/>
      <c r="C202" s="166"/>
      <c r="D202" s="167"/>
      <c r="E202" s="168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4"/>
    </row>
    <row r="203" ht="14.25" customHeight="1">
      <c r="A203" s="164"/>
      <c r="B203" s="165"/>
      <c r="C203" s="166"/>
      <c r="D203" s="167"/>
      <c r="E203" s="168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</row>
    <row r="204" ht="14.25" customHeight="1">
      <c r="A204" s="164"/>
      <c r="B204" s="165"/>
      <c r="C204" s="166"/>
      <c r="D204" s="167"/>
      <c r="E204" s="168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</row>
    <row r="205" ht="14.25" customHeight="1">
      <c r="A205" s="164"/>
      <c r="B205" s="165"/>
      <c r="C205" s="166"/>
      <c r="D205" s="167"/>
      <c r="E205" s="168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</row>
    <row r="206" ht="14.25" customHeight="1">
      <c r="A206" s="164"/>
      <c r="B206" s="165"/>
      <c r="C206" s="166"/>
      <c r="D206" s="167"/>
      <c r="E206" s="168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</row>
    <row r="207" ht="14.25" customHeight="1">
      <c r="A207" s="164"/>
      <c r="B207" s="165"/>
      <c r="C207" s="166"/>
      <c r="D207" s="167"/>
      <c r="E207" s="168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</row>
    <row r="208" ht="14.25" customHeight="1">
      <c r="A208" s="164"/>
      <c r="B208" s="165"/>
      <c r="C208" s="166"/>
      <c r="D208" s="167"/>
      <c r="E208" s="168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</row>
    <row r="209" ht="14.25" customHeight="1">
      <c r="A209" s="164"/>
      <c r="B209" s="165"/>
      <c r="C209" s="166"/>
      <c r="D209" s="167"/>
      <c r="E209" s="168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</row>
    <row r="210" ht="14.25" customHeight="1">
      <c r="A210" s="164"/>
      <c r="B210" s="165"/>
      <c r="C210" s="166"/>
      <c r="D210" s="167"/>
      <c r="E210" s="168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</row>
    <row r="211" ht="14.25" customHeight="1">
      <c r="A211" s="164"/>
      <c r="B211" s="165"/>
      <c r="C211" s="166"/>
      <c r="D211" s="167"/>
      <c r="E211" s="168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</row>
    <row r="212" ht="14.25" customHeight="1">
      <c r="A212" s="164"/>
      <c r="B212" s="165"/>
      <c r="C212" s="166"/>
      <c r="D212" s="167"/>
      <c r="E212" s="168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</row>
    <row r="213" ht="14.25" customHeight="1">
      <c r="A213" s="164"/>
      <c r="B213" s="165"/>
      <c r="C213" s="166"/>
      <c r="D213" s="167"/>
      <c r="E213" s="168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</row>
    <row r="214" ht="14.25" customHeight="1">
      <c r="A214" s="164"/>
      <c r="B214" s="165"/>
      <c r="C214" s="166"/>
      <c r="D214" s="167"/>
      <c r="E214" s="168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</row>
    <row r="215" ht="14.25" customHeight="1">
      <c r="A215" s="164"/>
      <c r="B215" s="165"/>
      <c r="C215" s="166"/>
      <c r="D215" s="167"/>
      <c r="E215" s="168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4"/>
    </row>
    <row r="216" ht="14.25" customHeight="1">
      <c r="A216" s="164"/>
      <c r="B216" s="165"/>
      <c r="C216" s="166"/>
      <c r="D216" s="167"/>
      <c r="E216" s="168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</row>
    <row r="217" ht="14.25" customHeight="1">
      <c r="A217" s="164"/>
      <c r="B217" s="165"/>
      <c r="C217" s="166"/>
      <c r="D217" s="167"/>
      <c r="E217" s="168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</row>
    <row r="218" ht="14.25" customHeight="1">
      <c r="A218" s="164"/>
      <c r="B218" s="165"/>
      <c r="C218" s="166"/>
      <c r="D218" s="167"/>
      <c r="E218" s="168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</row>
    <row r="219" ht="14.25" customHeight="1">
      <c r="A219" s="164"/>
      <c r="B219" s="165"/>
      <c r="C219" s="166"/>
      <c r="D219" s="167"/>
      <c r="E219" s="168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</row>
    <row r="220" ht="14.25" customHeight="1">
      <c r="A220" s="164"/>
      <c r="B220" s="165"/>
      <c r="C220" s="166"/>
      <c r="D220" s="167"/>
      <c r="E220" s="168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</row>
    <row r="221" ht="14.25" customHeight="1">
      <c r="A221" s="164"/>
      <c r="B221" s="165"/>
      <c r="C221" s="166"/>
      <c r="D221" s="167"/>
      <c r="E221" s="168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</row>
    <row r="222" ht="14.25" customHeight="1">
      <c r="A222" s="164"/>
      <c r="B222" s="165"/>
      <c r="C222" s="166"/>
      <c r="D222" s="167"/>
      <c r="E222" s="168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</row>
    <row r="223" ht="14.25" customHeight="1">
      <c r="A223" s="164"/>
      <c r="B223" s="165"/>
      <c r="C223" s="166"/>
      <c r="D223" s="167"/>
      <c r="E223" s="168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</row>
    <row r="224" ht="14.25" customHeight="1">
      <c r="A224" s="164"/>
      <c r="B224" s="165"/>
      <c r="C224" s="166"/>
      <c r="D224" s="167"/>
      <c r="E224" s="168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</row>
    <row r="225" ht="14.25" customHeight="1">
      <c r="A225" s="164"/>
      <c r="B225" s="165"/>
      <c r="C225" s="166"/>
      <c r="D225" s="167"/>
      <c r="E225" s="168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</row>
    <row r="226" ht="14.25" customHeight="1">
      <c r="A226" s="164"/>
      <c r="B226" s="165"/>
      <c r="C226" s="166"/>
      <c r="D226" s="167"/>
      <c r="E226" s="168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</row>
    <row r="227" ht="14.25" customHeight="1">
      <c r="A227" s="164"/>
      <c r="B227" s="165"/>
      <c r="C227" s="166"/>
      <c r="D227" s="167"/>
      <c r="E227" s="168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</row>
    <row r="228" ht="14.25" customHeight="1">
      <c r="A228" s="164"/>
      <c r="B228" s="165"/>
      <c r="C228" s="166"/>
      <c r="D228" s="167"/>
      <c r="E228" s="168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</row>
    <row r="229" ht="14.25" customHeight="1">
      <c r="A229" s="164"/>
      <c r="B229" s="165"/>
      <c r="C229" s="166"/>
      <c r="D229" s="167"/>
      <c r="E229" s="168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</row>
    <row r="230" ht="14.25" customHeight="1">
      <c r="A230" s="164"/>
      <c r="B230" s="165"/>
      <c r="C230" s="166"/>
      <c r="D230" s="167"/>
      <c r="E230" s="168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</row>
    <row r="231" ht="14.25" customHeight="1">
      <c r="A231" s="164"/>
      <c r="B231" s="165"/>
      <c r="C231" s="166"/>
      <c r="D231" s="167"/>
      <c r="E231" s="168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154"/>
    </row>
    <row r="232" ht="14.25" customHeight="1">
      <c r="A232" s="164"/>
      <c r="B232" s="165"/>
      <c r="C232" s="166"/>
      <c r="D232" s="167"/>
      <c r="E232" s="168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154"/>
    </row>
    <row r="233" ht="14.25" customHeight="1">
      <c r="A233" s="164"/>
      <c r="B233" s="165"/>
      <c r="C233" s="166"/>
      <c r="D233" s="167"/>
      <c r="E233" s="168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  <c r="Z233" s="154"/>
    </row>
    <row r="234" ht="14.25" customHeight="1">
      <c r="A234" s="164"/>
      <c r="B234" s="165"/>
      <c r="C234" s="166"/>
      <c r="D234" s="167"/>
      <c r="E234" s="168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</row>
    <row r="235" ht="14.25" customHeight="1">
      <c r="A235" s="164"/>
      <c r="B235" s="165"/>
      <c r="C235" s="166"/>
      <c r="D235" s="167"/>
      <c r="E235" s="168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</row>
    <row r="236" ht="14.25" customHeight="1">
      <c r="A236" s="164"/>
      <c r="B236" s="165"/>
      <c r="C236" s="166"/>
      <c r="D236" s="167"/>
      <c r="E236" s="168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</row>
    <row r="237" ht="14.25" customHeight="1">
      <c r="A237" s="164"/>
      <c r="B237" s="165"/>
      <c r="C237" s="166"/>
      <c r="D237" s="167"/>
      <c r="E237" s="168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</row>
    <row r="238" ht="14.25" customHeight="1">
      <c r="A238" s="164"/>
      <c r="B238" s="165"/>
      <c r="C238" s="166"/>
      <c r="D238" s="167"/>
      <c r="E238" s="168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</row>
    <row r="239" ht="14.25" customHeight="1">
      <c r="A239" s="164"/>
      <c r="B239" s="165"/>
      <c r="C239" s="166"/>
      <c r="D239" s="167"/>
      <c r="E239" s="168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</row>
    <row r="240" ht="14.25" customHeight="1">
      <c r="A240" s="164"/>
      <c r="B240" s="165"/>
      <c r="C240" s="166"/>
      <c r="D240" s="167"/>
      <c r="E240" s="168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</row>
    <row r="241" ht="14.25" customHeight="1">
      <c r="A241" s="164"/>
      <c r="B241" s="165"/>
      <c r="C241" s="166"/>
      <c r="D241" s="167"/>
      <c r="E241" s="168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</row>
    <row r="242" ht="14.25" customHeight="1">
      <c r="A242" s="164"/>
      <c r="B242" s="165"/>
      <c r="C242" s="166"/>
      <c r="D242" s="167"/>
      <c r="E242" s="168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</row>
    <row r="243" ht="14.25" customHeight="1">
      <c r="A243" s="164"/>
      <c r="B243" s="165"/>
      <c r="C243" s="166"/>
      <c r="D243" s="167"/>
      <c r="E243" s="168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</row>
    <row r="244" ht="14.25" customHeight="1">
      <c r="A244" s="164"/>
      <c r="B244" s="165"/>
      <c r="C244" s="166"/>
      <c r="D244" s="167"/>
      <c r="E244" s="168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</row>
    <row r="245" ht="14.25" customHeight="1">
      <c r="A245" s="164"/>
      <c r="B245" s="165"/>
      <c r="C245" s="166"/>
      <c r="D245" s="167"/>
      <c r="E245" s="168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</row>
    <row r="246" ht="14.25" customHeight="1">
      <c r="A246" s="164"/>
      <c r="B246" s="165"/>
      <c r="C246" s="166"/>
      <c r="D246" s="167"/>
      <c r="E246" s="168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</row>
    <row r="247" ht="14.25" customHeight="1">
      <c r="A247" s="164"/>
      <c r="B247" s="165"/>
      <c r="C247" s="166"/>
      <c r="D247" s="167"/>
      <c r="E247" s="168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</row>
    <row r="248" ht="14.25" customHeight="1">
      <c r="A248" s="164"/>
      <c r="B248" s="165"/>
      <c r="C248" s="166"/>
      <c r="D248" s="167"/>
      <c r="E248" s="168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</row>
    <row r="249" ht="14.25" customHeight="1">
      <c r="A249" s="164"/>
      <c r="B249" s="165"/>
      <c r="C249" s="166"/>
      <c r="D249" s="167"/>
      <c r="E249" s="168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154"/>
    </row>
    <row r="250" ht="14.25" customHeight="1">
      <c r="A250" s="164"/>
      <c r="B250" s="165"/>
      <c r="C250" s="166"/>
      <c r="D250" s="167"/>
      <c r="E250" s="168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4"/>
    </row>
    <row r="251" ht="14.25" customHeight="1">
      <c r="A251" s="164"/>
      <c r="B251" s="165"/>
      <c r="C251" s="166"/>
      <c r="D251" s="167"/>
      <c r="E251" s="168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</row>
    <row r="252" ht="14.25" customHeight="1">
      <c r="A252" s="164"/>
      <c r="B252" s="165"/>
      <c r="C252" s="166"/>
      <c r="D252" s="167"/>
      <c r="E252" s="168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4"/>
    </row>
    <row r="253" ht="14.25" customHeight="1">
      <c r="A253" s="164"/>
      <c r="B253" s="165"/>
      <c r="C253" s="166"/>
      <c r="D253" s="167"/>
      <c r="E253" s="168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</row>
    <row r="254" ht="14.25" customHeight="1">
      <c r="A254" s="164"/>
      <c r="B254" s="165"/>
      <c r="C254" s="166"/>
      <c r="D254" s="167"/>
      <c r="E254" s="168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</row>
    <row r="255" ht="14.25" customHeight="1">
      <c r="A255" s="164"/>
      <c r="B255" s="165"/>
      <c r="C255" s="166"/>
      <c r="D255" s="167"/>
      <c r="E255" s="168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54"/>
    </row>
    <row r="256" ht="14.25" customHeight="1">
      <c r="A256" s="164"/>
      <c r="B256" s="165"/>
      <c r="C256" s="166"/>
      <c r="D256" s="167"/>
      <c r="E256" s="168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</row>
    <row r="257" ht="14.25" customHeight="1">
      <c r="A257" s="164"/>
      <c r="B257" s="165"/>
      <c r="C257" s="166"/>
      <c r="D257" s="167"/>
      <c r="E257" s="168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</row>
    <row r="258" ht="14.25" customHeight="1">
      <c r="A258" s="164"/>
      <c r="B258" s="165"/>
      <c r="C258" s="166"/>
      <c r="D258" s="167"/>
      <c r="E258" s="168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</row>
    <row r="259" ht="14.25" customHeight="1">
      <c r="A259" s="164"/>
      <c r="B259" s="165"/>
      <c r="C259" s="166"/>
      <c r="D259" s="167"/>
      <c r="E259" s="168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</row>
    <row r="260" ht="14.25" customHeight="1">
      <c r="A260" s="164"/>
      <c r="B260" s="165"/>
      <c r="C260" s="166"/>
      <c r="D260" s="167"/>
      <c r="E260" s="168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</row>
    <row r="261" ht="14.25" customHeight="1">
      <c r="A261" s="164"/>
      <c r="B261" s="165"/>
      <c r="C261" s="166"/>
      <c r="D261" s="167"/>
      <c r="E261" s="168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</row>
    <row r="262" ht="14.25" customHeight="1">
      <c r="A262" s="164"/>
      <c r="B262" s="165"/>
      <c r="C262" s="166"/>
      <c r="D262" s="167"/>
      <c r="E262" s="168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</row>
    <row r="263" ht="14.25" customHeight="1">
      <c r="A263" s="164"/>
      <c r="B263" s="165"/>
      <c r="C263" s="166"/>
      <c r="D263" s="167"/>
      <c r="E263" s="168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54"/>
    </row>
    <row r="264" ht="14.25" customHeight="1">
      <c r="A264" s="164"/>
      <c r="B264" s="165"/>
      <c r="C264" s="166"/>
      <c r="D264" s="167"/>
      <c r="E264" s="168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</row>
    <row r="265" ht="14.25" customHeight="1">
      <c r="A265" s="164"/>
      <c r="B265" s="165"/>
      <c r="C265" s="166"/>
      <c r="D265" s="167"/>
      <c r="E265" s="168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  <c r="Z265" s="154"/>
    </row>
    <row r="266" ht="14.25" customHeight="1">
      <c r="A266" s="164"/>
      <c r="B266" s="165"/>
      <c r="C266" s="166"/>
      <c r="D266" s="167"/>
      <c r="E266" s="168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  <c r="X266" s="154"/>
      <c r="Y266" s="154"/>
      <c r="Z266" s="154"/>
    </row>
    <row r="267" ht="14.25" customHeight="1">
      <c r="A267" s="164"/>
      <c r="B267" s="165"/>
      <c r="C267" s="166"/>
      <c r="D267" s="167"/>
      <c r="E267" s="168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4"/>
    </row>
    <row r="268" ht="14.25" customHeight="1">
      <c r="A268" s="164"/>
      <c r="B268" s="165"/>
      <c r="C268" s="166"/>
      <c r="D268" s="167"/>
      <c r="E268" s="168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4"/>
    </row>
    <row r="269" ht="14.25" customHeight="1">
      <c r="A269" s="164"/>
      <c r="B269" s="165"/>
      <c r="C269" s="166"/>
      <c r="D269" s="167"/>
      <c r="E269" s="168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4"/>
    </row>
    <row r="270" ht="14.25" customHeight="1">
      <c r="A270" s="164"/>
      <c r="B270" s="165"/>
      <c r="C270" s="166"/>
      <c r="D270" s="167"/>
      <c r="E270" s="168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4"/>
    </row>
    <row r="271" ht="14.25" customHeight="1">
      <c r="A271" s="164"/>
      <c r="B271" s="165"/>
      <c r="C271" s="166"/>
      <c r="D271" s="167"/>
      <c r="E271" s="168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4"/>
    </row>
    <row r="272" ht="14.25" customHeight="1">
      <c r="A272" s="164"/>
      <c r="B272" s="165"/>
      <c r="C272" s="166"/>
      <c r="D272" s="167"/>
      <c r="E272" s="168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154"/>
    </row>
    <row r="273" ht="14.25" customHeight="1">
      <c r="A273" s="164"/>
      <c r="B273" s="165"/>
      <c r="C273" s="166"/>
      <c r="D273" s="167"/>
      <c r="E273" s="168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4"/>
    </row>
    <row r="274" ht="14.25" customHeight="1">
      <c r="A274" s="164"/>
      <c r="B274" s="165"/>
      <c r="C274" s="166"/>
      <c r="D274" s="167"/>
      <c r="E274" s="168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4"/>
    </row>
    <row r="275" ht="14.25" customHeight="1">
      <c r="A275" s="164"/>
      <c r="B275" s="165"/>
      <c r="C275" s="166"/>
      <c r="D275" s="167"/>
      <c r="E275" s="168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4"/>
    </row>
    <row r="276" ht="14.25" customHeight="1">
      <c r="A276" s="164"/>
      <c r="B276" s="165"/>
      <c r="C276" s="166"/>
      <c r="D276" s="167"/>
      <c r="E276" s="168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</row>
    <row r="277" ht="14.25" customHeight="1">
      <c r="A277" s="164"/>
      <c r="B277" s="165"/>
      <c r="C277" s="166"/>
      <c r="D277" s="167"/>
      <c r="E277" s="168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</row>
    <row r="278" ht="14.25" customHeight="1">
      <c r="A278" s="164"/>
      <c r="B278" s="165"/>
      <c r="C278" s="166"/>
      <c r="D278" s="167"/>
      <c r="E278" s="168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</row>
    <row r="279" ht="14.25" customHeight="1">
      <c r="A279" s="164"/>
      <c r="B279" s="165"/>
      <c r="C279" s="166"/>
      <c r="D279" s="167"/>
      <c r="E279" s="168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4"/>
    </row>
    <row r="280" ht="14.25" customHeight="1">
      <c r="A280" s="164"/>
      <c r="B280" s="165"/>
      <c r="C280" s="166"/>
      <c r="D280" s="167"/>
      <c r="E280" s="168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</row>
    <row r="281" ht="14.25" customHeight="1">
      <c r="A281" s="164"/>
      <c r="B281" s="165"/>
      <c r="C281" s="166"/>
      <c r="D281" s="167"/>
      <c r="E281" s="168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</row>
    <row r="282" ht="14.25" customHeight="1">
      <c r="A282" s="164"/>
      <c r="B282" s="165"/>
      <c r="C282" s="166"/>
      <c r="D282" s="167"/>
      <c r="E282" s="168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</row>
    <row r="283" ht="14.25" customHeight="1">
      <c r="A283" s="164"/>
      <c r="B283" s="165"/>
      <c r="C283" s="166"/>
      <c r="D283" s="167"/>
      <c r="E283" s="168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</row>
    <row r="284" ht="14.25" customHeight="1">
      <c r="A284" s="164"/>
      <c r="B284" s="165"/>
      <c r="C284" s="166"/>
      <c r="D284" s="167"/>
      <c r="E284" s="168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</row>
    <row r="285" ht="14.25" customHeight="1">
      <c r="A285" s="164"/>
      <c r="B285" s="165"/>
      <c r="C285" s="166"/>
      <c r="D285" s="167"/>
      <c r="E285" s="168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154"/>
    </row>
    <row r="286" ht="14.25" customHeight="1">
      <c r="A286" s="164"/>
      <c r="B286" s="165"/>
      <c r="C286" s="166"/>
      <c r="D286" s="167"/>
      <c r="E286" s="168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4"/>
    </row>
    <row r="287" ht="14.25" customHeight="1">
      <c r="A287" s="164"/>
      <c r="B287" s="165"/>
      <c r="C287" s="166"/>
      <c r="D287" s="167"/>
      <c r="E287" s="168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</row>
    <row r="288" ht="14.25" customHeight="1">
      <c r="A288" s="164"/>
      <c r="B288" s="165"/>
      <c r="C288" s="166"/>
      <c r="D288" s="167"/>
      <c r="E288" s="168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</row>
    <row r="289" ht="14.25" customHeight="1">
      <c r="A289" s="164"/>
      <c r="B289" s="165"/>
      <c r="C289" s="166"/>
      <c r="D289" s="167"/>
      <c r="E289" s="168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</row>
    <row r="290" ht="14.25" customHeight="1">
      <c r="A290" s="164"/>
      <c r="B290" s="165"/>
      <c r="C290" s="166"/>
      <c r="D290" s="167"/>
      <c r="E290" s="168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4"/>
    </row>
    <row r="291" ht="14.25" customHeight="1">
      <c r="A291" s="164"/>
      <c r="B291" s="165"/>
      <c r="C291" s="166"/>
      <c r="D291" s="167"/>
      <c r="E291" s="168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154"/>
    </row>
    <row r="292" ht="14.25" customHeight="1">
      <c r="A292" s="164"/>
      <c r="B292" s="165"/>
      <c r="C292" s="166"/>
      <c r="D292" s="167"/>
      <c r="E292" s="168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154"/>
    </row>
    <row r="293" ht="14.25" customHeight="1">
      <c r="A293" s="164"/>
      <c r="B293" s="165"/>
      <c r="C293" s="166"/>
      <c r="D293" s="167"/>
      <c r="E293" s="168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154"/>
    </row>
    <row r="294" ht="14.25" customHeight="1">
      <c r="A294" s="164"/>
      <c r="B294" s="165"/>
      <c r="C294" s="166"/>
      <c r="D294" s="167"/>
      <c r="E294" s="168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</row>
    <row r="295" ht="14.25" customHeight="1">
      <c r="A295" s="164"/>
      <c r="B295" s="165"/>
      <c r="C295" s="166"/>
      <c r="D295" s="167"/>
      <c r="E295" s="168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</row>
    <row r="296" ht="14.25" customHeight="1">
      <c r="A296" s="164"/>
      <c r="B296" s="165"/>
      <c r="C296" s="166"/>
      <c r="D296" s="167"/>
      <c r="E296" s="168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</row>
    <row r="297" ht="14.25" customHeight="1">
      <c r="A297" s="164"/>
      <c r="B297" s="165"/>
      <c r="C297" s="166"/>
      <c r="D297" s="167"/>
      <c r="E297" s="168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</row>
    <row r="298" ht="14.25" customHeight="1">
      <c r="A298" s="164"/>
      <c r="B298" s="165"/>
      <c r="C298" s="166"/>
      <c r="D298" s="167"/>
      <c r="E298" s="168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</row>
    <row r="299" ht="14.25" customHeight="1">
      <c r="A299" s="164"/>
      <c r="B299" s="165"/>
      <c r="C299" s="166"/>
      <c r="D299" s="167"/>
      <c r="E299" s="168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</row>
    <row r="300" ht="14.25" customHeight="1">
      <c r="A300" s="164"/>
      <c r="B300" s="165"/>
      <c r="C300" s="166"/>
      <c r="D300" s="167"/>
      <c r="E300" s="168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</row>
    <row r="301" ht="14.25" customHeight="1">
      <c r="A301" s="164"/>
      <c r="B301" s="165"/>
      <c r="C301" s="166"/>
      <c r="D301" s="167"/>
      <c r="E301" s="168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</row>
    <row r="302" ht="14.25" customHeight="1">
      <c r="A302" s="164"/>
      <c r="B302" s="165"/>
      <c r="C302" s="166"/>
      <c r="D302" s="167"/>
      <c r="E302" s="168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</row>
    <row r="303" ht="14.25" customHeight="1">
      <c r="A303" s="164"/>
      <c r="B303" s="165"/>
      <c r="C303" s="166"/>
      <c r="D303" s="167"/>
      <c r="E303" s="168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4"/>
    </row>
    <row r="304" ht="14.25" customHeight="1">
      <c r="A304" s="164"/>
      <c r="B304" s="165"/>
      <c r="C304" s="166"/>
      <c r="D304" s="167"/>
      <c r="E304" s="168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</row>
    <row r="305" ht="14.25" customHeight="1">
      <c r="A305" s="164"/>
      <c r="B305" s="165"/>
      <c r="C305" s="166"/>
      <c r="D305" s="167"/>
      <c r="E305" s="168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</row>
    <row r="306" ht="14.25" customHeight="1">
      <c r="A306" s="164"/>
      <c r="B306" s="165"/>
      <c r="C306" s="166"/>
      <c r="D306" s="167"/>
      <c r="E306" s="168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</row>
    <row r="307" ht="14.25" customHeight="1">
      <c r="A307" s="164"/>
      <c r="B307" s="165"/>
      <c r="C307" s="166"/>
      <c r="D307" s="167"/>
      <c r="E307" s="168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154"/>
    </row>
    <row r="308" ht="14.25" customHeight="1">
      <c r="A308" s="164"/>
      <c r="B308" s="165"/>
      <c r="C308" s="166"/>
      <c r="D308" s="167"/>
      <c r="E308" s="168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4"/>
    </row>
    <row r="309" ht="14.25" customHeight="1">
      <c r="A309" s="164"/>
      <c r="B309" s="165"/>
      <c r="C309" s="166"/>
      <c r="D309" s="167"/>
      <c r="E309" s="168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</row>
    <row r="310" ht="14.25" customHeight="1">
      <c r="A310" s="164"/>
      <c r="B310" s="165"/>
      <c r="C310" s="166"/>
      <c r="D310" s="167"/>
      <c r="E310" s="168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</row>
    <row r="311" ht="14.25" customHeight="1">
      <c r="A311" s="164"/>
      <c r="B311" s="165"/>
      <c r="C311" s="166"/>
      <c r="D311" s="167"/>
      <c r="E311" s="168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</row>
    <row r="312" ht="14.25" customHeight="1">
      <c r="A312" s="164"/>
      <c r="B312" s="165"/>
      <c r="C312" s="166"/>
      <c r="D312" s="167"/>
      <c r="E312" s="168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</row>
    <row r="313" ht="14.25" customHeight="1">
      <c r="A313" s="164"/>
      <c r="B313" s="165"/>
      <c r="C313" s="166"/>
      <c r="D313" s="167"/>
      <c r="E313" s="168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</row>
    <row r="314" ht="14.25" customHeight="1">
      <c r="A314" s="164"/>
      <c r="B314" s="165"/>
      <c r="C314" s="166"/>
      <c r="D314" s="167"/>
      <c r="E314" s="168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</row>
    <row r="315" ht="14.25" customHeight="1">
      <c r="A315" s="164"/>
      <c r="B315" s="165"/>
      <c r="C315" s="166"/>
      <c r="D315" s="167"/>
      <c r="E315" s="168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</row>
    <row r="316" ht="14.25" customHeight="1">
      <c r="A316" s="164"/>
      <c r="B316" s="165"/>
      <c r="C316" s="166"/>
      <c r="D316" s="167"/>
      <c r="E316" s="168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</row>
    <row r="317" ht="14.25" customHeight="1">
      <c r="A317" s="164"/>
      <c r="B317" s="165"/>
      <c r="C317" s="166"/>
      <c r="D317" s="167"/>
      <c r="E317" s="168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</row>
    <row r="318" ht="14.25" customHeight="1">
      <c r="A318" s="164"/>
      <c r="B318" s="165"/>
      <c r="C318" s="166"/>
      <c r="D318" s="167"/>
      <c r="E318" s="168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</row>
    <row r="319" ht="14.25" customHeight="1">
      <c r="A319" s="164"/>
      <c r="B319" s="165"/>
      <c r="C319" s="166"/>
      <c r="D319" s="167"/>
      <c r="E319" s="168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</row>
    <row r="320" ht="14.25" customHeight="1">
      <c r="A320" s="164"/>
      <c r="B320" s="165"/>
      <c r="C320" s="166"/>
      <c r="D320" s="167"/>
      <c r="E320" s="168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</row>
    <row r="321" ht="14.25" customHeight="1">
      <c r="A321" s="164"/>
      <c r="B321" s="165"/>
      <c r="C321" s="166"/>
      <c r="D321" s="167"/>
      <c r="E321" s="168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</row>
    <row r="322" ht="14.25" customHeight="1">
      <c r="A322" s="164"/>
      <c r="B322" s="165"/>
      <c r="C322" s="166"/>
      <c r="D322" s="167"/>
      <c r="E322" s="168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154"/>
    </row>
    <row r="323" ht="14.25" customHeight="1">
      <c r="A323" s="164"/>
      <c r="B323" s="165"/>
      <c r="C323" s="166"/>
      <c r="D323" s="167"/>
      <c r="E323" s="168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</row>
    <row r="324" ht="14.25" customHeight="1">
      <c r="A324" s="164"/>
      <c r="B324" s="165"/>
      <c r="C324" s="166"/>
      <c r="D324" s="167"/>
      <c r="E324" s="168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</row>
    <row r="325" ht="14.25" customHeight="1">
      <c r="A325" s="164"/>
      <c r="B325" s="165"/>
      <c r="C325" s="166"/>
      <c r="D325" s="167"/>
      <c r="E325" s="168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</row>
    <row r="326" ht="14.25" customHeight="1">
      <c r="A326" s="164"/>
      <c r="B326" s="165"/>
      <c r="C326" s="166"/>
      <c r="D326" s="167"/>
      <c r="E326" s="168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</row>
    <row r="327" ht="14.25" customHeight="1">
      <c r="A327" s="164"/>
      <c r="B327" s="165"/>
      <c r="C327" s="166"/>
      <c r="D327" s="167"/>
      <c r="E327" s="168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</row>
    <row r="328" ht="14.25" customHeight="1">
      <c r="A328" s="164"/>
      <c r="B328" s="165"/>
      <c r="C328" s="166"/>
      <c r="D328" s="167"/>
      <c r="E328" s="168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</row>
    <row r="329" ht="14.25" customHeight="1">
      <c r="A329" s="164"/>
      <c r="B329" s="165"/>
      <c r="C329" s="166"/>
      <c r="D329" s="167"/>
      <c r="E329" s="168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154"/>
    </row>
    <row r="330" ht="14.25" customHeight="1">
      <c r="A330" s="164"/>
      <c r="B330" s="165"/>
      <c r="C330" s="166"/>
      <c r="D330" s="167"/>
      <c r="E330" s="168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</row>
    <row r="331" ht="14.25" customHeight="1">
      <c r="A331" s="164"/>
      <c r="B331" s="165"/>
      <c r="C331" s="166"/>
      <c r="D331" s="167"/>
      <c r="E331" s="168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</row>
    <row r="332" ht="14.25" customHeight="1">
      <c r="A332" s="164"/>
      <c r="B332" s="165"/>
      <c r="C332" s="166"/>
      <c r="D332" s="167"/>
      <c r="E332" s="168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</row>
    <row r="333" ht="14.25" customHeight="1">
      <c r="A333" s="164"/>
      <c r="B333" s="165"/>
      <c r="C333" s="166"/>
      <c r="D333" s="167"/>
      <c r="E333" s="168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</row>
    <row r="334" ht="14.25" customHeight="1">
      <c r="A334" s="164"/>
      <c r="B334" s="165"/>
      <c r="C334" s="166"/>
      <c r="D334" s="167"/>
      <c r="E334" s="168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</row>
    <row r="335" ht="14.25" customHeight="1">
      <c r="A335" s="164"/>
      <c r="B335" s="165"/>
      <c r="C335" s="166"/>
      <c r="D335" s="167"/>
      <c r="E335" s="168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</row>
    <row r="336" ht="14.25" customHeight="1">
      <c r="A336" s="164"/>
      <c r="B336" s="165"/>
      <c r="C336" s="166"/>
      <c r="D336" s="167"/>
      <c r="E336" s="168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</row>
    <row r="337" ht="14.25" customHeight="1">
      <c r="A337" s="164"/>
      <c r="B337" s="165"/>
      <c r="C337" s="166"/>
      <c r="D337" s="167"/>
      <c r="E337" s="168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</row>
    <row r="338" ht="14.25" customHeight="1">
      <c r="A338" s="164"/>
      <c r="B338" s="165"/>
      <c r="C338" s="166"/>
      <c r="D338" s="167"/>
      <c r="E338" s="168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</row>
    <row r="339" ht="14.25" customHeight="1">
      <c r="A339" s="164"/>
      <c r="B339" s="165"/>
      <c r="C339" s="166"/>
      <c r="D339" s="167"/>
      <c r="E339" s="168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154"/>
    </row>
    <row r="340" ht="14.25" customHeight="1">
      <c r="A340" s="164"/>
      <c r="B340" s="165"/>
      <c r="C340" s="166"/>
      <c r="D340" s="167"/>
      <c r="E340" s="168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</row>
    <row r="341" ht="14.25" customHeight="1">
      <c r="A341" s="164"/>
      <c r="B341" s="165"/>
      <c r="C341" s="166"/>
      <c r="D341" s="167"/>
      <c r="E341" s="168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</row>
    <row r="342" ht="14.25" customHeight="1">
      <c r="A342" s="164"/>
      <c r="B342" s="165"/>
      <c r="C342" s="166"/>
      <c r="D342" s="167"/>
      <c r="E342" s="168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</row>
    <row r="343" ht="14.25" customHeight="1">
      <c r="A343" s="164"/>
      <c r="B343" s="165"/>
      <c r="C343" s="166"/>
      <c r="D343" s="167"/>
      <c r="E343" s="168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</row>
    <row r="344" ht="14.25" customHeight="1">
      <c r="A344" s="164"/>
      <c r="B344" s="165"/>
      <c r="C344" s="166"/>
      <c r="D344" s="167"/>
      <c r="E344" s="168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154"/>
    </row>
    <row r="345" ht="14.25" customHeight="1">
      <c r="A345" s="164"/>
      <c r="B345" s="165"/>
      <c r="C345" s="166"/>
      <c r="D345" s="167"/>
      <c r="E345" s="168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154"/>
    </row>
    <row r="346" ht="14.25" customHeight="1">
      <c r="A346" s="164"/>
      <c r="B346" s="165"/>
      <c r="C346" s="166"/>
      <c r="D346" s="167"/>
      <c r="E346" s="168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154"/>
    </row>
    <row r="347" ht="14.25" customHeight="1">
      <c r="A347" s="164"/>
      <c r="B347" s="165"/>
      <c r="C347" s="166"/>
      <c r="D347" s="167"/>
      <c r="E347" s="168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</row>
    <row r="348" ht="14.25" customHeight="1">
      <c r="A348" s="164"/>
      <c r="B348" s="165"/>
      <c r="C348" s="166"/>
      <c r="D348" s="167"/>
      <c r="E348" s="168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</row>
    <row r="349" ht="14.25" customHeight="1">
      <c r="A349" s="164"/>
      <c r="B349" s="165"/>
      <c r="C349" s="166"/>
      <c r="D349" s="167"/>
      <c r="E349" s="168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</row>
    <row r="350" ht="14.25" customHeight="1">
      <c r="A350" s="164"/>
      <c r="B350" s="165"/>
      <c r="C350" s="166"/>
      <c r="D350" s="167"/>
      <c r="E350" s="168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</row>
    <row r="351" ht="14.25" customHeight="1">
      <c r="A351" s="164"/>
      <c r="B351" s="165"/>
      <c r="C351" s="166"/>
      <c r="D351" s="167"/>
      <c r="E351" s="168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</row>
    <row r="352" ht="14.25" customHeight="1">
      <c r="A352" s="164"/>
      <c r="B352" s="165"/>
      <c r="C352" s="166"/>
      <c r="D352" s="167"/>
      <c r="E352" s="168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</row>
    <row r="353" ht="14.25" customHeight="1">
      <c r="A353" s="164"/>
      <c r="B353" s="165"/>
      <c r="C353" s="166"/>
      <c r="D353" s="167"/>
      <c r="E353" s="168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</row>
    <row r="354" ht="14.25" customHeight="1">
      <c r="A354" s="164"/>
      <c r="B354" s="165"/>
      <c r="C354" s="166"/>
      <c r="D354" s="167"/>
      <c r="E354" s="168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</row>
    <row r="355" ht="14.25" customHeight="1">
      <c r="A355" s="164"/>
      <c r="B355" s="165"/>
      <c r="C355" s="166"/>
      <c r="D355" s="167"/>
      <c r="E355" s="168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</row>
    <row r="356" ht="14.25" customHeight="1">
      <c r="A356" s="164"/>
      <c r="B356" s="165"/>
      <c r="C356" s="166"/>
      <c r="D356" s="167"/>
      <c r="E356" s="168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</row>
    <row r="357" ht="14.25" customHeight="1">
      <c r="A357" s="164"/>
      <c r="B357" s="165"/>
      <c r="C357" s="166"/>
      <c r="D357" s="167"/>
      <c r="E357" s="168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</row>
    <row r="358" ht="14.25" customHeight="1">
      <c r="A358" s="164"/>
      <c r="B358" s="165"/>
      <c r="C358" s="166"/>
      <c r="D358" s="167"/>
      <c r="E358" s="168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4"/>
    </row>
    <row r="359" ht="14.25" customHeight="1">
      <c r="A359" s="164"/>
      <c r="B359" s="165"/>
      <c r="C359" s="166"/>
      <c r="D359" s="167"/>
      <c r="E359" s="168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</row>
    <row r="360" ht="14.25" customHeight="1">
      <c r="A360" s="164"/>
      <c r="B360" s="165"/>
      <c r="C360" s="166"/>
      <c r="D360" s="167"/>
      <c r="E360" s="168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4"/>
    </row>
    <row r="361" ht="14.25" customHeight="1">
      <c r="A361" s="164"/>
      <c r="B361" s="165"/>
      <c r="C361" s="166"/>
      <c r="D361" s="167"/>
      <c r="E361" s="168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148" t="s">
        <v>168</v>
      </c>
      <c r="B1" s="149" t="s">
        <v>197</v>
      </c>
      <c r="C1" s="169" t="str">
        <f t="shared" ref="C1:C159" si="1">525*(1-(B1/($H$1+1)))*POWER((SQRT(($H$1+1)/B1)),1/2)</f>
        <v>#VALUE!</v>
      </c>
      <c r="D1" s="151" t="s">
        <v>198</v>
      </c>
      <c r="E1" s="152" t="s">
        <v>199</v>
      </c>
      <c r="G1" s="153" t="s">
        <v>200</v>
      </c>
      <c r="H1" s="121">
        <f>MATCH("",A2:A1001,-1)</f>
        <v>60</v>
      </c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</row>
    <row r="2" ht="14.25" customHeight="1">
      <c r="A2" s="155" t="str">
        <f>IFERROR(__xludf.DUMMYFUNCTION(" IMPORTRANGE(""https://docs.google.com/spreadsheets/d/1jl-pBKRxNxhajHuOUjNN4LiCltlqOZeo-qktoG2eyVI/edit#gid=695545632"",""Roller Coaster!A2:A161"")"),"Dirty Bazaar")</f>
        <v>Dirty Bazaar</v>
      </c>
      <c r="B2" s="156">
        <v>1.0</v>
      </c>
      <c r="C2" s="157">
        <f t="shared" si="1"/>
        <v>1443.155662</v>
      </c>
      <c r="D2" s="158" t="str">
        <f>VLOOKUP(A2,'Classement RoC'!$B$2:$C$149,1,0)</f>
        <v>Dirty Bazaar</v>
      </c>
      <c r="E2" s="159" t="str">
        <f t="shared" ref="E2:E160" si="2">IF(D2=A2,"","erreur")</f>
        <v/>
      </c>
      <c r="F2" s="120" t="str">
        <f>VLOOKUP(A2,'Classement Général'!$B$2:$B$146,1,0)</f>
        <v>Dirty Bazaar</v>
      </c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ht="14.25" customHeight="1">
      <c r="A3" s="160" t="str">
        <f>IFERROR(__xludf.DUMMYFUNCTION("""COMPUTED_VALUE"""),"Garou du 86")</f>
        <v>Garou du 86</v>
      </c>
      <c r="B3" s="161">
        <v>2.0</v>
      </c>
      <c r="C3" s="157">
        <f t="shared" si="1"/>
        <v>1193.318682</v>
      </c>
      <c r="D3" s="158" t="str">
        <f>VLOOKUP(A3,'Classement RoC'!$B$2:$C$149,1,0)</f>
        <v>Garou du 86</v>
      </c>
      <c r="E3" s="159" t="str">
        <f t="shared" si="2"/>
        <v/>
      </c>
      <c r="F3" s="120" t="str">
        <f>VLOOKUP(A3,'Classement Général'!$B$2:$B$146,1,0)</f>
        <v>Garou du 86</v>
      </c>
      <c r="G3" s="162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ht="14.25" customHeight="1">
      <c r="A4" s="160" t="str">
        <f>IFERROR(__xludf.DUMMYFUNCTION("""COMPUTED_VALUE"""),"Mitch")</f>
        <v>Mitch</v>
      </c>
      <c r="B4" s="156">
        <v>3.0</v>
      </c>
      <c r="C4" s="157">
        <f t="shared" si="1"/>
        <v>1060.009133</v>
      </c>
      <c r="D4" s="158" t="str">
        <f>VLOOKUP(A4,'Classement RoC'!$B$2:$C$149,1,0)</f>
        <v>Mitch</v>
      </c>
      <c r="E4" s="159" t="str">
        <f t="shared" si="2"/>
        <v/>
      </c>
      <c r="F4" s="120" t="str">
        <f>VLOOKUP(A4,'Classement Général'!$B$2:$B$146,1,0)</f>
        <v>Mitch</v>
      </c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ht="14.25" customHeight="1">
      <c r="A5" s="160" t="str">
        <f>IFERROR(__xludf.DUMMYFUNCTION("""COMPUTED_VALUE"""),"lifeofpark")</f>
        <v>lifeofpark</v>
      </c>
      <c r="B5" s="161">
        <v>4.0</v>
      </c>
      <c r="C5" s="157">
        <f t="shared" si="1"/>
        <v>969.441897</v>
      </c>
      <c r="D5" s="158" t="str">
        <f>VLOOKUP(A5,'Classement RoC'!$B$2:$C$149,1,0)</f>
        <v>lifeofpark</v>
      </c>
      <c r="E5" s="163" t="str">
        <f t="shared" si="2"/>
        <v/>
      </c>
      <c r="F5" s="120" t="str">
        <f>VLOOKUP(A5,'Classement Général'!$B$2:$B$146,1,0)</f>
        <v>lifeofpark</v>
      </c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ht="14.25" customHeight="1">
      <c r="A6" s="160" t="str">
        <f>IFERROR(__xludf.DUMMYFUNCTION("""COMPUTED_VALUE"""),"Fistipanda")</f>
        <v>Fistipanda</v>
      </c>
      <c r="B6" s="156">
        <v>5.0</v>
      </c>
      <c r="C6" s="157">
        <f t="shared" si="1"/>
        <v>900.7566002</v>
      </c>
      <c r="D6" s="158" t="str">
        <f>VLOOKUP(A6,'Classement RoC'!$B$2:$C$149,1,0)</f>
        <v>Fistipanda</v>
      </c>
      <c r="E6" s="163" t="str">
        <f t="shared" si="2"/>
        <v/>
      </c>
      <c r="F6" s="120" t="str">
        <f>VLOOKUP(A6,'Classement Général'!$B$2:$B$146,1,0)</f>
        <v>Fistipanda</v>
      </c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</row>
    <row r="7" ht="14.25" customHeight="1">
      <c r="A7" s="160" t="str">
        <f>IFERROR(__xludf.DUMMYFUNCTION("""COMPUTED_VALUE"""),". BARBAPAPA66")</f>
        <v>. BARBAPAPA66</v>
      </c>
      <c r="B7" s="161">
        <v>6.0</v>
      </c>
      <c r="C7" s="157">
        <f t="shared" si="1"/>
        <v>845.2531619</v>
      </c>
      <c r="D7" s="158" t="str">
        <f>VLOOKUP(A7,'Classement RoC'!$B$2:$C$149,1,0)</f>
        <v>. BARBAPAPA66</v>
      </c>
      <c r="E7" s="163" t="str">
        <f t="shared" si="2"/>
        <v/>
      </c>
      <c r="F7" s="120" t="str">
        <f>VLOOKUP(A7,'Classement Général'!$B$2:$B$146,1,0)</f>
        <v>. BARBAPAPA66</v>
      </c>
      <c r="G7" s="154"/>
      <c r="H7" s="129" t="s">
        <v>70</v>
      </c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</row>
    <row r="8" ht="14.25" customHeight="1">
      <c r="A8" s="160" t="str">
        <f>IFERROR(__xludf.DUMMYFUNCTION("""COMPUTED_VALUE"""),"Kevfurious")</f>
        <v>Kevfurious</v>
      </c>
      <c r="B8" s="156">
        <v>7.0</v>
      </c>
      <c r="C8" s="157">
        <f t="shared" si="1"/>
        <v>798.5115034</v>
      </c>
      <c r="D8" s="158" t="str">
        <f>VLOOKUP(A8,'Classement RoC'!$B$2:$C$149,1,0)</f>
        <v>Kevfurious</v>
      </c>
      <c r="E8" s="163" t="str">
        <f t="shared" si="2"/>
        <v/>
      </c>
      <c r="F8" s="120" t="str">
        <f>VLOOKUP(A8,'Classement Général'!$B$2:$B$146,1,0)</f>
        <v>Kevfurious</v>
      </c>
      <c r="G8" s="154"/>
      <c r="H8" s="129" t="s">
        <v>43</v>
      </c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</row>
    <row r="9" ht="14.25" customHeight="1">
      <c r="A9" s="160" t="str">
        <f>IFERROR(__xludf.DUMMYFUNCTION("""COMPUTED_VALUE"""),"immond")</f>
        <v>immond</v>
      </c>
      <c r="B9" s="161">
        <v>8.0</v>
      </c>
      <c r="C9" s="157">
        <f t="shared" si="1"/>
        <v>757.9931833</v>
      </c>
      <c r="D9" s="158" t="str">
        <f>VLOOKUP(A9,'Classement RoC'!$B$2:$C$149,1,0)</f>
        <v>immond</v>
      </c>
      <c r="E9" s="163" t="str">
        <f t="shared" si="2"/>
        <v/>
      </c>
      <c r="F9" s="120" t="str">
        <f>VLOOKUP(A9,'Classement Général'!$B$2:$B$146,1,0)</f>
        <v>immond</v>
      </c>
      <c r="G9" s="154"/>
      <c r="H9" s="129" t="s">
        <v>68</v>
      </c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</row>
    <row r="10" ht="14.25" customHeight="1">
      <c r="A10" s="160" t="str">
        <f>IFERROR(__xludf.DUMMYFUNCTION("""COMPUTED_VALUE"""),"jejehehe")</f>
        <v>jejehehe</v>
      </c>
      <c r="B10" s="156">
        <v>9.0</v>
      </c>
      <c r="C10" s="157">
        <f t="shared" si="1"/>
        <v>722.1121352</v>
      </c>
      <c r="D10" s="158" t="str">
        <f>VLOOKUP(A10,'Classement RoC'!$B$2:$C$149,1,0)</f>
        <v>jejehehe</v>
      </c>
      <c r="E10" s="163" t="str">
        <f t="shared" si="2"/>
        <v/>
      </c>
      <c r="F10" s="120" t="str">
        <f>VLOOKUP(A10,'Classement Général'!$B$2:$B$146,1,0)</f>
        <v>jejehehe</v>
      </c>
      <c r="G10" s="154"/>
      <c r="H10" s="129" t="s">
        <v>89</v>
      </c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ht="14.25" customHeight="1">
      <c r="A11" s="160" t="str">
        <f>IFERROR(__xludf.DUMMYFUNCTION("""COMPUTED_VALUE"""),"fiodor86")</f>
        <v>fiodor86</v>
      </c>
      <c r="B11" s="161">
        <v>10.0</v>
      </c>
      <c r="C11" s="157">
        <f t="shared" si="1"/>
        <v>689.8141572</v>
      </c>
      <c r="D11" s="158" t="str">
        <f>VLOOKUP(A11,'Classement RoC'!$B$2:$C$149,1,0)</f>
        <v>fiodor86</v>
      </c>
      <c r="E11" s="163" t="str">
        <f t="shared" si="2"/>
        <v/>
      </c>
      <c r="F11" s="120" t="str">
        <f>VLOOKUP(A11,'Classement Général'!$B$2:$B$146,1,0)</f>
        <v>fiodor86</v>
      </c>
      <c r="G11" s="154"/>
      <c r="H11" s="129" t="s">
        <v>95</v>
      </c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</row>
    <row r="12" ht="14.25" customHeight="1">
      <c r="A12" s="160" t="str">
        <f>IFERROR(__xludf.DUMMYFUNCTION("""COMPUTED_VALUE"""),"Mako Lemore")</f>
        <v>Mako Lemore</v>
      </c>
      <c r="B12" s="156">
        <v>11.0</v>
      </c>
      <c r="C12" s="157">
        <f t="shared" si="1"/>
        <v>660.3645637</v>
      </c>
      <c r="D12" s="158" t="str">
        <f>VLOOKUP(A12,'Classement RoC'!$B$2:$C$149,1,0)</f>
        <v>Mako Lemore</v>
      </c>
      <c r="E12" s="163" t="str">
        <f t="shared" si="2"/>
        <v/>
      </c>
      <c r="F12" s="120" t="str">
        <f>VLOOKUP(A12,'Classement Général'!$B$2:$B$146,1,0)</f>
        <v>Mako Lemore</v>
      </c>
      <c r="G12" s="154"/>
      <c r="H12" s="129" t="s">
        <v>109</v>
      </c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ht="14.25" customHeight="1">
      <c r="A13" s="160" t="str">
        <f>IFERROR(__xludf.DUMMYFUNCTION("""COMPUTED_VALUE"""),"SINGE7")</f>
        <v>SINGE7</v>
      </c>
      <c r="B13" s="161">
        <v>12.0</v>
      </c>
      <c r="C13" s="157">
        <f t="shared" si="1"/>
        <v>633.2317698</v>
      </c>
      <c r="D13" s="158" t="str">
        <f>VLOOKUP(A13,'Classement RoC'!$B$2:$C$149,1,0)</f>
        <v>SINGE7</v>
      </c>
      <c r="E13" s="163" t="str">
        <f t="shared" si="2"/>
        <v/>
      </c>
      <c r="F13" s="120" t="str">
        <f>VLOOKUP(A13,'Classement Général'!$B$2:$B$146,1,0)</f>
        <v>SINGE7</v>
      </c>
      <c r="G13" s="154"/>
      <c r="H13" s="129" t="s">
        <v>79</v>
      </c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ht="14.25" customHeight="1">
      <c r="A14" s="160" t="str">
        <f>IFERROR(__xludf.DUMMYFUNCTION("""COMPUTED_VALUE"""),"pablo")</f>
        <v>pablo</v>
      </c>
      <c r="B14" s="156">
        <v>13.0</v>
      </c>
      <c r="C14" s="157">
        <f t="shared" si="1"/>
        <v>608.019246</v>
      </c>
      <c r="D14" s="158" t="str">
        <f>VLOOKUP(A14,'Classement RoC'!$B$2:$C$149,1,0)</f>
        <v>pablo</v>
      </c>
      <c r="E14" s="163" t="str">
        <f t="shared" si="2"/>
        <v/>
      </c>
      <c r="F14" s="120" t="str">
        <f>VLOOKUP(A14,'Classement Général'!$B$2:$B$146,1,0)</f>
        <v>pablo</v>
      </c>
      <c r="G14" s="154"/>
      <c r="H14" s="129" t="s">
        <v>134</v>
      </c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</row>
    <row r="15" ht="14.25" customHeight="1">
      <c r="A15" s="160" t="str">
        <f>IFERROR(__xludf.DUMMYFUNCTION("""COMPUTED_VALUE"""),"PocketBike")</f>
        <v>PocketBike</v>
      </c>
      <c r="B15" s="161">
        <v>14.0</v>
      </c>
      <c r="C15" s="157">
        <f t="shared" si="1"/>
        <v>584.4236417</v>
      </c>
      <c r="D15" s="158" t="str">
        <f>VLOOKUP(A15,'Classement RoC'!$B$2:$C$149,1,0)</f>
        <v>PocketBike</v>
      </c>
      <c r="E15" s="163" t="str">
        <f t="shared" si="2"/>
        <v/>
      </c>
      <c r="F15" s="120" t="str">
        <f>VLOOKUP(A15,'Classement Général'!$B$2:$B$146,1,0)</f>
        <v>PocketBike</v>
      </c>
      <c r="G15" s="154"/>
      <c r="H15" s="129" t="s">
        <v>37</v>
      </c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</row>
    <row r="16" ht="14.25" customHeight="1">
      <c r="A16" s="160" t="str">
        <f>IFERROR(__xludf.DUMMYFUNCTION("""COMPUTED_VALUE"""),"PrendmAmAin")</f>
        <v>PrendmAmAin</v>
      </c>
      <c r="B16" s="156">
        <v>15.0</v>
      </c>
      <c r="C16" s="157">
        <f t="shared" si="1"/>
        <v>562.2079002</v>
      </c>
      <c r="D16" s="158" t="str">
        <f>VLOOKUP(A16,'Classement RoC'!$B$2:$C$149,1,0)</f>
        <v>PrendmAmAin</v>
      </c>
      <c r="E16" s="163" t="str">
        <f t="shared" si="2"/>
        <v/>
      </c>
      <c r="F16" s="120" t="str">
        <f>VLOOKUP(A16,'Classement Général'!$B$2:$B$146,1,0)</f>
        <v>PrendmAmAin</v>
      </c>
      <c r="G16" s="154"/>
      <c r="H16" s="129" t="s">
        <v>75</v>
      </c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ht="14.25" customHeight="1">
      <c r="A17" s="160" t="str">
        <f>IFERROR(__xludf.DUMMYFUNCTION("""COMPUTED_VALUE"""),"Kiki Bazaar")</f>
        <v>Kiki Bazaar</v>
      </c>
      <c r="B17" s="161">
        <v>16.0</v>
      </c>
      <c r="C17" s="157">
        <f t="shared" si="1"/>
        <v>541.1833732</v>
      </c>
      <c r="D17" s="158" t="str">
        <f>VLOOKUP(A17,'Classement RoC'!$B$2:$C$149,1,0)</f>
        <v>Kiki Bazaar</v>
      </c>
      <c r="E17" s="163" t="str">
        <f t="shared" si="2"/>
        <v/>
      </c>
      <c r="F17" s="120" t="str">
        <f>VLOOKUP(A17,'Classement Général'!$B$2:$B$146,1,0)</f>
        <v>Kiki Bazaar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</row>
    <row r="18" ht="14.25" customHeight="1">
      <c r="A18" s="160" t="str">
        <f>IFERROR(__xludf.DUMMYFUNCTION("""COMPUTED_VALUE"""),"riKKomaddog")</f>
        <v>riKKomaddog</v>
      </c>
      <c r="B18" s="156">
        <v>17.0</v>
      </c>
      <c r="C18" s="157">
        <f t="shared" si="1"/>
        <v>521.1975593</v>
      </c>
      <c r="D18" s="158" t="str">
        <f>VLOOKUP(A18,'Classement RoC'!$B$2:$C$149,1,0)</f>
        <v>riKKomaddog</v>
      </c>
      <c r="E18" s="163" t="str">
        <f t="shared" si="2"/>
        <v/>
      </c>
      <c r="F18" s="120" t="str">
        <f>VLOOKUP(A18,'Classement Général'!$B$2:$B$146,1,0)</f>
        <v>riKKomaddog</v>
      </c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</row>
    <row r="19" ht="14.25" customHeight="1">
      <c r="A19" s="160" t="str">
        <f>IFERROR(__xludf.DUMMYFUNCTION("""COMPUTED_VALUE"""),"Titounio")</f>
        <v>Titounio</v>
      </c>
      <c r="B19" s="161">
        <v>18.0</v>
      </c>
      <c r="C19" s="157">
        <f t="shared" si="1"/>
        <v>502.125476</v>
      </c>
      <c r="D19" s="158" t="str">
        <f>VLOOKUP(A19,'Classement RoC'!$B$2:$C$149,1,0)</f>
        <v>Titounio</v>
      </c>
      <c r="E19" s="163" t="str">
        <f t="shared" si="2"/>
        <v/>
      </c>
      <c r="F19" s="120" t="str">
        <f>VLOOKUP(A19,'Classement Général'!$B$2:$B$146,1,0)</f>
        <v>Titounio</v>
      </c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</row>
    <row r="20" ht="14.25" customHeight="1">
      <c r="A20" s="160" t="str">
        <f>IFERROR(__xludf.DUMMYFUNCTION("""COMPUTED_VALUE"""),"LEGOLEGOTE")</f>
        <v>LEGOLEGOTE</v>
      </c>
      <c r="B20" s="156">
        <v>19.0</v>
      </c>
      <c r="C20" s="157">
        <f t="shared" si="1"/>
        <v>483.8634496</v>
      </c>
      <c r="D20" s="158" t="str">
        <f>VLOOKUP(A20,'Classement RoC'!$B$2:$C$149,1,0)</f>
        <v>LEGOLEGOTE</v>
      </c>
      <c r="E20" s="163" t="str">
        <f t="shared" si="2"/>
        <v/>
      </c>
      <c r="F20" s="120" t="str">
        <f>VLOOKUP(A20,'Classement Général'!$B$2:$B$146,1,0)</f>
        <v>LEGOLEGOTE</v>
      </c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</row>
    <row r="21" ht="14.25" customHeight="1">
      <c r="A21" s="160" t="str">
        <f>IFERROR(__xludf.DUMMYFUNCTION("""COMPUTED_VALUE"""),"Redblood92")</f>
        <v>Redblood92</v>
      </c>
      <c r="B21" s="161">
        <v>20.0</v>
      </c>
      <c r="C21" s="157">
        <f t="shared" si="1"/>
        <v>466.3245555</v>
      </c>
      <c r="D21" s="158" t="str">
        <f>VLOOKUP(A21,'Classement RoC'!$B$2:$C$149,1,0)</f>
        <v>Redblood92</v>
      </c>
      <c r="E21" s="163" t="str">
        <f t="shared" si="2"/>
        <v/>
      </c>
      <c r="F21" s="120" t="str">
        <f>VLOOKUP(A21,'Classement Général'!$B$2:$B$146,1,0)</f>
        <v>Redblood92</v>
      </c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</row>
    <row r="22" ht="14.25" customHeight="1">
      <c r="A22" s="160" t="str">
        <f>IFERROR(__xludf.DUMMYFUNCTION("""COMPUTED_VALUE"""),"S.coco")</f>
        <v>S.coco</v>
      </c>
      <c r="B22" s="156">
        <v>21.0</v>
      </c>
      <c r="C22" s="157">
        <f t="shared" si="1"/>
        <v>449.4352116</v>
      </c>
      <c r="D22" s="158" t="str">
        <f>VLOOKUP(A22,'Classement RoC'!$B$2:$C$149,1,0)</f>
        <v>S.coco</v>
      </c>
      <c r="E22" s="163" t="str">
        <f t="shared" si="2"/>
        <v/>
      </c>
      <c r="F22" s="120" t="str">
        <f>VLOOKUP(A22,'Classement Général'!$B$2:$B$146,1,0)</f>
        <v>S.coco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</row>
    <row r="23" ht="14.25" customHeight="1">
      <c r="A23" s="160" t="str">
        <f>IFERROR(__xludf.DUMMYFUNCTION("""COMPUTED_VALUE"""),"Modoriya")</f>
        <v>Modoriya</v>
      </c>
      <c r="B23" s="161">
        <v>22.0</v>
      </c>
      <c r="C23" s="157">
        <f t="shared" si="1"/>
        <v>433.1325916</v>
      </c>
      <c r="D23" s="158" t="str">
        <f>VLOOKUP(A23,'Classement RoC'!$B$2:$C$149,1,0)</f>
        <v>Modoriya</v>
      </c>
      <c r="E23" s="163" t="str">
        <f t="shared" si="2"/>
        <v/>
      </c>
      <c r="F23" s="120" t="str">
        <f>VLOOKUP(A23,'Classement Général'!$B$2:$B$146,1,0)</f>
        <v>Modoriya</v>
      </c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</row>
    <row r="24" ht="14.25" customHeight="1">
      <c r="A24" s="160" t="str">
        <f>IFERROR(__xludf.DUMMYFUNCTION("""COMPUTED_VALUE"""),"gu3ul3Dang3")</f>
        <v>gu3ul3Dang3</v>
      </c>
      <c r="B24" s="156">
        <v>23.0</v>
      </c>
      <c r="C24" s="157">
        <f t="shared" si="1"/>
        <v>417.3626342</v>
      </c>
      <c r="D24" s="158" t="str">
        <f>VLOOKUP(A24,'Classement RoC'!$B$2:$C$149,1,0)</f>
        <v>gu3ul3Dang3</v>
      </c>
      <c r="E24" s="163" t="str">
        <f t="shared" si="2"/>
        <v/>
      </c>
      <c r="F24" s="120" t="str">
        <f>VLOOKUP(A24,'Classement Général'!$B$2:$B$146,1,0)</f>
        <v>gu3ul3Dang3</v>
      </c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</row>
    <row r="25" ht="14.25" customHeight="1">
      <c r="A25" s="160" t="str">
        <f>IFERROR(__xludf.DUMMYFUNCTION("""COMPUTED_VALUE"""),"Elfy")</f>
        <v>Elfy</v>
      </c>
      <c r="B25" s="161">
        <v>24.0</v>
      </c>
      <c r="C25" s="157">
        <f t="shared" si="1"/>
        <v>402.0784905</v>
      </c>
      <c r="D25" s="158" t="str">
        <f>VLOOKUP(A25,'Classement RoC'!$B$2:$C$149,1,0)</f>
        <v>Elfy</v>
      </c>
      <c r="E25" s="163" t="str">
        <f t="shared" si="2"/>
        <v/>
      </c>
      <c r="F25" s="120" t="str">
        <f>VLOOKUP(A25,'Classement Général'!$B$2:$B$146,1,0)</f>
        <v>Elfy</v>
      </c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</row>
    <row r="26" ht="14.25" customHeight="1">
      <c r="A26" s="160" t="str">
        <f>IFERROR(__xludf.DUMMYFUNCTION("""COMPUTED_VALUE"""),"Patgaret")</f>
        <v>Patgaret</v>
      </c>
      <c r="B26" s="156">
        <v>25.0</v>
      </c>
      <c r="C26" s="157">
        <f t="shared" si="1"/>
        <v>387.2392994</v>
      </c>
      <c r="D26" s="158" t="str">
        <f>VLOOKUP(A26,'Classement RoC'!$B$2:$C$149,1,0)</f>
        <v>Patgaret</v>
      </c>
      <c r="E26" s="163" t="str">
        <f t="shared" si="2"/>
        <v/>
      </c>
      <c r="F26" s="120" t="str">
        <f>VLOOKUP(A26,'Classement Général'!$B$2:$B$146,1,0)</f>
        <v>Patgaret</v>
      </c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</row>
    <row r="27" ht="14.25" customHeight="1">
      <c r="A27" s="160" t="str">
        <f>IFERROR(__xludf.DUMMYFUNCTION("""COMPUTED_VALUE"""),"Sab86360")</f>
        <v>Sab86360</v>
      </c>
      <c r="B27" s="161">
        <v>26.0</v>
      </c>
      <c r="C27" s="157">
        <f t="shared" si="1"/>
        <v>372.8092115</v>
      </c>
      <c r="D27" s="158" t="str">
        <f>VLOOKUP(A27,'Classement RoC'!$B$2:$C$149,1,0)</f>
        <v>Sab86360</v>
      </c>
      <c r="E27" s="163" t="str">
        <f t="shared" si="2"/>
        <v/>
      </c>
      <c r="F27" s="120" t="str">
        <f>VLOOKUP(A27,'Classement Général'!$B$2:$B$146,1,0)</f>
        <v>Sab86360</v>
      </c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</row>
    <row r="28" ht="14.25" customHeight="1">
      <c r="A28" s="160" t="str">
        <f>IFERROR(__xludf.DUMMYFUNCTION("""COMPUTED_VALUE"""),"NezuKO-demon")</f>
        <v>NezuKO-demon</v>
      </c>
      <c r="B28" s="156">
        <v>27.0</v>
      </c>
      <c r="C28" s="157">
        <f t="shared" si="1"/>
        <v>358.756603</v>
      </c>
      <c r="D28" s="158" t="str">
        <f>VLOOKUP(A28,'Classement RoC'!$B$2:$C$149,1,0)</f>
        <v>NezuKO-demon</v>
      </c>
      <c r="E28" s="163" t="str">
        <f t="shared" si="2"/>
        <v/>
      </c>
      <c r="F28" s="120" t="str">
        <f>VLOOKUP(A28,'Classement Général'!$B$2:$B$146,1,0)</f>
        <v>NezuKO-demon</v>
      </c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</row>
    <row r="29" ht="14.25" customHeight="1">
      <c r="A29" s="160" t="str">
        <f>IFERROR(__xludf.DUMMYFUNCTION("""COMPUTED_VALUE"""),"_Sale-Bet_")</f>
        <v>_Sale-Bet_</v>
      </c>
      <c r="B29" s="161">
        <v>28.0</v>
      </c>
      <c r="C29" s="157">
        <f t="shared" si="1"/>
        <v>345.0534382</v>
      </c>
      <c r="D29" s="158" t="str">
        <f>VLOOKUP(A29,'Classement RoC'!$B$2:$C$149,1,0)</f>
        <v>_Sale-Bet_</v>
      </c>
      <c r="E29" s="163" t="str">
        <f t="shared" si="2"/>
        <v/>
      </c>
      <c r="F29" s="120" t="str">
        <f>VLOOKUP(A29,'Classement Général'!$B$2:$B$146,1,0)</f>
        <v>_Sale-Bet_</v>
      </c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</row>
    <row r="30" ht="14.25" customHeight="1">
      <c r="A30" s="160" t="str">
        <f>IFERROR(__xludf.DUMMYFUNCTION("""COMPUTED_VALUE"""),"Vaillant 86")</f>
        <v>Vaillant 86</v>
      </c>
      <c r="B30" s="156">
        <v>29.0</v>
      </c>
      <c r="C30" s="157">
        <f t="shared" si="1"/>
        <v>331.6747466</v>
      </c>
      <c r="D30" s="158" t="str">
        <f>VLOOKUP(A30,'Classement RoC'!$B$2:$C$149,1,0)</f>
        <v>Vaillant 86</v>
      </c>
      <c r="E30" s="163" t="str">
        <f t="shared" si="2"/>
        <v/>
      </c>
      <c r="F30" s="120" t="str">
        <f>VLOOKUP(A30,'Classement Général'!$B$2:$B$146,1,0)</f>
        <v>Vaillant 86</v>
      </c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</row>
    <row r="31" ht="14.25" customHeight="1">
      <c r="A31" s="160" t="str">
        <f>IFERROR(__xludf.DUMMYFUNCTION("""COMPUTED_VALUE"""),"Tontonzgueg")</f>
        <v>Tontonzgueg</v>
      </c>
      <c r="B31" s="161">
        <v>30.0</v>
      </c>
      <c r="C31" s="157">
        <f t="shared" si="1"/>
        <v>318.5981923</v>
      </c>
      <c r="D31" s="158" t="str">
        <f>VLOOKUP(A31,'Classement RoC'!$B$2:$C$149,1,0)</f>
        <v>Tontonzgueg</v>
      </c>
      <c r="E31" s="163" t="str">
        <f t="shared" si="2"/>
        <v/>
      </c>
      <c r="F31" s="120" t="str">
        <f>VLOOKUP(A31,'Classement Général'!$B$2:$B$146,1,0)</f>
        <v>Tontonzgueg</v>
      </c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</row>
    <row r="32" ht="14.25" customHeight="1">
      <c r="A32" s="160" t="str">
        <f>IFERROR(__xludf.DUMMYFUNCTION("""COMPUTED_VALUE"""),"FridAKahlo")</f>
        <v>FridAKahlo</v>
      </c>
      <c r="B32" s="156">
        <v>31.0</v>
      </c>
      <c r="C32" s="157">
        <f t="shared" si="1"/>
        <v>305.803716</v>
      </c>
      <c r="D32" s="158" t="str">
        <f>VLOOKUP(A32,'Classement RoC'!$B$2:$C$149,1,0)</f>
        <v>FridAKahlo</v>
      </c>
      <c r="E32" s="163" t="str">
        <f t="shared" si="2"/>
        <v/>
      </c>
      <c r="F32" s="120" t="str">
        <f>VLOOKUP(A32,'Classement Général'!$B$2:$B$146,1,0)</f>
        <v>FridAKahlo</v>
      </c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</row>
    <row r="33" ht="14.25" customHeight="1">
      <c r="A33" s="160" t="str">
        <f>IFERROR(__xludf.DUMMYFUNCTION("""COMPUTED_VALUE"""),"christ86000")</f>
        <v>christ86000</v>
      </c>
      <c r="B33" s="161">
        <v>32.0</v>
      </c>
      <c r="C33" s="157">
        <f t="shared" si="1"/>
        <v>293.2732355</v>
      </c>
      <c r="D33" s="158" t="str">
        <f>VLOOKUP(A33,'Classement RoC'!$B$2:$C$149,1,0)</f>
        <v>christ86000</v>
      </c>
      <c r="E33" s="163" t="str">
        <f t="shared" si="2"/>
        <v/>
      </c>
      <c r="F33" s="120" t="str">
        <f>VLOOKUP(A33,'Classement Général'!$B$2:$B$146,1,0)</f>
        <v>christ86000</v>
      </c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</row>
    <row r="34" ht="14.25" customHeight="1">
      <c r="A34" s="160" t="str">
        <f>IFERROR(__xludf.DUMMYFUNCTION("""COMPUTED_VALUE"""),"_VisMaVie_")</f>
        <v>_VisMaVie_</v>
      </c>
      <c r="B34" s="156">
        <v>33.0</v>
      </c>
      <c r="C34" s="157">
        <f t="shared" si="1"/>
        <v>280.9903942</v>
      </c>
      <c r="D34" s="158" t="str">
        <f>VLOOKUP(A34,'Classement RoC'!$B$2:$C$149,1,0)</f>
        <v>_VisMaVie_</v>
      </c>
      <c r="E34" s="163" t="str">
        <f t="shared" si="2"/>
        <v/>
      </c>
      <c r="F34" s="120" t="str">
        <f>VLOOKUP(A34,'Classement Général'!$B$2:$B$146,1,0)</f>
        <v>_VisMaVie_</v>
      </c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</row>
    <row r="35" ht="14.25" customHeight="1">
      <c r="A35" s="160" t="str">
        <f>IFERROR(__xludf.DUMMYFUNCTION("""COMPUTED_VALUE"""),"rastamokett")</f>
        <v>rastamokett</v>
      </c>
      <c r="B35" s="161">
        <v>34.0</v>
      </c>
      <c r="C35" s="157">
        <f t="shared" si="1"/>
        <v>268.9403477</v>
      </c>
      <c r="D35" s="158" t="str">
        <f>VLOOKUP(A35,'Classement RoC'!$B$2:$C$149,1,0)</f>
        <v>rastamokett</v>
      </c>
      <c r="E35" s="163" t="str">
        <f t="shared" si="2"/>
        <v/>
      </c>
      <c r="F35" s="120" t="str">
        <f>VLOOKUP(A35,'Classement Général'!$B$2:$B$146,1,0)</f>
        <v>rastamokett</v>
      </c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</row>
    <row r="36" ht="14.25" customHeight="1">
      <c r="A36" s="160" t="str">
        <f>IFERROR(__xludf.DUMMYFUNCTION("""COMPUTED_VALUE"""),"Steprou86")</f>
        <v>Steprou86</v>
      </c>
      <c r="B36" s="156">
        <v>35.0</v>
      </c>
      <c r="C36" s="157">
        <f t="shared" si="1"/>
        <v>257.109583</v>
      </c>
      <c r="D36" s="158" t="str">
        <f>VLOOKUP(A36,'Classement RoC'!$B$2:$C$149,1,0)</f>
        <v>Steprou86</v>
      </c>
      <c r="E36" s="163" t="str">
        <f t="shared" si="2"/>
        <v/>
      </c>
      <c r="F36" s="120" t="str">
        <f>VLOOKUP(A36,'Classement Général'!$B$2:$B$146,1,0)</f>
        <v>Steprou86</v>
      </c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</row>
    <row r="37" ht="14.25" customHeight="1">
      <c r="A37" s="160" t="str">
        <f>IFERROR(__xludf.DUMMYFUNCTION("""COMPUTED_VALUE"""),"Seb-93")</f>
        <v>Seb-93</v>
      </c>
      <c r="B37" s="161">
        <v>36.0</v>
      </c>
      <c r="C37" s="157">
        <f t="shared" si="1"/>
        <v>245.4857632</v>
      </c>
      <c r="D37" s="158" t="str">
        <f>VLOOKUP(A37,'Classement RoC'!$B$2:$C$149,1,0)</f>
        <v>Seb-93</v>
      </c>
      <c r="E37" s="163" t="str">
        <f t="shared" si="2"/>
        <v/>
      </c>
      <c r="F37" s="120" t="str">
        <f>VLOOKUP(A37,'Classement Général'!$B$2:$B$146,1,0)</f>
        <v>Seb-93</v>
      </c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</row>
    <row r="38" ht="14.25" customHeight="1">
      <c r="A38" s="160" t="str">
        <f>IFERROR(__xludf.DUMMYFUNCTION("""COMPUTED_VALUE"""),"AD-ICE")</f>
        <v>AD-ICE</v>
      </c>
      <c r="B38" s="156">
        <v>37.0</v>
      </c>
      <c r="C38" s="157">
        <f t="shared" si="1"/>
        <v>234.0575948</v>
      </c>
      <c r="D38" s="158" t="str">
        <f>VLOOKUP(A38,'Classement RoC'!$B$2:$C$149,1,0)</f>
        <v>AD-ICE</v>
      </c>
      <c r="E38" s="163" t="str">
        <f t="shared" si="2"/>
        <v/>
      </c>
      <c r="F38" s="120" t="str">
        <f>VLOOKUP(A38,'Classement Général'!$B$2:$B$146,1,0)</f>
        <v>AD-ICE</v>
      </c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</row>
    <row r="39" ht="14.25" customHeight="1">
      <c r="A39" s="160" t="str">
        <f>IFERROR(__xludf.DUMMYFUNCTION("""COMPUTED_VALUE"""),"VietNems86")</f>
        <v>VietNems86</v>
      </c>
      <c r="B39" s="161">
        <v>38.0</v>
      </c>
      <c r="C39" s="157">
        <f t="shared" si="1"/>
        <v>222.8147125</v>
      </c>
      <c r="D39" s="158" t="str">
        <f>VLOOKUP(A39,'Classement RoC'!$B$2:$C$149,1,0)</f>
        <v>VietNems86</v>
      </c>
      <c r="E39" s="163" t="str">
        <f t="shared" si="2"/>
        <v/>
      </c>
      <c r="F39" s="120" t="str">
        <f>VLOOKUP(A39,'Classement Général'!$B$2:$B$146,1,0)</f>
        <v>VietNems86</v>
      </c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</row>
    <row r="40" ht="14.25" customHeight="1">
      <c r="A40" s="160" t="str">
        <f>IFERROR(__xludf.DUMMYFUNCTION("""COMPUTED_VALUE"""),"Bouns")</f>
        <v>Bouns</v>
      </c>
      <c r="B40" s="156">
        <v>39.0</v>
      </c>
      <c r="C40" s="157">
        <f t="shared" si="1"/>
        <v>211.7475803</v>
      </c>
      <c r="D40" s="158" t="str">
        <f>VLOOKUP(A40,'Classement RoC'!$B$2:$C$149,1,0)</f>
        <v>Bouns</v>
      </c>
      <c r="E40" s="163" t="str">
        <f t="shared" si="2"/>
        <v/>
      </c>
      <c r="F40" s="120" t="str">
        <f>VLOOKUP(A40,'Classement Général'!$B$2:$B$146,1,0)</f>
        <v>Bouns</v>
      </c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</row>
    <row r="41" ht="14.25" customHeight="1">
      <c r="A41" s="160" t="str">
        <f>IFERROR(__xludf.DUMMYFUNCTION("""COMPUTED_VALUE"""),"cassius-86")</f>
        <v>cassius-86</v>
      </c>
      <c r="B41" s="161">
        <v>40.0</v>
      </c>
      <c r="C41" s="157">
        <f t="shared" si="1"/>
        <v>200.8474046</v>
      </c>
      <c r="D41" s="158" t="str">
        <f>VLOOKUP(A41,'Classement RoC'!$B$2:$C$149,1,0)</f>
        <v>cassius-86</v>
      </c>
      <c r="E41" s="163" t="str">
        <f t="shared" si="2"/>
        <v/>
      </c>
      <c r="F41" s="120" t="str">
        <f>VLOOKUP(A41,'Classement Général'!$B$2:$B$146,1,0)</f>
        <v>cassius-86</v>
      </c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</row>
    <row r="42" ht="14.25" customHeight="1">
      <c r="A42" s="160" t="str">
        <f>IFERROR(__xludf.DUMMYFUNCTION("""COMPUTED_VALUE"""),"8kinder6")</f>
        <v>8kinder6</v>
      </c>
      <c r="B42" s="156">
        <v>41.0</v>
      </c>
      <c r="C42" s="157">
        <f t="shared" si="1"/>
        <v>190.1060589</v>
      </c>
      <c r="D42" s="158" t="str">
        <f>VLOOKUP(A42,'Classement RoC'!$B$2:$C$149,1,0)</f>
        <v>8kinder6</v>
      </c>
      <c r="E42" s="163" t="str">
        <f t="shared" si="2"/>
        <v/>
      </c>
      <c r="F42" s="120" t="str">
        <f>VLOOKUP(A42,'Classement Général'!$B$2:$B$146,1,0)</f>
        <v>8kinder6</v>
      </c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</row>
    <row r="43" ht="14.25" customHeight="1">
      <c r="A43" s="160" t="str">
        <f>IFERROR(__xludf.DUMMYFUNCTION("""COMPUTED_VALUE"""),"NOVICEMYSTIC")</f>
        <v>NOVICEMYSTIC</v>
      </c>
      <c r="B43" s="161">
        <v>42.0</v>
      </c>
      <c r="C43" s="157">
        <f t="shared" si="1"/>
        <v>179.5160177</v>
      </c>
      <c r="D43" s="158" t="str">
        <f>VLOOKUP(A43,'Classement RoC'!$B$2:$C$149,1,0)</f>
        <v>NOVICEMYSTIC</v>
      </c>
      <c r="E43" s="163" t="str">
        <f t="shared" si="2"/>
        <v/>
      </c>
      <c r="F43" s="120" t="str">
        <f>VLOOKUP(A43,'Classement Général'!$B$2:$B$146,1,0)</f>
        <v>NOVICEMYSTIC</v>
      </c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</row>
    <row r="44" ht="14.25" customHeight="1">
      <c r="A44" s="160" t="str">
        <f>IFERROR(__xludf.DUMMYFUNCTION("""COMPUTED_VALUE"""),"chatouill86")</f>
        <v>chatouill86</v>
      </c>
      <c r="B44" s="156">
        <v>43.0</v>
      </c>
      <c r="C44" s="157">
        <f t="shared" si="1"/>
        <v>169.0702981</v>
      </c>
      <c r="D44" s="158" t="str">
        <f>VLOOKUP(A44,'Classement RoC'!$B$2:$C$149,1,0)</f>
        <v>chatouill86</v>
      </c>
      <c r="E44" s="163" t="str">
        <f t="shared" si="2"/>
        <v/>
      </c>
      <c r="F44" s="120" t="str">
        <f>VLOOKUP(A44,'Classement Général'!$B$2:$B$146,1,0)</f>
        <v>chatouill86</v>
      </c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</row>
    <row r="45" ht="14.25" customHeight="1">
      <c r="A45" s="160" t="str">
        <f>IFERROR(__xludf.DUMMYFUNCTION("""COMPUTED_VALUE"""),".choco")</f>
        <v>.choco</v>
      </c>
      <c r="B45" s="161">
        <v>44.0</v>
      </c>
      <c r="C45" s="157">
        <f t="shared" si="1"/>
        <v>158.7624087</v>
      </c>
      <c r="D45" s="158" t="str">
        <f>VLOOKUP(A45,'Classement RoC'!$B$2:$C$149,1,0)</f>
        <v>.choco</v>
      </c>
      <c r="E45" s="163" t="str">
        <f t="shared" si="2"/>
        <v/>
      </c>
      <c r="F45" s="120" t="str">
        <f>VLOOKUP(A45,'Classement Général'!$B$2:$B$146,1,0)</f>
        <v>.choco</v>
      </c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</row>
    <row r="46" ht="14.25" customHeight="1">
      <c r="A46" s="160" t="str">
        <f>IFERROR(__xludf.DUMMYFUNCTION("""COMPUTED_VALUE"""),"Rod_John_VI")</f>
        <v>Rod_John_VI</v>
      </c>
      <c r="B46" s="156">
        <v>45.0</v>
      </c>
      <c r="C46" s="157">
        <f t="shared" si="1"/>
        <v>148.5863045</v>
      </c>
      <c r="D46" s="158" t="str">
        <f>VLOOKUP(A46,'Classement RoC'!$B$2:$C$149,1,0)</f>
        <v>Rod_John_VI</v>
      </c>
      <c r="E46" s="163" t="str">
        <f t="shared" si="2"/>
        <v/>
      </c>
      <c r="F46" s="120" t="str">
        <f>VLOOKUP(A46,'Classement Général'!$B$2:$B$146,1,0)</f>
        <v>Rod_John_VI</v>
      </c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</row>
    <row r="47" ht="14.25" customHeight="1">
      <c r="A47" s="160" t="str">
        <f>IFERROR(__xludf.DUMMYFUNCTION("""COMPUTED_VALUE"""),"Mikalack")</f>
        <v>Mikalack</v>
      </c>
      <c r="B47" s="161">
        <v>46.0</v>
      </c>
      <c r="C47" s="157">
        <f t="shared" si="1"/>
        <v>138.5363459</v>
      </c>
      <c r="D47" s="158" t="str">
        <f>VLOOKUP(A47,'Classement RoC'!$B$2:$C$149,1,0)</f>
        <v>Mikalack</v>
      </c>
      <c r="E47" s="163" t="str">
        <f t="shared" si="2"/>
        <v/>
      </c>
      <c r="F47" s="120" t="str">
        <f>VLOOKUP(A47,'Classement Général'!$B$2:$B$146,1,0)</f>
        <v>Mikalack</v>
      </c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</row>
    <row r="48" ht="14.25" customHeight="1">
      <c r="A48" s="160" t="str">
        <f>IFERROR(__xludf.DUMMYFUNCTION("""COMPUTED_VALUE"""),"DonnesTchips")</f>
        <v>DonnesTchips</v>
      </c>
      <c r="B48" s="156">
        <v>47.0</v>
      </c>
      <c r="C48" s="157">
        <f t="shared" si="1"/>
        <v>128.6072638</v>
      </c>
      <c r="D48" s="158" t="str">
        <f>VLOOKUP(A48,'Classement RoC'!$B$2:$C$149,1,0)</f>
        <v>DonnesTchips</v>
      </c>
      <c r="E48" s="163" t="str">
        <f t="shared" si="2"/>
        <v/>
      </c>
      <c r="F48" s="120" t="str">
        <f>VLOOKUP(A48,'Classement Général'!$B$2:$B$146,1,0)</f>
        <v>DonnesTchips</v>
      </c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 ht="14.25" customHeight="1">
      <c r="A49" s="160" t="str">
        <f>IFERROR(__xludf.DUMMYFUNCTION("""COMPUTED_VALUE"""),"Butterfly-as")</f>
        <v>Butterfly-as</v>
      </c>
      <c r="B49" s="161">
        <v>48.0</v>
      </c>
      <c r="C49" s="157">
        <f t="shared" si="1"/>
        <v>118.7941269</v>
      </c>
      <c r="D49" s="158" t="str">
        <f>VLOOKUP(A49,'Classement RoC'!$B$2:$C$149,1,0)</f>
        <v>Butterfly-as</v>
      </c>
      <c r="E49" s="163" t="str">
        <f t="shared" si="2"/>
        <v/>
      </c>
      <c r="F49" s="120" t="str">
        <f>VLOOKUP(A49,'Classement Général'!$B$2:$B$146,1,0)</f>
        <v>Butterfly-as</v>
      </c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50" ht="14.25" customHeight="1">
      <c r="A50" s="160" t="str">
        <f>IFERROR(__xludf.DUMMYFUNCTION("""COMPUTED_VALUE"""),"hmnyocleaver")</f>
        <v>hmnyocleaver</v>
      </c>
      <c r="B50" s="156">
        <v>49.0</v>
      </c>
      <c r="C50" s="157">
        <f t="shared" si="1"/>
        <v>109.0923138</v>
      </c>
      <c r="D50" s="158" t="str">
        <f>VLOOKUP(A50,'Classement RoC'!$B$2:$C$149,1,0)</f>
        <v>hmnyocleaver</v>
      </c>
      <c r="E50" s="163" t="str">
        <f t="shared" si="2"/>
        <v/>
      </c>
      <c r="F50" s="120" t="str">
        <f>VLOOKUP(A50,'Classement Général'!$B$2:$B$146,1,0)</f>
        <v>hmnyocleaver</v>
      </c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</row>
    <row r="51" ht="14.25" customHeight="1">
      <c r="A51" s="160" t="str">
        <f>IFERROR(__xludf.DUMMYFUNCTION("""COMPUTED_VALUE"""),"BRUNOWINNER")</f>
        <v>BRUNOWINNER</v>
      </c>
      <c r="B51" s="161">
        <v>50.0</v>
      </c>
      <c r="C51" s="157">
        <f t="shared" si="1"/>
        <v>99.49748683</v>
      </c>
      <c r="D51" s="158" t="str">
        <f>VLOOKUP(A51,'Classement RoC'!$B$2:$C$149,1,0)</f>
        <v>BRUNOWINNER</v>
      </c>
      <c r="E51" s="163" t="str">
        <f t="shared" si="2"/>
        <v/>
      </c>
      <c r="F51" s="120" t="str">
        <f>VLOOKUP(A51,'Classement Général'!$B$2:$B$146,1,0)</f>
        <v>BRUNOWINNER</v>
      </c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</row>
    <row r="52" ht="14.25" customHeight="1">
      <c r="A52" s="160" t="str">
        <f>IFERROR(__xludf.DUMMYFUNCTION("""COMPUTED_VALUE"""),"GooodJooob")</f>
        <v>GooodJooob</v>
      </c>
      <c r="B52" s="156">
        <v>51.0</v>
      </c>
      <c r="C52" s="157">
        <f t="shared" si="1"/>
        <v>90.00556928</v>
      </c>
      <c r="D52" s="158" t="str">
        <f>VLOOKUP(A52,'Classement RoC'!$B$2:$C$149,1,0)</f>
        <v>GooodJooob</v>
      </c>
      <c r="E52" s="163" t="str">
        <f t="shared" si="2"/>
        <v/>
      </c>
      <c r="F52" s="120" t="str">
        <f>VLOOKUP(A52,'Classement Général'!$B$2:$B$146,1,0)</f>
        <v>GooodJooob</v>
      </c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</row>
    <row r="53" ht="14.25" customHeight="1">
      <c r="A53" s="160" t="str">
        <f>IFERROR(__xludf.DUMMYFUNCTION("""COMPUTED_VALUE"""),"imberbe")</f>
        <v>imberbe</v>
      </c>
      <c r="B53" s="161">
        <v>52.0</v>
      </c>
      <c r="C53" s="157">
        <f t="shared" si="1"/>
        <v>80.61272473</v>
      </c>
      <c r="D53" s="158" t="str">
        <f>VLOOKUP(A53,'Classement RoC'!$B$2:$C$149,1,0)</f>
        <v>imberbe</v>
      </c>
      <c r="E53" s="163" t="str">
        <f t="shared" si="2"/>
        <v/>
      </c>
      <c r="F53" s="120" t="str">
        <f>VLOOKUP(A53,'Classement Général'!$B$2:$B$146,1,0)</f>
        <v>imberbe</v>
      </c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</row>
    <row r="54" ht="14.25" customHeight="1">
      <c r="A54" s="160" t="str">
        <f>IFERROR(__xludf.DUMMYFUNCTION("""COMPUTED_VALUE"""),"A_iniesta")</f>
        <v>A_iniesta</v>
      </c>
      <c r="B54" s="156">
        <v>53.0</v>
      </c>
      <c r="C54" s="157">
        <f t="shared" si="1"/>
        <v>71.3153383</v>
      </c>
      <c r="D54" s="158" t="str">
        <f>VLOOKUP(A54,'Classement RoC'!$B$2:$C$149,1,0)</f>
        <v>A_iniesta</v>
      </c>
      <c r="E54" s="163" t="str">
        <f t="shared" si="2"/>
        <v/>
      </c>
      <c r="F54" s="120" t="str">
        <f>VLOOKUP(A54,'Classement Général'!$B$2:$B$146,1,0)</f>
        <v>A_iniesta</v>
      </c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</row>
    <row r="55" ht="14.25" customHeight="1">
      <c r="A55" s="160" t="str">
        <f>IFERROR(__xludf.DUMMYFUNCTION("""COMPUTED_VALUE"""),"StephBoss05")</f>
        <v>StephBoss05</v>
      </c>
      <c r="B55" s="161">
        <v>54.0</v>
      </c>
      <c r="C55" s="157">
        <f t="shared" si="1"/>
        <v>62.10999971</v>
      </c>
      <c r="D55" s="158" t="str">
        <f>VLOOKUP(A55,'Classement RoC'!$B$2:$C$149,1,0)</f>
        <v>StephBoss05</v>
      </c>
      <c r="E55" s="163" t="str">
        <f t="shared" si="2"/>
        <v/>
      </c>
      <c r="F55" s="120" t="str">
        <f>VLOOKUP(A55,'Classement Général'!$B$2:$B$146,1,0)</f>
        <v>StephBoss05</v>
      </c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</row>
    <row r="56" ht="14.25" customHeight="1">
      <c r="A56" s="160" t="str">
        <f>IFERROR(__xludf.DUMMYFUNCTION("""COMPUTED_VALUE"""),"Like_A_Fish")</f>
        <v>Like_A_Fish</v>
      </c>
      <c r="B56" s="156">
        <v>55.0</v>
      </c>
      <c r="C56" s="157">
        <f t="shared" si="1"/>
        <v>52.99348796</v>
      </c>
      <c r="D56" s="158" t="str">
        <f>VLOOKUP(A56,'Classement RoC'!$B$2:$C$149,1,0)</f>
        <v>Like_A_Fish</v>
      </c>
      <c r="E56" s="163" t="str">
        <f t="shared" si="2"/>
        <v/>
      </c>
      <c r="F56" s="120" t="str">
        <f>VLOOKUP(A56,'Classement Général'!$B$2:$B$146,1,0)</f>
        <v>Like_A_Fish</v>
      </c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</row>
    <row r="57" ht="14.25" customHeight="1">
      <c r="A57" s="160" t="str">
        <f>IFERROR(__xludf.DUMMYFUNCTION("""COMPUTED_VALUE"""),"Le_Pictavien")</f>
        <v>Le_Pictavien</v>
      </c>
      <c r="B57" s="161">
        <v>56.0</v>
      </c>
      <c r="C57" s="157">
        <f t="shared" si="1"/>
        <v>43.96275746</v>
      </c>
      <c r="D57" s="158" t="str">
        <f>VLOOKUP(A57,'Classement RoC'!$B$2:$C$149,1,0)</f>
        <v>Le_Pictavien</v>
      </c>
      <c r="E57" s="163" t="str">
        <f t="shared" si="2"/>
        <v/>
      </c>
      <c r="F57" s="120" t="str">
        <f>VLOOKUP(A57,'Classement Général'!$B$2:$B$146,1,0)</f>
        <v>Le_Pictavien</v>
      </c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</row>
    <row r="58" ht="14.25" customHeight="1">
      <c r="A58" s="160" t="str">
        <f>IFERROR(__xludf.DUMMYFUNCTION("""COMPUTED_VALUE"""),"erniedog56x")</f>
        <v>erniedog56x</v>
      </c>
      <c r="B58" s="156">
        <v>57.0</v>
      </c>
      <c r="C58" s="157">
        <f t="shared" si="1"/>
        <v>35.01492533</v>
      </c>
      <c r="D58" s="158" t="str">
        <f>VLOOKUP(A58,'Classement RoC'!$B$2:$C$149,1,0)</f>
        <v>erniedog56x</v>
      </c>
      <c r="E58" s="163" t="str">
        <f t="shared" si="2"/>
        <v/>
      </c>
      <c r="F58" s="120" t="str">
        <f>VLOOKUP(A58,'Classement Général'!$B$2:$B$146,1,0)</f>
        <v>erniedog56x</v>
      </c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</row>
    <row r="59" ht="14.25" customHeight="1">
      <c r="A59" s="160" t="str">
        <f>IFERROR(__xludf.DUMMYFUNCTION("""COMPUTED_VALUE"""),"m86600b")</f>
        <v>m86600b</v>
      </c>
      <c r="B59" s="161">
        <v>58.0</v>
      </c>
      <c r="C59" s="157">
        <f t="shared" si="1"/>
        <v>26.14725988</v>
      </c>
      <c r="D59" s="158" t="str">
        <f>VLOOKUP(A59,'Classement RoC'!$B$2:$C$149,1,0)</f>
        <v>m86600b</v>
      </c>
      <c r="E59" s="163" t="str">
        <f t="shared" si="2"/>
        <v/>
      </c>
      <c r="F59" s="120" t="str">
        <f>VLOOKUP(A59,'Classement Général'!$B$2:$B$146,1,0)</f>
        <v>m86600b</v>
      </c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</row>
    <row r="60" ht="14.25" customHeight="1">
      <c r="A60" s="160" t="str">
        <f>IFERROR(__xludf.DUMMYFUNCTION("""COMPUTED_VALUE"""),"KKPTETYO")</f>
        <v>KKPTETYO</v>
      </c>
      <c r="B60" s="156">
        <v>59.0</v>
      </c>
      <c r="C60" s="157">
        <f t="shared" si="1"/>
        <v>17.35717011</v>
      </c>
      <c r="D60" s="158" t="str">
        <f>VLOOKUP(A60,'Classement RoC'!$B$2:$C$149,1,0)</f>
        <v>KKPTETYO</v>
      </c>
      <c r="E60" s="163" t="str">
        <f t="shared" si="2"/>
        <v/>
      </c>
      <c r="F60" s="120" t="str">
        <f>VLOOKUP(A60,'Classement Général'!$B$2:$B$146,1,0)</f>
        <v>KKPTETYO</v>
      </c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</row>
    <row r="61" ht="14.25" customHeight="1">
      <c r="A61" s="160" t="str">
        <f>IFERROR(__xludf.DUMMYFUNCTION("""COMPUTED_VALUE"""),"gregmoore")</f>
        <v>gregmoore</v>
      </c>
      <c r="B61" s="161">
        <v>60.0</v>
      </c>
      <c r="C61" s="157">
        <f t="shared" si="1"/>
        <v>8.642196058</v>
      </c>
      <c r="D61" s="158" t="str">
        <f>VLOOKUP(A61,'Classement RoC'!$B$2:$C$149,1,0)</f>
        <v>gregmoore</v>
      </c>
      <c r="E61" s="163" t="str">
        <f t="shared" si="2"/>
        <v/>
      </c>
      <c r="F61" s="120" t="str">
        <f>VLOOKUP(A61,'Classement Général'!$B$2:$B$146,1,0)</f>
        <v>gregmoore</v>
      </c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</row>
    <row r="62" ht="14.25" customHeight="1">
      <c r="A62" s="160"/>
      <c r="B62" s="156">
        <v>61.0</v>
      </c>
      <c r="C62" s="157">
        <f t="shared" si="1"/>
        <v>0</v>
      </c>
      <c r="D62" s="158" t="str">
        <f>VLOOKUP(A62,'Classement RoC'!$B$2:$C$149,1,0)</f>
        <v>#N/A</v>
      </c>
      <c r="E62" s="163" t="str">
        <f t="shared" si="2"/>
        <v>#N/A</v>
      </c>
      <c r="F62" s="120" t="str">
        <f>VLOOKUP(A62,'Classement Général'!$B$2:$B$146,1,0)</f>
        <v>#N/A</v>
      </c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</row>
    <row r="63" ht="14.25" customHeight="1">
      <c r="A63" s="160"/>
      <c r="B63" s="161">
        <v>62.0</v>
      </c>
      <c r="C63" s="157">
        <f t="shared" si="1"/>
        <v>-8.571641617</v>
      </c>
      <c r="D63" s="158" t="str">
        <f>VLOOKUP(A63,'Classement RoC'!$B$2:$C$149,1,0)</f>
        <v>#N/A</v>
      </c>
      <c r="E63" s="163" t="str">
        <f t="shared" si="2"/>
        <v>#N/A</v>
      </c>
      <c r="F63" s="120" t="str">
        <f>VLOOKUP(A63,'Classement Général'!$B$2:$B$146,1,0)</f>
        <v>#N/A</v>
      </c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</row>
    <row r="64" ht="14.25" customHeight="1">
      <c r="A64" s="160"/>
      <c r="B64" s="156">
        <v>63.0</v>
      </c>
      <c r="C64" s="157">
        <f t="shared" si="1"/>
        <v>-17.07484561</v>
      </c>
      <c r="D64" s="158" t="str">
        <f>VLOOKUP(A64,'Classement RoC'!$B$2:$C$149,1,0)</f>
        <v>#N/A</v>
      </c>
      <c r="E64" s="163" t="str">
        <f t="shared" si="2"/>
        <v>#N/A</v>
      </c>
      <c r="F64" s="120" t="str">
        <f>VLOOKUP(A64,'Classement Général'!$B$2:$B$146,1,0)</f>
        <v>#N/A</v>
      </c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</row>
    <row r="65" ht="14.25" customHeight="1">
      <c r="A65" s="160"/>
      <c r="B65" s="161">
        <v>64.0</v>
      </c>
      <c r="C65" s="157">
        <f t="shared" si="1"/>
        <v>-25.51162887</v>
      </c>
      <c r="D65" s="158" t="str">
        <f>VLOOKUP(A65,'Classement RoC'!$B$2:$C$149,1,0)</f>
        <v>#N/A</v>
      </c>
      <c r="E65" s="163" t="str">
        <f t="shared" si="2"/>
        <v>#N/A</v>
      </c>
      <c r="F65" s="120" t="str">
        <f>VLOOKUP(A65,'Classement Général'!$B$2:$B$146,1,0)</f>
        <v>#N/A</v>
      </c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</row>
    <row r="66" ht="14.25" customHeight="1">
      <c r="A66" s="160"/>
      <c r="B66" s="156">
        <v>65.0</v>
      </c>
      <c r="C66" s="157">
        <f t="shared" si="1"/>
        <v>-33.88391466</v>
      </c>
      <c r="D66" s="158" t="str">
        <f>VLOOKUP(A66,'Classement RoC'!$B$2:$C$149,1,0)</f>
        <v>#N/A</v>
      </c>
      <c r="E66" s="163" t="str">
        <f t="shared" si="2"/>
        <v>#N/A</v>
      </c>
      <c r="F66" s="120" t="str">
        <f>VLOOKUP(A66,'Classement Général'!$B$2:$B$146,1,0)</f>
        <v>#N/A</v>
      </c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</row>
    <row r="67" ht="14.25" customHeight="1">
      <c r="A67" s="160"/>
      <c r="B67" s="161">
        <v>66.0</v>
      </c>
      <c r="C67" s="157">
        <f t="shared" si="1"/>
        <v>-42.19353842</v>
      </c>
      <c r="D67" s="158" t="str">
        <f>VLOOKUP(A67,'Classement RoC'!$B$2:$C$149,1,0)</f>
        <v>#N/A</v>
      </c>
      <c r="E67" s="163" t="str">
        <f t="shared" si="2"/>
        <v>#N/A</v>
      </c>
      <c r="F67" s="120" t="str">
        <f>VLOOKUP(A67,'Classement Général'!$B$2:$B$146,1,0)</f>
        <v>#N/A</v>
      </c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</row>
    <row r="68" ht="14.25" customHeight="1">
      <c r="A68" s="160"/>
      <c r="B68" s="156">
        <v>67.0</v>
      </c>
      <c r="C68" s="157">
        <f t="shared" si="1"/>
        <v>-50.44225309</v>
      </c>
      <c r="D68" s="158" t="str">
        <f>VLOOKUP(A68,'Classement RoC'!$B$2:$C$149,1,0)</f>
        <v>#N/A</v>
      </c>
      <c r="E68" s="163" t="str">
        <f t="shared" si="2"/>
        <v>#N/A</v>
      </c>
      <c r="F68" s="120" t="str">
        <f>VLOOKUP(A68,'Classement Général'!$B$2:$B$146,1,0)</f>
        <v>#N/A</v>
      </c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</row>
    <row r="69" ht="14.25" customHeight="1">
      <c r="A69" s="160"/>
      <c r="B69" s="161">
        <v>68.0</v>
      </c>
      <c r="C69" s="157">
        <f t="shared" si="1"/>
        <v>-58.63173408</v>
      </c>
      <c r="D69" s="158" t="str">
        <f>VLOOKUP(A69,'Classement RoC'!$B$2:$C$149,1,0)</f>
        <v>#N/A</v>
      </c>
      <c r="E69" s="163" t="str">
        <f t="shared" si="2"/>
        <v>#N/A</v>
      </c>
      <c r="F69" s="120" t="str">
        <f>VLOOKUP(A69,'Classement Général'!$B$2:$B$146,1,0)</f>
        <v>#N/A</v>
      </c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</row>
    <row r="70" ht="14.25" customHeight="1">
      <c r="A70" s="160"/>
      <c r="B70" s="156">
        <v>69.0</v>
      </c>
      <c r="C70" s="157">
        <f t="shared" si="1"/>
        <v>-66.76358385</v>
      </c>
      <c r="D70" s="158" t="str">
        <f>VLOOKUP(A70,'Classement RoC'!$B$2:$C$149,1,0)</f>
        <v>#N/A</v>
      </c>
      <c r="E70" s="163" t="str">
        <f t="shared" si="2"/>
        <v>#N/A</v>
      </c>
      <c r="F70" s="120" t="str">
        <f>VLOOKUP(A70,'Classement Général'!$B$2:$B$146,1,0)</f>
        <v>#N/A</v>
      </c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</row>
    <row r="71" ht="14.25" customHeight="1">
      <c r="A71" s="160"/>
      <c r="B71" s="161">
        <v>70.0</v>
      </c>
      <c r="C71" s="157">
        <f t="shared" si="1"/>
        <v>-74.83933616</v>
      </c>
      <c r="D71" s="158" t="str">
        <f>VLOOKUP(A71,'Classement RoC'!$B$2:$C$149,1,0)</f>
        <v>#N/A</v>
      </c>
      <c r="E71" s="163" t="str">
        <f t="shared" si="2"/>
        <v>#N/A</v>
      </c>
      <c r="F71" s="120" t="str">
        <f>VLOOKUP(A71,'Classement Général'!$B$2:$B$146,1,0)</f>
        <v>#N/A</v>
      </c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</row>
    <row r="72" ht="14.25" customHeight="1">
      <c r="A72" s="160"/>
      <c r="B72" s="156">
        <v>71.0</v>
      </c>
      <c r="C72" s="157">
        <f t="shared" si="1"/>
        <v>-82.86046</v>
      </c>
      <c r="D72" s="158" t="str">
        <f>VLOOKUP(A72,'Classement RoC'!$B$2:$C$149,1,0)</f>
        <v>#N/A</v>
      </c>
      <c r="E72" s="163" t="str">
        <f t="shared" si="2"/>
        <v>#N/A</v>
      </c>
      <c r="F72" s="120" t="str">
        <f>VLOOKUP(A72,'Classement Général'!$B$2:$B$146,1,0)</f>
        <v>#N/A</v>
      </c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</row>
    <row r="73" ht="14.25" customHeight="1">
      <c r="A73" s="160"/>
      <c r="B73" s="161">
        <v>72.0</v>
      </c>
      <c r="C73" s="157">
        <f t="shared" si="1"/>
        <v>-90.82836326</v>
      </c>
      <c r="D73" s="158" t="str">
        <f>VLOOKUP(A73,'Classement RoC'!$B$2:$C$149,1,0)</f>
        <v>#N/A</v>
      </c>
      <c r="E73" s="163" t="str">
        <f t="shared" si="2"/>
        <v>#N/A</v>
      </c>
      <c r="F73" s="120" t="str">
        <f>VLOOKUP(A73,'Classement Général'!$B$2:$B$146,1,0)</f>
        <v>#N/A</v>
      </c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</row>
    <row r="74" ht="14.25" customHeight="1">
      <c r="A74" s="160"/>
      <c r="B74" s="156">
        <v>73.0</v>
      </c>
      <c r="C74" s="157">
        <f t="shared" si="1"/>
        <v>-98.74439611</v>
      </c>
      <c r="D74" s="158" t="str">
        <f>VLOOKUP(A74,'Classement RoC'!$B$2:$C$149,1,0)</f>
        <v>#N/A</v>
      </c>
      <c r="E74" s="163" t="str">
        <f t="shared" si="2"/>
        <v>#N/A</v>
      </c>
      <c r="F74" s="120" t="str">
        <f>VLOOKUP(A74,'Classement Général'!$B$2:$B$146,1,0)</f>
        <v>#N/A</v>
      </c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</row>
    <row r="75" ht="14.25" customHeight="1">
      <c r="A75" s="160"/>
      <c r="B75" s="161">
        <v>74.0</v>
      </c>
      <c r="C75" s="157">
        <f t="shared" si="1"/>
        <v>-106.6098542</v>
      </c>
      <c r="D75" s="158" t="str">
        <f>VLOOKUP(A75,'Classement RoC'!$B$2:$C$149,1,0)</f>
        <v>#N/A</v>
      </c>
      <c r="E75" s="163" t="str">
        <f t="shared" si="2"/>
        <v>#N/A</v>
      </c>
      <c r="F75" s="120" t="str">
        <f>VLOOKUP(A75,'Classement Général'!$B$2:$B$146,1,0)</f>
        <v>#N/A</v>
      </c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</row>
    <row r="76" ht="14.25" customHeight="1">
      <c r="A76" s="160"/>
      <c r="B76" s="156">
        <v>75.0</v>
      </c>
      <c r="C76" s="157">
        <f t="shared" si="1"/>
        <v>-114.4259817</v>
      </c>
      <c r="D76" s="158" t="str">
        <f>VLOOKUP(A76,'Classement RoC'!$B$2:$C$149,1,0)</f>
        <v>#N/A</v>
      </c>
      <c r="E76" s="163" t="str">
        <f t="shared" si="2"/>
        <v>#N/A</v>
      </c>
      <c r="F76" s="120" t="str">
        <f>VLOOKUP(A76,'Classement Général'!$B$2:$B$146,1,0)</f>
        <v>#N/A</v>
      </c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</row>
    <row r="77" ht="14.25" customHeight="1">
      <c r="A77" s="160"/>
      <c r="B77" s="161">
        <v>76.0</v>
      </c>
      <c r="C77" s="157">
        <f t="shared" si="1"/>
        <v>-122.1939737</v>
      </c>
      <c r="D77" s="158" t="str">
        <f>VLOOKUP(A77,'Classement RoC'!$B$2:$C$149,1,0)</f>
        <v>#N/A</v>
      </c>
      <c r="E77" s="163" t="str">
        <f t="shared" si="2"/>
        <v>#N/A</v>
      </c>
      <c r="F77" s="120" t="str">
        <f>VLOOKUP(A77,'Classement Général'!$B$2:$B$146,1,0)</f>
        <v>#N/A</v>
      </c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</row>
    <row r="78" ht="14.25" customHeight="1">
      <c r="A78" s="160"/>
      <c r="B78" s="156">
        <v>77.0</v>
      </c>
      <c r="C78" s="157">
        <f t="shared" si="1"/>
        <v>-129.9149793</v>
      </c>
      <c r="D78" s="158" t="str">
        <f>VLOOKUP(A78,'Classement RoC'!$B$2:$C$149,1,0)</f>
        <v>#N/A</v>
      </c>
      <c r="E78" s="163" t="str">
        <f t="shared" si="2"/>
        <v>#N/A</v>
      </c>
      <c r="F78" s="120" t="str">
        <f>VLOOKUP(A78,'Classement Général'!$B$2:$B$146,1,0)</f>
        <v>#N/A</v>
      </c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</row>
    <row r="79" ht="14.25" customHeight="1">
      <c r="A79" s="160"/>
      <c r="B79" s="161">
        <v>78.0</v>
      </c>
      <c r="C79" s="157">
        <f t="shared" si="1"/>
        <v>-137.5901037</v>
      </c>
      <c r="D79" s="158" t="str">
        <f>VLOOKUP(A79,'Classement RoC'!$B$2:$C$149,1,0)</f>
        <v>#N/A</v>
      </c>
      <c r="E79" s="163" t="str">
        <f t="shared" si="2"/>
        <v>#N/A</v>
      </c>
      <c r="F79" s="120" t="str">
        <f>VLOOKUP(A79,'Classement Général'!$B$2:$B$146,1,0)</f>
        <v>#N/A</v>
      </c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</row>
    <row r="80" ht="14.25" customHeight="1">
      <c r="A80" s="160"/>
      <c r="B80" s="156">
        <v>79.0</v>
      </c>
      <c r="C80" s="157">
        <f t="shared" si="1"/>
        <v>-145.2204103</v>
      </c>
      <c r="D80" s="158" t="str">
        <f>VLOOKUP(A80,'Classement RoC'!$B$2:$C$149,1,0)</f>
        <v>#N/A</v>
      </c>
      <c r="E80" s="163" t="str">
        <f t="shared" si="2"/>
        <v>#N/A</v>
      </c>
      <c r="F80" s="120" t="str">
        <f>VLOOKUP(A80,'Classement Général'!$B$2:$B$146,1,0)</f>
        <v>#N/A</v>
      </c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</row>
    <row r="81" ht="14.25" customHeight="1">
      <c r="A81" s="160"/>
      <c r="B81" s="161">
        <v>80.0</v>
      </c>
      <c r="C81" s="157">
        <f t="shared" si="1"/>
        <v>-152.8069233</v>
      </c>
      <c r="D81" s="158" t="str">
        <f>VLOOKUP(A81,'Classement RoC'!$B$2:$C$149,1,0)</f>
        <v>#N/A</v>
      </c>
      <c r="E81" s="163" t="str">
        <f t="shared" si="2"/>
        <v>#N/A</v>
      </c>
      <c r="F81" s="120" t="str">
        <f>VLOOKUP(A81,'Classement Général'!$B$2:$B$146,1,0)</f>
        <v>#N/A</v>
      </c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</row>
    <row r="82" ht="14.25" customHeight="1">
      <c r="A82" s="160"/>
      <c r="B82" s="156">
        <v>81.0</v>
      </c>
      <c r="C82" s="157">
        <f t="shared" si="1"/>
        <v>-160.3506291</v>
      </c>
      <c r="D82" s="158" t="str">
        <f>VLOOKUP(A82,'Classement RoC'!$B$2:$C$149,1,0)</f>
        <v>#N/A</v>
      </c>
      <c r="E82" s="163" t="str">
        <f t="shared" si="2"/>
        <v>#N/A</v>
      </c>
      <c r="F82" s="120" t="str">
        <f>VLOOKUP(A82,'Classement Général'!$B$2:$B$146,1,0)</f>
        <v>#N/A</v>
      </c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</row>
    <row r="83" ht="14.25" customHeight="1">
      <c r="A83" s="160"/>
      <c r="B83" s="161">
        <v>82.0</v>
      </c>
      <c r="C83" s="157">
        <f t="shared" si="1"/>
        <v>-167.8524786</v>
      </c>
      <c r="D83" s="158" t="str">
        <f>VLOOKUP(A83,'Classement RoC'!$B$2:$C$149,1,0)</f>
        <v>#N/A</v>
      </c>
      <c r="E83" s="163" t="str">
        <f t="shared" si="2"/>
        <v>#N/A</v>
      </c>
      <c r="F83" s="120" t="str">
        <f>VLOOKUP(A83,'Classement Général'!$B$2:$B$146,1,0)</f>
        <v>#N/A</v>
      </c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</row>
    <row r="84" ht="14.25" customHeight="1">
      <c r="A84" s="160"/>
      <c r="B84" s="156">
        <v>83.0</v>
      </c>
      <c r="C84" s="157">
        <f t="shared" si="1"/>
        <v>-175.3133889</v>
      </c>
      <c r="D84" s="158" t="str">
        <f>VLOOKUP(A84,'Classement RoC'!$B$2:$C$149,1,0)</f>
        <v>#N/A</v>
      </c>
      <c r="E84" s="163" t="str">
        <f t="shared" si="2"/>
        <v>#N/A</v>
      </c>
      <c r="F84" s="120" t="str">
        <f>VLOOKUP(A84,'Classement Général'!$B$2:$B$146,1,0)</f>
        <v>#N/A</v>
      </c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</row>
    <row r="85" ht="14.25" customHeight="1">
      <c r="A85" s="160"/>
      <c r="B85" s="161">
        <v>84.0</v>
      </c>
      <c r="C85" s="157">
        <f t="shared" si="1"/>
        <v>-182.7342443</v>
      </c>
      <c r="D85" s="158" t="str">
        <f>VLOOKUP(A85,'Classement RoC'!$B$2:$C$149,1,0)</f>
        <v>#N/A</v>
      </c>
      <c r="E85" s="163" t="str">
        <f t="shared" si="2"/>
        <v>#N/A</v>
      </c>
      <c r="F85" s="120" t="str">
        <f>VLOOKUP(A85,'Classement Général'!$B$2:$B$146,1,0)</f>
        <v>#N/A</v>
      </c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</row>
    <row r="86" ht="14.25" customHeight="1">
      <c r="A86" s="160"/>
      <c r="B86" s="156">
        <v>85.0</v>
      </c>
      <c r="C86" s="157">
        <f t="shared" si="1"/>
        <v>-190.115899</v>
      </c>
      <c r="D86" s="158" t="str">
        <f>VLOOKUP(A86,'Classement RoC'!$B$2:$C$149,1,0)</f>
        <v>#N/A</v>
      </c>
      <c r="E86" s="163" t="str">
        <f t="shared" si="2"/>
        <v>#N/A</v>
      </c>
      <c r="F86" s="120" t="str">
        <f>VLOOKUP(A86,'Classement Général'!$B$2:$B$146,1,0)</f>
        <v>#N/A</v>
      </c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</row>
    <row r="87" ht="14.25" customHeight="1">
      <c r="A87" s="160"/>
      <c r="B87" s="161">
        <v>86.0</v>
      </c>
      <c r="C87" s="157">
        <f t="shared" si="1"/>
        <v>-197.4591772</v>
      </c>
      <c r="D87" s="158" t="str">
        <f>VLOOKUP(A87,'Classement RoC'!$B$2:$C$149,1,0)</f>
        <v>#N/A</v>
      </c>
      <c r="E87" s="163" t="str">
        <f t="shared" si="2"/>
        <v>#N/A</v>
      </c>
      <c r="F87" s="120" t="str">
        <f>VLOOKUP(A87,'Classement Général'!$B$2:$B$146,1,0)</f>
        <v>#N/A</v>
      </c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</row>
    <row r="88" ht="14.25" customHeight="1">
      <c r="A88" s="160"/>
      <c r="B88" s="156">
        <v>87.0</v>
      </c>
      <c r="C88" s="157">
        <f t="shared" si="1"/>
        <v>-204.7648756</v>
      </c>
      <c r="D88" s="158" t="str">
        <f>VLOOKUP(A88,'Classement RoC'!$B$2:$C$149,1,0)</f>
        <v>#N/A</v>
      </c>
      <c r="E88" s="163" t="str">
        <f t="shared" si="2"/>
        <v>#N/A</v>
      </c>
      <c r="F88" s="120" t="str">
        <f>VLOOKUP(A88,'Classement Général'!$B$2:$B$146,1,0)</f>
        <v>#N/A</v>
      </c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</row>
    <row r="89" ht="14.25" customHeight="1">
      <c r="A89" s="160"/>
      <c r="B89" s="161">
        <v>88.0</v>
      </c>
      <c r="C89" s="157">
        <f t="shared" si="1"/>
        <v>-212.0337641</v>
      </c>
      <c r="D89" s="158" t="str">
        <f>VLOOKUP(A89,'Classement RoC'!$B$2:$C$149,1,0)</f>
        <v>#N/A</v>
      </c>
      <c r="E89" s="163" t="str">
        <f t="shared" si="2"/>
        <v>#N/A</v>
      </c>
      <c r="F89" s="120" t="str">
        <f>VLOOKUP(A89,'Classement Général'!$B$2:$B$146,1,0)</f>
        <v>#N/A</v>
      </c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</row>
    <row r="90" ht="14.25" customHeight="1">
      <c r="A90" s="160"/>
      <c r="B90" s="156">
        <v>89.0</v>
      </c>
      <c r="C90" s="157">
        <f t="shared" si="1"/>
        <v>-219.2665871</v>
      </c>
      <c r="D90" s="158" t="str">
        <f>VLOOKUP(A90,'Classement RoC'!$B$2:$C$149,1,0)</f>
        <v>#N/A</v>
      </c>
      <c r="E90" s="163" t="str">
        <f t="shared" si="2"/>
        <v>#N/A</v>
      </c>
      <c r="F90" s="120" t="str">
        <f>VLOOKUP(A90,'Classement Général'!$B$2:$B$146,1,0)</f>
        <v>#N/A</v>
      </c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</row>
    <row r="91" ht="14.25" customHeight="1">
      <c r="A91" s="160"/>
      <c r="B91" s="161">
        <v>90.0</v>
      </c>
      <c r="C91" s="157">
        <f t="shared" si="1"/>
        <v>-226.4640645</v>
      </c>
      <c r="D91" s="158" t="str">
        <f>VLOOKUP(A91,'Classement RoC'!$B$2:$C$149,1,0)</f>
        <v>#N/A</v>
      </c>
      <c r="E91" s="163" t="str">
        <f t="shared" si="2"/>
        <v>#N/A</v>
      </c>
      <c r="F91" s="120" t="str">
        <f>VLOOKUP(A91,'Classement Général'!$B$2:$B$146,1,0)</f>
        <v>#N/A</v>
      </c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</row>
    <row r="92" ht="14.25" customHeight="1">
      <c r="A92" s="160"/>
      <c r="B92" s="156">
        <v>91.0</v>
      </c>
      <c r="C92" s="157">
        <f t="shared" si="1"/>
        <v>-233.6268932</v>
      </c>
      <c r="D92" s="158" t="str">
        <f>VLOOKUP(A92,'Classement RoC'!$B$2:$C$149,1,0)</f>
        <v>#N/A</v>
      </c>
      <c r="E92" s="163" t="str">
        <f t="shared" si="2"/>
        <v>#N/A</v>
      </c>
      <c r="F92" s="120" t="str">
        <f>VLOOKUP(A92,'Classement Général'!$B$2:$B$146,1,0)</f>
        <v>#N/A</v>
      </c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</row>
    <row r="93" ht="14.25" customHeight="1">
      <c r="A93" s="160"/>
      <c r="B93" s="161">
        <v>92.0</v>
      </c>
      <c r="C93" s="157">
        <f t="shared" si="1"/>
        <v>-240.7557477</v>
      </c>
      <c r="D93" s="158" t="str">
        <f>VLOOKUP(A93,'Classement RoC'!$B$2:$C$149,1,0)</f>
        <v>#N/A</v>
      </c>
      <c r="E93" s="163" t="str">
        <f t="shared" si="2"/>
        <v>#N/A</v>
      </c>
      <c r="F93" s="120" t="str">
        <f>VLOOKUP(A93,'Classement Général'!$B$2:$B$146,1,0)</f>
        <v>#N/A</v>
      </c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</row>
    <row r="94" ht="14.25" customHeight="1">
      <c r="A94" s="160"/>
      <c r="B94" s="156">
        <v>93.0</v>
      </c>
      <c r="C94" s="157">
        <f t="shared" si="1"/>
        <v>-247.8512813</v>
      </c>
      <c r="D94" s="158" t="str">
        <f>VLOOKUP(A94,'Classement RoC'!$B$2:$C$149,1,0)</f>
        <v>#N/A</v>
      </c>
      <c r="E94" s="163" t="str">
        <f t="shared" si="2"/>
        <v>#N/A</v>
      </c>
      <c r="F94" s="120" t="str">
        <f>VLOOKUP(A94,'Classement Général'!$B$2:$B$146,1,0)</f>
        <v>#N/A</v>
      </c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</row>
    <row r="95" ht="14.25" customHeight="1">
      <c r="A95" s="160"/>
      <c r="B95" s="161">
        <v>94.0</v>
      </c>
      <c r="C95" s="157">
        <f t="shared" si="1"/>
        <v>-254.9141267</v>
      </c>
      <c r="D95" s="158" t="str">
        <f>VLOOKUP(A95,'Classement RoC'!$B$2:$C$149,1,0)</f>
        <v>#N/A</v>
      </c>
      <c r="E95" s="163" t="str">
        <f t="shared" si="2"/>
        <v>#N/A</v>
      </c>
      <c r="F95" s="120" t="str">
        <f>VLOOKUP(A95,'Classement Général'!$B$2:$B$146,1,0)</f>
        <v>#N/A</v>
      </c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</row>
    <row r="96" ht="14.25" customHeight="1">
      <c r="A96" s="160"/>
      <c r="B96" s="156">
        <v>95.0</v>
      </c>
      <c r="C96" s="157">
        <f t="shared" si="1"/>
        <v>-261.9448973</v>
      </c>
      <c r="D96" s="158" t="str">
        <f>VLOOKUP(A96,'Classement RoC'!$B$2:$C$149,1,0)</f>
        <v>#N/A</v>
      </c>
      <c r="E96" s="163" t="str">
        <f t="shared" si="2"/>
        <v>#N/A</v>
      </c>
      <c r="F96" s="120" t="str">
        <f>VLOOKUP(A96,'Classement Général'!$B$2:$B$146,1,0)</f>
        <v>#N/A</v>
      </c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</row>
    <row r="97" ht="14.25" customHeight="1">
      <c r="A97" s="160"/>
      <c r="B97" s="161">
        <v>96.0</v>
      </c>
      <c r="C97" s="157">
        <f t="shared" si="1"/>
        <v>-268.9441879</v>
      </c>
      <c r="D97" s="158" t="str">
        <f>VLOOKUP(A97,'Classement RoC'!$B$2:$C$149,1,0)</f>
        <v>#N/A</v>
      </c>
      <c r="E97" s="163" t="str">
        <f t="shared" si="2"/>
        <v>#N/A</v>
      </c>
      <c r="F97" s="120" t="str">
        <f>VLOOKUP(A97,'Classement Général'!$B$2:$B$146,1,0)</f>
        <v>#N/A</v>
      </c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</row>
    <row r="98" ht="14.25" customHeight="1">
      <c r="A98" s="160"/>
      <c r="B98" s="156">
        <v>97.0</v>
      </c>
      <c r="C98" s="157">
        <f t="shared" si="1"/>
        <v>-275.912575</v>
      </c>
      <c r="D98" s="158" t="str">
        <f>VLOOKUP(A98,'Classement RoC'!$B$2:$C$149,1,0)</f>
        <v>#N/A</v>
      </c>
      <c r="E98" s="163" t="str">
        <f t="shared" si="2"/>
        <v>#N/A</v>
      </c>
      <c r="F98" s="120" t="str">
        <f>VLOOKUP(A98,'Classement Général'!$B$2:$B$146,1,0)</f>
        <v>#N/A</v>
      </c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</row>
    <row r="99" ht="14.25" customHeight="1">
      <c r="A99" s="160"/>
      <c r="B99" s="161">
        <v>98.0</v>
      </c>
      <c r="C99" s="157">
        <f t="shared" si="1"/>
        <v>-282.8506182</v>
      </c>
      <c r="D99" s="158" t="str">
        <f>VLOOKUP(A99,'Classement RoC'!$B$2:$C$149,1,0)</f>
        <v>#N/A</v>
      </c>
      <c r="E99" s="163" t="str">
        <f t="shared" si="2"/>
        <v>#N/A</v>
      </c>
      <c r="F99" s="120" t="str">
        <f>VLOOKUP(A99,'Classement Général'!$B$2:$B$146,1,0)</f>
        <v>#N/A</v>
      </c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</row>
    <row r="100" ht="14.25" customHeight="1">
      <c r="A100" s="160"/>
      <c r="B100" s="156">
        <v>99.0</v>
      </c>
      <c r="C100" s="157">
        <f t="shared" si="1"/>
        <v>-289.7588605</v>
      </c>
      <c r="D100" s="158" t="str">
        <f>VLOOKUP(A100,'Classement RoC'!$B$2:$C$149,1,0)</f>
        <v>#N/A</v>
      </c>
      <c r="E100" s="163" t="str">
        <f t="shared" si="2"/>
        <v>#N/A</v>
      </c>
      <c r="F100" s="120" t="str">
        <f>VLOOKUP(A100,'Classement Général'!$B$2:$B$146,1,0)</f>
        <v>#N/A</v>
      </c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</row>
    <row r="101" ht="14.25" customHeight="1">
      <c r="A101" s="160"/>
      <c r="B101" s="161">
        <v>100.0</v>
      </c>
      <c r="C101" s="157">
        <f t="shared" si="1"/>
        <v>-296.6378291</v>
      </c>
      <c r="D101" s="158" t="str">
        <f>VLOOKUP(A101,'Classement RoC'!$B$2:$C$149,1,0)</f>
        <v>#N/A</v>
      </c>
      <c r="E101" s="163" t="str">
        <f t="shared" si="2"/>
        <v>#N/A</v>
      </c>
      <c r="F101" s="120" t="str">
        <f>VLOOKUP(A101,'Classement Général'!$B$2:$B$146,1,0)</f>
        <v>#N/A</v>
      </c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</row>
    <row r="102" ht="14.25" customHeight="1">
      <c r="A102" s="160"/>
      <c r="B102" s="156">
        <v>101.0</v>
      </c>
      <c r="C102" s="157">
        <f t="shared" si="1"/>
        <v>-303.4880359</v>
      </c>
      <c r="D102" s="158" t="str">
        <f>VLOOKUP(A102,'Classement RoC'!$B$2:$C$149,1,0)</f>
        <v>#N/A</v>
      </c>
      <c r="E102" s="163" t="str">
        <f t="shared" si="2"/>
        <v>#N/A</v>
      </c>
      <c r="F102" s="120" t="str">
        <f>VLOOKUP(A102,'Classement Général'!$B$2:$B$146,1,0)</f>
        <v>#N/A</v>
      </c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</row>
    <row r="103" ht="14.25" customHeight="1">
      <c r="A103" s="160"/>
      <c r="B103" s="161">
        <v>102.0</v>
      </c>
      <c r="C103" s="157">
        <f t="shared" si="1"/>
        <v>-310.3099783</v>
      </c>
      <c r="D103" s="158" t="str">
        <f>VLOOKUP(A103,'Classement RoC'!$B$2:$C$149,1,0)</f>
        <v>#N/A</v>
      </c>
      <c r="E103" s="163" t="str">
        <f t="shared" si="2"/>
        <v>#N/A</v>
      </c>
      <c r="F103" s="120" t="str">
        <f>VLOOKUP(A103,'Classement Général'!$B$2:$B$146,1,0)</f>
        <v>#N/A</v>
      </c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</row>
    <row r="104" ht="14.25" customHeight="1">
      <c r="A104" s="160"/>
      <c r="B104" s="156">
        <v>103.0</v>
      </c>
      <c r="C104" s="157">
        <f t="shared" si="1"/>
        <v>-317.1041395</v>
      </c>
      <c r="D104" s="158" t="str">
        <f>VLOOKUP(A104,'Classement RoC'!$B$2:$C$149,1,0)</f>
        <v>#N/A</v>
      </c>
      <c r="E104" s="163" t="str">
        <f t="shared" si="2"/>
        <v>#N/A</v>
      </c>
      <c r="F104" s="120" t="str">
        <f>VLOOKUP(A104,'Classement Général'!$B$2:$B$146,1,0)</f>
        <v>#N/A</v>
      </c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</row>
    <row r="105" ht="14.25" customHeight="1">
      <c r="A105" s="160"/>
      <c r="B105" s="161">
        <v>104.0</v>
      </c>
      <c r="C105" s="157">
        <f t="shared" si="1"/>
        <v>-323.8709893</v>
      </c>
      <c r="D105" s="158" t="str">
        <f>VLOOKUP(A105,'Classement RoC'!$B$2:$C$149,1,0)</f>
        <v>#N/A</v>
      </c>
      <c r="E105" s="163" t="str">
        <f t="shared" si="2"/>
        <v>#N/A</v>
      </c>
      <c r="F105" s="120" t="str">
        <f>VLOOKUP(A105,'Classement Général'!$B$2:$B$146,1,0)</f>
        <v>#N/A</v>
      </c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</row>
    <row r="106" ht="14.25" customHeight="1">
      <c r="A106" s="160"/>
      <c r="B106" s="156">
        <v>105.0</v>
      </c>
      <c r="C106" s="157">
        <f t="shared" si="1"/>
        <v>-330.6109845</v>
      </c>
      <c r="D106" s="158" t="str">
        <f>VLOOKUP(A106,'Classement RoC'!$B$2:$C$149,1,0)</f>
        <v>#N/A</v>
      </c>
      <c r="E106" s="163" t="str">
        <f t="shared" si="2"/>
        <v>#N/A</v>
      </c>
      <c r="F106" s="120" t="str">
        <f>VLOOKUP(A106,'Classement Général'!$B$2:$B$146,1,0)</f>
        <v>#N/A</v>
      </c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</row>
    <row r="107" ht="14.25" customHeight="1">
      <c r="A107" s="160"/>
      <c r="B107" s="161">
        <v>106.0</v>
      </c>
      <c r="C107" s="157">
        <f t="shared" si="1"/>
        <v>-337.3245694</v>
      </c>
      <c r="D107" s="158" t="str">
        <f>VLOOKUP(A107,'Classement RoC'!$B$2:$C$149,1,0)</f>
        <v>#N/A</v>
      </c>
      <c r="E107" s="163" t="str">
        <f t="shared" si="2"/>
        <v>#N/A</v>
      </c>
      <c r="F107" s="120" t="str">
        <f>VLOOKUP(A107,'Classement Général'!$B$2:$B$146,1,0)</f>
        <v>#N/A</v>
      </c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</row>
    <row r="108" ht="14.25" customHeight="1">
      <c r="A108" s="160"/>
      <c r="B108" s="156">
        <v>107.0</v>
      </c>
      <c r="C108" s="157">
        <f t="shared" si="1"/>
        <v>-344.0121761</v>
      </c>
      <c r="D108" s="158" t="str">
        <f>VLOOKUP(A108,'Classement RoC'!$B$2:$C$149,1,0)</f>
        <v>#N/A</v>
      </c>
      <c r="E108" s="163" t="str">
        <f t="shared" si="2"/>
        <v>#N/A</v>
      </c>
      <c r="F108" s="120" t="str">
        <f>VLOOKUP(A108,'Classement Général'!$B$2:$B$146,1,0)</f>
        <v>#N/A</v>
      </c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</row>
    <row r="109" ht="14.25" customHeight="1">
      <c r="A109" s="160"/>
      <c r="B109" s="161">
        <v>108.0</v>
      </c>
      <c r="C109" s="157">
        <f t="shared" si="1"/>
        <v>-350.6742253</v>
      </c>
      <c r="D109" s="158" t="str">
        <f>VLOOKUP(A109,'Classement RoC'!$B$2:$C$149,1,0)</f>
        <v>#N/A</v>
      </c>
      <c r="E109" s="163" t="str">
        <f t="shared" si="2"/>
        <v>#N/A</v>
      </c>
      <c r="F109" s="120" t="str">
        <f>VLOOKUP(A109,'Classement Général'!$B$2:$B$146,1,0)</f>
        <v>#N/A</v>
      </c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</row>
    <row r="110" ht="14.25" customHeight="1">
      <c r="A110" s="160"/>
      <c r="B110" s="156">
        <v>109.0</v>
      </c>
      <c r="C110" s="157">
        <f t="shared" si="1"/>
        <v>-357.3111264</v>
      </c>
      <c r="D110" s="158" t="str">
        <f>VLOOKUP(A110,'Classement RoC'!$B$2:$C$149,1,0)</f>
        <v>#N/A</v>
      </c>
      <c r="E110" s="163" t="str">
        <f t="shared" si="2"/>
        <v>#N/A</v>
      </c>
      <c r="F110" s="120" t="str">
        <f>VLOOKUP(A110,'Classement Général'!$B$2:$B$146,1,0)</f>
        <v>#N/A</v>
      </c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</row>
    <row r="111" ht="14.25" customHeight="1">
      <c r="A111" s="160"/>
      <c r="B111" s="161">
        <v>110.0</v>
      </c>
      <c r="C111" s="157">
        <f t="shared" si="1"/>
        <v>-363.9232782</v>
      </c>
      <c r="D111" s="158" t="str">
        <f>VLOOKUP(A111,'Classement RoC'!$B$2:$C$149,1,0)</f>
        <v>#N/A</v>
      </c>
      <c r="E111" s="163" t="str">
        <f t="shared" si="2"/>
        <v>#N/A</v>
      </c>
      <c r="F111" s="120" t="str">
        <f>VLOOKUP(A111,'Classement Général'!$B$2:$B$146,1,0)</f>
        <v>#N/A</v>
      </c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</row>
    <row r="112" ht="14.25" customHeight="1">
      <c r="A112" s="160"/>
      <c r="B112" s="156">
        <v>111.0</v>
      </c>
      <c r="C112" s="157">
        <f t="shared" si="1"/>
        <v>-370.5110688</v>
      </c>
      <c r="D112" s="158" t="str">
        <f>VLOOKUP(A112,'Classement RoC'!$B$2:$C$149,1,0)</f>
        <v>#N/A</v>
      </c>
      <c r="E112" s="163" t="str">
        <f t="shared" si="2"/>
        <v>#N/A</v>
      </c>
      <c r="F112" s="120" t="str">
        <f>VLOOKUP(A112,'Classement Général'!$B$2:$B$146,1,0)</f>
        <v>#N/A</v>
      </c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</row>
    <row r="113" ht="14.25" customHeight="1">
      <c r="A113" s="160"/>
      <c r="B113" s="161">
        <v>112.0</v>
      </c>
      <c r="C113" s="157">
        <f t="shared" si="1"/>
        <v>-377.0748766</v>
      </c>
      <c r="D113" s="158" t="str">
        <f>VLOOKUP(A113,'Classement RoC'!$B$2:$C$149,1,0)</f>
        <v>#N/A</v>
      </c>
      <c r="E113" s="163" t="str">
        <f t="shared" si="2"/>
        <v>#N/A</v>
      </c>
      <c r="F113" s="120" t="str">
        <f>VLOOKUP(A113,'Classement Général'!$B$2:$B$146,1,0)</f>
        <v>#N/A</v>
      </c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</row>
    <row r="114" ht="14.25" customHeight="1">
      <c r="A114" s="160"/>
      <c r="B114" s="156">
        <v>113.0</v>
      </c>
      <c r="C114" s="157">
        <f t="shared" si="1"/>
        <v>-383.6150702</v>
      </c>
      <c r="D114" s="158" t="str">
        <f>VLOOKUP(A114,'Classement RoC'!$B$2:$C$149,1,0)</f>
        <v>#N/A</v>
      </c>
      <c r="E114" s="163" t="str">
        <f t="shared" si="2"/>
        <v>#N/A</v>
      </c>
      <c r="F114" s="120" t="str">
        <f>VLOOKUP(A114,'Classement Général'!$B$2:$B$146,1,0)</f>
        <v>#N/A</v>
      </c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</row>
    <row r="115" ht="14.25" customHeight="1">
      <c r="A115" s="160"/>
      <c r="B115" s="161">
        <v>114.0</v>
      </c>
      <c r="C115" s="157">
        <f t="shared" si="1"/>
        <v>-390.1320088</v>
      </c>
      <c r="D115" s="158" t="str">
        <f>VLOOKUP(A115,'Classement RoC'!$B$2:$C$149,1,0)</f>
        <v>#N/A</v>
      </c>
      <c r="E115" s="163" t="str">
        <f t="shared" si="2"/>
        <v>#N/A</v>
      </c>
      <c r="F115" s="120" t="str">
        <f>VLOOKUP(A115,'Classement Général'!$B$2:$B$146,1,0)</f>
        <v>#N/A</v>
      </c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</row>
    <row r="116" ht="14.25" customHeight="1">
      <c r="A116" s="160"/>
      <c r="B116" s="156">
        <v>115.0</v>
      </c>
      <c r="C116" s="157">
        <f t="shared" si="1"/>
        <v>-396.6260427</v>
      </c>
      <c r="D116" s="158" t="str">
        <f>VLOOKUP(A116,'Classement RoC'!$B$2:$C$149,1,0)</f>
        <v>#N/A</v>
      </c>
      <c r="E116" s="163" t="str">
        <f t="shared" si="2"/>
        <v>#N/A</v>
      </c>
      <c r="F116" s="120" t="str">
        <f>VLOOKUP(A116,'Classement Général'!$B$2:$B$146,1,0)</f>
        <v>#N/A</v>
      </c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</row>
    <row r="117" ht="14.25" customHeight="1">
      <c r="A117" s="160"/>
      <c r="B117" s="161">
        <v>116.0</v>
      </c>
      <c r="C117" s="157">
        <f t="shared" si="1"/>
        <v>-403.0975136</v>
      </c>
      <c r="D117" s="158" t="str">
        <f>VLOOKUP(A117,'Classement RoC'!$B$2:$C$149,1,0)</f>
        <v>#N/A</v>
      </c>
      <c r="E117" s="163" t="str">
        <f t="shared" si="2"/>
        <v>#N/A</v>
      </c>
      <c r="F117" s="120" t="str">
        <f>VLOOKUP(A117,'Classement Général'!$B$2:$B$146,1,0)</f>
        <v>#N/A</v>
      </c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</row>
    <row r="118" ht="14.25" customHeight="1">
      <c r="A118" s="160"/>
      <c r="B118" s="156">
        <v>117.0</v>
      </c>
      <c r="C118" s="157">
        <f t="shared" si="1"/>
        <v>-409.5467545</v>
      </c>
      <c r="D118" s="158" t="str">
        <f>VLOOKUP(A118,'Classement RoC'!$B$2:$C$149,1,0)</f>
        <v>#N/A</v>
      </c>
      <c r="E118" s="163" t="str">
        <f t="shared" si="2"/>
        <v>#N/A</v>
      </c>
      <c r="F118" s="120" t="str">
        <f>VLOOKUP(A118,'Classement Général'!$B$2:$B$146,1,0)</f>
        <v>#N/A</v>
      </c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</row>
    <row r="119" ht="14.25" customHeight="1">
      <c r="A119" s="160"/>
      <c r="B119" s="161">
        <v>118.0</v>
      </c>
      <c r="C119" s="157">
        <f t="shared" si="1"/>
        <v>-415.9740906</v>
      </c>
      <c r="D119" s="158" t="str">
        <f>VLOOKUP(A119,'Classement RoC'!$B$2:$C$149,1,0)</f>
        <v>#N/A</v>
      </c>
      <c r="E119" s="163" t="str">
        <f t="shared" si="2"/>
        <v>#N/A</v>
      </c>
      <c r="F119" s="120" t="str">
        <f>VLOOKUP(A119,'Classement Général'!$B$2:$B$146,1,0)</f>
        <v>#N/A</v>
      </c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</row>
    <row r="120" ht="14.25" customHeight="1">
      <c r="A120" s="160"/>
      <c r="B120" s="156">
        <v>119.0</v>
      </c>
      <c r="C120" s="157">
        <f t="shared" si="1"/>
        <v>-422.379839</v>
      </c>
      <c r="D120" s="158" t="str">
        <f>VLOOKUP(A120,'Classement RoC'!$B$2:$C$149,1,0)</f>
        <v>#N/A</v>
      </c>
      <c r="E120" s="163" t="str">
        <f t="shared" si="2"/>
        <v>#N/A</v>
      </c>
      <c r="F120" s="120" t="str">
        <f>VLOOKUP(A120,'Classement Général'!$B$2:$B$146,1,0)</f>
        <v>#N/A</v>
      </c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</row>
    <row r="121" ht="14.25" customHeight="1">
      <c r="A121" s="160"/>
      <c r="B121" s="161">
        <v>120.0</v>
      </c>
      <c r="C121" s="157">
        <f t="shared" si="1"/>
        <v>-428.7643094</v>
      </c>
      <c r="D121" s="158" t="str">
        <f>VLOOKUP(A121,'Classement RoC'!$B$2:$C$149,1,0)</f>
        <v>#N/A</v>
      </c>
      <c r="E121" s="163" t="str">
        <f t="shared" si="2"/>
        <v>#N/A</v>
      </c>
      <c r="F121" s="120" t="str">
        <f>VLOOKUP(A121,'Classement Général'!$B$2:$B$146,1,0)</f>
        <v>#N/A</v>
      </c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</row>
    <row r="122" ht="14.25" customHeight="1">
      <c r="A122" s="160"/>
      <c r="B122" s="156">
        <v>121.0</v>
      </c>
      <c r="C122" s="157">
        <f t="shared" si="1"/>
        <v>-435.127804</v>
      </c>
      <c r="D122" s="158" t="str">
        <f>VLOOKUP(A122,'Classement RoC'!$B$2:$C$149,1,0)</f>
        <v>#N/A</v>
      </c>
      <c r="E122" s="163" t="str">
        <f t="shared" si="2"/>
        <v>#N/A</v>
      </c>
      <c r="F122" s="120" t="str">
        <f>VLOOKUP(A122,'Classement Général'!$B$2:$B$146,1,0)</f>
        <v>#N/A</v>
      </c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</row>
    <row r="123" ht="14.25" customHeight="1">
      <c r="A123" s="160"/>
      <c r="B123" s="161">
        <v>122.0</v>
      </c>
      <c r="C123" s="157">
        <f t="shared" si="1"/>
        <v>-441.470618</v>
      </c>
      <c r="D123" s="158" t="str">
        <f>VLOOKUP(A123,'Classement RoC'!$B$2:$C$149,1,0)</f>
        <v>#N/A</v>
      </c>
      <c r="E123" s="163" t="str">
        <f t="shared" si="2"/>
        <v>#N/A</v>
      </c>
      <c r="F123" s="120" t="str">
        <f>VLOOKUP(A123,'Classement Général'!$B$2:$B$146,1,0)</f>
        <v>#N/A</v>
      </c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</row>
    <row r="124" ht="14.25" customHeight="1">
      <c r="A124" s="160"/>
      <c r="B124" s="156">
        <v>123.0</v>
      </c>
      <c r="C124" s="157">
        <f t="shared" si="1"/>
        <v>-447.7930397</v>
      </c>
      <c r="D124" s="158" t="str">
        <f>VLOOKUP(A124,'Classement RoC'!$B$2:$C$149,1,0)</f>
        <v>#N/A</v>
      </c>
      <c r="E124" s="163" t="str">
        <f t="shared" si="2"/>
        <v>#N/A</v>
      </c>
      <c r="F124" s="120" t="str">
        <f>VLOOKUP(A124,'Classement Général'!$B$2:$B$146,1,0)</f>
        <v>#N/A</v>
      </c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</row>
    <row r="125" ht="14.25" customHeight="1">
      <c r="A125" s="160"/>
      <c r="B125" s="161">
        <v>124.0</v>
      </c>
      <c r="C125" s="157">
        <f t="shared" si="1"/>
        <v>-454.0953507</v>
      </c>
      <c r="D125" s="158" t="str">
        <f>VLOOKUP(A125,'Classement RoC'!$B$2:$C$149,1,0)</f>
        <v>#N/A</v>
      </c>
      <c r="E125" s="163" t="str">
        <f t="shared" si="2"/>
        <v>#N/A</v>
      </c>
      <c r="F125" s="120" t="str">
        <f>VLOOKUP(A125,'Classement Général'!$B$2:$B$146,1,0)</f>
        <v>#N/A</v>
      </c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</row>
    <row r="126" ht="14.25" customHeight="1">
      <c r="A126" s="160"/>
      <c r="B126" s="156">
        <v>125.0</v>
      </c>
      <c r="C126" s="157">
        <f t="shared" si="1"/>
        <v>-460.3778261</v>
      </c>
      <c r="D126" s="158" t="str">
        <f>VLOOKUP(A126,'Classement RoC'!$B$2:$C$149,1,0)</f>
        <v>#N/A</v>
      </c>
      <c r="E126" s="163" t="str">
        <f t="shared" si="2"/>
        <v>#N/A</v>
      </c>
      <c r="F126" s="120" t="str">
        <f>VLOOKUP(A126,'Classement Général'!$B$2:$B$146,1,0)</f>
        <v>#N/A</v>
      </c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</row>
    <row r="127" ht="14.25" customHeight="1">
      <c r="A127" s="160"/>
      <c r="B127" s="161">
        <v>126.0</v>
      </c>
      <c r="C127" s="157">
        <f t="shared" si="1"/>
        <v>-466.640735</v>
      </c>
      <c r="D127" s="158" t="str">
        <f>VLOOKUP(A127,'Classement RoC'!$B$2:$C$149,1,0)</f>
        <v>#N/A</v>
      </c>
      <c r="E127" s="163" t="str">
        <f t="shared" si="2"/>
        <v>#N/A</v>
      </c>
      <c r="F127" s="120" t="str">
        <f>VLOOKUP(A127,'Classement Général'!$B$2:$B$146,1,0)</f>
        <v>#N/A</v>
      </c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</row>
    <row r="128" ht="14.25" customHeight="1">
      <c r="A128" s="160"/>
      <c r="B128" s="156">
        <v>127.0</v>
      </c>
      <c r="C128" s="157">
        <f t="shared" si="1"/>
        <v>-472.8843403</v>
      </c>
      <c r="D128" s="158" t="str">
        <f>VLOOKUP(A128,'Classement RoC'!$B$2:$C$149,1,0)</f>
        <v>#N/A</v>
      </c>
      <c r="E128" s="163" t="str">
        <f t="shared" si="2"/>
        <v>#N/A</v>
      </c>
      <c r="F128" s="120" t="str">
        <f>VLOOKUP(A128,'Classement Général'!$B$2:$B$146,1,0)</f>
        <v>#N/A</v>
      </c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</row>
    <row r="129" ht="14.25" customHeight="1">
      <c r="A129" s="160"/>
      <c r="B129" s="161">
        <v>128.0</v>
      </c>
      <c r="C129" s="157">
        <f t="shared" si="1"/>
        <v>-479.1088989</v>
      </c>
      <c r="D129" s="158" t="str">
        <f>VLOOKUP(A129,'Classement RoC'!$B$2:$C$149,1,0)</f>
        <v>#N/A</v>
      </c>
      <c r="E129" s="163" t="str">
        <f t="shared" si="2"/>
        <v>#N/A</v>
      </c>
      <c r="F129" s="120" t="str">
        <f>VLOOKUP(A129,'Classement Général'!$B$2:$B$146,1,0)</f>
        <v>#N/A</v>
      </c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</row>
    <row r="130" ht="14.25" customHeight="1">
      <c r="A130" s="160"/>
      <c r="B130" s="156">
        <v>129.0</v>
      </c>
      <c r="C130" s="157">
        <f t="shared" si="1"/>
        <v>-485.3146622</v>
      </c>
      <c r="D130" s="158" t="str">
        <f>VLOOKUP(A130,'Classement RoC'!$B$2:$C$149,1,0)</f>
        <v>#N/A</v>
      </c>
      <c r="E130" s="163" t="str">
        <f t="shared" si="2"/>
        <v>#N/A</v>
      </c>
      <c r="F130" s="120" t="str">
        <f>VLOOKUP(A130,'Classement Général'!$B$2:$B$146,1,0)</f>
        <v>#N/A</v>
      </c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</row>
    <row r="131" ht="14.25" customHeight="1">
      <c r="A131" s="160"/>
      <c r="B131" s="161">
        <v>130.0</v>
      </c>
      <c r="C131" s="157">
        <f t="shared" si="1"/>
        <v>-491.501876</v>
      </c>
      <c r="D131" s="158" t="str">
        <f>VLOOKUP(A131,'Classement RoC'!$B$2:$C$149,1,0)</f>
        <v>#N/A</v>
      </c>
      <c r="E131" s="163" t="str">
        <f t="shared" si="2"/>
        <v>#N/A</v>
      </c>
      <c r="F131" s="120" t="str">
        <f>VLOOKUP(A131,'Classement Général'!$B$2:$B$146,1,0)</f>
        <v>#N/A</v>
      </c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</row>
    <row r="132" ht="14.25" customHeight="1">
      <c r="A132" s="160"/>
      <c r="B132" s="156">
        <v>131.0</v>
      </c>
      <c r="C132" s="157">
        <f t="shared" si="1"/>
        <v>-497.6707808</v>
      </c>
      <c r="D132" s="158" t="str">
        <f>VLOOKUP(A132,'Classement RoC'!$B$2:$C$149,1,0)</f>
        <v>#N/A</v>
      </c>
      <c r="E132" s="163" t="str">
        <f t="shared" si="2"/>
        <v>#N/A</v>
      </c>
      <c r="F132" s="120" t="str">
        <f>VLOOKUP(A132,'Classement Général'!$B$2:$B$146,1,0)</f>
        <v>#N/A</v>
      </c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</row>
    <row r="133" ht="14.25" customHeight="1">
      <c r="A133" s="160"/>
      <c r="B133" s="161">
        <v>132.0</v>
      </c>
      <c r="C133" s="157">
        <f t="shared" si="1"/>
        <v>-503.8216119</v>
      </c>
      <c r="D133" s="158" t="str">
        <f>VLOOKUP(A133,'Classement RoC'!$B$2:$C$149,1,0)</f>
        <v>#N/A</v>
      </c>
      <c r="E133" s="163" t="str">
        <f t="shared" si="2"/>
        <v>#N/A</v>
      </c>
      <c r="F133" s="120" t="str">
        <f>VLOOKUP(A133,'Classement Général'!$B$2:$B$146,1,0)</f>
        <v>#N/A</v>
      </c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</row>
    <row r="134" ht="14.25" customHeight="1">
      <c r="A134" s="160"/>
      <c r="B134" s="156">
        <v>133.0</v>
      </c>
      <c r="C134" s="157">
        <f t="shared" si="1"/>
        <v>-509.9545996</v>
      </c>
      <c r="D134" s="158" t="str">
        <f>VLOOKUP(A134,'Classement RoC'!$B$2:$C$149,1,0)</f>
        <v>#N/A</v>
      </c>
      <c r="E134" s="163" t="str">
        <f t="shared" si="2"/>
        <v>#N/A</v>
      </c>
      <c r="F134" s="120" t="str">
        <f>VLOOKUP(A134,'Classement Général'!$B$2:$B$146,1,0)</f>
        <v>#N/A</v>
      </c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</row>
    <row r="135" ht="14.25" customHeight="1">
      <c r="A135" s="160"/>
      <c r="B135" s="161">
        <v>134.0</v>
      </c>
      <c r="C135" s="157">
        <f t="shared" si="1"/>
        <v>-516.0699693</v>
      </c>
      <c r="D135" s="158" t="str">
        <f>VLOOKUP(A135,'Classement RoC'!$B$2:$C$149,1,0)</f>
        <v>#N/A</v>
      </c>
      <c r="E135" s="163" t="str">
        <f t="shared" si="2"/>
        <v>#N/A</v>
      </c>
      <c r="F135" s="120" t="str">
        <f>VLOOKUP(A135,'Classement Général'!$B$2:$B$146,1,0)</f>
        <v>#N/A</v>
      </c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</row>
    <row r="136" ht="14.25" customHeight="1">
      <c r="A136" s="160"/>
      <c r="B136" s="156">
        <v>135.0</v>
      </c>
      <c r="C136" s="157">
        <f t="shared" si="1"/>
        <v>-522.1679415</v>
      </c>
      <c r="D136" s="158" t="str">
        <f>VLOOKUP(A136,'Classement RoC'!$B$2:$C$149,1,0)</f>
        <v>#N/A</v>
      </c>
      <c r="E136" s="163" t="str">
        <f t="shared" si="2"/>
        <v>#N/A</v>
      </c>
      <c r="F136" s="120" t="str">
        <f>VLOOKUP(A136,'Classement Général'!$B$2:$B$146,1,0)</f>
        <v>#N/A</v>
      </c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</row>
    <row r="137" ht="14.25" customHeight="1">
      <c r="A137" s="160"/>
      <c r="B137" s="161">
        <v>136.0</v>
      </c>
      <c r="C137" s="157">
        <f t="shared" si="1"/>
        <v>-528.2487322</v>
      </c>
      <c r="D137" s="158" t="str">
        <f>VLOOKUP(A137,'Classement RoC'!$B$2:$C$149,1,0)</f>
        <v>#N/A</v>
      </c>
      <c r="E137" s="163" t="str">
        <f t="shared" si="2"/>
        <v>#N/A</v>
      </c>
      <c r="F137" s="120" t="str">
        <f>VLOOKUP(A137,'Classement Général'!$B$2:$B$146,1,0)</f>
        <v>#N/A</v>
      </c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</row>
    <row r="138" ht="14.25" customHeight="1">
      <c r="A138" s="160"/>
      <c r="B138" s="156">
        <v>137.0</v>
      </c>
      <c r="C138" s="157">
        <f t="shared" si="1"/>
        <v>-534.3125532</v>
      </c>
      <c r="D138" s="158" t="str">
        <f>VLOOKUP(A138,'Classement RoC'!$B$2:$C$149,1,0)</f>
        <v>#N/A</v>
      </c>
      <c r="E138" s="163" t="str">
        <f t="shared" si="2"/>
        <v>#N/A</v>
      </c>
      <c r="F138" s="120" t="str">
        <f>VLOOKUP(A138,'Classement Général'!$B$2:$B$146,1,0)</f>
        <v>#N/A</v>
      </c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</row>
    <row r="139" ht="14.25" customHeight="1">
      <c r="A139" s="160"/>
      <c r="B139" s="161">
        <v>138.0</v>
      </c>
      <c r="C139" s="157">
        <f t="shared" si="1"/>
        <v>-540.3596114</v>
      </c>
      <c r="D139" s="158" t="str">
        <f>VLOOKUP(A139,'Classement RoC'!$B$2:$C$149,1,0)</f>
        <v>#N/A</v>
      </c>
      <c r="E139" s="163" t="str">
        <f t="shared" si="2"/>
        <v>#N/A</v>
      </c>
      <c r="F139" s="120" t="str">
        <f>VLOOKUP(A139,'Classement Général'!$B$2:$B$146,1,0)</f>
        <v>#N/A</v>
      </c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</row>
    <row r="140" ht="14.25" customHeight="1">
      <c r="A140" s="160"/>
      <c r="B140" s="156">
        <v>139.0</v>
      </c>
      <c r="C140" s="157">
        <f t="shared" si="1"/>
        <v>-546.39011</v>
      </c>
      <c r="D140" s="158" t="str">
        <f>VLOOKUP(A140,'Classement RoC'!$B$2:$C$149,1,0)</f>
        <v>#N/A</v>
      </c>
      <c r="E140" s="163" t="str">
        <f t="shared" si="2"/>
        <v>#N/A</v>
      </c>
      <c r="F140" s="120" t="str">
        <f>VLOOKUP(A140,'Classement Général'!$B$2:$B$146,1,0)</f>
        <v>#N/A</v>
      </c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</row>
    <row r="141" ht="14.25" customHeight="1">
      <c r="A141" s="160"/>
      <c r="B141" s="161">
        <v>140.0</v>
      </c>
      <c r="C141" s="157">
        <f t="shared" si="1"/>
        <v>-552.4042478</v>
      </c>
      <c r="D141" s="158" t="str">
        <f>VLOOKUP(A141,'Classement RoC'!$B$2:$C$149,1,0)</f>
        <v>#N/A</v>
      </c>
      <c r="E141" s="163" t="str">
        <f t="shared" si="2"/>
        <v>#N/A</v>
      </c>
      <c r="F141" s="120" t="str">
        <f>VLOOKUP(A141,'Classement Général'!$B$2:$B$146,1,0)</f>
        <v>#N/A</v>
      </c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</row>
    <row r="142" ht="14.25" customHeight="1">
      <c r="A142" s="160"/>
      <c r="B142" s="156">
        <v>141.0</v>
      </c>
      <c r="C142" s="157">
        <f t="shared" si="1"/>
        <v>-558.4022197</v>
      </c>
      <c r="D142" s="158" t="str">
        <f>VLOOKUP(A142,'Classement RoC'!$B$2:$C$149,1,0)</f>
        <v>#N/A</v>
      </c>
      <c r="E142" s="163" t="str">
        <f t="shared" si="2"/>
        <v>#N/A</v>
      </c>
      <c r="F142" s="120" t="str">
        <f>VLOOKUP(A142,'Classement Général'!$B$2:$B$146,1,0)</f>
        <v>#N/A</v>
      </c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</row>
    <row r="143" ht="14.25" customHeight="1">
      <c r="A143" s="160"/>
      <c r="B143" s="161">
        <v>142.0</v>
      </c>
      <c r="C143" s="157">
        <f t="shared" si="1"/>
        <v>-564.3842166</v>
      </c>
      <c r="D143" s="158" t="str">
        <f>VLOOKUP(A143,'Classement RoC'!$B$2:$C$149,1,0)</f>
        <v>#N/A</v>
      </c>
      <c r="E143" s="163" t="str">
        <f t="shared" si="2"/>
        <v>#N/A</v>
      </c>
      <c r="F143" s="120" t="str">
        <f>VLOOKUP(A143,'Classement Général'!$B$2:$B$146,1,0)</f>
        <v>#N/A</v>
      </c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</row>
    <row r="144" ht="14.25" customHeight="1">
      <c r="A144" s="160"/>
      <c r="B144" s="156">
        <v>143.0</v>
      </c>
      <c r="C144" s="157">
        <f t="shared" si="1"/>
        <v>-570.3504259</v>
      </c>
      <c r="D144" s="158" t="str">
        <f>VLOOKUP(A144,'Classement RoC'!$B$2:$C$149,1,0)</f>
        <v>#N/A</v>
      </c>
      <c r="E144" s="163" t="str">
        <f t="shared" si="2"/>
        <v>#N/A</v>
      </c>
      <c r="F144" s="120" t="str">
        <f>VLOOKUP(A144,'Classement Général'!$B$2:$B$146,1,0)</f>
        <v>#N/A</v>
      </c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</row>
    <row r="145" ht="14.25" customHeight="1">
      <c r="A145" s="160"/>
      <c r="B145" s="161">
        <v>144.0</v>
      </c>
      <c r="C145" s="157">
        <f t="shared" si="1"/>
        <v>-576.301031</v>
      </c>
      <c r="D145" s="158" t="str">
        <f>VLOOKUP(A145,'Classement RoC'!$B$2:$C$149,1,0)</f>
        <v>#N/A</v>
      </c>
      <c r="E145" s="163" t="str">
        <f t="shared" si="2"/>
        <v>#N/A</v>
      </c>
      <c r="F145" s="120" t="str">
        <f>VLOOKUP(A145,'Classement Général'!$B$2:$B$146,1,0)</f>
        <v>#N/A</v>
      </c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</row>
    <row r="146" ht="14.25" customHeight="1">
      <c r="A146" s="160"/>
      <c r="B146" s="156">
        <v>145.0</v>
      </c>
      <c r="C146" s="157">
        <f t="shared" si="1"/>
        <v>-582.2362119</v>
      </c>
      <c r="D146" s="158" t="str">
        <f>VLOOKUP(A146,'Classement RoC'!$B$2:$C$149,1,0)</f>
        <v>#N/A</v>
      </c>
      <c r="E146" s="163" t="str">
        <f t="shared" si="2"/>
        <v>#N/A</v>
      </c>
      <c r="F146" s="120" t="str">
        <f>VLOOKUP(A146,'Classement Général'!$B$2:$B$146,1,0)</f>
        <v>#N/A</v>
      </c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</row>
    <row r="147" ht="14.25" customHeight="1">
      <c r="A147" s="160"/>
      <c r="B147" s="161">
        <v>146.0</v>
      </c>
      <c r="C147" s="157">
        <f t="shared" si="1"/>
        <v>-588.1561451</v>
      </c>
      <c r="D147" s="158" t="str">
        <f>VLOOKUP(A147,'Classement RoC'!$B$2:$C$149,1,0)</f>
        <v>#N/A</v>
      </c>
      <c r="E147" s="163" t="str">
        <f t="shared" si="2"/>
        <v>#N/A</v>
      </c>
      <c r="F147" s="120" t="str">
        <f>VLOOKUP(A147,'Classement Général'!$B$2:$B$146,1,0)</f>
        <v>#N/A</v>
      </c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</row>
    <row r="148" ht="14.25" customHeight="1">
      <c r="A148" s="160"/>
      <c r="B148" s="156">
        <v>147.0</v>
      </c>
      <c r="C148" s="157">
        <f t="shared" si="1"/>
        <v>-594.0610038</v>
      </c>
      <c r="D148" s="158" t="str">
        <f>VLOOKUP(A148,'Classement RoC'!$B$2:$C$149,1,0)</f>
        <v>#N/A</v>
      </c>
      <c r="E148" s="163" t="str">
        <f t="shared" si="2"/>
        <v>#N/A</v>
      </c>
      <c r="F148" s="120" t="str">
        <f>VLOOKUP(A148,'Classement Général'!$B$2:$B$146,1,0)</f>
        <v>#N/A</v>
      </c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</row>
    <row r="149" ht="14.25" customHeight="1">
      <c r="A149" s="160"/>
      <c r="B149" s="161">
        <v>148.0</v>
      </c>
      <c r="C149" s="157">
        <f t="shared" si="1"/>
        <v>-599.9509577</v>
      </c>
      <c r="D149" s="158" t="str">
        <f>VLOOKUP(A149,'Classement RoC'!$B$2:$C$149,1,0)</f>
        <v>#N/A</v>
      </c>
      <c r="E149" s="163" t="str">
        <f t="shared" si="2"/>
        <v>#N/A</v>
      </c>
      <c r="F149" s="120" t="str">
        <f>VLOOKUP(A149,'Classement Général'!$B$2:$B$146,1,0)</f>
        <v>#N/A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</row>
    <row r="150" ht="14.25" customHeight="1">
      <c r="A150" s="160"/>
      <c r="B150" s="156">
        <v>149.0</v>
      </c>
      <c r="C150" s="157">
        <f t="shared" si="1"/>
        <v>-605.8261735</v>
      </c>
      <c r="D150" s="158" t="str">
        <f>VLOOKUP(A150,'Classement RoC'!$B$2:$C$149,1,0)</f>
        <v>#N/A</v>
      </c>
      <c r="E150" s="163" t="str">
        <f t="shared" si="2"/>
        <v>#N/A</v>
      </c>
      <c r="F150" s="120" t="str">
        <f>VLOOKUP(A150,'Classement Général'!$B$2:$B$146,1,0)</f>
        <v>#N/A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</row>
    <row r="151" ht="14.25" customHeight="1">
      <c r="A151" s="160"/>
      <c r="B151" s="161">
        <v>150.0</v>
      </c>
      <c r="C151" s="157">
        <f t="shared" si="1"/>
        <v>-611.6868146</v>
      </c>
      <c r="D151" s="158" t="str">
        <f>VLOOKUP(A151,'Classement RoC'!$B$2:$C$149,1,0)</f>
        <v>#N/A</v>
      </c>
      <c r="E151" s="163" t="str">
        <f t="shared" si="2"/>
        <v>#N/A</v>
      </c>
      <c r="F151" s="120" t="str">
        <f>VLOOKUP(A151,'Classement Général'!$B$2:$B$146,1,0)</f>
        <v>#N/A</v>
      </c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</row>
    <row r="152" ht="14.25" customHeight="1">
      <c r="A152" s="160"/>
      <c r="B152" s="156">
        <v>151.0</v>
      </c>
      <c r="C152" s="157">
        <f t="shared" si="1"/>
        <v>-617.5330415</v>
      </c>
      <c r="D152" s="158" t="str">
        <f>VLOOKUP(A152,'Classement RoC'!$B$2:$C$149,1,0)</f>
        <v>#N/A</v>
      </c>
      <c r="E152" s="163" t="str">
        <f t="shared" si="2"/>
        <v>#N/A</v>
      </c>
      <c r="F152" s="120" t="str">
        <f>VLOOKUP(A152,'Classement Général'!$B$2:$B$146,1,0)</f>
        <v>#N/A</v>
      </c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</row>
    <row r="153" ht="14.25" customHeight="1">
      <c r="A153" s="160"/>
      <c r="B153" s="161">
        <v>152.0</v>
      </c>
      <c r="C153" s="157">
        <f t="shared" si="1"/>
        <v>-623.3650117</v>
      </c>
      <c r="D153" s="158" t="str">
        <f>VLOOKUP(A153,'Classement RoC'!$B$2:$C$149,1,0)</f>
        <v>#N/A</v>
      </c>
      <c r="E153" s="163" t="str">
        <f t="shared" si="2"/>
        <v>#N/A</v>
      </c>
      <c r="F153" s="120" t="str">
        <f>VLOOKUP(A153,'Classement Général'!$B$2:$B$146,1,0)</f>
        <v>#N/A</v>
      </c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</row>
    <row r="154" ht="14.25" customHeight="1">
      <c r="A154" s="160"/>
      <c r="B154" s="156">
        <v>153.0</v>
      </c>
      <c r="C154" s="157">
        <f t="shared" si="1"/>
        <v>-629.1828797</v>
      </c>
      <c r="D154" s="158" t="str">
        <f>VLOOKUP(A154,'Classement RoC'!$B$2:$C$149,1,0)</f>
        <v>#N/A</v>
      </c>
      <c r="E154" s="163" t="str">
        <f t="shared" si="2"/>
        <v>#N/A</v>
      </c>
      <c r="F154" s="120" t="str">
        <f>VLOOKUP(A154,'Classement Général'!$B$2:$B$146,1,0)</f>
        <v>#N/A</v>
      </c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</row>
    <row r="155" ht="14.25" customHeight="1">
      <c r="A155" s="160"/>
      <c r="B155" s="161">
        <v>154.0</v>
      </c>
      <c r="C155" s="157">
        <f t="shared" si="1"/>
        <v>-634.9867973</v>
      </c>
      <c r="D155" s="158" t="str">
        <f>VLOOKUP(A155,'Classement RoC'!$B$2:$C$149,1,0)</f>
        <v>#N/A</v>
      </c>
      <c r="E155" s="163" t="str">
        <f t="shared" si="2"/>
        <v>#N/A</v>
      </c>
      <c r="F155" s="120" t="str">
        <f>VLOOKUP(A155,'Classement Général'!$B$2:$B$146,1,0)</f>
        <v>#N/A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</row>
    <row r="156" ht="14.25" customHeight="1">
      <c r="A156" s="160"/>
      <c r="B156" s="156">
        <v>155.0</v>
      </c>
      <c r="C156" s="157">
        <f t="shared" si="1"/>
        <v>-640.7769135</v>
      </c>
      <c r="D156" s="158" t="str">
        <f>VLOOKUP(A156,'Classement RoC'!$B$2:$C$149,1,0)</f>
        <v>#N/A</v>
      </c>
      <c r="E156" s="163" t="str">
        <f t="shared" si="2"/>
        <v>#N/A</v>
      </c>
      <c r="F156" s="120" t="str">
        <f>VLOOKUP(A156,'Classement Général'!$B$2:$B$146,1,0)</f>
        <v>#N/A</v>
      </c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</row>
    <row r="157" ht="14.25" customHeight="1">
      <c r="A157" s="160"/>
      <c r="B157" s="161">
        <v>156.0</v>
      </c>
      <c r="C157" s="157">
        <f t="shared" si="1"/>
        <v>-646.5533747</v>
      </c>
      <c r="D157" s="158" t="str">
        <f>VLOOKUP(A157,'Classement RoC'!$B$2:$C$149,1,0)</f>
        <v>#N/A</v>
      </c>
      <c r="E157" s="163" t="str">
        <f t="shared" si="2"/>
        <v>#N/A</v>
      </c>
      <c r="F157" s="120" t="str">
        <f>VLOOKUP(A157,'Classement Général'!$B$2:$B$146,1,0)</f>
        <v>#N/A</v>
      </c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</row>
    <row r="158" ht="14.25" customHeight="1">
      <c r="A158" s="160"/>
      <c r="B158" s="156">
        <v>157.0</v>
      </c>
      <c r="C158" s="157">
        <f t="shared" si="1"/>
        <v>-652.3163245</v>
      </c>
      <c r="D158" s="158" t="str">
        <f>VLOOKUP(A158,'Classement RoC'!$B$2:$C$149,1,0)</f>
        <v>#N/A</v>
      </c>
      <c r="E158" s="163" t="str">
        <f t="shared" si="2"/>
        <v>#N/A</v>
      </c>
      <c r="F158" s="120" t="str">
        <f>VLOOKUP(A158,'Classement Général'!$B$2:$B$146,1,0)</f>
        <v>#N/A</v>
      </c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</row>
    <row r="159" ht="14.25" customHeight="1">
      <c r="A159" s="160"/>
      <c r="B159" s="161">
        <v>158.0</v>
      </c>
      <c r="C159" s="157">
        <f t="shared" si="1"/>
        <v>-658.0659042</v>
      </c>
      <c r="D159" s="158" t="str">
        <f>VLOOKUP(A159,'Classement RoC'!$B$2:$C$149,1,0)</f>
        <v>#N/A</v>
      </c>
      <c r="E159" s="163" t="str">
        <f t="shared" si="2"/>
        <v>#N/A</v>
      </c>
      <c r="F159" s="120" t="str">
        <f>VLOOKUP(A159,'Classement Général'!$B$2:$B$146,1,0)</f>
        <v>#N/A</v>
      </c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</row>
    <row r="160" ht="14.25" customHeight="1">
      <c r="A160" s="160"/>
      <c r="B160" s="156">
        <v>159.0</v>
      </c>
      <c r="C160" s="170" t="s">
        <v>169</v>
      </c>
      <c r="D160" s="158" t="str">
        <f>VLOOKUP(A160,'Classement RoC'!$B$2:$C$149,1,0)</f>
        <v>#N/A</v>
      </c>
      <c r="E160" s="163" t="str">
        <f t="shared" si="2"/>
        <v>#N/A</v>
      </c>
      <c r="F160" s="120" t="str">
        <f>VLOOKUP(A160,'Classement Général'!$B$2:$B$146,1,0)</f>
        <v>#N/A</v>
      </c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</row>
    <row r="161" ht="14.25" customHeight="1">
      <c r="A161" s="164"/>
      <c r="B161" s="165"/>
      <c r="C161" s="166"/>
      <c r="D161" s="167"/>
      <c r="E161" s="168"/>
      <c r="F161" s="120" t="str">
        <f>VLOOKUP(A161,'Classement Général'!$B$2:$B$146,1,0)</f>
        <v>#N/A</v>
      </c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</row>
    <row r="162" ht="14.25" customHeight="1">
      <c r="A162" s="164"/>
      <c r="B162" s="165"/>
      <c r="C162" s="166"/>
      <c r="D162" s="167"/>
      <c r="E162" s="168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4"/>
    </row>
    <row r="163" ht="14.25" customHeight="1">
      <c r="A163" s="164"/>
      <c r="B163" s="165"/>
      <c r="C163" s="166"/>
      <c r="D163" s="167"/>
      <c r="E163" s="168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</row>
    <row r="164" ht="14.25" customHeight="1">
      <c r="A164" s="164"/>
      <c r="B164" s="165"/>
      <c r="C164" s="166"/>
      <c r="D164" s="167"/>
      <c r="E164" s="168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</row>
    <row r="165" ht="14.25" customHeight="1">
      <c r="A165" s="164"/>
      <c r="B165" s="165"/>
      <c r="C165" s="166"/>
      <c r="D165" s="167"/>
      <c r="E165" s="168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</row>
    <row r="166" ht="14.25" customHeight="1">
      <c r="A166" s="164"/>
      <c r="B166" s="165"/>
      <c r="C166" s="166"/>
      <c r="D166" s="167"/>
      <c r="E166" s="168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</row>
    <row r="167" ht="14.25" customHeight="1">
      <c r="A167" s="164"/>
      <c r="B167" s="165"/>
      <c r="C167" s="166"/>
      <c r="D167" s="167"/>
      <c r="E167" s="168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</row>
    <row r="168" ht="14.25" customHeight="1">
      <c r="A168" s="164"/>
      <c r="B168" s="165"/>
      <c r="C168" s="166"/>
      <c r="D168" s="167"/>
      <c r="E168" s="168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</row>
    <row r="169" ht="14.25" customHeight="1">
      <c r="A169" s="164"/>
      <c r="B169" s="165"/>
      <c r="C169" s="166"/>
      <c r="D169" s="167"/>
      <c r="E169" s="168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</row>
    <row r="170" ht="14.25" customHeight="1">
      <c r="A170" s="164"/>
      <c r="B170" s="165"/>
      <c r="C170" s="166"/>
      <c r="D170" s="167"/>
      <c r="E170" s="168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</row>
    <row r="171" ht="14.25" customHeight="1">
      <c r="A171" s="164"/>
      <c r="B171" s="165"/>
      <c r="C171" s="166"/>
      <c r="D171" s="167"/>
      <c r="E171" s="168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</row>
    <row r="172" ht="14.25" customHeight="1">
      <c r="A172" s="164"/>
      <c r="B172" s="165"/>
      <c r="C172" s="166"/>
      <c r="D172" s="167"/>
      <c r="E172" s="168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</row>
    <row r="173" ht="14.25" customHeight="1">
      <c r="A173" s="164"/>
      <c r="B173" s="165"/>
      <c r="C173" s="166"/>
      <c r="D173" s="167"/>
      <c r="E173" s="168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</row>
    <row r="174" ht="14.25" customHeight="1">
      <c r="A174" s="164"/>
      <c r="B174" s="165"/>
      <c r="C174" s="166"/>
      <c r="D174" s="167"/>
      <c r="E174" s="168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</row>
    <row r="175" ht="14.25" customHeight="1">
      <c r="A175" s="164"/>
      <c r="B175" s="165"/>
      <c r="C175" s="166"/>
      <c r="D175" s="167"/>
      <c r="E175" s="168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</row>
    <row r="176" ht="14.25" customHeight="1">
      <c r="A176" s="164"/>
      <c r="B176" s="165"/>
      <c r="C176" s="166"/>
      <c r="D176" s="167"/>
      <c r="E176" s="168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</row>
    <row r="177" ht="14.25" customHeight="1">
      <c r="A177" s="164"/>
      <c r="B177" s="165"/>
      <c r="C177" s="166"/>
      <c r="D177" s="167"/>
      <c r="E177" s="168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4"/>
    </row>
    <row r="178" ht="14.25" customHeight="1">
      <c r="A178" s="164"/>
      <c r="B178" s="165"/>
      <c r="C178" s="166"/>
      <c r="D178" s="167"/>
      <c r="E178" s="168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</row>
    <row r="179" ht="14.25" customHeight="1">
      <c r="A179" s="164"/>
      <c r="B179" s="165"/>
      <c r="C179" s="166"/>
      <c r="D179" s="167"/>
      <c r="E179" s="168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4"/>
    </row>
    <row r="180" ht="14.25" customHeight="1">
      <c r="A180" s="164"/>
      <c r="B180" s="165"/>
      <c r="C180" s="166"/>
      <c r="D180" s="167"/>
      <c r="E180" s="168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</row>
    <row r="181" ht="14.25" customHeight="1">
      <c r="A181" s="164"/>
      <c r="B181" s="165"/>
      <c r="C181" s="166"/>
      <c r="D181" s="167"/>
      <c r="E181" s="168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</row>
    <row r="182" ht="14.25" customHeight="1">
      <c r="A182" s="164"/>
      <c r="B182" s="165"/>
      <c r="C182" s="166"/>
      <c r="D182" s="167"/>
      <c r="E182" s="168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154"/>
    </row>
    <row r="183" ht="14.25" customHeight="1">
      <c r="A183" s="164"/>
      <c r="B183" s="165"/>
      <c r="C183" s="166"/>
      <c r="D183" s="167"/>
      <c r="E183" s="168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4"/>
    </row>
    <row r="184" ht="14.25" customHeight="1">
      <c r="A184" s="164"/>
      <c r="B184" s="165"/>
      <c r="C184" s="166"/>
      <c r="D184" s="167"/>
      <c r="E184" s="168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</row>
    <row r="185" ht="14.25" customHeight="1">
      <c r="A185" s="164"/>
      <c r="B185" s="165"/>
      <c r="C185" s="166"/>
      <c r="D185" s="167"/>
      <c r="E185" s="168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</row>
    <row r="186" ht="14.25" customHeight="1">
      <c r="A186" s="164"/>
      <c r="B186" s="165"/>
      <c r="C186" s="166"/>
      <c r="D186" s="167"/>
      <c r="E186" s="168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</row>
    <row r="187" ht="14.25" customHeight="1">
      <c r="A187" s="164"/>
      <c r="B187" s="165"/>
      <c r="C187" s="166"/>
      <c r="D187" s="167"/>
      <c r="E187" s="168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</row>
    <row r="188" ht="14.25" customHeight="1">
      <c r="A188" s="164"/>
      <c r="B188" s="165"/>
      <c r="C188" s="166"/>
      <c r="D188" s="167"/>
      <c r="E188" s="168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</row>
    <row r="189" ht="14.25" customHeight="1">
      <c r="A189" s="164"/>
      <c r="B189" s="165"/>
      <c r="C189" s="166"/>
      <c r="D189" s="167"/>
      <c r="E189" s="168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</row>
    <row r="190" ht="14.25" customHeight="1">
      <c r="A190" s="164"/>
      <c r="B190" s="165"/>
      <c r="C190" s="166"/>
      <c r="D190" s="167"/>
      <c r="E190" s="168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</row>
    <row r="191" ht="14.25" customHeight="1">
      <c r="A191" s="164"/>
      <c r="B191" s="165"/>
      <c r="C191" s="166"/>
      <c r="D191" s="167"/>
      <c r="E191" s="168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</row>
    <row r="192" ht="14.25" customHeight="1">
      <c r="A192" s="164"/>
      <c r="B192" s="165"/>
      <c r="C192" s="166"/>
      <c r="D192" s="167"/>
      <c r="E192" s="168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</row>
    <row r="193" ht="14.25" customHeight="1">
      <c r="A193" s="164"/>
      <c r="B193" s="165"/>
      <c r="C193" s="166"/>
      <c r="D193" s="167"/>
      <c r="E193" s="168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</row>
    <row r="194" ht="14.25" customHeight="1">
      <c r="A194" s="164"/>
      <c r="B194" s="165"/>
      <c r="C194" s="166"/>
      <c r="D194" s="167"/>
      <c r="E194" s="168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</row>
    <row r="195" ht="14.25" customHeight="1">
      <c r="A195" s="164"/>
      <c r="B195" s="165"/>
      <c r="C195" s="166"/>
      <c r="D195" s="167"/>
      <c r="E195" s="168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</row>
    <row r="196" ht="14.25" customHeight="1">
      <c r="A196" s="164"/>
      <c r="B196" s="165"/>
      <c r="C196" s="166"/>
      <c r="D196" s="167"/>
      <c r="E196" s="168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</row>
    <row r="197" ht="14.25" customHeight="1">
      <c r="A197" s="164"/>
      <c r="B197" s="165"/>
      <c r="C197" s="166"/>
      <c r="D197" s="167"/>
      <c r="E197" s="168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</row>
    <row r="198" ht="14.25" customHeight="1">
      <c r="A198" s="164"/>
      <c r="B198" s="165"/>
      <c r="C198" s="166"/>
      <c r="D198" s="167"/>
      <c r="E198" s="168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</row>
    <row r="199" ht="14.25" customHeight="1">
      <c r="A199" s="164"/>
      <c r="B199" s="165"/>
      <c r="C199" s="166"/>
      <c r="D199" s="167"/>
      <c r="E199" s="168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154"/>
    </row>
    <row r="200" ht="14.25" customHeight="1">
      <c r="A200" s="164"/>
      <c r="B200" s="165"/>
      <c r="C200" s="166"/>
      <c r="D200" s="167"/>
      <c r="E200" s="168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4"/>
    </row>
    <row r="201" ht="14.25" customHeight="1">
      <c r="A201" s="164"/>
      <c r="B201" s="165"/>
      <c r="C201" s="166"/>
      <c r="D201" s="167"/>
      <c r="E201" s="168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</row>
    <row r="202" ht="14.25" customHeight="1">
      <c r="A202" s="164"/>
      <c r="B202" s="165"/>
      <c r="C202" s="166"/>
      <c r="D202" s="167"/>
      <c r="E202" s="168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4"/>
    </row>
    <row r="203" ht="14.25" customHeight="1">
      <c r="A203" s="164"/>
      <c r="B203" s="165"/>
      <c r="C203" s="166"/>
      <c r="D203" s="167"/>
      <c r="E203" s="168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</row>
    <row r="204" ht="14.25" customHeight="1">
      <c r="A204" s="164"/>
      <c r="B204" s="165"/>
      <c r="C204" s="166"/>
      <c r="D204" s="167"/>
      <c r="E204" s="168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</row>
    <row r="205" ht="14.25" customHeight="1">
      <c r="A205" s="164"/>
      <c r="B205" s="165"/>
      <c r="C205" s="166"/>
      <c r="D205" s="167"/>
      <c r="E205" s="168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</row>
    <row r="206" ht="14.25" customHeight="1">
      <c r="A206" s="164"/>
      <c r="B206" s="165"/>
      <c r="C206" s="166"/>
      <c r="D206" s="167"/>
      <c r="E206" s="168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</row>
    <row r="207" ht="14.25" customHeight="1">
      <c r="A207" s="164"/>
      <c r="B207" s="165"/>
      <c r="C207" s="166"/>
      <c r="D207" s="167"/>
      <c r="E207" s="168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</row>
    <row r="208" ht="14.25" customHeight="1">
      <c r="A208" s="164"/>
      <c r="B208" s="165"/>
      <c r="C208" s="166"/>
      <c r="D208" s="167"/>
      <c r="E208" s="168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</row>
    <row r="209" ht="14.25" customHeight="1">
      <c r="A209" s="164"/>
      <c r="B209" s="165"/>
      <c r="C209" s="166"/>
      <c r="D209" s="167"/>
      <c r="E209" s="168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</row>
    <row r="210" ht="14.25" customHeight="1">
      <c r="A210" s="164"/>
      <c r="B210" s="165"/>
      <c r="C210" s="166"/>
      <c r="D210" s="167"/>
      <c r="E210" s="168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</row>
    <row r="211" ht="14.25" customHeight="1">
      <c r="A211" s="164"/>
      <c r="B211" s="165"/>
      <c r="C211" s="166"/>
      <c r="D211" s="167"/>
      <c r="E211" s="168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</row>
    <row r="212" ht="14.25" customHeight="1">
      <c r="A212" s="164"/>
      <c r="B212" s="165"/>
      <c r="C212" s="166"/>
      <c r="D212" s="167"/>
      <c r="E212" s="168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</row>
    <row r="213" ht="14.25" customHeight="1">
      <c r="A213" s="164"/>
      <c r="B213" s="165"/>
      <c r="C213" s="166"/>
      <c r="D213" s="167"/>
      <c r="E213" s="168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</row>
    <row r="214" ht="14.25" customHeight="1">
      <c r="A214" s="164"/>
      <c r="B214" s="165"/>
      <c r="C214" s="166"/>
      <c r="D214" s="167"/>
      <c r="E214" s="168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</row>
    <row r="215" ht="14.25" customHeight="1">
      <c r="A215" s="164"/>
      <c r="B215" s="165"/>
      <c r="C215" s="166"/>
      <c r="D215" s="167"/>
      <c r="E215" s="168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4"/>
    </row>
    <row r="216" ht="14.25" customHeight="1">
      <c r="A216" s="164"/>
      <c r="B216" s="165"/>
      <c r="C216" s="166"/>
      <c r="D216" s="167"/>
      <c r="E216" s="168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</row>
    <row r="217" ht="14.25" customHeight="1">
      <c r="A217" s="164"/>
      <c r="B217" s="165"/>
      <c r="C217" s="166"/>
      <c r="D217" s="167"/>
      <c r="E217" s="168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</row>
    <row r="218" ht="14.25" customHeight="1">
      <c r="A218" s="164"/>
      <c r="B218" s="165"/>
      <c r="C218" s="166"/>
      <c r="D218" s="167"/>
      <c r="E218" s="168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</row>
    <row r="219" ht="14.25" customHeight="1">
      <c r="A219" s="164"/>
      <c r="B219" s="165"/>
      <c r="C219" s="166"/>
      <c r="D219" s="167"/>
      <c r="E219" s="168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</row>
    <row r="220" ht="14.25" customHeight="1">
      <c r="A220" s="164"/>
      <c r="B220" s="165"/>
      <c r="C220" s="166"/>
      <c r="D220" s="167"/>
      <c r="E220" s="168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</row>
    <row r="221" ht="14.25" customHeight="1">
      <c r="A221" s="164"/>
      <c r="B221" s="165"/>
      <c r="C221" s="166"/>
      <c r="D221" s="167"/>
      <c r="E221" s="168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</row>
    <row r="222" ht="14.25" customHeight="1">
      <c r="A222" s="164"/>
      <c r="B222" s="165"/>
      <c r="C222" s="166"/>
      <c r="D222" s="167"/>
      <c r="E222" s="168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</row>
    <row r="223" ht="14.25" customHeight="1">
      <c r="A223" s="164"/>
      <c r="B223" s="165"/>
      <c r="C223" s="166"/>
      <c r="D223" s="167"/>
      <c r="E223" s="168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</row>
    <row r="224" ht="14.25" customHeight="1">
      <c r="A224" s="164"/>
      <c r="B224" s="165"/>
      <c r="C224" s="166"/>
      <c r="D224" s="167"/>
      <c r="E224" s="168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</row>
    <row r="225" ht="14.25" customHeight="1">
      <c r="A225" s="164"/>
      <c r="B225" s="165"/>
      <c r="C225" s="166"/>
      <c r="D225" s="167"/>
      <c r="E225" s="168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</row>
    <row r="226" ht="14.25" customHeight="1">
      <c r="A226" s="164"/>
      <c r="B226" s="165"/>
      <c r="C226" s="166"/>
      <c r="D226" s="167"/>
      <c r="E226" s="168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</row>
    <row r="227" ht="14.25" customHeight="1">
      <c r="A227" s="164"/>
      <c r="B227" s="165"/>
      <c r="C227" s="166"/>
      <c r="D227" s="167"/>
      <c r="E227" s="168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</row>
    <row r="228" ht="14.25" customHeight="1">
      <c r="A228" s="164"/>
      <c r="B228" s="165"/>
      <c r="C228" s="166"/>
      <c r="D228" s="167"/>
      <c r="E228" s="168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</row>
    <row r="229" ht="14.25" customHeight="1">
      <c r="A229" s="164"/>
      <c r="B229" s="165"/>
      <c r="C229" s="166"/>
      <c r="D229" s="167"/>
      <c r="E229" s="168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</row>
    <row r="230" ht="14.25" customHeight="1">
      <c r="A230" s="164"/>
      <c r="B230" s="165"/>
      <c r="C230" s="166"/>
      <c r="D230" s="167"/>
      <c r="E230" s="168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</row>
    <row r="231" ht="14.25" customHeight="1">
      <c r="A231" s="164"/>
      <c r="B231" s="165"/>
      <c r="C231" s="166"/>
      <c r="D231" s="167"/>
      <c r="E231" s="168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154"/>
    </row>
    <row r="232" ht="14.25" customHeight="1">
      <c r="A232" s="164"/>
      <c r="B232" s="165"/>
      <c r="C232" s="166"/>
      <c r="D232" s="167"/>
      <c r="E232" s="168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154"/>
    </row>
    <row r="233" ht="14.25" customHeight="1">
      <c r="A233" s="164"/>
      <c r="B233" s="165"/>
      <c r="C233" s="166"/>
      <c r="D233" s="167"/>
      <c r="E233" s="168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  <c r="Z233" s="154"/>
    </row>
    <row r="234" ht="14.25" customHeight="1">
      <c r="A234" s="164"/>
      <c r="B234" s="165"/>
      <c r="C234" s="166"/>
      <c r="D234" s="167"/>
      <c r="E234" s="168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</row>
    <row r="235" ht="14.25" customHeight="1">
      <c r="A235" s="164"/>
      <c r="B235" s="165"/>
      <c r="C235" s="166"/>
      <c r="D235" s="167"/>
      <c r="E235" s="168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</row>
    <row r="236" ht="14.25" customHeight="1">
      <c r="A236" s="164"/>
      <c r="B236" s="165"/>
      <c r="C236" s="166"/>
      <c r="D236" s="167"/>
      <c r="E236" s="168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</row>
    <row r="237" ht="14.25" customHeight="1">
      <c r="A237" s="164"/>
      <c r="B237" s="165"/>
      <c r="C237" s="166"/>
      <c r="D237" s="167"/>
      <c r="E237" s="168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</row>
    <row r="238" ht="14.25" customHeight="1">
      <c r="A238" s="164"/>
      <c r="B238" s="165"/>
      <c r="C238" s="166"/>
      <c r="D238" s="167"/>
      <c r="E238" s="168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</row>
    <row r="239" ht="14.25" customHeight="1">
      <c r="A239" s="164"/>
      <c r="B239" s="165"/>
      <c r="C239" s="166"/>
      <c r="D239" s="167"/>
      <c r="E239" s="168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</row>
    <row r="240" ht="14.25" customHeight="1">
      <c r="A240" s="164"/>
      <c r="B240" s="165"/>
      <c r="C240" s="166"/>
      <c r="D240" s="167"/>
      <c r="E240" s="168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</row>
    <row r="241" ht="14.25" customHeight="1">
      <c r="A241" s="164"/>
      <c r="B241" s="165"/>
      <c r="C241" s="166"/>
      <c r="D241" s="167"/>
      <c r="E241" s="168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</row>
    <row r="242" ht="14.25" customHeight="1">
      <c r="A242" s="164"/>
      <c r="B242" s="165"/>
      <c r="C242" s="166"/>
      <c r="D242" s="167"/>
      <c r="E242" s="168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</row>
    <row r="243" ht="14.25" customHeight="1">
      <c r="A243" s="164"/>
      <c r="B243" s="165"/>
      <c r="C243" s="166"/>
      <c r="D243" s="167"/>
      <c r="E243" s="168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</row>
    <row r="244" ht="14.25" customHeight="1">
      <c r="A244" s="164"/>
      <c r="B244" s="165"/>
      <c r="C244" s="166"/>
      <c r="D244" s="167"/>
      <c r="E244" s="168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</row>
    <row r="245" ht="14.25" customHeight="1">
      <c r="A245" s="164"/>
      <c r="B245" s="165"/>
      <c r="C245" s="166"/>
      <c r="D245" s="167"/>
      <c r="E245" s="168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</row>
    <row r="246" ht="14.25" customHeight="1">
      <c r="A246" s="164"/>
      <c r="B246" s="165"/>
      <c r="C246" s="166"/>
      <c r="D246" s="167"/>
      <c r="E246" s="168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</row>
    <row r="247" ht="14.25" customHeight="1">
      <c r="A247" s="164"/>
      <c r="B247" s="165"/>
      <c r="C247" s="166"/>
      <c r="D247" s="167"/>
      <c r="E247" s="168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</row>
    <row r="248" ht="14.25" customHeight="1">
      <c r="A248" s="164"/>
      <c r="B248" s="165"/>
      <c r="C248" s="166"/>
      <c r="D248" s="167"/>
      <c r="E248" s="168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</row>
    <row r="249" ht="14.25" customHeight="1">
      <c r="A249" s="164"/>
      <c r="B249" s="165"/>
      <c r="C249" s="166"/>
      <c r="D249" s="167"/>
      <c r="E249" s="168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154"/>
    </row>
    <row r="250" ht="14.25" customHeight="1">
      <c r="A250" s="164"/>
      <c r="B250" s="165"/>
      <c r="C250" s="166"/>
      <c r="D250" s="167"/>
      <c r="E250" s="168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4"/>
    </row>
    <row r="251" ht="14.25" customHeight="1">
      <c r="A251" s="164"/>
      <c r="B251" s="165"/>
      <c r="C251" s="166"/>
      <c r="D251" s="167"/>
      <c r="E251" s="168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</row>
    <row r="252" ht="14.25" customHeight="1">
      <c r="A252" s="164"/>
      <c r="B252" s="165"/>
      <c r="C252" s="166"/>
      <c r="D252" s="167"/>
      <c r="E252" s="168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4"/>
    </row>
    <row r="253" ht="14.25" customHeight="1">
      <c r="A253" s="164"/>
      <c r="B253" s="165"/>
      <c r="C253" s="166"/>
      <c r="D253" s="167"/>
      <c r="E253" s="168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</row>
    <row r="254" ht="14.25" customHeight="1">
      <c r="A254" s="164"/>
      <c r="B254" s="165"/>
      <c r="C254" s="166"/>
      <c r="D254" s="167"/>
      <c r="E254" s="168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</row>
    <row r="255" ht="14.25" customHeight="1">
      <c r="A255" s="164"/>
      <c r="B255" s="165"/>
      <c r="C255" s="166"/>
      <c r="D255" s="167"/>
      <c r="E255" s="168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54"/>
    </row>
    <row r="256" ht="14.25" customHeight="1">
      <c r="A256" s="164"/>
      <c r="B256" s="165"/>
      <c r="C256" s="166"/>
      <c r="D256" s="167"/>
      <c r="E256" s="168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</row>
    <row r="257" ht="14.25" customHeight="1">
      <c r="A257" s="164"/>
      <c r="B257" s="165"/>
      <c r="C257" s="166"/>
      <c r="D257" s="167"/>
      <c r="E257" s="168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</row>
    <row r="258" ht="14.25" customHeight="1">
      <c r="A258" s="164"/>
      <c r="B258" s="165"/>
      <c r="C258" s="166"/>
      <c r="D258" s="167"/>
      <c r="E258" s="168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</row>
    <row r="259" ht="14.25" customHeight="1">
      <c r="A259" s="164"/>
      <c r="B259" s="165"/>
      <c r="C259" s="166"/>
      <c r="D259" s="167"/>
      <c r="E259" s="168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</row>
    <row r="260" ht="14.25" customHeight="1">
      <c r="A260" s="164"/>
      <c r="B260" s="165"/>
      <c r="C260" s="166"/>
      <c r="D260" s="167"/>
      <c r="E260" s="168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</row>
    <row r="261" ht="14.25" customHeight="1">
      <c r="A261" s="164"/>
      <c r="B261" s="165"/>
      <c r="C261" s="166"/>
      <c r="D261" s="167"/>
      <c r="E261" s="168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</row>
    <row r="262" ht="14.25" customHeight="1">
      <c r="A262" s="164"/>
      <c r="B262" s="165"/>
      <c r="C262" s="166"/>
      <c r="D262" s="167"/>
      <c r="E262" s="168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</row>
    <row r="263" ht="14.25" customHeight="1">
      <c r="A263" s="164"/>
      <c r="B263" s="165"/>
      <c r="C263" s="166"/>
      <c r="D263" s="167"/>
      <c r="E263" s="168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54"/>
    </row>
    <row r="264" ht="14.25" customHeight="1">
      <c r="A264" s="164"/>
      <c r="B264" s="165"/>
      <c r="C264" s="166"/>
      <c r="D264" s="167"/>
      <c r="E264" s="168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</row>
    <row r="265" ht="14.25" customHeight="1">
      <c r="A265" s="164"/>
      <c r="B265" s="165"/>
      <c r="C265" s="166"/>
      <c r="D265" s="167"/>
      <c r="E265" s="168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  <c r="Z265" s="154"/>
    </row>
    <row r="266" ht="14.25" customHeight="1">
      <c r="A266" s="164"/>
      <c r="B266" s="165"/>
      <c r="C266" s="166"/>
      <c r="D266" s="167"/>
      <c r="E266" s="168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  <c r="X266" s="154"/>
      <c r="Y266" s="154"/>
      <c r="Z266" s="154"/>
    </row>
    <row r="267" ht="14.25" customHeight="1">
      <c r="A267" s="164"/>
      <c r="B267" s="165"/>
      <c r="C267" s="166"/>
      <c r="D267" s="167"/>
      <c r="E267" s="168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4"/>
    </row>
    <row r="268" ht="14.25" customHeight="1">
      <c r="A268" s="164"/>
      <c r="B268" s="165"/>
      <c r="C268" s="166"/>
      <c r="D268" s="167"/>
      <c r="E268" s="168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4"/>
    </row>
    <row r="269" ht="14.25" customHeight="1">
      <c r="A269" s="164"/>
      <c r="B269" s="165"/>
      <c r="C269" s="166"/>
      <c r="D269" s="167"/>
      <c r="E269" s="168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4"/>
    </row>
    <row r="270" ht="14.25" customHeight="1">
      <c r="A270" s="164"/>
      <c r="B270" s="165"/>
      <c r="C270" s="166"/>
      <c r="D270" s="167"/>
      <c r="E270" s="168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4"/>
    </row>
    <row r="271" ht="14.25" customHeight="1">
      <c r="A271" s="164"/>
      <c r="B271" s="165"/>
      <c r="C271" s="166"/>
      <c r="D271" s="167"/>
      <c r="E271" s="168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4"/>
    </row>
    <row r="272" ht="14.25" customHeight="1">
      <c r="A272" s="164"/>
      <c r="B272" s="165"/>
      <c r="C272" s="166"/>
      <c r="D272" s="167"/>
      <c r="E272" s="168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154"/>
    </row>
    <row r="273" ht="14.25" customHeight="1">
      <c r="A273" s="164"/>
      <c r="B273" s="165"/>
      <c r="C273" s="166"/>
      <c r="D273" s="167"/>
      <c r="E273" s="168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4"/>
    </row>
    <row r="274" ht="14.25" customHeight="1">
      <c r="A274" s="164"/>
      <c r="B274" s="165"/>
      <c r="C274" s="166"/>
      <c r="D274" s="167"/>
      <c r="E274" s="168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4"/>
    </row>
    <row r="275" ht="14.25" customHeight="1">
      <c r="A275" s="164"/>
      <c r="B275" s="165"/>
      <c r="C275" s="166"/>
      <c r="D275" s="167"/>
      <c r="E275" s="168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4"/>
    </row>
    <row r="276" ht="14.25" customHeight="1">
      <c r="A276" s="164"/>
      <c r="B276" s="165"/>
      <c r="C276" s="166"/>
      <c r="D276" s="167"/>
      <c r="E276" s="168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</row>
    <row r="277" ht="14.25" customHeight="1">
      <c r="A277" s="164"/>
      <c r="B277" s="165"/>
      <c r="C277" s="166"/>
      <c r="D277" s="167"/>
      <c r="E277" s="168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</row>
    <row r="278" ht="14.25" customHeight="1">
      <c r="A278" s="164"/>
      <c r="B278" s="165"/>
      <c r="C278" s="166"/>
      <c r="D278" s="167"/>
      <c r="E278" s="168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</row>
    <row r="279" ht="14.25" customHeight="1">
      <c r="A279" s="164"/>
      <c r="B279" s="165"/>
      <c r="C279" s="166"/>
      <c r="D279" s="167"/>
      <c r="E279" s="168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4"/>
    </row>
    <row r="280" ht="14.25" customHeight="1">
      <c r="A280" s="164"/>
      <c r="B280" s="165"/>
      <c r="C280" s="166"/>
      <c r="D280" s="167"/>
      <c r="E280" s="168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</row>
    <row r="281" ht="14.25" customHeight="1">
      <c r="A281" s="164"/>
      <c r="B281" s="165"/>
      <c r="C281" s="166"/>
      <c r="D281" s="167"/>
      <c r="E281" s="168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</row>
    <row r="282" ht="14.25" customHeight="1">
      <c r="A282" s="164"/>
      <c r="B282" s="165"/>
      <c r="C282" s="166"/>
      <c r="D282" s="167"/>
      <c r="E282" s="168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</row>
    <row r="283" ht="14.25" customHeight="1">
      <c r="A283" s="164"/>
      <c r="B283" s="165"/>
      <c r="C283" s="166"/>
      <c r="D283" s="167"/>
      <c r="E283" s="168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</row>
    <row r="284" ht="14.25" customHeight="1">
      <c r="A284" s="164"/>
      <c r="B284" s="165"/>
      <c r="C284" s="166"/>
      <c r="D284" s="167"/>
      <c r="E284" s="168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</row>
    <row r="285" ht="14.25" customHeight="1">
      <c r="A285" s="164"/>
      <c r="B285" s="165"/>
      <c r="C285" s="166"/>
      <c r="D285" s="167"/>
      <c r="E285" s="168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154"/>
    </row>
    <row r="286" ht="14.25" customHeight="1">
      <c r="A286" s="164"/>
      <c r="B286" s="165"/>
      <c r="C286" s="166"/>
      <c r="D286" s="167"/>
      <c r="E286" s="168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4"/>
    </row>
    <row r="287" ht="14.25" customHeight="1">
      <c r="A287" s="164"/>
      <c r="B287" s="165"/>
      <c r="C287" s="166"/>
      <c r="D287" s="167"/>
      <c r="E287" s="168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</row>
    <row r="288" ht="14.25" customHeight="1">
      <c r="A288" s="164"/>
      <c r="B288" s="165"/>
      <c r="C288" s="166"/>
      <c r="D288" s="167"/>
      <c r="E288" s="168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</row>
    <row r="289" ht="14.25" customHeight="1">
      <c r="A289" s="164"/>
      <c r="B289" s="165"/>
      <c r="C289" s="166"/>
      <c r="D289" s="167"/>
      <c r="E289" s="168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</row>
    <row r="290" ht="14.25" customHeight="1">
      <c r="A290" s="164"/>
      <c r="B290" s="165"/>
      <c r="C290" s="166"/>
      <c r="D290" s="167"/>
      <c r="E290" s="168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4"/>
    </row>
    <row r="291" ht="14.25" customHeight="1">
      <c r="A291" s="164"/>
      <c r="B291" s="165"/>
      <c r="C291" s="166"/>
      <c r="D291" s="167"/>
      <c r="E291" s="168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154"/>
    </row>
    <row r="292" ht="14.25" customHeight="1">
      <c r="A292" s="164"/>
      <c r="B292" s="165"/>
      <c r="C292" s="166"/>
      <c r="D292" s="167"/>
      <c r="E292" s="168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154"/>
    </row>
    <row r="293" ht="14.25" customHeight="1">
      <c r="A293" s="164"/>
      <c r="B293" s="165"/>
      <c r="C293" s="166"/>
      <c r="D293" s="167"/>
      <c r="E293" s="168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154"/>
    </row>
    <row r="294" ht="14.25" customHeight="1">
      <c r="A294" s="164"/>
      <c r="B294" s="165"/>
      <c r="C294" s="166"/>
      <c r="D294" s="167"/>
      <c r="E294" s="168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</row>
    <row r="295" ht="14.25" customHeight="1">
      <c r="A295" s="164"/>
      <c r="B295" s="165"/>
      <c r="C295" s="166"/>
      <c r="D295" s="167"/>
      <c r="E295" s="168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</row>
    <row r="296" ht="14.25" customHeight="1">
      <c r="A296" s="164"/>
      <c r="B296" s="165"/>
      <c r="C296" s="166"/>
      <c r="D296" s="167"/>
      <c r="E296" s="168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</row>
    <row r="297" ht="14.25" customHeight="1">
      <c r="A297" s="164"/>
      <c r="B297" s="165"/>
      <c r="C297" s="166"/>
      <c r="D297" s="167"/>
      <c r="E297" s="168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</row>
    <row r="298" ht="14.25" customHeight="1">
      <c r="A298" s="164"/>
      <c r="B298" s="165"/>
      <c r="C298" s="166"/>
      <c r="D298" s="167"/>
      <c r="E298" s="168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</row>
    <row r="299" ht="14.25" customHeight="1">
      <c r="A299" s="164"/>
      <c r="B299" s="165"/>
      <c r="C299" s="166"/>
      <c r="D299" s="167"/>
      <c r="E299" s="168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</row>
    <row r="300" ht="14.25" customHeight="1">
      <c r="A300" s="164"/>
      <c r="B300" s="165"/>
      <c r="C300" s="166"/>
      <c r="D300" s="167"/>
      <c r="E300" s="168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</row>
    <row r="301" ht="14.25" customHeight="1">
      <c r="A301" s="164"/>
      <c r="B301" s="165"/>
      <c r="C301" s="166"/>
      <c r="D301" s="167"/>
      <c r="E301" s="168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</row>
    <row r="302" ht="14.25" customHeight="1">
      <c r="A302" s="164"/>
      <c r="B302" s="165"/>
      <c r="C302" s="166"/>
      <c r="D302" s="167"/>
      <c r="E302" s="168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</row>
    <row r="303" ht="14.25" customHeight="1">
      <c r="A303" s="164"/>
      <c r="B303" s="165"/>
      <c r="C303" s="166"/>
      <c r="D303" s="167"/>
      <c r="E303" s="168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4"/>
    </row>
    <row r="304" ht="14.25" customHeight="1">
      <c r="A304" s="164"/>
      <c r="B304" s="165"/>
      <c r="C304" s="166"/>
      <c r="D304" s="167"/>
      <c r="E304" s="168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</row>
    <row r="305" ht="14.25" customHeight="1">
      <c r="A305" s="164"/>
      <c r="B305" s="165"/>
      <c r="C305" s="166"/>
      <c r="D305" s="167"/>
      <c r="E305" s="168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</row>
    <row r="306" ht="14.25" customHeight="1">
      <c r="A306" s="164"/>
      <c r="B306" s="165"/>
      <c r="C306" s="166"/>
      <c r="D306" s="167"/>
      <c r="E306" s="168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</row>
    <row r="307" ht="14.25" customHeight="1">
      <c r="A307" s="164"/>
      <c r="B307" s="165"/>
      <c r="C307" s="166"/>
      <c r="D307" s="167"/>
      <c r="E307" s="168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154"/>
    </row>
    <row r="308" ht="14.25" customHeight="1">
      <c r="A308" s="164"/>
      <c r="B308" s="165"/>
      <c r="C308" s="166"/>
      <c r="D308" s="167"/>
      <c r="E308" s="168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4"/>
    </row>
    <row r="309" ht="14.25" customHeight="1">
      <c r="A309" s="164"/>
      <c r="B309" s="165"/>
      <c r="C309" s="166"/>
      <c r="D309" s="167"/>
      <c r="E309" s="168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</row>
    <row r="310" ht="14.25" customHeight="1">
      <c r="A310" s="164"/>
      <c r="B310" s="165"/>
      <c r="C310" s="166"/>
      <c r="D310" s="167"/>
      <c r="E310" s="168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</row>
    <row r="311" ht="14.25" customHeight="1">
      <c r="A311" s="164"/>
      <c r="B311" s="165"/>
      <c r="C311" s="166"/>
      <c r="D311" s="167"/>
      <c r="E311" s="168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</row>
    <row r="312" ht="14.25" customHeight="1">
      <c r="A312" s="164"/>
      <c r="B312" s="165"/>
      <c r="C312" s="166"/>
      <c r="D312" s="167"/>
      <c r="E312" s="168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</row>
    <row r="313" ht="14.25" customHeight="1">
      <c r="A313" s="164"/>
      <c r="B313" s="165"/>
      <c r="C313" s="166"/>
      <c r="D313" s="167"/>
      <c r="E313" s="168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</row>
    <row r="314" ht="14.25" customHeight="1">
      <c r="A314" s="164"/>
      <c r="B314" s="165"/>
      <c r="C314" s="166"/>
      <c r="D314" s="167"/>
      <c r="E314" s="168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</row>
    <row r="315" ht="14.25" customHeight="1">
      <c r="A315" s="164"/>
      <c r="B315" s="165"/>
      <c r="C315" s="166"/>
      <c r="D315" s="167"/>
      <c r="E315" s="168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</row>
    <row r="316" ht="14.25" customHeight="1">
      <c r="A316" s="164"/>
      <c r="B316" s="165"/>
      <c r="C316" s="166"/>
      <c r="D316" s="167"/>
      <c r="E316" s="168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</row>
    <row r="317" ht="14.25" customHeight="1">
      <c r="A317" s="164"/>
      <c r="B317" s="165"/>
      <c r="C317" s="166"/>
      <c r="D317" s="167"/>
      <c r="E317" s="168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</row>
    <row r="318" ht="14.25" customHeight="1">
      <c r="A318" s="164"/>
      <c r="B318" s="165"/>
      <c r="C318" s="166"/>
      <c r="D318" s="167"/>
      <c r="E318" s="168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</row>
    <row r="319" ht="14.25" customHeight="1">
      <c r="A319" s="164"/>
      <c r="B319" s="165"/>
      <c r="C319" s="166"/>
      <c r="D319" s="167"/>
      <c r="E319" s="168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</row>
    <row r="320" ht="14.25" customHeight="1">
      <c r="A320" s="164"/>
      <c r="B320" s="165"/>
      <c r="C320" s="166"/>
      <c r="D320" s="167"/>
      <c r="E320" s="168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</row>
    <row r="321" ht="14.25" customHeight="1">
      <c r="A321" s="164"/>
      <c r="B321" s="165"/>
      <c r="C321" s="166"/>
      <c r="D321" s="167"/>
      <c r="E321" s="168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</row>
    <row r="322" ht="14.25" customHeight="1">
      <c r="A322" s="164"/>
      <c r="B322" s="165"/>
      <c r="C322" s="166"/>
      <c r="D322" s="167"/>
      <c r="E322" s="168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154"/>
    </row>
    <row r="323" ht="14.25" customHeight="1">
      <c r="A323" s="164"/>
      <c r="B323" s="165"/>
      <c r="C323" s="166"/>
      <c r="D323" s="167"/>
      <c r="E323" s="168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</row>
    <row r="324" ht="14.25" customHeight="1">
      <c r="A324" s="164"/>
      <c r="B324" s="165"/>
      <c r="C324" s="166"/>
      <c r="D324" s="167"/>
      <c r="E324" s="168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</row>
    <row r="325" ht="14.25" customHeight="1">
      <c r="A325" s="164"/>
      <c r="B325" s="165"/>
      <c r="C325" s="166"/>
      <c r="D325" s="167"/>
      <c r="E325" s="168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</row>
    <row r="326" ht="14.25" customHeight="1">
      <c r="A326" s="164"/>
      <c r="B326" s="165"/>
      <c r="C326" s="166"/>
      <c r="D326" s="167"/>
      <c r="E326" s="168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</row>
    <row r="327" ht="14.25" customHeight="1">
      <c r="A327" s="164"/>
      <c r="B327" s="165"/>
      <c r="C327" s="166"/>
      <c r="D327" s="167"/>
      <c r="E327" s="168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</row>
    <row r="328" ht="14.25" customHeight="1">
      <c r="A328" s="164"/>
      <c r="B328" s="165"/>
      <c r="C328" s="166"/>
      <c r="D328" s="167"/>
      <c r="E328" s="168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</row>
    <row r="329" ht="14.25" customHeight="1">
      <c r="A329" s="164"/>
      <c r="B329" s="165"/>
      <c r="C329" s="166"/>
      <c r="D329" s="167"/>
      <c r="E329" s="168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154"/>
    </row>
    <row r="330" ht="14.25" customHeight="1">
      <c r="A330" s="164"/>
      <c r="B330" s="165"/>
      <c r="C330" s="166"/>
      <c r="D330" s="167"/>
      <c r="E330" s="168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</row>
    <row r="331" ht="14.25" customHeight="1">
      <c r="A331" s="164"/>
      <c r="B331" s="165"/>
      <c r="C331" s="166"/>
      <c r="D331" s="167"/>
      <c r="E331" s="168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</row>
    <row r="332" ht="14.25" customHeight="1">
      <c r="A332" s="164"/>
      <c r="B332" s="165"/>
      <c r="C332" s="166"/>
      <c r="D332" s="167"/>
      <c r="E332" s="168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</row>
    <row r="333" ht="14.25" customHeight="1">
      <c r="A333" s="164"/>
      <c r="B333" s="165"/>
      <c r="C333" s="166"/>
      <c r="D333" s="167"/>
      <c r="E333" s="168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</row>
    <row r="334" ht="14.25" customHeight="1">
      <c r="A334" s="164"/>
      <c r="B334" s="165"/>
      <c r="C334" s="166"/>
      <c r="D334" s="167"/>
      <c r="E334" s="168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</row>
    <row r="335" ht="14.25" customHeight="1">
      <c r="A335" s="164"/>
      <c r="B335" s="165"/>
      <c r="C335" s="166"/>
      <c r="D335" s="167"/>
      <c r="E335" s="168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</row>
    <row r="336" ht="14.25" customHeight="1">
      <c r="A336" s="164"/>
      <c r="B336" s="165"/>
      <c r="C336" s="166"/>
      <c r="D336" s="167"/>
      <c r="E336" s="168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</row>
    <row r="337" ht="14.25" customHeight="1">
      <c r="A337" s="164"/>
      <c r="B337" s="165"/>
      <c r="C337" s="166"/>
      <c r="D337" s="167"/>
      <c r="E337" s="168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</row>
    <row r="338" ht="14.25" customHeight="1">
      <c r="A338" s="164"/>
      <c r="B338" s="165"/>
      <c r="C338" s="166"/>
      <c r="D338" s="167"/>
      <c r="E338" s="168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</row>
    <row r="339" ht="14.25" customHeight="1">
      <c r="A339" s="164"/>
      <c r="B339" s="165"/>
      <c r="C339" s="166"/>
      <c r="D339" s="167"/>
      <c r="E339" s="168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154"/>
    </row>
    <row r="340" ht="14.25" customHeight="1">
      <c r="A340" s="164"/>
      <c r="B340" s="165"/>
      <c r="C340" s="166"/>
      <c r="D340" s="167"/>
      <c r="E340" s="168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</row>
    <row r="341" ht="14.25" customHeight="1">
      <c r="A341" s="164"/>
      <c r="B341" s="165"/>
      <c r="C341" s="166"/>
      <c r="D341" s="167"/>
      <c r="E341" s="168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</row>
    <row r="342" ht="14.25" customHeight="1">
      <c r="A342" s="164"/>
      <c r="B342" s="165"/>
      <c r="C342" s="166"/>
      <c r="D342" s="167"/>
      <c r="E342" s="168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</row>
    <row r="343" ht="14.25" customHeight="1">
      <c r="A343" s="164"/>
      <c r="B343" s="165"/>
      <c r="C343" s="166"/>
      <c r="D343" s="167"/>
      <c r="E343" s="168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</row>
    <row r="344" ht="14.25" customHeight="1">
      <c r="A344" s="164"/>
      <c r="B344" s="165"/>
      <c r="C344" s="166"/>
      <c r="D344" s="167"/>
      <c r="E344" s="168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154"/>
    </row>
    <row r="345" ht="14.25" customHeight="1">
      <c r="A345" s="164"/>
      <c r="B345" s="165"/>
      <c r="C345" s="166"/>
      <c r="D345" s="167"/>
      <c r="E345" s="168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154"/>
    </row>
    <row r="346" ht="14.25" customHeight="1">
      <c r="A346" s="164"/>
      <c r="B346" s="165"/>
      <c r="C346" s="166"/>
      <c r="D346" s="167"/>
      <c r="E346" s="168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154"/>
    </row>
    <row r="347" ht="14.25" customHeight="1">
      <c r="A347" s="164"/>
      <c r="B347" s="165"/>
      <c r="C347" s="166"/>
      <c r="D347" s="167"/>
      <c r="E347" s="168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</row>
    <row r="348" ht="14.25" customHeight="1">
      <c r="A348" s="164"/>
      <c r="B348" s="165"/>
      <c r="C348" s="166"/>
      <c r="D348" s="167"/>
      <c r="E348" s="168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</row>
    <row r="349" ht="14.25" customHeight="1">
      <c r="A349" s="164"/>
      <c r="B349" s="165"/>
      <c r="C349" s="166"/>
      <c r="D349" s="167"/>
      <c r="E349" s="168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</row>
    <row r="350" ht="14.25" customHeight="1">
      <c r="A350" s="164"/>
      <c r="B350" s="165"/>
      <c r="C350" s="166"/>
      <c r="D350" s="167"/>
      <c r="E350" s="168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</row>
    <row r="351" ht="14.25" customHeight="1">
      <c r="A351" s="164"/>
      <c r="B351" s="165"/>
      <c r="C351" s="166"/>
      <c r="D351" s="167"/>
      <c r="E351" s="168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</row>
    <row r="352" ht="14.25" customHeight="1">
      <c r="A352" s="164"/>
      <c r="B352" s="165"/>
      <c r="C352" s="166"/>
      <c r="D352" s="167"/>
      <c r="E352" s="168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</row>
    <row r="353" ht="14.25" customHeight="1">
      <c r="A353" s="164"/>
      <c r="B353" s="165"/>
      <c r="C353" s="166"/>
      <c r="D353" s="167"/>
      <c r="E353" s="168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</row>
    <row r="354" ht="14.25" customHeight="1">
      <c r="A354" s="164"/>
      <c r="B354" s="165"/>
      <c r="C354" s="166"/>
      <c r="D354" s="167"/>
      <c r="E354" s="168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</row>
    <row r="355" ht="14.25" customHeight="1">
      <c r="A355" s="164"/>
      <c r="B355" s="165"/>
      <c r="C355" s="166"/>
      <c r="D355" s="167"/>
      <c r="E355" s="168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</row>
    <row r="356" ht="14.25" customHeight="1">
      <c r="A356" s="164"/>
      <c r="B356" s="165"/>
      <c r="C356" s="166"/>
      <c r="D356" s="167"/>
      <c r="E356" s="168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</row>
    <row r="357" ht="14.25" customHeight="1">
      <c r="A357" s="164"/>
      <c r="B357" s="165"/>
      <c r="C357" s="166"/>
      <c r="D357" s="167"/>
      <c r="E357" s="168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</row>
    <row r="358" ht="14.25" customHeight="1">
      <c r="A358" s="164"/>
      <c r="B358" s="165"/>
      <c r="C358" s="166"/>
      <c r="D358" s="167"/>
      <c r="E358" s="168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4"/>
    </row>
    <row r="359" ht="14.25" customHeight="1">
      <c r="A359" s="164"/>
      <c r="B359" s="165"/>
      <c r="C359" s="166"/>
      <c r="D359" s="167"/>
      <c r="E359" s="168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</row>
    <row r="360" ht="14.25" customHeight="1">
      <c r="A360" s="164"/>
      <c r="B360" s="165"/>
      <c r="C360" s="166"/>
      <c r="D360" s="167"/>
      <c r="E360" s="168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4"/>
    </row>
    <row r="361" ht="14.25" customHeight="1">
      <c r="A361" s="164"/>
      <c r="B361" s="165"/>
      <c r="C361" s="166"/>
      <c r="D361" s="167"/>
      <c r="E361" s="168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148" t="s">
        <v>168</v>
      </c>
      <c r="B1" s="149" t="s">
        <v>197</v>
      </c>
      <c r="C1" s="150" t="s">
        <v>169</v>
      </c>
      <c r="D1" s="151" t="s">
        <v>198</v>
      </c>
      <c r="E1" s="152" t="s">
        <v>199</v>
      </c>
      <c r="G1" s="153" t="s">
        <v>200</v>
      </c>
      <c r="H1" s="121">
        <f>MATCH("",A2:A1001,-1)</f>
        <v>52</v>
      </c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</row>
    <row r="2" ht="14.25" customHeight="1">
      <c r="A2" s="155" t="str">
        <f>IFERROR(__xludf.DUMMYFUNCTION(" IMPORTRANGE(""https://docs.google.com/spreadsheets/d/1xiQai5qfvpWboqKo3ndbvr27GBcheZS6ziKEc_4ab7k/edit#gid=695545632"",""Roller Coaster!A2:A161"")"),"StephBoss05")</f>
        <v>StephBoss05</v>
      </c>
      <c r="B2" s="156">
        <v>1.0</v>
      </c>
      <c r="C2" s="157">
        <f t="shared" ref="C2:C160" si="1">525*(1-(B2/($H$1+1)))*POWER((SQRT(($H$1+1)/B2)),1/2)</f>
        <v>1389.811</v>
      </c>
      <c r="D2" s="158" t="str">
        <f>VLOOKUP(A2,'Classement RoC'!$B$2:$C$149,1,0)</f>
        <v>StephBoss05</v>
      </c>
      <c r="E2" s="159" t="str">
        <f t="shared" ref="E2:E160" si="2">IF(D2=A2,"","erreur")</f>
        <v/>
      </c>
      <c r="F2" s="120" t="str">
        <f>VLOOKUP(A2,'Classement Général'!$B$2:$B$146,1,0)</f>
        <v>StephBoss05</v>
      </c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ht="14.25" customHeight="1">
      <c r="A3" s="160" t="str">
        <f>IFERROR(__xludf.DUMMYFUNCTION("""COMPUTED_VALUE"""),". BARBAPAPA66")</f>
        <v>. BARBAPAPA66</v>
      </c>
      <c r="B3" s="161">
        <v>2.0</v>
      </c>
      <c r="C3" s="157">
        <f t="shared" si="1"/>
        <v>1146.212336</v>
      </c>
      <c r="D3" s="158" t="str">
        <f>VLOOKUP(A3,'Classement RoC'!$B$2:$C$149,1,0)</f>
        <v>. BARBAPAPA66</v>
      </c>
      <c r="E3" s="159" t="str">
        <f t="shared" si="2"/>
        <v/>
      </c>
      <c r="F3" s="120" t="str">
        <f>VLOOKUP(A3,'Classement Général'!$B$2:$B$146,1,0)</f>
        <v>. BARBAPAPA66</v>
      </c>
      <c r="G3" s="162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ht="14.25" customHeight="1">
      <c r="A4" s="160" t="str">
        <f>IFERROR(__xludf.DUMMYFUNCTION("""COMPUTED_VALUE"""),"gregmoore")</f>
        <v>gregmoore</v>
      </c>
      <c r="B4" s="156">
        <v>3.0</v>
      </c>
      <c r="C4" s="157">
        <f t="shared" si="1"/>
        <v>1015.411533</v>
      </c>
      <c r="D4" s="158" t="str">
        <f>VLOOKUP(A4,'Classement RoC'!$B$2:$C$149,1,0)</f>
        <v>gregmoore</v>
      </c>
      <c r="E4" s="159" t="str">
        <f t="shared" si="2"/>
        <v/>
      </c>
      <c r="F4" s="120" t="str">
        <f>VLOOKUP(A4,'Classement Général'!$B$2:$B$146,1,0)</f>
        <v>gregmoore</v>
      </c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ht="14.25" customHeight="1">
      <c r="A5" s="160" t="str">
        <f>IFERROR(__xludf.DUMMYFUNCTION("""COMPUTED_VALUE"""),"Mako Lemore")</f>
        <v>Mako Lemore</v>
      </c>
      <c r="B5" s="161">
        <v>4.0</v>
      </c>
      <c r="C5" s="157">
        <f t="shared" si="1"/>
        <v>926.0479686</v>
      </c>
      <c r="D5" s="158" t="str">
        <f>VLOOKUP(A5,'Classement RoC'!$B$2:$C$149,1,0)</f>
        <v>Mako Lemore</v>
      </c>
      <c r="E5" s="163" t="str">
        <f t="shared" si="2"/>
        <v/>
      </c>
      <c r="F5" s="120" t="str">
        <f>VLOOKUP(A5,'Classement Général'!$B$2:$B$146,1,0)</f>
        <v>Mako Lemore</v>
      </c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ht="14.25" customHeight="1">
      <c r="A6" s="160" t="str">
        <f>IFERROR(__xludf.DUMMYFUNCTION("""COMPUTED_VALUE"""),"ledids")</f>
        <v>ledids</v>
      </c>
      <c r="B6" s="156">
        <v>5.0</v>
      </c>
      <c r="C6" s="157">
        <f t="shared" si="1"/>
        <v>857.9285837</v>
      </c>
      <c r="D6" s="158" t="str">
        <f>VLOOKUP(A6,'Classement RoC'!$B$2:$C$149,1,0)</f>
        <v>ledids</v>
      </c>
      <c r="E6" s="163" t="str">
        <f t="shared" si="2"/>
        <v/>
      </c>
      <c r="F6" s="120" t="str">
        <f>VLOOKUP(A6,'Classement Général'!$B$2:$B$146,1,0)</f>
        <v>ledids</v>
      </c>
      <c r="G6" s="154"/>
      <c r="H6" s="154"/>
      <c r="I6" s="154"/>
      <c r="J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</row>
    <row r="7" ht="14.25" customHeight="1">
      <c r="A7" s="160" t="str">
        <f>IFERROR(__xludf.DUMMYFUNCTION("""COMPUTED_VALUE"""),"vicmackey86")</f>
        <v>vicmackey86</v>
      </c>
      <c r="B7" s="161">
        <v>6.0</v>
      </c>
      <c r="C7" s="157">
        <f t="shared" si="1"/>
        <v>802.6245631</v>
      </c>
      <c r="D7" s="158" t="str">
        <f>VLOOKUP(A7,'Classement RoC'!$B$2:$C$149,1,0)</f>
        <v>vicmackey86</v>
      </c>
      <c r="E7" s="163" t="str">
        <f t="shared" si="2"/>
        <v/>
      </c>
      <c r="F7" s="120" t="str">
        <f>VLOOKUP(A7,'Classement Général'!$B$2:$B$146,1,0)</f>
        <v>vicmackey86</v>
      </c>
      <c r="G7" s="154"/>
      <c r="H7" s="154"/>
      <c r="I7" s="154"/>
      <c r="J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</row>
    <row r="8" ht="14.25" customHeight="1">
      <c r="A8" s="160" t="str">
        <f>IFERROR(__xludf.DUMMYFUNCTION("""COMPUTED_VALUE"""),"erniedog56x")</f>
        <v>erniedog56x</v>
      </c>
      <c r="B8" s="156">
        <v>7.0</v>
      </c>
      <c r="C8" s="157">
        <f t="shared" si="1"/>
        <v>755.8501836</v>
      </c>
      <c r="D8" s="158" t="str">
        <f>VLOOKUP(A8,'Classement RoC'!$B$2:$C$149,1,0)</f>
        <v>erniedog56x</v>
      </c>
      <c r="E8" s="163" t="str">
        <f t="shared" si="2"/>
        <v/>
      </c>
      <c r="F8" s="120" t="str">
        <f>VLOOKUP(A8,'Classement Général'!$B$2:$B$146,1,0)</f>
        <v>erniedog56x</v>
      </c>
      <c r="G8" s="154"/>
      <c r="H8" s="154"/>
      <c r="I8" s="154"/>
      <c r="J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</row>
    <row r="9" ht="14.25" customHeight="1">
      <c r="A9" s="160" t="str">
        <f>IFERROR(__xludf.DUMMYFUNCTION("""COMPUTED_VALUE"""),"PrendmAmAin")</f>
        <v>PrendmAmAin</v>
      </c>
      <c r="B9" s="161">
        <v>8.0</v>
      </c>
      <c r="C9" s="157">
        <f t="shared" si="1"/>
        <v>715.1422198</v>
      </c>
      <c r="D9" s="158" t="str">
        <f>VLOOKUP(A9,'Classement RoC'!$B$2:$C$149,1,0)</f>
        <v>PrendmAmAin</v>
      </c>
      <c r="E9" s="163" t="str">
        <f t="shared" si="2"/>
        <v/>
      </c>
      <c r="F9" s="120" t="str">
        <f>VLOOKUP(A9,'Classement Général'!$B$2:$B$146,1,0)</f>
        <v>PrendmAmAin</v>
      </c>
      <c r="G9" s="154"/>
      <c r="H9" s="154"/>
      <c r="I9" s="154"/>
      <c r="J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</row>
    <row r="10" ht="14.25" customHeight="1">
      <c r="A10" s="160" t="str">
        <f>IFERROR(__xludf.DUMMYFUNCTION("""COMPUTED_VALUE"""),"Redblood92")</f>
        <v>Redblood92</v>
      </c>
      <c r="B10" s="156">
        <v>9.0</v>
      </c>
      <c r="C10" s="157">
        <f t="shared" si="1"/>
        <v>678.9604083</v>
      </c>
      <c r="D10" s="158" t="str">
        <f>VLOOKUP(A10,'Classement RoC'!$B$2:$C$149,1,0)</f>
        <v>Redblood92</v>
      </c>
      <c r="E10" s="163" t="str">
        <f t="shared" si="2"/>
        <v/>
      </c>
      <c r="F10" s="120" t="str">
        <f>VLOOKUP(A10,'Classement Général'!$B$2:$B$146,1,0)</f>
        <v>Redblood92</v>
      </c>
      <c r="G10" s="154"/>
      <c r="H10" s="154"/>
      <c r="I10" s="154"/>
      <c r="J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ht="14.25" customHeight="1">
      <c r="A11" s="160" t="str">
        <f>IFERROR(__xludf.DUMMYFUNCTION("""COMPUTED_VALUE"""),"pablo")</f>
        <v>pablo</v>
      </c>
      <c r="B11" s="161">
        <v>10.0</v>
      </c>
      <c r="C11" s="157">
        <f t="shared" si="1"/>
        <v>646.280209</v>
      </c>
      <c r="D11" s="158" t="str">
        <f>VLOOKUP(A11,'Classement RoC'!$B$2:$C$149,1,0)</f>
        <v>pablo</v>
      </c>
      <c r="E11" s="163" t="str">
        <f t="shared" si="2"/>
        <v/>
      </c>
      <c r="F11" s="120" t="str">
        <f>VLOOKUP(A11,'Classement Général'!$B$2:$B$146,1,0)</f>
        <v>pablo</v>
      </c>
      <c r="G11" s="154"/>
      <c r="H11" s="154"/>
      <c r="I11" s="154"/>
      <c r="J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</row>
    <row r="12" ht="14.25" customHeight="1">
      <c r="A12" s="160" t="str">
        <f>IFERROR(__xludf.DUMMYFUNCTION("""COMPUTED_VALUE"""),"DonnesTchips")</f>
        <v>DonnesTchips</v>
      </c>
      <c r="B12" s="156">
        <v>11.0</v>
      </c>
      <c r="C12" s="157">
        <f t="shared" si="1"/>
        <v>616.3870706</v>
      </c>
      <c r="D12" s="158" t="str">
        <f>VLOOKUP(A12,'Classement RoC'!$B$2:$C$149,1,0)</f>
        <v>DonnesTchips</v>
      </c>
      <c r="E12" s="163" t="str">
        <f t="shared" si="2"/>
        <v/>
      </c>
      <c r="F12" s="120" t="str">
        <f>VLOOKUP(A12,'Classement Général'!$B$2:$B$146,1,0)</f>
        <v>DonnesTchips</v>
      </c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ht="14.25" customHeight="1">
      <c r="A13" s="160" t="str">
        <f>IFERROR(__xludf.DUMMYFUNCTION("""COMPUTED_VALUE"""),"_VisMaVie_")</f>
        <v>_VisMaVie_</v>
      </c>
      <c r="B13" s="161">
        <v>12.0</v>
      </c>
      <c r="C13" s="157">
        <f t="shared" si="1"/>
        <v>588.7635922</v>
      </c>
      <c r="D13" s="158" t="str">
        <f>VLOOKUP(A13,'Classement RoC'!$B$2:$C$149,1,0)</f>
        <v>_VisMaVie_</v>
      </c>
      <c r="E13" s="163" t="str">
        <f t="shared" si="2"/>
        <v/>
      </c>
      <c r="F13" s="120" t="str">
        <f>VLOOKUP(A13,'Classement Général'!$B$2:$B$146,1,0)</f>
        <v>_VisMaVie_</v>
      </c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ht="14.25" customHeight="1">
      <c r="A14" s="160" t="str">
        <f>IFERROR(__xludf.DUMMYFUNCTION("""COMPUTED_VALUE"""),"Rv86")</f>
        <v>Rv86</v>
      </c>
      <c r="B14" s="156">
        <v>13.0</v>
      </c>
      <c r="C14" s="157">
        <f t="shared" si="1"/>
        <v>563.0235418</v>
      </c>
      <c r="D14" s="158" t="str">
        <f>VLOOKUP(A14,'Classement RoC'!$B$2:$C$149,1,0)</f>
        <v>Rv86</v>
      </c>
      <c r="E14" s="163" t="str">
        <f t="shared" si="2"/>
        <v/>
      </c>
      <c r="F14" s="120" t="str">
        <f>VLOOKUP(A14,'Classement Général'!$B$2:$B$146,1,0)</f>
        <v>Rv86</v>
      </c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</row>
    <row r="15" ht="14.25" customHeight="1">
      <c r="A15" s="160" t="str">
        <f>IFERROR(__xludf.DUMMYFUNCTION("""COMPUTED_VALUE"""),"botbot")</f>
        <v>botbot</v>
      </c>
      <c r="B15" s="161">
        <v>14.0</v>
      </c>
      <c r="C15" s="157">
        <f t="shared" si="1"/>
        <v>538.8712322</v>
      </c>
      <c r="D15" s="158" t="str">
        <f>VLOOKUP(A15,'Classement RoC'!$B$2:$C$149,1,0)</f>
        <v>botbot</v>
      </c>
      <c r="E15" s="163" t="str">
        <f t="shared" si="2"/>
        <v/>
      </c>
      <c r="F15" s="120" t="str">
        <f>VLOOKUP(A15,'Classement Général'!$B$2:$B$146,1,0)</f>
        <v>botbot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</row>
    <row r="16" ht="14.25" customHeight="1">
      <c r="A16" s="160" t="str">
        <f>IFERROR(__xludf.DUMMYFUNCTION("""COMPUTED_VALUE"""),"FridAKahlo")</f>
        <v>FridAKahlo</v>
      </c>
      <c r="B16" s="156">
        <v>15.0</v>
      </c>
      <c r="C16" s="157">
        <f t="shared" si="1"/>
        <v>516.07543</v>
      </c>
      <c r="D16" s="158" t="str">
        <f>VLOOKUP(A16,'Classement RoC'!$B$2:$C$149,1,0)</f>
        <v>FridAKahlo</v>
      </c>
      <c r="E16" s="163" t="str">
        <f t="shared" si="2"/>
        <v/>
      </c>
      <c r="F16" s="120" t="str">
        <f>VLOOKUP(A16,'Classement Général'!$B$2:$B$146,1,0)</f>
        <v>FridAKahlo</v>
      </c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ht="14.25" customHeight="1">
      <c r="A17" s="160" t="str">
        <f>IFERROR(__xludf.DUMMYFUNCTION("""COMPUTED_VALUE"""),"Pachavi")</f>
        <v>Pachavi</v>
      </c>
      <c r="B17" s="161">
        <v>16.0</v>
      </c>
      <c r="C17" s="157">
        <f t="shared" si="1"/>
        <v>494.4519906</v>
      </c>
      <c r="D17" s="158" t="str">
        <f>VLOOKUP(A17,'Classement RoC'!$B$2:$C$149,1,0)</f>
        <v>Pachavi</v>
      </c>
      <c r="E17" s="163" t="str">
        <f t="shared" si="2"/>
        <v/>
      </c>
      <c r="F17" s="120" t="str">
        <f>VLOOKUP(A17,'Classement Général'!$B$2:$B$146,1,0)</f>
        <v>Pachavi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</row>
    <row r="18" ht="14.25" customHeight="1">
      <c r="A18" s="160" t="str">
        <f>IFERROR(__xludf.DUMMYFUNCTION("""COMPUTED_VALUE"""),"cassius-86")</f>
        <v>cassius-86</v>
      </c>
      <c r="B18" s="156">
        <v>17.0</v>
      </c>
      <c r="C18" s="157">
        <f t="shared" si="1"/>
        <v>473.8519494</v>
      </c>
      <c r="D18" s="158" t="str">
        <f>VLOOKUP(A18,'Classement RoC'!$B$2:$C$149,1,0)</f>
        <v>cassius-86</v>
      </c>
      <c r="E18" s="163" t="str">
        <f t="shared" si="2"/>
        <v/>
      </c>
      <c r="F18" s="120" t="str">
        <f>VLOOKUP(A18,'Classement Général'!$B$2:$B$146,1,0)</f>
        <v>cassius-86</v>
      </c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</row>
    <row r="19" ht="14.25" customHeight="1">
      <c r="A19" s="160" t="str">
        <f>IFERROR(__xludf.DUMMYFUNCTION("""COMPUTED_VALUE"""),"POMB1664")</f>
        <v>POMB1664</v>
      </c>
      <c r="B19" s="161">
        <v>18.0</v>
      </c>
      <c r="C19" s="157">
        <f t="shared" si="1"/>
        <v>454.153138</v>
      </c>
      <c r="D19" s="158" t="str">
        <f>VLOOKUP(A19,'Classement RoC'!$B$2:$C$149,1,0)</f>
        <v>POMB1664</v>
      </c>
      <c r="E19" s="163" t="str">
        <f t="shared" si="2"/>
        <v/>
      </c>
      <c r="F19" s="120" t="str">
        <f>VLOOKUP(A19,'Classement Général'!$B$2:$B$146,1,0)</f>
        <v>POMB1664</v>
      </c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</row>
    <row r="20" ht="14.25" customHeight="1">
      <c r="A20" s="160" t="str">
        <f>IFERROR(__xludf.DUMMYFUNCTION("""COMPUTED_VALUE"""),"Patgaret")</f>
        <v>Patgaret</v>
      </c>
      <c r="B20" s="156">
        <v>19.0</v>
      </c>
      <c r="C20" s="157">
        <f t="shared" si="1"/>
        <v>435.2541473</v>
      </c>
      <c r="D20" s="158" t="str">
        <f>VLOOKUP(A20,'Classement RoC'!$B$2:$C$149,1,0)</f>
        <v>Patgaret</v>
      </c>
      <c r="E20" s="163" t="str">
        <f t="shared" si="2"/>
        <v/>
      </c>
      <c r="F20" s="120" t="str">
        <f>VLOOKUP(A20,'Classement Général'!$B$2:$B$146,1,0)</f>
        <v>Patgaret</v>
      </c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</row>
    <row r="21" ht="14.25" customHeight="1">
      <c r="A21" s="160" t="str">
        <f>IFERROR(__xludf.DUMMYFUNCTION("""COMPUTED_VALUE"""),"fiodor86")</f>
        <v>fiodor86</v>
      </c>
      <c r="B21" s="161">
        <v>20.0</v>
      </c>
      <c r="C21" s="157">
        <f t="shared" si="1"/>
        <v>417.0698945</v>
      </c>
      <c r="D21" s="158" t="str">
        <f>VLOOKUP(A21,'Classement RoC'!$B$2:$C$149,1,0)</f>
        <v>fiodor86</v>
      </c>
      <c r="E21" s="163" t="str">
        <f t="shared" si="2"/>
        <v/>
      </c>
      <c r="F21" s="120" t="str">
        <f>VLOOKUP(A21,'Classement Général'!$B$2:$B$146,1,0)</f>
        <v>fiodor86</v>
      </c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</row>
    <row r="22" ht="14.25" customHeight="1">
      <c r="A22" s="160" t="str">
        <f>IFERROR(__xludf.DUMMYFUNCTION("""COMPUTED_VALUE"""),"Kti")</f>
        <v>Kti</v>
      </c>
      <c r="B22" s="156">
        <v>21.0</v>
      </c>
      <c r="C22" s="157">
        <f t="shared" si="1"/>
        <v>399.5283078</v>
      </c>
      <c r="D22" s="158" t="str">
        <f>VLOOKUP(A22,'Classement RoC'!$B$2:$C$149,1,0)</f>
        <v>Kti</v>
      </c>
      <c r="E22" s="163" t="str">
        <f t="shared" si="2"/>
        <v/>
      </c>
      <c r="F22" s="120" t="str">
        <f>VLOOKUP(A22,'Classement Général'!$B$2:$B$146,1,0)</f>
        <v>Kti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</row>
    <row r="23" ht="14.25" customHeight="1">
      <c r="A23" s="160" t="str">
        <f>IFERROR(__xludf.DUMMYFUNCTION("""COMPUTED_VALUE"""),"x Patrick86")</f>
        <v>x Patrick86</v>
      </c>
      <c r="B23" s="161">
        <v>22.0</v>
      </c>
      <c r="C23" s="157">
        <f t="shared" si="1"/>
        <v>382.56781</v>
      </c>
      <c r="D23" s="158" t="str">
        <f>VLOOKUP(A23,'Classement RoC'!$B$2:$C$149,1,0)</f>
        <v>x Patrick86</v>
      </c>
      <c r="E23" s="163" t="str">
        <f t="shared" si="2"/>
        <v/>
      </c>
      <c r="F23" s="120" t="str">
        <f>VLOOKUP(A23,'Classement Général'!$B$2:$B$146,1,0)</f>
        <v>x Patrick86</v>
      </c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</row>
    <row r="24" ht="14.25" customHeight="1">
      <c r="A24" s="160" t="str">
        <f>IFERROR(__xludf.DUMMYFUNCTION("""COMPUTED_VALUE"""),"Mikalack")</f>
        <v>Mikalack</v>
      </c>
      <c r="B24" s="156">
        <v>23.0</v>
      </c>
      <c r="C24" s="157">
        <f t="shared" si="1"/>
        <v>366.1353798</v>
      </c>
      <c r="D24" s="158" t="str">
        <f>VLOOKUP(A24,'Classement RoC'!$B$2:$C$149,1,0)</f>
        <v>Mikalack</v>
      </c>
      <c r="E24" s="163" t="str">
        <f t="shared" si="2"/>
        <v/>
      </c>
      <c r="F24" s="120" t="str">
        <f>VLOOKUP(A24,'Classement Général'!$B$2:$B$146,1,0)</f>
        <v>Mikalack</v>
      </c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</row>
    <row r="25" ht="14.25" customHeight="1">
      <c r="A25" s="160" t="str">
        <f>IFERROR(__xludf.DUMMYFUNCTION("""COMPUTED_VALUE"""),"Manu8671")</f>
        <v>Manu8671</v>
      </c>
      <c r="B25" s="161">
        <v>24.0</v>
      </c>
      <c r="C25" s="157">
        <f t="shared" si="1"/>
        <v>350.1850398</v>
      </c>
      <c r="D25" s="158" t="str">
        <f>VLOOKUP(A25,'Classement RoC'!$B$2:$C$149,1,0)</f>
        <v>Manu8671</v>
      </c>
      <c r="E25" s="163" t="str">
        <f t="shared" si="2"/>
        <v/>
      </c>
      <c r="F25" s="120" t="str">
        <f>VLOOKUP(A25,'Classement Général'!$B$2:$B$146,1,0)</f>
        <v>Manu8671</v>
      </c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</row>
    <row r="26" ht="14.25" customHeight="1">
      <c r="A26" s="160" t="str">
        <f>IFERROR(__xludf.DUMMYFUNCTION("""COMPUTED_VALUE"""),"BBH 75")</f>
        <v>BBH 75</v>
      </c>
      <c r="B26" s="156">
        <v>25.0</v>
      </c>
      <c r="C26" s="157">
        <f t="shared" si="1"/>
        <v>334.6766632</v>
      </c>
      <c r="D26" s="158" t="str">
        <f>VLOOKUP(A26,'Classement RoC'!$B$2:$C$149,1,0)</f>
        <v>BBH 75</v>
      </c>
      <c r="E26" s="163" t="str">
        <f t="shared" si="2"/>
        <v/>
      </c>
      <c r="F26" s="120" t="str">
        <f>VLOOKUP(A26,'Classement Général'!$B$2:$B$146,1,0)</f>
        <v>BBH 75</v>
      </c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</row>
    <row r="27" ht="14.25" customHeight="1">
      <c r="A27" s="160" t="str">
        <f>IFERROR(__xludf.DUMMYFUNCTION("""COMPUTED_VALUE"""),"jejehehe")</f>
        <v>jejehehe</v>
      </c>
      <c r="B27" s="161">
        <v>26.0</v>
      </c>
      <c r="C27" s="157">
        <f t="shared" si="1"/>
        <v>319.5750226</v>
      </c>
      <c r="D27" s="158" t="str">
        <f>VLOOKUP(A27,'Classement RoC'!$B$2:$C$149,1,0)</f>
        <v>jejehehe</v>
      </c>
      <c r="E27" s="163" t="str">
        <f t="shared" si="2"/>
        <v/>
      </c>
      <c r="F27" s="120" t="str">
        <f>VLOOKUP(A27,'Classement Général'!$B$2:$B$146,1,0)</f>
        <v>jejehehe</v>
      </c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</row>
    <row r="28" ht="14.25" customHeight="1">
      <c r="A28" s="160" t="str">
        <f>IFERROR(__xludf.DUMMYFUNCTION("""COMPUTED_VALUE"""),"immond")</f>
        <v>immond</v>
      </c>
      <c r="B28" s="156">
        <v>27.0</v>
      </c>
      <c r="C28" s="157">
        <f t="shared" si="1"/>
        <v>304.8490234</v>
      </c>
      <c r="D28" s="158" t="str">
        <f>VLOOKUP(A28,'Classement RoC'!$B$2:$C$149,1,0)</f>
        <v>immond</v>
      </c>
      <c r="E28" s="163" t="str">
        <f t="shared" si="2"/>
        <v/>
      </c>
      <c r="F28" s="120" t="str">
        <f>VLOOKUP(A28,'Classement Général'!$B$2:$B$146,1,0)</f>
        <v>immond</v>
      </c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</row>
    <row r="29" ht="14.25" customHeight="1">
      <c r="A29" s="160" t="str">
        <f>IFERROR(__xludf.DUMMYFUNCTION("""COMPUTED_VALUE"""),"rastamokett")</f>
        <v>rastamokett</v>
      </c>
      <c r="B29" s="161">
        <v>28.0</v>
      </c>
      <c r="C29" s="157">
        <f t="shared" si="1"/>
        <v>290.4710817</v>
      </c>
      <c r="D29" s="158" t="str">
        <f>VLOOKUP(A29,'Classement RoC'!$B$2:$C$149,1,0)</f>
        <v>rastamokett</v>
      </c>
      <c r="E29" s="163" t="str">
        <f t="shared" si="2"/>
        <v/>
      </c>
      <c r="F29" s="120" t="str">
        <f>VLOOKUP(A29,'Classement Général'!$B$2:$B$146,1,0)</f>
        <v>rastamokett</v>
      </c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</row>
    <row r="30" ht="14.25" customHeight="1">
      <c r="A30" s="160" t="str">
        <f>IFERROR(__xludf.DUMMYFUNCTION("""COMPUTED_VALUE"""),"KKPTETYO")</f>
        <v>KKPTETYO</v>
      </c>
      <c r="B30" s="156">
        <v>29.0</v>
      </c>
      <c r="C30" s="157">
        <f t="shared" si="1"/>
        <v>276.4166145</v>
      </c>
      <c r="D30" s="158" t="str">
        <f>VLOOKUP(A30,'Classement RoC'!$B$2:$C$149,1,0)</f>
        <v>KKPTETYO</v>
      </c>
      <c r="E30" s="163" t="str">
        <f t="shared" si="2"/>
        <v/>
      </c>
      <c r="F30" s="120" t="str">
        <f>VLOOKUP(A30,'Classement Général'!$B$2:$B$146,1,0)</f>
        <v>KKPTETYO</v>
      </c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</row>
    <row r="31" ht="14.25" customHeight="1">
      <c r="A31" s="160" t="str">
        <f>IFERROR(__xludf.DUMMYFUNCTION("""COMPUTED_VALUE"""),"Vaillant 86")</f>
        <v>Vaillant 86</v>
      </c>
      <c r="B31" s="161">
        <v>30.0</v>
      </c>
      <c r="C31" s="157">
        <f t="shared" si="1"/>
        <v>262.6636189</v>
      </c>
      <c r="D31" s="158" t="str">
        <f>VLOOKUP(A31,'Classement RoC'!$B$2:$C$149,1,0)</f>
        <v>Vaillant 86</v>
      </c>
      <c r="E31" s="163" t="str">
        <f t="shared" si="2"/>
        <v/>
      </c>
      <c r="F31" s="120" t="str">
        <f>VLOOKUP(A31,'Classement Général'!$B$2:$B$146,1,0)</f>
        <v>Vaillant 86</v>
      </c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</row>
    <row r="32" ht="14.25" customHeight="1">
      <c r="A32" s="160" t="str">
        <f>IFERROR(__xludf.DUMMYFUNCTION("""COMPUTED_VALUE"""),"8kinder6")</f>
        <v>8kinder6</v>
      </c>
      <c r="B32" s="156">
        <v>31.0</v>
      </c>
      <c r="C32" s="157">
        <f t="shared" si="1"/>
        <v>249.192323</v>
      </c>
      <c r="D32" s="158" t="str">
        <f>VLOOKUP(A32,'Classement RoC'!$B$2:$C$149,1,0)</f>
        <v>8kinder6</v>
      </c>
      <c r="E32" s="163" t="str">
        <f t="shared" si="2"/>
        <v/>
      </c>
      <c r="F32" s="120" t="str">
        <f>VLOOKUP(A32,'Classement Général'!$B$2:$B$146,1,0)</f>
        <v>8kinder6</v>
      </c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</row>
    <row r="33" ht="14.25" customHeight="1">
      <c r="A33" s="160" t="str">
        <f>IFERROR(__xludf.DUMMYFUNCTION("""COMPUTED_VALUE"""),"-Feline")</f>
        <v>-Feline</v>
      </c>
      <c r="B33" s="161">
        <v>32.0</v>
      </c>
      <c r="C33" s="157">
        <f t="shared" si="1"/>
        <v>235.9848928</v>
      </c>
      <c r="D33" s="158" t="str">
        <f>VLOOKUP(A33,'Classement RoC'!$B$2:$C$149,1,0)</f>
        <v>-Feline</v>
      </c>
      <c r="E33" s="163" t="str">
        <f t="shared" si="2"/>
        <v/>
      </c>
      <c r="F33" s="120" t="str">
        <f>VLOOKUP(A33,'Classement Général'!$B$2:$B$146,1,0)</f>
        <v>-Feline</v>
      </c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</row>
    <row r="34" ht="14.25" customHeight="1">
      <c r="A34" s="160" t="str">
        <f>IFERROR(__xludf.DUMMYFUNCTION("""COMPUTED_VALUE"""),"lifeofpark")</f>
        <v>lifeofpark</v>
      </c>
      <c r="B34" s="156">
        <v>33.0</v>
      </c>
      <c r="C34" s="157">
        <f t="shared" si="1"/>
        <v>223.0251869</v>
      </c>
      <c r="D34" s="158" t="str">
        <f>VLOOKUP(A34,'Classement RoC'!$B$2:$C$149,1,0)</f>
        <v>lifeofpark</v>
      </c>
      <c r="E34" s="163" t="str">
        <f t="shared" si="2"/>
        <v/>
      </c>
      <c r="F34" s="120" t="str">
        <f>VLOOKUP(A34,'Classement Général'!$B$2:$B$146,1,0)</f>
        <v>lifeofpark</v>
      </c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</row>
    <row r="35" ht="14.25" customHeight="1">
      <c r="A35" s="160" t="str">
        <f>IFERROR(__xludf.DUMMYFUNCTION("""COMPUTED_VALUE"""),"Rod_John_VI")</f>
        <v>Rod_John_VI</v>
      </c>
      <c r="B35" s="161">
        <v>34.0</v>
      </c>
      <c r="C35" s="157">
        <f t="shared" si="1"/>
        <v>210.2985474</v>
      </c>
      <c r="D35" s="158" t="str">
        <f>VLOOKUP(A35,'Classement RoC'!$B$2:$C$149,1,0)</f>
        <v>Rod_John_VI</v>
      </c>
      <c r="E35" s="163" t="str">
        <f t="shared" si="2"/>
        <v/>
      </c>
      <c r="F35" s="120" t="str">
        <f>VLOOKUP(A35,'Classement Général'!$B$2:$B$146,1,0)</f>
        <v>Rod_John_VI</v>
      </c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</row>
    <row r="36" ht="14.25" customHeight="1">
      <c r="A36" s="160" t="str">
        <f>IFERROR(__xludf.DUMMYFUNCTION("""COMPUTED_VALUE"""),"Fistipanda")</f>
        <v>Fistipanda</v>
      </c>
      <c r="B36" s="156">
        <v>35.0</v>
      </c>
      <c r="C36" s="157">
        <f t="shared" si="1"/>
        <v>197.7916235</v>
      </c>
      <c r="D36" s="158" t="str">
        <f>VLOOKUP(A36,'Classement RoC'!$B$2:$C$149,1,0)</f>
        <v>Fistipanda</v>
      </c>
      <c r="E36" s="163" t="str">
        <f t="shared" si="2"/>
        <v/>
      </c>
      <c r="F36" s="120" t="str">
        <f>VLOOKUP(A36,'Classement Général'!$B$2:$B$146,1,0)</f>
        <v>Fistipanda</v>
      </c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</row>
    <row r="37" ht="14.25" customHeight="1">
      <c r="A37" s="160" t="str">
        <f>IFERROR(__xludf.DUMMYFUNCTION("""COMPUTED_VALUE"""),"NezuKO-demon")</f>
        <v>NezuKO-demon</v>
      </c>
      <c r="B37" s="161">
        <v>36.0</v>
      </c>
      <c r="C37" s="157">
        <f t="shared" si="1"/>
        <v>185.4922193</v>
      </c>
      <c r="D37" s="158" t="str">
        <f>VLOOKUP(A37,'Classement RoC'!$B$2:$C$149,1,0)</f>
        <v>NezuKO-demon</v>
      </c>
      <c r="E37" s="163" t="str">
        <f t="shared" si="2"/>
        <v/>
      </c>
      <c r="F37" s="120" t="str">
        <f>VLOOKUP(A37,'Classement Général'!$B$2:$B$146,1,0)</f>
        <v>NezuKO-demon</v>
      </c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</row>
    <row r="38" ht="14.25" customHeight="1">
      <c r="A38" s="160" t="str">
        <f>IFERROR(__xludf.DUMMYFUNCTION("""COMPUTED_VALUE"""),"Mitch")</f>
        <v>Mitch</v>
      </c>
      <c r="B38" s="156">
        <v>37.0</v>
      </c>
      <c r="C38" s="157">
        <f t="shared" si="1"/>
        <v>173.3891641</v>
      </c>
      <c r="D38" s="158" t="str">
        <f>VLOOKUP(A38,'Classement RoC'!$B$2:$C$149,1,0)</f>
        <v>Mitch</v>
      </c>
      <c r="E38" s="163" t="str">
        <f t="shared" si="2"/>
        <v/>
      </c>
      <c r="F38" s="120" t="str">
        <f>VLOOKUP(A38,'Classement Général'!$B$2:$B$146,1,0)</f>
        <v>Mitch</v>
      </c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</row>
    <row r="39" ht="14.25" customHeight="1">
      <c r="A39" s="160" t="str">
        <f>IFERROR(__xludf.DUMMYFUNCTION("""COMPUTED_VALUE"""),"A_iniesta")</f>
        <v>A_iniesta</v>
      </c>
      <c r="B39" s="161">
        <v>38.0</v>
      </c>
      <c r="C39" s="157">
        <f t="shared" si="1"/>
        <v>161.4721995</v>
      </c>
      <c r="D39" s="158" t="str">
        <f>VLOOKUP(A39,'Classement RoC'!$B$2:$C$149,1,0)</f>
        <v>A_iniesta</v>
      </c>
      <c r="E39" s="163" t="str">
        <f t="shared" si="2"/>
        <v/>
      </c>
      <c r="F39" s="120" t="str">
        <f>VLOOKUP(A39,'Classement Général'!$B$2:$B$146,1,0)</f>
        <v>A_iniesta</v>
      </c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</row>
    <row r="40" ht="14.25" customHeight="1">
      <c r="A40" s="160" t="str">
        <f>IFERROR(__xludf.DUMMYFUNCTION("""COMPUTED_VALUE"""),"chatouill86")</f>
        <v>chatouill86</v>
      </c>
      <c r="B40" s="156">
        <v>39.0</v>
      </c>
      <c r="C40" s="157">
        <f t="shared" si="1"/>
        <v>149.7318826</v>
      </c>
      <c r="D40" s="158" t="str">
        <f>VLOOKUP(A40,'Classement RoC'!$B$2:$C$149,1,0)</f>
        <v>chatouill86</v>
      </c>
      <c r="E40" s="163" t="str">
        <f t="shared" si="2"/>
        <v/>
      </c>
      <c r="F40" s="120" t="str">
        <f>VLOOKUP(A40,'Classement Général'!$B$2:$B$146,1,0)</f>
        <v>chatouill86</v>
      </c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</row>
    <row r="41" ht="14.25" customHeight="1">
      <c r="A41" s="160" t="str">
        <f>IFERROR(__xludf.DUMMYFUNCTION("""COMPUTED_VALUE"""),"Kevfurious")</f>
        <v>Kevfurious</v>
      </c>
      <c r="B41" s="161">
        <v>40.0</v>
      </c>
      <c r="C41" s="157">
        <f t="shared" si="1"/>
        <v>138.1595009</v>
      </c>
      <c r="D41" s="158" t="str">
        <f>VLOOKUP(A41,'Classement RoC'!$B$2:$C$149,1,0)</f>
        <v>Kevfurious</v>
      </c>
      <c r="E41" s="163" t="str">
        <f t="shared" si="2"/>
        <v/>
      </c>
      <c r="F41" s="120" t="str">
        <f>VLOOKUP(A41,'Classement Général'!$B$2:$B$146,1,0)</f>
        <v>Kevfurious</v>
      </c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</row>
    <row r="42" ht="14.25" customHeight="1">
      <c r="A42" s="160" t="str">
        <f>IFERROR(__xludf.DUMMYFUNCTION("""COMPUTED_VALUE"""),"ariba")</f>
        <v>ariba</v>
      </c>
      <c r="B42" s="156">
        <v>41.0</v>
      </c>
      <c r="C42" s="157">
        <f t="shared" si="1"/>
        <v>126.7469984</v>
      </c>
      <c r="D42" s="158" t="str">
        <f>VLOOKUP(A42,'Classement RoC'!$B$2:$C$149,1,0)</f>
        <v>ariba</v>
      </c>
      <c r="E42" s="163" t="str">
        <f t="shared" si="2"/>
        <v/>
      </c>
      <c r="F42" s="120" t="str">
        <f>VLOOKUP(A42,'Classement Général'!$B$2:$B$146,1,0)</f>
        <v>ariba</v>
      </c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</row>
    <row r="43" ht="14.25" customHeight="1">
      <c r="A43" s="160" t="str">
        <f>IFERROR(__xludf.DUMMYFUNCTION("""COMPUTED_VALUE"""),"Elfy")</f>
        <v>Elfy</v>
      </c>
      <c r="B43" s="161">
        <v>42.0</v>
      </c>
      <c r="C43" s="157">
        <f t="shared" si="1"/>
        <v>115.4869106</v>
      </c>
      <c r="D43" s="158" t="str">
        <f>VLOOKUP(A43,'Classement RoC'!$B$2:$C$149,1,0)</f>
        <v>Elfy</v>
      </c>
      <c r="E43" s="163" t="str">
        <f t="shared" si="2"/>
        <v/>
      </c>
      <c r="F43" s="120" t="str">
        <f>VLOOKUP(A43,'Classement Général'!$B$2:$B$146,1,0)</f>
        <v>Elfy</v>
      </c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</row>
    <row r="44" ht="14.25" customHeight="1">
      <c r="A44" s="160" t="str">
        <f>IFERROR(__xludf.DUMMYFUNCTION("""COMPUTED_VALUE"""),"Legabodu86")</f>
        <v>Legabodu86</v>
      </c>
      <c r="B44" s="156">
        <v>43.0</v>
      </c>
      <c r="C44" s="157">
        <f t="shared" si="1"/>
        <v>104.372308</v>
      </c>
      <c r="D44" s="158" t="str">
        <f>VLOOKUP(A44,'Classement RoC'!$B$2:$C$149,1,0)</f>
        <v>Legabodu86</v>
      </c>
      <c r="E44" s="163" t="str">
        <f t="shared" si="2"/>
        <v/>
      </c>
      <c r="F44" s="120" t="str">
        <f>VLOOKUP(A44,'Classement Général'!$B$2:$B$146,1,0)</f>
        <v>Legabodu86</v>
      </c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</row>
    <row r="45" ht="14.25" customHeight="1">
      <c r="A45" s="160" t="str">
        <f>IFERROR(__xludf.DUMMYFUNCTION("""COMPUTED_VALUE"""),"PSGJM")</f>
        <v>PSGJM</v>
      </c>
      <c r="B45" s="161">
        <v>44.0</v>
      </c>
      <c r="C45" s="157">
        <f t="shared" si="1"/>
        <v>93.39674516</v>
      </c>
      <c r="D45" s="158" t="str">
        <f>VLOOKUP(A45,'Classement RoC'!$B$2:$C$149,1,0)</f>
        <v>PSGJM</v>
      </c>
      <c r="E45" s="163" t="str">
        <f t="shared" si="2"/>
        <v/>
      </c>
      <c r="F45" s="120" t="str">
        <f>VLOOKUP(A45,'Classement Général'!$B$2:$B$146,1,0)</f>
        <v>PSGJM</v>
      </c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</row>
    <row r="46" ht="14.25" customHeight="1">
      <c r="A46" s="160" t="str">
        <f>IFERROR(__xludf.DUMMYFUNCTION("""COMPUTED_VALUE"""),"Phil1308")</f>
        <v>Phil1308</v>
      </c>
      <c r="B46" s="156">
        <v>45.0</v>
      </c>
      <c r="C46" s="157">
        <f t="shared" si="1"/>
        <v>82.55421646</v>
      </c>
      <c r="D46" s="158" t="str">
        <f>VLOOKUP(A46,'Classement RoC'!$B$2:$C$149,1,0)</f>
        <v>Phil1308</v>
      </c>
      <c r="E46" s="163" t="str">
        <f t="shared" si="2"/>
        <v/>
      </c>
      <c r="F46" s="120" t="str">
        <f>VLOOKUP(A46,'Classement Général'!$B$2:$B$146,1,0)</f>
        <v>Phil1308</v>
      </c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</row>
    <row r="47" ht="14.25" customHeight="1">
      <c r="A47" s="160" t="str">
        <f>IFERROR(__xludf.DUMMYFUNCTION("""COMPUTED_VALUE"""),"Marypops64")</f>
        <v>Marypops64</v>
      </c>
      <c r="B47" s="161">
        <v>46.0</v>
      </c>
      <c r="C47" s="157">
        <f t="shared" si="1"/>
        <v>71.83911662</v>
      </c>
      <c r="D47" s="158" t="str">
        <f>VLOOKUP(A47,'Classement RoC'!$B$2:$C$149,1,0)</f>
        <v>Marypops64</v>
      </c>
      <c r="E47" s="163" t="str">
        <f t="shared" si="2"/>
        <v/>
      </c>
      <c r="F47" s="120" t="str">
        <f>VLOOKUP(A47,'Classement Général'!$B$2:$B$146,1,0)</f>
        <v>marypops64</v>
      </c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</row>
    <row r="48" ht="14.25" customHeight="1">
      <c r="A48" s="160" t="str">
        <f>IFERROR(__xludf.DUMMYFUNCTION("""COMPUTED_VALUE"""),"waasp.")</f>
        <v>waasp.</v>
      </c>
      <c r="B48" s="156">
        <v>47.0</v>
      </c>
      <c r="C48" s="157">
        <f t="shared" si="1"/>
        <v>61.24620548</v>
      </c>
      <c r="D48" s="158" t="str">
        <f>VLOOKUP(A48,'Classement RoC'!$B$2:$C$149,1,0)</f>
        <v>waasp.</v>
      </c>
      <c r="E48" s="163" t="str">
        <f t="shared" si="2"/>
        <v/>
      </c>
      <c r="F48" s="120" t="str">
        <f>VLOOKUP(A48,'Classement Général'!$B$2:$B$146,1,0)</f>
        <v>waasp.</v>
      </c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 ht="14.25" customHeight="1">
      <c r="A49" s="160" t="str">
        <f>IFERROR(__xludf.DUMMYFUNCTION("""COMPUTED_VALUE"""),"gu3ul3Dang3")</f>
        <v>gu3ul3Dang3</v>
      </c>
      <c r="B49" s="161">
        <v>48.0</v>
      </c>
      <c r="C49" s="157">
        <f t="shared" si="1"/>
        <v>50.77057666</v>
      </c>
      <c r="D49" s="158" t="str">
        <f>VLOOKUP(A49,'Classement RoC'!$B$2:$C$149,1,0)</f>
        <v>gu3ul3Dang3</v>
      </c>
      <c r="E49" s="163" t="str">
        <f t="shared" si="2"/>
        <v/>
      </c>
      <c r="F49" s="120" t="str">
        <f>VLOOKUP(A49,'Classement Général'!$B$2:$B$146,1,0)</f>
        <v>gu3ul3Dang3</v>
      </c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50" ht="14.25" customHeight="1">
      <c r="A50" s="160" t="str">
        <f>IFERROR(__xludf.DUMMYFUNCTION("""COMPUTED_VALUE"""),"_Sale-Bet_")</f>
        <v>_Sale-Bet_</v>
      </c>
      <c r="B50" s="156">
        <v>49.0</v>
      </c>
      <c r="C50" s="157">
        <f t="shared" si="1"/>
        <v>40.40762941</v>
      </c>
      <c r="D50" s="158" t="str">
        <f>VLOOKUP(A50,'Classement RoC'!$B$2:$C$149,1,0)</f>
        <v>_Sale-Bet_</v>
      </c>
      <c r="E50" s="163" t="str">
        <f t="shared" si="2"/>
        <v/>
      </c>
      <c r="F50" s="120" t="str">
        <f>VLOOKUP(A50,'Classement Général'!$B$2:$B$146,1,0)</f>
        <v>_Sale-Bet_</v>
      </c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</row>
    <row r="51" ht="14.25" customHeight="1">
      <c r="A51" s="160" t="str">
        <f>IFERROR(__xludf.DUMMYFUNCTION("""COMPUTED_VALUE"""),"Belussac")</f>
        <v>Belussac</v>
      </c>
      <c r="B51" s="161">
        <v>50.0</v>
      </c>
      <c r="C51" s="157">
        <f t="shared" si="1"/>
        <v>30.15304354</v>
      </c>
      <c r="D51" s="158" t="str">
        <f>VLOOKUP(A51,'Classement RoC'!$B$2:$C$149,1,0)</f>
        <v>Belussac</v>
      </c>
      <c r="E51" s="163" t="str">
        <f t="shared" si="2"/>
        <v/>
      </c>
      <c r="F51" s="120" t="str">
        <f>VLOOKUP(A51,'Classement Général'!$B$2:$B$146,1,0)</f>
        <v>belussac</v>
      </c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</row>
    <row r="52" ht="14.25" customHeight="1">
      <c r="A52" s="160" t="str">
        <f>IFERROR(__xludf.DUMMYFUNCTION("""COMPUTED_VALUE"""),"Le_Pictavien")</f>
        <v>Le_Pictavien</v>
      </c>
      <c r="B52" s="156">
        <v>51.0</v>
      </c>
      <c r="C52" s="157">
        <f t="shared" si="1"/>
        <v>20.00275672</v>
      </c>
      <c r="D52" s="158" t="str">
        <f>VLOOKUP(A52,'Classement RoC'!$B$2:$C$149,1,0)</f>
        <v>Le_Pictavien</v>
      </c>
      <c r="E52" s="163" t="str">
        <f t="shared" si="2"/>
        <v/>
      </c>
      <c r="F52" s="120" t="str">
        <f>VLOOKUP(A52,'Classement Général'!$B$2:$B$146,1,0)</f>
        <v>Le_Pictavien</v>
      </c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</row>
    <row r="53" ht="14.25" customHeight="1">
      <c r="A53" s="160" t="str">
        <f>IFERROR(__xludf.DUMMYFUNCTION("""COMPUTED_VALUE"""),"SINGE7")</f>
        <v>SINGE7</v>
      </c>
      <c r="B53" s="161">
        <v>52.0</v>
      </c>
      <c r="C53" s="157">
        <f t="shared" si="1"/>
        <v>9.952944109</v>
      </c>
      <c r="D53" s="158" t="str">
        <f>VLOOKUP(A53,'Classement RoC'!$B$2:$C$149,1,0)</f>
        <v>SINGE7</v>
      </c>
      <c r="E53" s="163" t="str">
        <f t="shared" si="2"/>
        <v/>
      </c>
      <c r="F53" s="120" t="str">
        <f>VLOOKUP(A53,'Classement Général'!$B$2:$B$146,1,0)</f>
        <v>SINGE7</v>
      </c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</row>
    <row r="54" ht="14.25" customHeight="1">
      <c r="A54" s="160"/>
      <c r="B54" s="156">
        <v>53.0</v>
      </c>
      <c r="C54" s="157">
        <f t="shared" si="1"/>
        <v>0</v>
      </c>
      <c r="D54" s="158" t="str">
        <f>VLOOKUP(A54,'Classement RoC'!$B$2:$C$149,1,0)</f>
        <v>#N/A</v>
      </c>
      <c r="E54" s="163" t="str">
        <f t="shared" si="2"/>
        <v>#N/A</v>
      </c>
      <c r="F54" s="120" t="str">
        <f>VLOOKUP(A54,'Classement Général'!$B$2:$B$146,1,0)</f>
        <v>#N/A</v>
      </c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</row>
    <row r="55" ht="14.25" customHeight="1">
      <c r="A55" s="160"/>
      <c r="B55" s="161">
        <v>54.0</v>
      </c>
      <c r="C55" s="157">
        <f t="shared" si="1"/>
        <v>-9.859478885</v>
      </c>
      <c r="D55" s="158" t="str">
        <f>VLOOKUP(A55,'Classement RoC'!$B$2:$C$149,1,0)</f>
        <v>#N/A</v>
      </c>
      <c r="E55" s="163" t="str">
        <f t="shared" si="2"/>
        <v>#N/A</v>
      </c>
      <c r="F55" s="120" t="str">
        <f>VLOOKUP(A55,'Classement Général'!$B$2:$B$146,1,0)</f>
        <v>#N/A</v>
      </c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</row>
    <row r="56" ht="14.25" customHeight="1">
      <c r="A56" s="160"/>
      <c r="B56" s="156">
        <v>55.0</v>
      </c>
      <c r="C56" s="157">
        <f t="shared" si="1"/>
        <v>-19.62870846</v>
      </c>
      <c r="D56" s="158" t="str">
        <f>VLOOKUP(A56,'Classement RoC'!$B$2:$C$149,1,0)</f>
        <v>#N/A</v>
      </c>
      <c r="E56" s="163" t="str">
        <f t="shared" si="2"/>
        <v>#N/A</v>
      </c>
      <c r="F56" s="120" t="str">
        <f>VLOOKUP(A56,'Classement Général'!$B$2:$B$146,1,0)</f>
        <v>#N/A</v>
      </c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</row>
    <row r="57" ht="14.25" customHeight="1">
      <c r="A57" s="160"/>
      <c r="B57" s="161">
        <v>56.0</v>
      </c>
      <c r="C57" s="157">
        <f t="shared" si="1"/>
        <v>-29.31073096</v>
      </c>
      <c r="D57" s="158" t="str">
        <f>VLOOKUP(A57,'Classement RoC'!$B$2:$C$149,1,0)</f>
        <v>#N/A</v>
      </c>
      <c r="E57" s="163" t="str">
        <f t="shared" si="2"/>
        <v>#N/A</v>
      </c>
      <c r="F57" s="120" t="str">
        <f>VLOOKUP(A57,'Classement Général'!$B$2:$B$146,1,0)</f>
        <v>#N/A</v>
      </c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</row>
    <row r="58" ht="14.25" customHeight="1">
      <c r="A58" s="160"/>
      <c r="B58" s="156">
        <v>57.0</v>
      </c>
      <c r="C58" s="157">
        <f t="shared" si="1"/>
        <v>-38.90842747</v>
      </c>
      <c r="D58" s="158" t="str">
        <f>VLOOKUP(A58,'Classement RoC'!$B$2:$C$149,1,0)</f>
        <v>#N/A</v>
      </c>
      <c r="E58" s="163" t="str">
        <f t="shared" si="2"/>
        <v>#N/A</v>
      </c>
      <c r="F58" s="120" t="str">
        <f>VLOOKUP(A58,'Classement Général'!$B$2:$B$146,1,0)</f>
        <v>#N/A</v>
      </c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</row>
    <row r="59" ht="14.25" customHeight="1">
      <c r="A59" s="160"/>
      <c r="B59" s="161">
        <v>58.0</v>
      </c>
      <c r="C59" s="157">
        <f t="shared" si="1"/>
        <v>-48.42452921</v>
      </c>
      <c r="D59" s="158" t="str">
        <f>VLOOKUP(A59,'Classement RoC'!$B$2:$C$149,1,0)</f>
        <v>#N/A</v>
      </c>
      <c r="E59" s="163" t="str">
        <f t="shared" si="2"/>
        <v>#N/A</v>
      </c>
      <c r="F59" s="120" t="str">
        <f>VLOOKUP(A59,'Classement Général'!$B$2:$B$146,1,0)</f>
        <v>#N/A</v>
      </c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</row>
    <row r="60" ht="14.25" customHeight="1">
      <c r="A60" s="160"/>
      <c r="B60" s="156">
        <v>59.0</v>
      </c>
      <c r="C60" s="157">
        <f t="shared" si="1"/>
        <v>-57.86162798</v>
      </c>
      <c r="D60" s="158" t="str">
        <f>VLOOKUP(A60,'Classement RoC'!$B$2:$C$149,1,0)</f>
        <v>#N/A</v>
      </c>
      <c r="E60" s="163" t="str">
        <f t="shared" si="2"/>
        <v>#N/A</v>
      </c>
      <c r="F60" s="120" t="str">
        <f>VLOOKUP(A60,'Classement Général'!$B$2:$B$146,1,0)</f>
        <v>#N/A</v>
      </c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</row>
    <row r="61" ht="14.25" customHeight="1">
      <c r="A61" s="160"/>
      <c r="B61" s="161">
        <v>60.0</v>
      </c>
      <c r="C61" s="157">
        <f t="shared" si="1"/>
        <v>-67.2221856</v>
      </c>
      <c r="D61" s="158" t="str">
        <f>VLOOKUP(A61,'Classement RoC'!$B$2:$C$149,1,0)</f>
        <v>#N/A</v>
      </c>
      <c r="E61" s="163" t="str">
        <f t="shared" si="2"/>
        <v>#N/A</v>
      </c>
      <c r="F61" s="120" t="str">
        <f>VLOOKUP(A61,'Classement Général'!$B$2:$B$146,1,0)</f>
        <v>#N/A</v>
      </c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</row>
    <row r="62" ht="14.25" customHeight="1">
      <c r="A62" s="160"/>
      <c r="B62" s="156">
        <v>61.0</v>
      </c>
      <c r="C62" s="157">
        <f t="shared" si="1"/>
        <v>-76.50854264</v>
      </c>
      <c r="D62" s="158" t="str">
        <f>VLOOKUP(A62,'Classement RoC'!$B$2:$C$149,1,0)</f>
        <v>#N/A</v>
      </c>
      <c r="E62" s="163" t="str">
        <f t="shared" si="2"/>
        <v>#N/A</v>
      </c>
      <c r="F62" s="120" t="str">
        <f>VLOOKUP(A62,'Classement Général'!$B$2:$B$146,1,0)</f>
        <v>#N/A</v>
      </c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</row>
    <row r="63" ht="14.25" customHeight="1">
      <c r="A63" s="160"/>
      <c r="B63" s="161">
        <v>62.0</v>
      </c>
      <c r="C63" s="157">
        <f t="shared" si="1"/>
        <v>-85.72292635</v>
      </c>
      <c r="D63" s="158" t="str">
        <f>VLOOKUP(A63,'Classement RoC'!$B$2:$C$149,1,0)</f>
        <v>#N/A</v>
      </c>
      <c r="E63" s="163" t="str">
        <f t="shared" si="2"/>
        <v>#N/A</v>
      </c>
      <c r="F63" s="120" t="str">
        <f>VLOOKUP(A63,'Classement Général'!$B$2:$B$146,1,0)</f>
        <v>#N/A</v>
      </c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</row>
    <row r="64" ht="14.25" customHeight="1">
      <c r="A64" s="160"/>
      <c r="B64" s="156">
        <v>63.0</v>
      </c>
      <c r="C64" s="157">
        <f t="shared" si="1"/>
        <v>-94.86745803</v>
      </c>
      <c r="D64" s="158" t="str">
        <f>VLOOKUP(A64,'Classement RoC'!$B$2:$C$149,1,0)</f>
        <v>#N/A</v>
      </c>
      <c r="E64" s="163" t="str">
        <f t="shared" si="2"/>
        <v>#N/A</v>
      </c>
      <c r="F64" s="120" t="str">
        <f>VLOOKUP(A64,'Classement Général'!$B$2:$B$146,1,0)</f>
        <v>#N/A</v>
      </c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</row>
    <row r="65" ht="14.25" customHeight="1">
      <c r="A65" s="160"/>
      <c r="B65" s="161">
        <v>64.0</v>
      </c>
      <c r="C65" s="157">
        <f t="shared" si="1"/>
        <v>-103.9441597</v>
      </c>
      <c r="D65" s="158" t="str">
        <f>VLOOKUP(A65,'Classement RoC'!$B$2:$C$149,1,0)</f>
        <v>#N/A</v>
      </c>
      <c r="E65" s="163" t="str">
        <f t="shared" si="2"/>
        <v>#N/A</v>
      </c>
      <c r="F65" s="120" t="str">
        <f>VLOOKUP(A65,'Classement Général'!$B$2:$B$146,1,0)</f>
        <v>#N/A</v>
      </c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</row>
    <row r="66" ht="14.25" customHeight="1">
      <c r="A66" s="160"/>
      <c r="B66" s="156">
        <v>65.0</v>
      </c>
      <c r="C66" s="157">
        <f t="shared" si="1"/>
        <v>-112.9549605</v>
      </c>
      <c r="D66" s="158" t="str">
        <f>VLOOKUP(A66,'Classement RoC'!$B$2:$C$149,1,0)</f>
        <v>#N/A</v>
      </c>
      <c r="E66" s="163" t="str">
        <f t="shared" si="2"/>
        <v>#N/A</v>
      </c>
      <c r="F66" s="120" t="str">
        <f>VLOOKUP(A66,'Classement Général'!$B$2:$B$146,1,0)</f>
        <v>#N/A</v>
      </c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</row>
    <row r="67" ht="14.25" customHeight="1">
      <c r="A67" s="160"/>
      <c r="B67" s="161">
        <v>66.0</v>
      </c>
      <c r="C67" s="157">
        <f t="shared" si="1"/>
        <v>-121.9017021</v>
      </c>
      <c r="D67" s="158" t="str">
        <f>VLOOKUP(A67,'Classement RoC'!$B$2:$C$149,1,0)</f>
        <v>#N/A</v>
      </c>
      <c r="E67" s="163" t="str">
        <f t="shared" si="2"/>
        <v>#N/A</v>
      </c>
      <c r="F67" s="120" t="str">
        <f>VLOOKUP(A67,'Classement Général'!$B$2:$B$146,1,0)</f>
        <v>#N/A</v>
      </c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</row>
    <row r="68" ht="14.25" customHeight="1">
      <c r="A68" s="160"/>
      <c r="B68" s="156">
        <v>67.0</v>
      </c>
      <c r="C68" s="157">
        <f t="shared" si="1"/>
        <v>-130.7861442</v>
      </c>
      <c r="D68" s="158" t="str">
        <f>VLOOKUP(A68,'Classement RoC'!$B$2:$C$149,1,0)</f>
        <v>#N/A</v>
      </c>
      <c r="E68" s="163" t="str">
        <f t="shared" si="2"/>
        <v>#N/A</v>
      </c>
      <c r="F68" s="120" t="str">
        <f>VLOOKUP(A68,'Classement Général'!$B$2:$B$146,1,0)</f>
        <v>#N/A</v>
      </c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</row>
    <row r="69" ht="14.25" customHeight="1">
      <c r="A69" s="160"/>
      <c r="B69" s="161">
        <v>68.0</v>
      </c>
      <c r="C69" s="157">
        <f t="shared" si="1"/>
        <v>-139.6099695</v>
      </c>
      <c r="D69" s="158" t="str">
        <f>VLOOKUP(A69,'Classement RoC'!$B$2:$C$149,1,0)</f>
        <v>#N/A</v>
      </c>
      <c r="E69" s="163" t="str">
        <f t="shared" si="2"/>
        <v>#N/A</v>
      </c>
      <c r="F69" s="120" t="str">
        <f>VLOOKUP(A69,'Classement Général'!$B$2:$B$146,1,0)</f>
        <v>#N/A</v>
      </c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</row>
    <row r="70" ht="14.25" customHeight="1">
      <c r="A70" s="160"/>
      <c r="B70" s="156">
        <v>69.0</v>
      </c>
      <c r="C70" s="157">
        <f t="shared" si="1"/>
        <v>-148.3747879</v>
      </c>
      <c r="D70" s="158" t="str">
        <f>VLOOKUP(A70,'Classement RoC'!$B$2:$C$149,1,0)</f>
        <v>#N/A</v>
      </c>
      <c r="E70" s="163" t="str">
        <f t="shared" si="2"/>
        <v>#N/A</v>
      </c>
      <c r="F70" s="120" t="str">
        <f>VLOOKUP(A70,'Classement Général'!$B$2:$B$146,1,0)</f>
        <v>#N/A</v>
      </c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</row>
    <row r="71" ht="14.25" customHeight="1">
      <c r="A71" s="160"/>
      <c r="B71" s="161">
        <v>70.0</v>
      </c>
      <c r="C71" s="157">
        <f t="shared" si="1"/>
        <v>-157.0821412</v>
      </c>
      <c r="D71" s="158" t="str">
        <f>VLOOKUP(A71,'Classement RoC'!$B$2:$C$149,1,0)</f>
        <v>#N/A</v>
      </c>
      <c r="E71" s="163" t="str">
        <f t="shared" si="2"/>
        <v>#N/A</v>
      </c>
      <c r="F71" s="120" t="str">
        <f>VLOOKUP(A71,'Classement Général'!$B$2:$B$146,1,0)</f>
        <v>#N/A</v>
      </c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</row>
    <row r="72" ht="14.25" customHeight="1">
      <c r="A72" s="160"/>
      <c r="B72" s="156">
        <v>71.0</v>
      </c>
      <c r="C72" s="157">
        <f t="shared" si="1"/>
        <v>-165.7335065</v>
      </c>
      <c r="D72" s="158" t="str">
        <f>VLOOKUP(A72,'Classement RoC'!$B$2:$C$149,1,0)</f>
        <v>#N/A</v>
      </c>
      <c r="E72" s="163" t="str">
        <f t="shared" si="2"/>
        <v>#N/A</v>
      </c>
      <c r="F72" s="120" t="str">
        <f>VLOOKUP(A72,'Classement Général'!$B$2:$B$146,1,0)</f>
        <v>#N/A</v>
      </c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</row>
    <row r="73" ht="14.25" customHeight="1">
      <c r="A73" s="160"/>
      <c r="B73" s="161">
        <v>72.0</v>
      </c>
      <c r="C73" s="157">
        <f t="shared" si="1"/>
        <v>-174.3303002</v>
      </c>
      <c r="D73" s="158" t="str">
        <f>VLOOKUP(A73,'Classement RoC'!$B$2:$C$149,1,0)</f>
        <v>#N/A</v>
      </c>
      <c r="E73" s="163" t="str">
        <f t="shared" si="2"/>
        <v>#N/A</v>
      </c>
      <c r="F73" s="120" t="str">
        <f>VLOOKUP(A73,'Classement Général'!$B$2:$B$146,1,0)</f>
        <v>#N/A</v>
      </c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</row>
    <row r="74" ht="14.25" customHeight="1">
      <c r="A74" s="160"/>
      <c r="B74" s="156">
        <v>73.0</v>
      </c>
      <c r="C74" s="157">
        <f t="shared" si="1"/>
        <v>-182.8738811</v>
      </c>
      <c r="D74" s="158" t="str">
        <f>VLOOKUP(A74,'Classement RoC'!$B$2:$C$149,1,0)</f>
        <v>#N/A</v>
      </c>
      <c r="E74" s="163" t="str">
        <f t="shared" si="2"/>
        <v>#N/A</v>
      </c>
      <c r="F74" s="120" t="str">
        <f>VLOOKUP(A74,'Classement Général'!$B$2:$B$146,1,0)</f>
        <v>#N/A</v>
      </c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</row>
    <row r="75" ht="14.25" customHeight="1">
      <c r="A75" s="160"/>
      <c r="B75" s="161">
        <v>74.0</v>
      </c>
      <c r="C75" s="157">
        <f t="shared" si="1"/>
        <v>-191.3655536</v>
      </c>
      <c r="D75" s="158" t="str">
        <f>VLOOKUP(A75,'Classement RoC'!$B$2:$C$149,1,0)</f>
        <v>#N/A</v>
      </c>
      <c r="E75" s="163" t="str">
        <f t="shared" si="2"/>
        <v>#N/A</v>
      </c>
      <c r="F75" s="120" t="str">
        <f>VLOOKUP(A75,'Classement Général'!$B$2:$B$146,1,0)</f>
        <v>#N/A</v>
      </c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</row>
    <row r="76" ht="14.25" customHeight="1">
      <c r="A76" s="160"/>
      <c r="B76" s="156">
        <v>75.0</v>
      </c>
      <c r="C76" s="157">
        <f t="shared" si="1"/>
        <v>-199.8065708</v>
      </c>
      <c r="D76" s="158" t="str">
        <f>VLOOKUP(A76,'Classement RoC'!$B$2:$C$149,1,0)</f>
        <v>#N/A</v>
      </c>
      <c r="E76" s="163" t="str">
        <f t="shared" si="2"/>
        <v>#N/A</v>
      </c>
      <c r="F76" s="120" t="str">
        <f>VLOOKUP(A76,'Classement Général'!$B$2:$B$146,1,0)</f>
        <v>#N/A</v>
      </c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</row>
    <row r="77" ht="14.25" customHeight="1">
      <c r="A77" s="160"/>
      <c r="B77" s="161">
        <v>76.0</v>
      </c>
      <c r="C77" s="157">
        <f t="shared" si="1"/>
        <v>-208.1981371</v>
      </c>
      <c r="D77" s="158" t="str">
        <f>VLOOKUP(A77,'Classement RoC'!$B$2:$C$149,1,0)</f>
        <v>#N/A</v>
      </c>
      <c r="E77" s="163" t="str">
        <f t="shared" si="2"/>
        <v>#N/A</v>
      </c>
      <c r="F77" s="120" t="str">
        <f>VLOOKUP(A77,'Classement Général'!$B$2:$B$146,1,0)</f>
        <v>#N/A</v>
      </c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</row>
    <row r="78" ht="14.25" customHeight="1">
      <c r="A78" s="160"/>
      <c r="B78" s="156">
        <v>77.0</v>
      </c>
      <c r="C78" s="157">
        <f t="shared" si="1"/>
        <v>-216.5414106</v>
      </c>
      <c r="D78" s="158" t="str">
        <f>VLOOKUP(A78,'Classement RoC'!$B$2:$C$149,1,0)</f>
        <v>#N/A</v>
      </c>
      <c r="E78" s="163" t="str">
        <f t="shared" si="2"/>
        <v>#N/A</v>
      </c>
      <c r="F78" s="120" t="str">
        <f>VLOOKUP(A78,'Classement Général'!$B$2:$B$146,1,0)</f>
        <v>#N/A</v>
      </c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</row>
    <row r="79" ht="14.25" customHeight="1">
      <c r="A79" s="160"/>
      <c r="B79" s="161">
        <v>78.0</v>
      </c>
      <c r="C79" s="157">
        <f t="shared" si="1"/>
        <v>-224.837506</v>
      </c>
      <c r="D79" s="158" t="str">
        <f>VLOOKUP(A79,'Classement RoC'!$B$2:$C$149,1,0)</f>
        <v>#N/A</v>
      </c>
      <c r="E79" s="163" t="str">
        <f t="shared" si="2"/>
        <v>#N/A</v>
      </c>
      <c r="F79" s="120" t="str">
        <f>VLOOKUP(A79,'Classement Général'!$B$2:$B$146,1,0)</f>
        <v>#N/A</v>
      </c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</row>
    <row r="80" ht="14.25" customHeight="1">
      <c r="A80" s="160"/>
      <c r="B80" s="156">
        <v>79.0</v>
      </c>
      <c r="C80" s="157">
        <f t="shared" si="1"/>
        <v>-233.087496</v>
      </c>
      <c r="D80" s="158" t="str">
        <f>VLOOKUP(A80,'Classement RoC'!$B$2:$C$149,1,0)</f>
        <v>#N/A</v>
      </c>
      <c r="E80" s="163" t="str">
        <f t="shared" si="2"/>
        <v>#N/A</v>
      </c>
      <c r="F80" s="120" t="str">
        <f>VLOOKUP(A80,'Classement Général'!$B$2:$B$146,1,0)</f>
        <v>#N/A</v>
      </c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</row>
    <row r="81" ht="14.25" customHeight="1">
      <c r="A81" s="160"/>
      <c r="B81" s="161">
        <v>80.0</v>
      </c>
      <c r="C81" s="157">
        <f t="shared" si="1"/>
        <v>-241.2924142</v>
      </c>
      <c r="D81" s="158" t="str">
        <f>VLOOKUP(A81,'Classement RoC'!$B$2:$C$149,1,0)</f>
        <v>#N/A</v>
      </c>
      <c r="E81" s="163" t="str">
        <f t="shared" si="2"/>
        <v>#N/A</v>
      </c>
      <c r="F81" s="120" t="str">
        <f>VLOOKUP(A81,'Classement Général'!$B$2:$B$146,1,0)</f>
        <v>#N/A</v>
      </c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</row>
    <row r="82" ht="14.25" customHeight="1">
      <c r="A82" s="160"/>
      <c r="B82" s="156">
        <v>81.0</v>
      </c>
      <c r="C82" s="157">
        <f t="shared" si="1"/>
        <v>-249.4532565</v>
      </c>
      <c r="D82" s="158" t="str">
        <f>VLOOKUP(A82,'Classement RoC'!$B$2:$C$149,1,0)</f>
        <v>#N/A</v>
      </c>
      <c r="E82" s="163" t="str">
        <f t="shared" si="2"/>
        <v>#N/A</v>
      </c>
      <c r="F82" s="120" t="str">
        <f>VLOOKUP(A82,'Classement Général'!$B$2:$B$146,1,0)</f>
        <v>#N/A</v>
      </c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</row>
    <row r="83" ht="14.25" customHeight="1">
      <c r="A83" s="160"/>
      <c r="B83" s="161">
        <v>82.0</v>
      </c>
      <c r="C83" s="157">
        <f t="shared" si="1"/>
        <v>-257.5709833</v>
      </c>
      <c r="D83" s="158" t="str">
        <f>VLOOKUP(A83,'Classement RoC'!$B$2:$C$149,1,0)</f>
        <v>#N/A</v>
      </c>
      <c r="E83" s="163" t="str">
        <f t="shared" si="2"/>
        <v>#N/A</v>
      </c>
      <c r="F83" s="120" t="str">
        <f>VLOOKUP(A83,'Classement Général'!$B$2:$B$146,1,0)</f>
        <v>#N/A</v>
      </c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</row>
    <row r="84" ht="14.25" customHeight="1">
      <c r="A84" s="160"/>
      <c r="B84" s="156">
        <v>83.0</v>
      </c>
      <c r="C84" s="157">
        <f t="shared" si="1"/>
        <v>-265.6465211</v>
      </c>
      <c r="D84" s="158" t="str">
        <f>VLOOKUP(A84,'Classement RoC'!$B$2:$C$149,1,0)</f>
        <v>#N/A</v>
      </c>
      <c r="E84" s="163" t="str">
        <f t="shared" si="2"/>
        <v>#N/A</v>
      </c>
      <c r="F84" s="120" t="str">
        <f>VLOOKUP(A84,'Classement Général'!$B$2:$B$146,1,0)</f>
        <v>#N/A</v>
      </c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</row>
    <row r="85" ht="14.25" customHeight="1">
      <c r="A85" s="160"/>
      <c r="B85" s="161">
        <v>84.0</v>
      </c>
      <c r="C85" s="157">
        <f t="shared" si="1"/>
        <v>-273.680764</v>
      </c>
      <c r="D85" s="158" t="str">
        <f>VLOOKUP(A85,'Classement RoC'!$B$2:$C$149,1,0)</f>
        <v>#N/A</v>
      </c>
      <c r="E85" s="163" t="str">
        <f t="shared" si="2"/>
        <v>#N/A</v>
      </c>
      <c r="F85" s="120" t="str">
        <f>VLOOKUP(A85,'Classement Général'!$B$2:$B$146,1,0)</f>
        <v>#N/A</v>
      </c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</row>
    <row r="86" ht="14.25" customHeight="1">
      <c r="A86" s="160"/>
      <c r="B86" s="156">
        <v>85.0</v>
      </c>
      <c r="C86" s="157">
        <f t="shared" si="1"/>
        <v>-281.6745752</v>
      </c>
      <c r="D86" s="158" t="str">
        <f>VLOOKUP(A86,'Classement RoC'!$B$2:$C$149,1,0)</f>
        <v>#N/A</v>
      </c>
      <c r="E86" s="163" t="str">
        <f t="shared" si="2"/>
        <v>#N/A</v>
      </c>
      <c r="F86" s="120" t="str">
        <f>VLOOKUP(A86,'Classement Général'!$B$2:$B$146,1,0)</f>
        <v>#N/A</v>
      </c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</row>
    <row r="87" ht="14.25" customHeight="1">
      <c r="A87" s="160"/>
      <c r="B87" s="161">
        <v>86.0</v>
      </c>
      <c r="C87" s="157">
        <f t="shared" si="1"/>
        <v>-289.6287889</v>
      </c>
      <c r="D87" s="158" t="str">
        <f>VLOOKUP(A87,'Classement RoC'!$B$2:$C$149,1,0)</f>
        <v>#N/A</v>
      </c>
      <c r="E87" s="163" t="str">
        <f t="shared" si="2"/>
        <v>#N/A</v>
      </c>
      <c r="F87" s="120" t="str">
        <f>VLOOKUP(A87,'Classement Général'!$B$2:$B$146,1,0)</f>
        <v>#N/A</v>
      </c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</row>
    <row r="88" ht="14.25" customHeight="1">
      <c r="A88" s="160"/>
      <c r="B88" s="156">
        <v>87.0</v>
      </c>
      <c r="C88" s="157">
        <f t="shared" si="1"/>
        <v>-297.544211</v>
      </c>
      <c r="D88" s="158" t="str">
        <f>VLOOKUP(A88,'Classement RoC'!$B$2:$C$149,1,0)</f>
        <v>#N/A</v>
      </c>
      <c r="E88" s="163" t="str">
        <f t="shared" si="2"/>
        <v>#N/A</v>
      </c>
      <c r="F88" s="120" t="str">
        <f>VLOOKUP(A88,'Classement Général'!$B$2:$B$146,1,0)</f>
        <v>#N/A</v>
      </c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</row>
    <row r="89" ht="14.25" customHeight="1">
      <c r="A89" s="160"/>
      <c r="B89" s="161">
        <v>88.0</v>
      </c>
      <c r="C89" s="157">
        <f t="shared" si="1"/>
        <v>-305.4216208</v>
      </c>
      <c r="D89" s="158" t="str">
        <f>VLOOKUP(A89,'Classement RoC'!$B$2:$C$149,1,0)</f>
        <v>#N/A</v>
      </c>
      <c r="E89" s="163" t="str">
        <f t="shared" si="2"/>
        <v>#N/A</v>
      </c>
      <c r="F89" s="120" t="str">
        <f>VLOOKUP(A89,'Classement Général'!$B$2:$B$146,1,0)</f>
        <v>#N/A</v>
      </c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</row>
    <row r="90" ht="14.25" customHeight="1">
      <c r="A90" s="160"/>
      <c r="B90" s="156">
        <v>89.0</v>
      </c>
      <c r="C90" s="157">
        <f t="shared" si="1"/>
        <v>-313.2617721</v>
      </c>
      <c r="D90" s="158" t="str">
        <f>VLOOKUP(A90,'Classement RoC'!$B$2:$C$149,1,0)</f>
        <v>#N/A</v>
      </c>
      <c r="E90" s="163" t="str">
        <f t="shared" si="2"/>
        <v>#N/A</v>
      </c>
      <c r="F90" s="120" t="str">
        <f>VLOOKUP(A90,'Classement Général'!$B$2:$B$146,1,0)</f>
        <v>#N/A</v>
      </c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</row>
    <row r="91" ht="14.25" customHeight="1">
      <c r="A91" s="160"/>
      <c r="B91" s="161">
        <v>90.0</v>
      </c>
      <c r="C91" s="157">
        <f t="shared" si="1"/>
        <v>-321.0653942</v>
      </c>
      <c r="D91" s="158" t="str">
        <f>VLOOKUP(A91,'Classement RoC'!$B$2:$C$149,1,0)</f>
        <v>#N/A</v>
      </c>
      <c r="E91" s="163" t="str">
        <f t="shared" si="2"/>
        <v>#N/A</v>
      </c>
      <c r="F91" s="120" t="str">
        <f>VLOOKUP(A91,'Classement Général'!$B$2:$B$146,1,0)</f>
        <v>#N/A</v>
      </c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</row>
    <row r="92" ht="14.25" customHeight="1">
      <c r="A92" s="160"/>
      <c r="B92" s="156">
        <v>91.0</v>
      </c>
      <c r="C92" s="157">
        <f t="shared" si="1"/>
        <v>-328.8331932</v>
      </c>
      <c r="D92" s="158" t="str">
        <f>VLOOKUP(A92,'Classement RoC'!$B$2:$C$149,1,0)</f>
        <v>#N/A</v>
      </c>
      <c r="E92" s="163" t="str">
        <f t="shared" si="2"/>
        <v>#N/A</v>
      </c>
      <c r="F92" s="120" t="str">
        <f>VLOOKUP(A92,'Classement Général'!$B$2:$B$146,1,0)</f>
        <v>#N/A</v>
      </c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</row>
    <row r="93" ht="14.25" customHeight="1">
      <c r="A93" s="160"/>
      <c r="B93" s="161">
        <v>92.0</v>
      </c>
      <c r="C93" s="157">
        <f t="shared" si="1"/>
        <v>-336.5658528</v>
      </c>
      <c r="D93" s="158" t="str">
        <f>VLOOKUP(A93,'Classement RoC'!$B$2:$C$149,1,0)</f>
        <v>#N/A</v>
      </c>
      <c r="E93" s="163" t="str">
        <f t="shared" si="2"/>
        <v>#N/A</v>
      </c>
      <c r="F93" s="120" t="str">
        <f>VLOOKUP(A93,'Classement Général'!$B$2:$B$146,1,0)</f>
        <v>#N/A</v>
      </c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</row>
    <row r="94" ht="14.25" customHeight="1">
      <c r="A94" s="160"/>
      <c r="B94" s="156">
        <v>93.0</v>
      </c>
      <c r="C94" s="157">
        <f t="shared" si="1"/>
        <v>-344.2640356</v>
      </c>
      <c r="D94" s="158" t="str">
        <f>VLOOKUP(A94,'Classement RoC'!$B$2:$C$149,1,0)</f>
        <v>#N/A</v>
      </c>
      <c r="E94" s="163" t="str">
        <f t="shared" si="2"/>
        <v>#N/A</v>
      </c>
      <c r="F94" s="120" t="str">
        <f>VLOOKUP(A94,'Classement Général'!$B$2:$B$146,1,0)</f>
        <v>#N/A</v>
      </c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</row>
    <row r="95" ht="14.25" customHeight="1">
      <c r="A95" s="160"/>
      <c r="B95" s="161">
        <v>94.0</v>
      </c>
      <c r="C95" s="157">
        <f t="shared" si="1"/>
        <v>-351.9283834</v>
      </c>
      <c r="D95" s="158" t="str">
        <f>VLOOKUP(A95,'Classement RoC'!$B$2:$C$149,1,0)</f>
        <v>#N/A</v>
      </c>
      <c r="E95" s="163" t="str">
        <f t="shared" si="2"/>
        <v>#N/A</v>
      </c>
      <c r="F95" s="120" t="str">
        <f>VLOOKUP(A95,'Classement Général'!$B$2:$B$146,1,0)</f>
        <v>#N/A</v>
      </c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</row>
    <row r="96" ht="14.25" customHeight="1">
      <c r="A96" s="160"/>
      <c r="B96" s="156">
        <v>95.0</v>
      </c>
      <c r="C96" s="157">
        <f t="shared" si="1"/>
        <v>-359.5595186</v>
      </c>
      <c r="D96" s="158" t="str">
        <f>VLOOKUP(A96,'Classement RoC'!$B$2:$C$149,1,0)</f>
        <v>#N/A</v>
      </c>
      <c r="E96" s="163" t="str">
        <f t="shared" si="2"/>
        <v>#N/A</v>
      </c>
      <c r="F96" s="120" t="str">
        <f>VLOOKUP(A96,'Classement Général'!$B$2:$B$146,1,0)</f>
        <v>#N/A</v>
      </c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</row>
    <row r="97" ht="14.25" customHeight="1">
      <c r="A97" s="160"/>
      <c r="B97" s="161">
        <v>96.0</v>
      </c>
      <c r="C97" s="157">
        <f t="shared" si="1"/>
        <v>-367.1580448</v>
      </c>
      <c r="D97" s="158" t="str">
        <f>VLOOKUP(A97,'Classement RoC'!$B$2:$C$149,1,0)</f>
        <v>#N/A</v>
      </c>
      <c r="E97" s="163" t="str">
        <f t="shared" si="2"/>
        <v>#N/A</v>
      </c>
      <c r="F97" s="120" t="str">
        <f>VLOOKUP(A97,'Classement Général'!$B$2:$B$146,1,0)</f>
        <v>#N/A</v>
      </c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</row>
    <row r="98" ht="14.25" customHeight="1">
      <c r="A98" s="160"/>
      <c r="B98" s="156">
        <v>97.0</v>
      </c>
      <c r="C98" s="157">
        <f t="shared" si="1"/>
        <v>-374.7245477</v>
      </c>
      <c r="D98" s="158" t="str">
        <f>VLOOKUP(A98,'Classement RoC'!$B$2:$C$149,1,0)</f>
        <v>#N/A</v>
      </c>
      <c r="E98" s="163" t="str">
        <f t="shared" si="2"/>
        <v>#N/A</v>
      </c>
      <c r="F98" s="120" t="str">
        <f>VLOOKUP(A98,'Classement Général'!$B$2:$B$146,1,0)</f>
        <v>#N/A</v>
      </c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</row>
    <row r="99" ht="14.25" customHeight="1">
      <c r="A99" s="160"/>
      <c r="B99" s="161">
        <v>98.0</v>
      </c>
      <c r="C99" s="157">
        <f t="shared" si="1"/>
        <v>-382.2595956</v>
      </c>
      <c r="D99" s="158" t="str">
        <f>VLOOKUP(A99,'Classement RoC'!$B$2:$C$149,1,0)</f>
        <v>#N/A</v>
      </c>
      <c r="E99" s="163" t="str">
        <f t="shared" si="2"/>
        <v>#N/A</v>
      </c>
      <c r="F99" s="120" t="str">
        <f>VLOOKUP(A99,'Classement Général'!$B$2:$B$146,1,0)</f>
        <v>#N/A</v>
      </c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</row>
    <row r="100" ht="14.25" customHeight="1">
      <c r="A100" s="160"/>
      <c r="B100" s="156">
        <v>99.0</v>
      </c>
      <c r="C100" s="157">
        <f t="shared" si="1"/>
        <v>-389.7637403</v>
      </c>
      <c r="D100" s="158" t="str">
        <f>VLOOKUP(A100,'Classement RoC'!$B$2:$C$149,1,0)</f>
        <v>#N/A</v>
      </c>
      <c r="E100" s="163" t="str">
        <f t="shared" si="2"/>
        <v>#N/A</v>
      </c>
      <c r="F100" s="120" t="str">
        <f>VLOOKUP(A100,'Classement Général'!$B$2:$B$146,1,0)</f>
        <v>#N/A</v>
      </c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</row>
    <row r="101" ht="14.25" customHeight="1">
      <c r="A101" s="160"/>
      <c r="B101" s="161">
        <v>100.0</v>
      </c>
      <c r="C101" s="157">
        <f t="shared" si="1"/>
        <v>-397.2375175</v>
      </c>
      <c r="D101" s="158" t="str">
        <f>VLOOKUP(A101,'Classement RoC'!$B$2:$C$149,1,0)</f>
        <v>#N/A</v>
      </c>
      <c r="E101" s="163" t="str">
        <f t="shared" si="2"/>
        <v>#N/A</v>
      </c>
      <c r="F101" s="120" t="str">
        <f>VLOOKUP(A101,'Classement Général'!$B$2:$B$146,1,0)</f>
        <v>#N/A</v>
      </c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</row>
    <row r="102" ht="14.25" customHeight="1">
      <c r="A102" s="160"/>
      <c r="B102" s="156">
        <v>101.0</v>
      </c>
      <c r="C102" s="157">
        <f t="shared" si="1"/>
        <v>-404.6814479</v>
      </c>
      <c r="D102" s="158" t="str">
        <f>VLOOKUP(A102,'Classement RoC'!$B$2:$C$149,1,0)</f>
        <v>#N/A</v>
      </c>
      <c r="E102" s="163" t="str">
        <f t="shared" si="2"/>
        <v>#N/A</v>
      </c>
      <c r="F102" s="120" t="str">
        <f>VLOOKUP(A102,'Classement Général'!$B$2:$B$146,1,0)</f>
        <v>#N/A</v>
      </c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</row>
    <row r="103" ht="14.25" customHeight="1">
      <c r="A103" s="160"/>
      <c r="B103" s="161">
        <v>102.0</v>
      </c>
      <c r="C103" s="157">
        <f t="shared" si="1"/>
        <v>-412.0960372</v>
      </c>
      <c r="D103" s="158" t="str">
        <f>VLOOKUP(A103,'Classement RoC'!$B$2:$C$149,1,0)</f>
        <v>#N/A</v>
      </c>
      <c r="E103" s="163" t="str">
        <f t="shared" si="2"/>
        <v>#N/A</v>
      </c>
      <c r="F103" s="120" t="str">
        <f>VLOOKUP(A103,'Classement Général'!$B$2:$B$146,1,0)</f>
        <v>#N/A</v>
      </c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</row>
    <row r="104" ht="14.25" customHeight="1">
      <c r="A104" s="160"/>
      <c r="B104" s="156">
        <v>103.0</v>
      </c>
      <c r="C104" s="157">
        <f t="shared" si="1"/>
        <v>-419.4817773</v>
      </c>
      <c r="D104" s="158" t="str">
        <f>VLOOKUP(A104,'Classement RoC'!$B$2:$C$149,1,0)</f>
        <v>#N/A</v>
      </c>
      <c r="E104" s="163" t="str">
        <f t="shared" si="2"/>
        <v>#N/A</v>
      </c>
      <c r="F104" s="120" t="str">
        <f>VLOOKUP(A104,'Classement Général'!$B$2:$B$146,1,0)</f>
        <v>#N/A</v>
      </c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</row>
    <row r="105" ht="14.25" customHeight="1">
      <c r="A105" s="160"/>
      <c r="B105" s="161">
        <v>104.0</v>
      </c>
      <c r="C105" s="157">
        <f t="shared" si="1"/>
        <v>-426.8391462</v>
      </c>
      <c r="D105" s="158" t="str">
        <f>VLOOKUP(A105,'Classement RoC'!$B$2:$C$149,1,0)</f>
        <v>#N/A</v>
      </c>
      <c r="E105" s="163" t="str">
        <f t="shared" si="2"/>
        <v>#N/A</v>
      </c>
      <c r="F105" s="120" t="str">
        <f>VLOOKUP(A105,'Classement Général'!$B$2:$B$146,1,0)</f>
        <v>#N/A</v>
      </c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</row>
    <row r="106" ht="14.25" customHeight="1">
      <c r="A106" s="160"/>
      <c r="B106" s="156">
        <v>105.0</v>
      </c>
      <c r="C106" s="157">
        <f t="shared" si="1"/>
        <v>-434.1686089</v>
      </c>
      <c r="D106" s="158" t="str">
        <f>VLOOKUP(A106,'Classement RoC'!$B$2:$C$149,1,0)</f>
        <v>#N/A</v>
      </c>
      <c r="E106" s="163" t="str">
        <f t="shared" si="2"/>
        <v>#N/A</v>
      </c>
      <c r="F106" s="120" t="str">
        <f>VLOOKUP(A106,'Classement Général'!$B$2:$B$146,1,0)</f>
        <v>#N/A</v>
      </c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</row>
    <row r="107" ht="14.25" customHeight="1">
      <c r="A107" s="160"/>
      <c r="B107" s="161">
        <v>106.0</v>
      </c>
      <c r="C107" s="157">
        <f t="shared" si="1"/>
        <v>-441.470618</v>
      </c>
      <c r="D107" s="158" t="str">
        <f>VLOOKUP(A107,'Classement RoC'!$B$2:$C$149,1,0)</f>
        <v>#N/A</v>
      </c>
      <c r="E107" s="163" t="str">
        <f t="shared" si="2"/>
        <v>#N/A</v>
      </c>
      <c r="F107" s="120" t="str">
        <f>VLOOKUP(A107,'Classement Général'!$B$2:$B$146,1,0)</f>
        <v>#N/A</v>
      </c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</row>
    <row r="108" ht="14.25" customHeight="1">
      <c r="A108" s="160"/>
      <c r="B108" s="156">
        <v>107.0</v>
      </c>
      <c r="C108" s="157">
        <f t="shared" si="1"/>
        <v>-448.7456137</v>
      </c>
      <c r="D108" s="158" t="str">
        <f>VLOOKUP(A108,'Classement RoC'!$B$2:$C$149,1,0)</f>
        <v>#N/A</v>
      </c>
      <c r="E108" s="163" t="str">
        <f t="shared" si="2"/>
        <v>#N/A</v>
      </c>
      <c r="F108" s="120" t="str">
        <f>VLOOKUP(A108,'Classement Général'!$B$2:$B$146,1,0)</f>
        <v>#N/A</v>
      </c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</row>
    <row r="109" ht="14.25" customHeight="1">
      <c r="A109" s="160"/>
      <c r="B109" s="161">
        <v>108.0</v>
      </c>
      <c r="C109" s="157">
        <f t="shared" si="1"/>
        <v>-455.9940248</v>
      </c>
      <c r="D109" s="158" t="str">
        <f>VLOOKUP(A109,'Classement RoC'!$B$2:$C$149,1,0)</f>
        <v>#N/A</v>
      </c>
      <c r="E109" s="163" t="str">
        <f t="shared" si="2"/>
        <v>#N/A</v>
      </c>
      <c r="F109" s="120" t="str">
        <f>VLOOKUP(A109,'Classement Général'!$B$2:$B$146,1,0)</f>
        <v>#N/A</v>
      </c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</row>
    <row r="110" ht="14.25" customHeight="1">
      <c r="A110" s="160"/>
      <c r="B110" s="156">
        <v>109.0</v>
      </c>
      <c r="C110" s="157">
        <f t="shared" si="1"/>
        <v>-463.2162685</v>
      </c>
      <c r="D110" s="158" t="str">
        <f>VLOOKUP(A110,'Classement RoC'!$B$2:$C$149,1,0)</f>
        <v>#N/A</v>
      </c>
      <c r="E110" s="163" t="str">
        <f t="shared" si="2"/>
        <v>#N/A</v>
      </c>
      <c r="F110" s="120" t="str">
        <f>VLOOKUP(A110,'Classement Général'!$B$2:$B$146,1,0)</f>
        <v>#N/A</v>
      </c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</row>
    <row r="111" ht="14.25" customHeight="1">
      <c r="A111" s="160"/>
      <c r="B111" s="161">
        <v>110.0</v>
      </c>
      <c r="C111" s="157">
        <f t="shared" si="1"/>
        <v>-470.4127514</v>
      </c>
      <c r="D111" s="158" t="str">
        <f>VLOOKUP(A111,'Classement RoC'!$B$2:$C$149,1,0)</f>
        <v>#N/A</v>
      </c>
      <c r="E111" s="163" t="str">
        <f t="shared" si="2"/>
        <v>#N/A</v>
      </c>
      <c r="F111" s="120" t="str">
        <f>VLOOKUP(A111,'Classement Général'!$B$2:$B$146,1,0)</f>
        <v>#N/A</v>
      </c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</row>
    <row r="112" ht="14.25" customHeight="1">
      <c r="A112" s="160"/>
      <c r="B112" s="156">
        <v>111.0</v>
      </c>
      <c r="C112" s="157">
        <f t="shared" si="1"/>
        <v>-477.5838696</v>
      </c>
      <c r="D112" s="158" t="str">
        <f>VLOOKUP(A112,'Classement RoC'!$B$2:$C$149,1,0)</f>
        <v>#N/A</v>
      </c>
      <c r="E112" s="163" t="str">
        <f t="shared" si="2"/>
        <v>#N/A</v>
      </c>
      <c r="F112" s="120" t="str">
        <f>VLOOKUP(A112,'Classement Général'!$B$2:$B$146,1,0)</f>
        <v>#N/A</v>
      </c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</row>
    <row r="113" ht="14.25" customHeight="1">
      <c r="A113" s="160"/>
      <c r="B113" s="161">
        <v>112.0</v>
      </c>
      <c r="C113" s="157">
        <f t="shared" si="1"/>
        <v>-484.730009</v>
      </c>
      <c r="D113" s="158" t="str">
        <f>VLOOKUP(A113,'Classement RoC'!$B$2:$C$149,1,0)</f>
        <v>#N/A</v>
      </c>
      <c r="E113" s="163" t="str">
        <f t="shared" si="2"/>
        <v>#N/A</v>
      </c>
      <c r="F113" s="120" t="str">
        <f>VLOOKUP(A113,'Classement Général'!$B$2:$B$146,1,0)</f>
        <v>#N/A</v>
      </c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</row>
    <row r="114" ht="14.25" customHeight="1">
      <c r="A114" s="160"/>
      <c r="B114" s="156">
        <v>113.0</v>
      </c>
      <c r="C114" s="157">
        <f t="shared" si="1"/>
        <v>-491.8515459</v>
      </c>
      <c r="D114" s="158" t="str">
        <f>VLOOKUP(A114,'Classement RoC'!$B$2:$C$149,1,0)</f>
        <v>#N/A</v>
      </c>
      <c r="E114" s="163" t="str">
        <f t="shared" si="2"/>
        <v>#N/A</v>
      </c>
      <c r="F114" s="120" t="str">
        <f>VLOOKUP(A114,'Classement Général'!$B$2:$B$146,1,0)</f>
        <v>#N/A</v>
      </c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</row>
    <row r="115" ht="14.25" customHeight="1">
      <c r="A115" s="160"/>
      <c r="B115" s="161">
        <v>114.0</v>
      </c>
      <c r="C115" s="157">
        <f t="shared" si="1"/>
        <v>-498.948847</v>
      </c>
      <c r="D115" s="158" t="str">
        <f>VLOOKUP(A115,'Classement RoC'!$B$2:$C$149,1,0)</f>
        <v>#N/A</v>
      </c>
      <c r="E115" s="163" t="str">
        <f t="shared" si="2"/>
        <v>#N/A</v>
      </c>
      <c r="F115" s="120" t="str">
        <f>VLOOKUP(A115,'Classement Général'!$B$2:$B$146,1,0)</f>
        <v>#N/A</v>
      </c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</row>
    <row r="116" ht="14.25" customHeight="1">
      <c r="A116" s="160"/>
      <c r="B116" s="156">
        <v>115.0</v>
      </c>
      <c r="C116" s="157">
        <f t="shared" si="1"/>
        <v>-506.0222701</v>
      </c>
      <c r="D116" s="158" t="str">
        <f>VLOOKUP(A116,'Classement RoC'!$B$2:$C$149,1,0)</f>
        <v>#N/A</v>
      </c>
      <c r="E116" s="163" t="str">
        <f t="shared" si="2"/>
        <v>#N/A</v>
      </c>
      <c r="F116" s="120" t="str">
        <f>VLOOKUP(A116,'Classement Général'!$B$2:$B$146,1,0)</f>
        <v>#N/A</v>
      </c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</row>
    <row r="117" ht="14.25" customHeight="1">
      <c r="A117" s="160"/>
      <c r="B117" s="161">
        <v>116.0</v>
      </c>
      <c r="C117" s="157">
        <f t="shared" si="1"/>
        <v>-513.0721641</v>
      </c>
      <c r="D117" s="158" t="str">
        <f>VLOOKUP(A117,'Classement RoC'!$B$2:$C$149,1,0)</f>
        <v>#N/A</v>
      </c>
      <c r="E117" s="163" t="str">
        <f t="shared" si="2"/>
        <v>#N/A</v>
      </c>
      <c r="F117" s="120" t="str">
        <f>VLOOKUP(A117,'Classement Général'!$B$2:$B$146,1,0)</f>
        <v>#N/A</v>
      </c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</row>
    <row r="118" ht="14.25" customHeight="1">
      <c r="A118" s="160"/>
      <c r="B118" s="156">
        <v>117.0</v>
      </c>
      <c r="C118" s="157">
        <f t="shared" si="1"/>
        <v>-520.0988695</v>
      </c>
      <c r="D118" s="158" t="str">
        <f>VLOOKUP(A118,'Classement RoC'!$B$2:$C$149,1,0)</f>
        <v>#N/A</v>
      </c>
      <c r="E118" s="163" t="str">
        <f t="shared" si="2"/>
        <v>#N/A</v>
      </c>
      <c r="F118" s="120" t="str">
        <f>VLOOKUP(A118,'Classement Général'!$B$2:$B$146,1,0)</f>
        <v>#N/A</v>
      </c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</row>
    <row r="119" ht="14.25" customHeight="1">
      <c r="A119" s="160"/>
      <c r="B119" s="161">
        <v>118.0</v>
      </c>
      <c r="C119" s="157">
        <f t="shared" si="1"/>
        <v>-527.1027184</v>
      </c>
      <c r="D119" s="158" t="str">
        <f>VLOOKUP(A119,'Classement RoC'!$B$2:$C$149,1,0)</f>
        <v>#N/A</v>
      </c>
      <c r="E119" s="163" t="str">
        <f t="shared" si="2"/>
        <v>#N/A</v>
      </c>
      <c r="F119" s="120" t="str">
        <f>VLOOKUP(A119,'Classement Général'!$B$2:$B$146,1,0)</f>
        <v>#N/A</v>
      </c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</row>
    <row r="120" ht="14.25" customHeight="1">
      <c r="A120" s="160"/>
      <c r="B120" s="156">
        <v>119.0</v>
      </c>
      <c r="C120" s="157">
        <f t="shared" si="1"/>
        <v>-534.0840354</v>
      </c>
      <c r="D120" s="158" t="str">
        <f>VLOOKUP(A120,'Classement RoC'!$B$2:$C$149,1,0)</f>
        <v>#N/A</v>
      </c>
      <c r="E120" s="163" t="str">
        <f t="shared" si="2"/>
        <v>#N/A</v>
      </c>
      <c r="F120" s="120" t="str">
        <f>VLOOKUP(A120,'Classement Général'!$B$2:$B$146,1,0)</f>
        <v>#N/A</v>
      </c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</row>
    <row r="121" ht="14.25" customHeight="1">
      <c r="A121" s="160"/>
      <c r="B121" s="161">
        <v>120.0</v>
      </c>
      <c r="C121" s="157">
        <f t="shared" si="1"/>
        <v>-541.0431369</v>
      </c>
      <c r="D121" s="158" t="str">
        <f>VLOOKUP(A121,'Classement RoC'!$B$2:$C$149,1,0)</f>
        <v>#N/A</v>
      </c>
      <c r="E121" s="163" t="str">
        <f t="shared" si="2"/>
        <v>#N/A</v>
      </c>
      <c r="F121" s="120" t="str">
        <f>VLOOKUP(A121,'Classement Général'!$B$2:$B$146,1,0)</f>
        <v>#N/A</v>
      </c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</row>
    <row r="122" ht="14.25" customHeight="1">
      <c r="A122" s="160"/>
      <c r="B122" s="156">
        <v>121.0</v>
      </c>
      <c r="C122" s="157">
        <f t="shared" si="1"/>
        <v>-547.9803322</v>
      </c>
      <c r="D122" s="158" t="str">
        <f>VLOOKUP(A122,'Classement RoC'!$B$2:$C$149,1,0)</f>
        <v>#N/A</v>
      </c>
      <c r="E122" s="163" t="str">
        <f t="shared" si="2"/>
        <v>#N/A</v>
      </c>
      <c r="F122" s="120" t="str">
        <f>VLOOKUP(A122,'Classement Général'!$B$2:$B$146,1,0)</f>
        <v>#N/A</v>
      </c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</row>
    <row r="123" ht="14.25" customHeight="1">
      <c r="A123" s="160"/>
      <c r="B123" s="161">
        <v>122.0</v>
      </c>
      <c r="C123" s="157">
        <f t="shared" si="1"/>
        <v>-554.8959234</v>
      </c>
      <c r="D123" s="158" t="str">
        <f>VLOOKUP(A123,'Classement RoC'!$B$2:$C$149,1,0)</f>
        <v>#N/A</v>
      </c>
      <c r="E123" s="163" t="str">
        <f t="shared" si="2"/>
        <v>#N/A</v>
      </c>
      <c r="F123" s="120" t="str">
        <f>VLOOKUP(A123,'Classement Général'!$B$2:$B$146,1,0)</f>
        <v>#N/A</v>
      </c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</row>
    <row r="124" ht="14.25" customHeight="1">
      <c r="A124" s="160"/>
      <c r="B124" s="156">
        <v>123.0</v>
      </c>
      <c r="C124" s="157">
        <f t="shared" si="1"/>
        <v>-561.7902056</v>
      </c>
      <c r="D124" s="158" t="str">
        <f>VLOOKUP(A124,'Classement RoC'!$B$2:$C$149,1,0)</f>
        <v>#N/A</v>
      </c>
      <c r="E124" s="163" t="str">
        <f t="shared" si="2"/>
        <v>#N/A</v>
      </c>
      <c r="F124" s="120" t="str">
        <f>VLOOKUP(A124,'Classement Général'!$B$2:$B$146,1,0)</f>
        <v>#N/A</v>
      </c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</row>
    <row r="125" ht="14.25" customHeight="1">
      <c r="A125" s="160"/>
      <c r="B125" s="161">
        <v>124.0</v>
      </c>
      <c r="C125" s="157">
        <f t="shared" si="1"/>
        <v>-568.6634672</v>
      </c>
      <c r="D125" s="158" t="str">
        <f>VLOOKUP(A125,'Classement RoC'!$B$2:$C$149,1,0)</f>
        <v>#N/A</v>
      </c>
      <c r="E125" s="163" t="str">
        <f t="shared" si="2"/>
        <v>#N/A</v>
      </c>
      <c r="F125" s="120" t="str">
        <f>VLOOKUP(A125,'Classement Général'!$B$2:$B$146,1,0)</f>
        <v>#N/A</v>
      </c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</row>
    <row r="126" ht="14.25" customHeight="1">
      <c r="A126" s="160"/>
      <c r="B126" s="156">
        <v>125.0</v>
      </c>
      <c r="C126" s="157">
        <f t="shared" si="1"/>
        <v>-575.5159899</v>
      </c>
      <c r="D126" s="158" t="str">
        <f>VLOOKUP(A126,'Classement RoC'!$B$2:$C$149,1,0)</f>
        <v>#N/A</v>
      </c>
      <c r="E126" s="163" t="str">
        <f t="shared" si="2"/>
        <v>#N/A</v>
      </c>
      <c r="F126" s="120" t="str">
        <f>VLOOKUP(A126,'Classement Général'!$B$2:$B$146,1,0)</f>
        <v>#N/A</v>
      </c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</row>
    <row r="127" ht="14.25" customHeight="1">
      <c r="A127" s="160"/>
      <c r="B127" s="161">
        <v>126.0</v>
      </c>
      <c r="C127" s="157">
        <f t="shared" si="1"/>
        <v>-582.3480493</v>
      </c>
      <c r="D127" s="158" t="str">
        <f>VLOOKUP(A127,'Classement RoC'!$B$2:$C$149,1,0)</f>
        <v>#N/A</v>
      </c>
      <c r="E127" s="163" t="str">
        <f t="shared" si="2"/>
        <v>#N/A</v>
      </c>
      <c r="F127" s="120" t="str">
        <f>VLOOKUP(A127,'Classement Général'!$B$2:$B$146,1,0)</f>
        <v>#N/A</v>
      </c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</row>
    <row r="128" ht="14.25" customHeight="1">
      <c r="A128" s="160"/>
      <c r="B128" s="156">
        <v>127.0</v>
      </c>
      <c r="C128" s="157">
        <f t="shared" si="1"/>
        <v>-589.1599148</v>
      </c>
      <c r="D128" s="158" t="str">
        <f>VLOOKUP(A128,'Classement RoC'!$B$2:$C$149,1,0)</f>
        <v>#N/A</v>
      </c>
      <c r="E128" s="163" t="str">
        <f t="shared" si="2"/>
        <v>#N/A</v>
      </c>
      <c r="F128" s="120" t="str">
        <f>VLOOKUP(A128,'Classement Général'!$B$2:$B$146,1,0)</f>
        <v>#N/A</v>
      </c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</row>
    <row r="129" ht="14.25" customHeight="1">
      <c r="A129" s="160"/>
      <c r="B129" s="161">
        <v>128.0</v>
      </c>
      <c r="C129" s="157">
        <f t="shared" si="1"/>
        <v>-595.9518499</v>
      </c>
      <c r="D129" s="158" t="str">
        <f>VLOOKUP(A129,'Classement RoC'!$B$2:$C$149,1,0)</f>
        <v>#N/A</v>
      </c>
      <c r="E129" s="163" t="str">
        <f t="shared" si="2"/>
        <v>#N/A</v>
      </c>
      <c r="F129" s="120" t="str">
        <f>VLOOKUP(A129,'Classement Général'!$B$2:$B$146,1,0)</f>
        <v>#N/A</v>
      </c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</row>
    <row r="130" ht="14.25" customHeight="1">
      <c r="A130" s="160"/>
      <c r="B130" s="156">
        <v>129.0</v>
      </c>
      <c r="C130" s="157">
        <f t="shared" si="1"/>
        <v>-602.7241122</v>
      </c>
      <c r="D130" s="158" t="str">
        <f>VLOOKUP(A130,'Classement RoC'!$B$2:$C$149,1,0)</f>
        <v>#N/A</v>
      </c>
      <c r="E130" s="163" t="str">
        <f t="shared" si="2"/>
        <v>#N/A</v>
      </c>
      <c r="F130" s="120" t="str">
        <f>VLOOKUP(A130,'Classement Général'!$B$2:$B$146,1,0)</f>
        <v>#N/A</v>
      </c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</row>
    <row r="131" ht="14.25" customHeight="1">
      <c r="A131" s="160"/>
      <c r="B131" s="161">
        <v>130.0</v>
      </c>
      <c r="C131" s="157">
        <f t="shared" si="1"/>
        <v>-609.4769539</v>
      </c>
      <c r="D131" s="158" t="str">
        <f>VLOOKUP(A131,'Classement RoC'!$B$2:$C$149,1,0)</f>
        <v>#N/A</v>
      </c>
      <c r="E131" s="163" t="str">
        <f t="shared" si="2"/>
        <v>#N/A</v>
      </c>
      <c r="F131" s="120" t="str">
        <f>VLOOKUP(A131,'Classement Général'!$B$2:$B$146,1,0)</f>
        <v>#N/A</v>
      </c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</row>
    <row r="132" ht="14.25" customHeight="1">
      <c r="A132" s="160"/>
      <c r="B132" s="156">
        <v>131.0</v>
      </c>
      <c r="C132" s="157">
        <f t="shared" si="1"/>
        <v>-616.2106216</v>
      </c>
      <c r="D132" s="158" t="str">
        <f>VLOOKUP(A132,'Classement RoC'!$B$2:$C$149,1,0)</f>
        <v>#N/A</v>
      </c>
      <c r="E132" s="163" t="str">
        <f t="shared" si="2"/>
        <v>#N/A</v>
      </c>
      <c r="F132" s="120" t="str">
        <f>VLOOKUP(A132,'Classement Général'!$B$2:$B$146,1,0)</f>
        <v>#N/A</v>
      </c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</row>
    <row r="133" ht="14.25" customHeight="1">
      <c r="A133" s="160"/>
      <c r="B133" s="161">
        <v>132.0</v>
      </c>
      <c r="C133" s="157">
        <f t="shared" si="1"/>
        <v>-622.9253569</v>
      </c>
      <c r="D133" s="158" t="str">
        <f>VLOOKUP(A133,'Classement RoC'!$B$2:$C$149,1,0)</f>
        <v>#N/A</v>
      </c>
      <c r="E133" s="163" t="str">
        <f t="shared" si="2"/>
        <v>#N/A</v>
      </c>
      <c r="F133" s="120" t="str">
        <f>VLOOKUP(A133,'Classement Général'!$B$2:$B$146,1,0)</f>
        <v>#N/A</v>
      </c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</row>
    <row r="134" ht="14.25" customHeight="1">
      <c r="A134" s="160"/>
      <c r="B134" s="156">
        <v>133.0</v>
      </c>
      <c r="C134" s="157">
        <f t="shared" si="1"/>
        <v>-629.621396</v>
      </c>
      <c r="D134" s="158" t="str">
        <f>VLOOKUP(A134,'Classement RoC'!$B$2:$C$149,1,0)</f>
        <v>#N/A</v>
      </c>
      <c r="E134" s="163" t="str">
        <f t="shared" si="2"/>
        <v>#N/A</v>
      </c>
      <c r="F134" s="120" t="str">
        <f>VLOOKUP(A134,'Classement Général'!$B$2:$B$146,1,0)</f>
        <v>#N/A</v>
      </c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</row>
    <row r="135" ht="14.25" customHeight="1">
      <c r="A135" s="160"/>
      <c r="B135" s="161">
        <v>134.0</v>
      </c>
      <c r="C135" s="157">
        <f t="shared" si="1"/>
        <v>-636.2989704</v>
      </c>
      <c r="D135" s="158" t="str">
        <f>VLOOKUP(A135,'Classement RoC'!$B$2:$C$149,1,0)</f>
        <v>#N/A</v>
      </c>
      <c r="E135" s="163" t="str">
        <f t="shared" si="2"/>
        <v>#N/A</v>
      </c>
      <c r="F135" s="120" t="str">
        <f>VLOOKUP(A135,'Classement Général'!$B$2:$B$146,1,0)</f>
        <v>#N/A</v>
      </c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</row>
    <row r="136" ht="14.25" customHeight="1">
      <c r="A136" s="160"/>
      <c r="B136" s="156">
        <v>135.0</v>
      </c>
      <c r="C136" s="157">
        <f t="shared" si="1"/>
        <v>-642.9583066</v>
      </c>
      <c r="D136" s="158" t="str">
        <f>VLOOKUP(A136,'Classement RoC'!$B$2:$C$149,1,0)</f>
        <v>#N/A</v>
      </c>
      <c r="E136" s="163" t="str">
        <f t="shared" si="2"/>
        <v>#N/A</v>
      </c>
      <c r="F136" s="120" t="str">
        <f>VLOOKUP(A136,'Classement Général'!$B$2:$B$146,1,0)</f>
        <v>#N/A</v>
      </c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</row>
    <row r="137" ht="14.25" customHeight="1">
      <c r="A137" s="160"/>
      <c r="B137" s="161">
        <v>136.0</v>
      </c>
      <c r="C137" s="157">
        <f t="shared" si="1"/>
        <v>-649.5996264</v>
      </c>
      <c r="D137" s="158" t="str">
        <f>VLOOKUP(A137,'Classement RoC'!$B$2:$C$149,1,0)</f>
        <v>#N/A</v>
      </c>
      <c r="E137" s="163" t="str">
        <f t="shared" si="2"/>
        <v>#N/A</v>
      </c>
      <c r="F137" s="120" t="str">
        <f>VLOOKUP(A137,'Classement Général'!$B$2:$B$146,1,0)</f>
        <v>#N/A</v>
      </c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</row>
    <row r="138" ht="14.25" customHeight="1">
      <c r="A138" s="160"/>
      <c r="B138" s="156">
        <v>137.0</v>
      </c>
      <c r="C138" s="157">
        <f t="shared" si="1"/>
        <v>-656.2231474</v>
      </c>
      <c r="D138" s="158" t="str">
        <f>VLOOKUP(A138,'Classement RoC'!$B$2:$C$149,1,0)</f>
        <v>#N/A</v>
      </c>
      <c r="E138" s="163" t="str">
        <f t="shared" si="2"/>
        <v>#N/A</v>
      </c>
      <c r="F138" s="120" t="str">
        <f>VLOOKUP(A138,'Classement Général'!$B$2:$B$146,1,0)</f>
        <v>#N/A</v>
      </c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</row>
    <row r="139" ht="14.25" customHeight="1">
      <c r="A139" s="160"/>
      <c r="B139" s="161">
        <v>138.0</v>
      </c>
      <c r="C139" s="157">
        <f t="shared" si="1"/>
        <v>-662.8290824</v>
      </c>
      <c r="D139" s="158" t="str">
        <f>VLOOKUP(A139,'Classement RoC'!$B$2:$C$149,1,0)</f>
        <v>#N/A</v>
      </c>
      <c r="E139" s="163" t="str">
        <f t="shared" si="2"/>
        <v>#N/A</v>
      </c>
      <c r="F139" s="120" t="str">
        <f>VLOOKUP(A139,'Classement Général'!$B$2:$B$146,1,0)</f>
        <v>#N/A</v>
      </c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</row>
    <row r="140" ht="14.25" customHeight="1">
      <c r="A140" s="160"/>
      <c r="B140" s="156">
        <v>139.0</v>
      </c>
      <c r="C140" s="157">
        <f t="shared" si="1"/>
        <v>-669.41764</v>
      </c>
      <c r="D140" s="158" t="str">
        <f>VLOOKUP(A140,'Classement RoC'!$B$2:$C$149,1,0)</f>
        <v>#N/A</v>
      </c>
      <c r="E140" s="163" t="str">
        <f t="shared" si="2"/>
        <v>#N/A</v>
      </c>
      <c r="F140" s="120" t="str">
        <f>VLOOKUP(A140,'Classement Général'!$B$2:$B$146,1,0)</f>
        <v>#N/A</v>
      </c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</row>
    <row r="141" ht="14.25" customHeight="1">
      <c r="A141" s="160"/>
      <c r="B141" s="161">
        <v>140.0</v>
      </c>
      <c r="C141" s="157">
        <f t="shared" si="1"/>
        <v>-675.9890248</v>
      </c>
      <c r="D141" s="158" t="str">
        <f>VLOOKUP(A141,'Classement RoC'!$B$2:$C$149,1,0)</f>
        <v>#N/A</v>
      </c>
      <c r="E141" s="163" t="str">
        <f t="shared" si="2"/>
        <v>#N/A</v>
      </c>
      <c r="F141" s="120" t="str">
        <f>VLOOKUP(A141,'Classement Général'!$B$2:$B$146,1,0)</f>
        <v>#N/A</v>
      </c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</row>
    <row r="142" ht="14.25" customHeight="1">
      <c r="A142" s="160"/>
      <c r="B142" s="156">
        <v>141.0</v>
      </c>
      <c r="C142" s="157">
        <f t="shared" si="1"/>
        <v>-682.5434372</v>
      </c>
      <c r="D142" s="158" t="str">
        <f>VLOOKUP(A142,'Classement RoC'!$B$2:$C$149,1,0)</f>
        <v>#N/A</v>
      </c>
      <c r="E142" s="163" t="str">
        <f t="shared" si="2"/>
        <v>#N/A</v>
      </c>
      <c r="F142" s="120" t="str">
        <f>VLOOKUP(A142,'Classement Général'!$B$2:$B$146,1,0)</f>
        <v>#N/A</v>
      </c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</row>
    <row r="143" ht="14.25" customHeight="1">
      <c r="A143" s="160"/>
      <c r="B143" s="161">
        <v>142.0</v>
      </c>
      <c r="C143" s="157">
        <f t="shared" si="1"/>
        <v>-689.0810737</v>
      </c>
      <c r="D143" s="158" t="str">
        <f>VLOOKUP(A143,'Classement RoC'!$B$2:$C$149,1,0)</f>
        <v>#N/A</v>
      </c>
      <c r="E143" s="163" t="str">
        <f t="shared" si="2"/>
        <v>#N/A</v>
      </c>
      <c r="F143" s="120" t="str">
        <f>VLOOKUP(A143,'Classement Général'!$B$2:$B$146,1,0)</f>
        <v>#N/A</v>
      </c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</row>
    <row r="144" ht="14.25" customHeight="1">
      <c r="A144" s="160"/>
      <c r="B144" s="156">
        <v>143.0</v>
      </c>
      <c r="C144" s="157">
        <f t="shared" si="1"/>
        <v>-695.6021269</v>
      </c>
      <c r="D144" s="158" t="str">
        <f>VLOOKUP(A144,'Classement RoC'!$B$2:$C$149,1,0)</f>
        <v>#N/A</v>
      </c>
      <c r="E144" s="163" t="str">
        <f t="shared" si="2"/>
        <v>#N/A</v>
      </c>
      <c r="F144" s="120" t="str">
        <f>VLOOKUP(A144,'Classement Général'!$B$2:$B$146,1,0)</f>
        <v>#N/A</v>
      </c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</row>
    <row r="145" ht="14.25" customHeight="1">
      <c r="A145" s="160"/>
      <c r="B145" s="161">
        <v>144.0</v>
      </c>
      <c r="C145" s="157">
        <f t="shared" si="1"/>
        <v>-702.1067858</v>
      </c>
      <c r="D145" s="158" t="str">
        <f>VLOOKUP(A145,'Classement RoC'!$B$2:$C$149,1,0)</f>
        <v>#N/A</v>
      </c>
      <c r="E145" s="163" t="str">
        <f t="shared" si="2"/>
        <v>#N/A</v>
      </c>
      <c r="F145" s="120" t="str">
        <f>VLOOKUP(A145,'Classement Général'!$B$2:$B$146,1,0)</f>
        <v>#N/A</v>
      </c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</row>
    <row r="146" ht="14.25" customHeight="1">
      <c r="A146" s="160"/>
      <c r="B146" s="156">
        <v>145.0</v>
      </c>
      <c r="C146" s="157">
        <f t="shared" si="1"/>
        <v>-708.5952357</v>
      </c>
      <c r="D146" s="158" t="str">
        <f>VLOOKUP(A146,'Classement RoC'!$B$2:$C$149,1,0)</f>
        <v>#N/A</v>
      </c>
      <c r="E146" s="163" t="str">
        <f t="shared" si="2"/>
        <v>#N/A</v>
      </c>
      <c r="F146" s="120" t="str">
        <f>VLOOKUP(A146,'Classement Général'!$B$2:$B$146,1,0)</f>
        <v>#N/A</v>
      </c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</row>
    <row r="147" ht="14.25" customHeight="1">
      <c r="A147" s="160"/>
      <c r="B147" s="161">
        <v>146.0</v>
      </c>
      <c r="C147" s="157">
        <f t="shared" si="1"/>
        <v>-715.0676583</v>
      </c>
      <c r="D147" s="158" t="str">
        <f>VLOOKUP(A147,'Classement RoC'!$B$2:$C$149,1,0)</f>
        <v>#N/A</v>
      </c>
      <c r="E147" s="163" t="str">
        <f t="shared" si="2"/>
        <v>#N/A</v>
      </c>
      <c r="F147" s="120" t="str">
        <f>VLOOKUP(A147,'Classement Général'!$B$2:$B$146,1,0)</f>
        <v>#N/A</v>
      </c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</row>
    <row r="148" ht="14.25" customHeight="1">
      <c r="A148" s="160"/>
      <c r="B148" s="156">
        <v>147.0</v>
      </c>
      <c r="C148" s="157">
        <f t="shared" si="1"/>
        <v>-721.5242318</v>
      </c>
      <c r="D148" s="158" t="str">
        <f>VLOOKUP(A148,'Classement RoC'!$B$2:$C$149,1,0)</f>
        <v>#N/A</v>
      </c>
      <c r="E148" s="163" t="str">
        <f t="shared" si="2"/>
        <v>#N/A</v>
      </c>
      <c r="F148" s="120" t="str">
        <f>VLOOKUP(A148,'Classement Général'!$B$2:$B$146,1,0)</f>
        <v>#N/A</v>
      </c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</row>
    <row r="149" ht="14.25" customHeight="1">
      <c r="A149" s="160"/>
      <c r="B149" s="161">
        <v>148.0</v>
      </c>
      <c r="C149" s="157">
        <f t="shared" si="1"/>
        <v>-727.9651314</v>
      </c>
      <c r="D149" s="158" t="str">
        <f>VLOOKUP(A149,'Classement RoC'!$B$2:$C$149,1,0)</f>
        <v>#N/A</v>
      </c>
      <c r="E149" s="163" t="str">
        <f t="shared" si="2"/>
        <v>#N/A</v>
      </c>
      <c r="F149" s="120" t="str">
        <f>VLOOKUP(A149,'Classement Général'!$B$2:$B$146,1,0)</f>
        <v>#N/A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</row>
    <row r="150" ht="14.25" customHeight="1">
      <c r="A150" s="160"/>
      <c r="B150" s="156">
        <v>149.0</v>
      </c>
      <c r="C150" s="157">
        <f t="shared" si="1"/>
        <v>-734.3905286</v>
      </c>
      <c r="D150" s="158" t="str">
        <f>VLOOKUP(A150,'Classement RoC'!$B$2:$C$149,1,0)</f>
        <v>#N/A</v>
      </c>
      <c r="E150" s="163" t="str">
        <f t="shared" si="2"/>
        <v>#N/A</v>
      </c>
      <c r="F150" s="120" t="str">
        <f>VLOOKUP(A150,'Classement Général'!$B$2:$B$146,1,0)</f>
        <v>#N/A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</row>
    <row r="151" ht="14.25" customHeight="1">
      <c r="A151" s="160"/>
      <c r="B151" s="161">
        <v>150.0</v>
      </c>
      <c r="C151" s="157">
        <f t="shared" si="1"/>
        <v>-740.800592</v>
      </c>
      <c r="D151" s="158" t="str">
        <f>VLOOKUP(A151,'Classement RoC'!$B$2:$C$149,1,0)</f>
        <v>#N/A</v>
      </c>
      <c r="E151" s="163" t="str">
        <f t="shared" si="2"/>
        <v>#N/A</v>
      </c>
      <c r="F151" s="120" t="str">
        <f>VLOOKUP(A151,'Classement Général'!$B$2:$B$146,1,0)</f>
        <v>#N/A</v>
      </c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</row>
    <row r="152" ht="14.25" customHeight="1">
      <c r="A152" s="160"/>
      <c r="B152" s="156">
        <v>151.0</v>
      </c>
      <c r="C152" s="157">
        <f t="shared" si="1"/>
        <v>-747.1954869</v>
      </c>
      <c r="D152" s="158" t="str">
        <f>VLOOKUP(A152,'Classement RoC'!$B$2:$C$149,1,0)</f>
        <v>#N/A</v>
      </c>
      <c r="E152" s="163" t="str">
        <f t="shared" si="2"/>
        <v>#N/A</v>
      </c>
      <c r="F152" s="120" t="str">
        <f>VLOOKUP(A152,'Classement Général'!$B$2:$B$146,1,0)</f>
        <v>#N/A</v>
      </c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</row>
    <row r="153" ht="14.25" customHeight="1">
      <c r="A153" s="160"/>
      <c r="B153" s="161">
        <v>152.0</v>
      </c>
      <c r="C153" s="157">
        <f t="shared" si="1"/>
        <v>-753.5753758</v>
      </c>
      <c r="D153" s="158" t="str">
        <f>VLOOKUP(A153,'Classement RoC'!$B$2:$C$149,1,0)</f>
        <v>#N/A</v>
      </c>
      <c r="E153" s="163" t="str">
        <f t="shared" si="2"/>
        <v>#N/A</v>
      </c>
      <c r="F153" s="120" t="str">
        <f>VLOOKUP(A153,'Classement Général'!$B$2:$B$146,1,0)</f>
        <v>#N/A</v>
      </c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</row>
    <row r="154" ht="14.25" customHeight="1">
      <c r="A154" s="160"/>
      <c r="B154" s="156">
        <v>153.0</v>
      </c>
      <c r="C154" s="157">
        <f t="shared" si="1"/>
        <v>-759.9404182</v>
      </c>
      <c r="D154" s="158" t="str">
        <f>VLOOKUP(A154,'Classement RoC'!$B$2:$C$149,1,0)</f>
        <v>#N/A</v>
      </c>
      <c r="E154" s="163" t="str">
        <f t="shared" si="2"/>
        <v>#N/A</v>
      </c>
      <c r="F154" s="120" t="str">
        <f>VLOOKUP(A154,'Classement Général'!$B$2:$B$146,1,0)</f>
        <v>#N/A</v>
      </c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</row>
    <row r="155" ht="14.25" customHeight="1">
      <c r="A155" s="160"/>
      <c r="B155" s="161">
        <v>154.0</v>
      </c>
      <c r="C155" s="157">
        <f t="shared" si="1"/>
        <v>-766.2907705</v>
      </c>
      <c r="D155" s="158" t="str">
        <f>VLOOKUP(A155,'Classement RoC'!$B$2:$C$149,1,0)</f>
        <v>#N/A</v>
      </c>
      <c r="E155" s="163" t="str">
        <f t="shared" si="2"/>
        <v>#N/A</v>
      </c>
      <c r="F155" s="120" t="str">
        <f>VLOOKUP(A155,'Classement Général'!$B$2:$B$146,1,0)</f>
        <v>#N/A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</row>
    <row r="156" ht="14.25" customHeight="1">
      <c r="A156" s="160"/>
      <c r="B156" s="156">
        <v>155.0</v>
      </c>
      <c r="C156" s="157">
        <f t="shared" si="1"/>
        <v>-772.6265866</v>
      </c>
      <c r="D156" s="158" t="str">
        <f>VLOOKUP(A156,'Classement RoC'!$B$2:$C$149,1,0)</f>
        <v>#N/A</v>
      </c>
      <c r="E156" s="163" t="str">
        <f t="shared" si="2"/>
        <v>#N/A</v>
      </c>
      <c r="F156" s="120" t="str">
        <f>VLOOKUP(A156,'Classement Général'!$B$2:$B$146,1,0)</f>
        <v>#N/A</v>
      </c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</row>
    <row r="157" ht="14.25" customHeight="1">
      <c r="A157" s="160"/>
      <c r="B157" s="161">
        <v>156.0</v>
      </c>
      <c r="C157" s="157">
        <f t="shared" si="1"/>
        <v>-778.9480175</v>
      </c>
      <c r="D157" s="158" t="str">
        <f>VLOOKUP(A157,'Classement RoC'!$B$2:$C$149,1,0)</f>
        <v>#N/A</v>
      </c>
      <c r="E157" s="163" t="str">
        <f t="shared" si="2"/>
        <v>#N/A</v>
      </c>
      <c r="F157" s="120" t="str">
        <f>VLOOKUP(A157,'Classement Général'!$B$2:$B$146,1,0)</f>
        <v>#N/A</v>
      </c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</row>
    <row r="158" ht="14.25" customHeight="1">
      <c r="A158" s="160"/>
      <c r="B158" s="156">
        <v>157.0</v>
      </c>
      <c r="C158" s="157">
        <f t="shared" si="1"/>
        <v>-785.2552116</v>
      </c>
      <c r="D158" s="158" t="str">
        <f>VLOOKUP(A158,'Classement RoC'!$B$2:$C$149,1,0)</f>
        <v>#N/A</v>
      </c>
      <c r="E158" s="163" t="str">
        <f t="shared" si="2"/>
        <v>#N/A</v>
      </c>
      <c r="F158" s="120" t="str">
        <f>VLOOKUP(A158,'Classement Général'!$B$2:$B$146,1,0)</f>
        <v>#N/A</v>
      </c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</row>
    <row r="159" ht="14.25" customHeight="1">
      <c r="A159" s="160"/>
      <c r="B159" s="161">
        <v>158.0</v>
      </c>
      <c r="C159" s="157">
        <f t="shared" si="1"/>
        <v>-791.5483146</v>
      </c>
      <c r="D159" s="158" t="str">
        <f>VLOOKUP(A159,'Classement RoC'!$B$2:$C$149,1,0)</f>
        <v>#N/A</v>
      </c>
      <c r="E159" s="163" t="str">
        <f t="shared" si="2"/>
        <v>#N/A</v>
      </c>
      <c r="F159" s="120" t="str">
        <f>VLOOKUP(A159,'Classement Général'!$B$2:$B$146,1,0)</f>
        <v>#N/A</v>
      </c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</row>
    <row r="160" ht="14.25" customHeight="1">
      <c r="A160" s="160"/>
      <c r="B160" s="156">
        <v>159.0</v>
      </c>
      <c r="C160" s="157">
        <f t="shared" si="1"/>
        <v>-797.8274699</v>
      </c>
      <c r="D160" s="158" t="str">
        <f>VLOOKUP(A160,'Classement RoC'!$B$2:$C$149,1,0)</f>
        <v>#N/A</v>
      </c>
      <c r="E160" s="163" t="str">
        <f t="shared" si="2"/>
        <v>#N/A</v>
      </c>
      <c r="F160" s="120" t="str">
        <f>VLOOKUP(A160,'Classement Général'!$B$2:$B$146,1,0)</f>
        <v>#N/A</v>
      </c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</row>
    <row r="161" ht="14.25" customHeight="1">
      <c r="A161" s="164"/>
      <c r="B161" s="165"/>
      <c r="C161" s="166"/>
      <c r="D161" s="167"/>
      <c r="E161" s="168"/>
      <c r="F161" s="120" t="str">
        <f>VLOOKUP(A161,'Classement Général'!$B$2:$B$146,1,0)</f>
        <v>#N/A</v>
      </c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</row>
    <row r="162" ht="14.25" customHeight="1">
      <c r="A162" s="164"/>
      <c r="B162" s="165"/>
      <c r="C162" s="166"/>
      <c r="D162" s="167"/>
      <c r="E162" s="168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4"/>
    </row>
    <row r="163" ht="14.25" customHeight="1">
      <c r="A163" s="164"/>
      <c r="B163" s="165"/>
      <c r="C163" s="166"/>
      <c r="D163" s="167"/>
      <c r="E163" s="168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</row>
    <row r="164" ht="14.25" customHeight="1">
      <c r="A164" s="164"/>
      <c r="B164" s="165"/>
      <c r="C164" s="166"/>
      <c r="D164" s="167"/>
      <c r="E164" s="168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</row>
    <row r="165" ht="14.25" customHeight="1">
      <c r="A165" s="164"/>
      <c r="B165" s="165"/>
      <c r="C165" s="166"/>
      <c r="D165" s="167"/>
      <c r="E165" s="168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</row>
    <row r="166" ht="14.25" customHeight="1">
      <c r="A166" s="164"/>
      <c r="B166" s="165"/>
      <c r="C166" s="166"/>
      <c r="D166" s="167"/>
      <c r="E166" s="168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</row>
    <row r="167" ht="14.25" customHeight="1">
      <c r="A167" s="164"/>
      <c r="B167" s="165"/>
      <c r="C167" s="166"/>
      <c r="D167" s="167"/>
      <c r="E167" s="168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</row>
    <row r="168" ht="14.25" customHeight="1">
      <c r="A168" s="164"/>
      <c r="B168" s="165"/>
      <c r="C168" s="166"/>
      <c r="D168" s="167"/>
      <c r="E168" s="168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</row>
    <row r="169" ht="14.25" customHeight="1">
      <c r="A169" s="164"/>
      <c r="B169" s="165"/>
      <c r="C169" s="166"/>
      <c r="D169" s="167"/>
      <c r="E169" s="168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</row>
    <row r="170" ht="14.25" customHeight="1">
      <c r="A170" s="164"/>
      <c r="B170" s="165"/>
      <c r="C170" s="166"/>
      <c r="D170" s="167"/>
      <c r="E170" s="168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</row>
    <row r="171" ht="14.25" customHeight="1">
      <c r="A171" s="164"/>
      <c r="B171" s="165"/>
      <c r="C171" s="166"/>
      <c r="D171" s="167"/>
      <c r="E171" s="168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</row>
    <row r="172" ht="14.25" customHeight="1">
      <c r="A172" s="164"/>
      <c r="B172" s="165"/>
      <c r="C172" s="166"/>
      <c r="D172" s="167"/>
      <c r="E172" s="168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</row>
    <row r="173" ht="14.25" customHeight="1">
      <c r="A173" s="164"/>
      <c r="B173" s="165"/>
      <c r="C173" s="166"/>
      <c r="D173" s="167"/>
      <c r="E173" s="168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</row>
    <row r="174" ht="14.25" customHeight="1">
      <c r="A174" s="164"/>
      <c r="B174" s="165"/>
      <c r="C174" s="166"/>
      <c r="D174" s="167"/>
      <c r="E174" s="168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</row>
    <row r="175" ht="14.25" customHeight="1">
      <c r="A175" s="164"/>
      <c r="B175" s="165"/>
      <c r="C175" s="166"/>
      <c r="D175" s="167"/>
      <c r="E175" s="168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</row>
    <row r="176" ht="14.25" customHeight="1">
      <c r="A176" s="164"/>
      <c r="B176" s="165"/>
      <c r="C176" s="166"/>
      <c r="D176" s="167"/>
      <c r="E176" s="168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</row>
    <row r="177" ht="14.25" customHeight="1">
      <c r="A177" s="164"/>
      <c r="B177" s="165"/>
      <c r="C177" s="166"/>
      <c r="D177" s="167"/>
      <c r="E177" s="168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4"/>
    </row>
    <row r="178" ht="14.25" customHeight="1">
      <c r="A178" s="164"/>
      <c r="B178" s="165"/>
      <c r="C178" s="166"/>
      <c r="D178" s="167"/>
      <c r="E178" s="168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</row>
    <row r="179" ht="14.25" customHeight="1">
      <c r="A179" s="164"/>
      <c r="B179" s="165"/>
      <c r="C179" s="166"/>
      <c r="D179" s="167"/>
      <c r="E179" s="168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4"/>
    </row>
    <row r="180" ht="14.25" customHeight="1">
      <c r="A180" s="164"/>
      <c r="B180" s="165"/>
      <c r="C180" s="166"/>
      <c r="D180" s="167"/>
      <c r="E180" s="168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</row>
    <row r="181" ht="14.25" customHeight="1">
      <c r="A181" s="164"/>
      <c r="B181" s="165"/>
      <c r="C181" s="166"/>
      <c r="D181" s="167"/>
      <c r="E181" s="168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</row>
    <row r="182" ht="14.25" customHeight="1">
      <c r="A182" s="164"/>
      <c r="B182" s="165"/>
      <c r="C182" s="166"/>
      <c r="D182" s="167"/>
      <c r="E182" s="168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154"/>
    </row>
    <row r="183" ht="14.25" customHeight="1">
      <c r="A183" s="164"/>
      <c r="B183" s="165"/>
      <c r="C183" s="166"/>
      <c r="D183" s="167"/>
      <c r="E183" s="168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4"/>
    </row>
    <row r="184" ht="14.25" customHeight="1">
      <c r="A184" s="164"/>
      <c r="B184" s="165"/>
      <c r="C184" s="166"/>
      <c r="D184" s="167"/>
      <c r="E184" s="168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</row>
    <row r="185" ht="14.25" customHeight="1">
      <c r="A185" s="164"/>
      <c r="B185" s="165"/>
      <c r="C185" s="166"/>
      <c r="D185" s="167"/>
      <c r="E185" s="168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</row>
    <row r="186" ht="14.25" customHeight="1">
      <c r="A186" s="164"/>
      <c r="B186" s="165"/>
      <c r="C186" s="166"/>
      <c r="D186" s="167"/>
      <c r="E186" s="168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</row>
    <row r="187" ht="14.25" customHeight="1">
      <c r="A187" s="164"/>
      <c r="B187" s="165"/>
      <c r="C187" s="166"/>
      <c r="D187" s="167"/>
      <c r="E187" s="168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</row>
    <row r="188" ht="14.25" customHeight="1">
      <c r="A188" s="164"/>
      <c r="B188" s="165"/>
      <c r="C188" s="166"/>
      <c r="D188" s="167"/>
      <c r="E188" s="168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</row>
    <row r="189" ht="14.25" customHeight="1">
      <c r="A189" s="164"/>
      <c r="B189" s="165"/>
      <c r="C189" s="166"/>
      <c r="D189" s="167"/>
      <c r="E189" s="168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</row>
    <row r="190" ht="14.25" customHeight="1">
      <c r="A190" s="164"/>
      <c r="B190" s="165"/>
      <c r="C190" s="166"/>
      <c r="D190" s="167"/>
      <c r="E190" s="168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</row>
    <row r="191" ht="14.25" customHeight="1">
      <c r="A191" s="164"/>
      <c r="B191" s="165"/>
      <c r="C191" s="166"/>
      <c r="D191" s="167"/>
      <c r="E191" s="168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</row>
    <row r="192" ht="14.25" customHeight="1">
      <c r="A192" s="164"/>
      <c r="B192" s="165"/>
      <c r="C192" s="166"/>
      <c r="D192" s="167"/>
      <c r="E192" s="168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</row>
    <row r="193" ht="14.25" customHeight="1">
      <c r="A193" s="164"/>
      <c r="B193" s="165"/>
      <c r="C193" s="166"/>
      <c r="D193" s="167"/>
      <c r="E193" s="168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</row>
    <row r="194" ht="14.25" customHeight="1">
      <c r="A194" s="164"/>
      <c r="B194" s="165"/>
      <c r="C194" s="166"/>
      <c r="D194" s="167"/>
      <c r="E194" s="168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</row>
    <row r="195" ht="14.25" customHeight="1">
      <c r="A195" s="164"/>
      <c r="B195" s="165"/>
      <c r="C195" s="166"/>
      <c r="D195" s="167"/>
      <c r="E195" s="168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</row>
    <row r="196" ht="14.25" customHeight="1">
      <c r="A196" s="164"/>
      <c r="B196" s="165"/>
      <c r="C196" s="166"/>
      <c r="D196" s="167"/>
      <c r="E196" s="168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</row>
    <row r="197" ht="14.25" customHeight="1">
      <c r="A197" s="164"/>
      <c r="B197" s="165"/>
      <c r="C197" s="166"/>
      <c r="D197" s="167"/>
      <c r="E197" s="168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</row>
    <row r="198" ht="14.25" customHeight="1">
      <c r="A198" s="164"/>
      <c r="B198" s="165"/>
      <c r="C198" s="166"/>
      <c r="D198" s="167"/>
      <c r="E198" s="168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</row>
    <row r="199" ht="14.25" customHeight="1">
      <c r="A199" s="164"/>
      <c r="B199" s="165"/>
      <c r="C199" s="166"/>
      <c r="D199" s="167"/>
      <c r="E199" s="168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154"/>
    </row>
    <row r="200" ht="14.25" customHeight="1">
      <c r="A200" s="164"/>
      <c r="B200" s="165"/>
      <c r="C200" s="166"/>
      <c r="D200" s="167"/>
      <c r="E200" s="168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4"/>
    </row>
    <row r="201" ht="14.25" customHeight="1">
      <c r="A201" s="164"/>
      <c r="B201" s="165"/>
      <c r="C201" s="166"/>
      <c r="D201" s="167"/>
      <c r="E201" s="168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</row>
    <row r="202" ht="14.25" customHeight="1">
      <c r="A202" s="164"/>
      <c r="B202" s="165"/>
      <c r="C202" s="166"/>
      <c r="D202" s="167"/>
      <c r="E202" s="168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4"/>
    </row>
    <row r="203" ht="14.25" customHeight="1">
      <c r="A203" s="164"/>
      <c r="B203" s="165"/>
      <c r="C203" s="166"/>
      <c r="D203" s="167"/>
      <c r="E203" s="168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</row>
    <row r="204" ht="14.25" customHeight="1">
      <c r="A204" s="164"/>
      <c r="B204" s="165"/>
      <c r="C204" s="166"/>
      <c r="D204" s="167"/>
      <c r="E204" s="168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</row>
    <row r="205" ht="14.25" customHeight="1">
      <c r="A205" s="164"/>
      <c r="B205" s="165"/>
      <c r="C205" s="166"/>
      <c r="D205" s="167"/>
      <c r="E205" s="168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</row>
    <row r="206" ht="14.25" customHeight="1">
      <c r="A206" s="164"/>
      <c r="B206" s="165"/>
      <c r="C206" s="166"/>
      <c r="D206" s="167"/>
      <c r="E206" s="168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</row>
    <row r="207" ht="14.25" customHeight="1">
      <c r="A207" s="164"/>
      <c r="B207" s="165"/>
      <c r="C207" s="166"/>
      <c r="D207" s="167"/>
      <c r="E207" s="168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</row>
    <row r="208" ht="14.25" customHeight="1">
      <c r="A208" s="164"/>
      <c r="B208" s="165"/>
      <c r="C208" s="166"/>
      <c r="D208" s="167"/>
      <c r="E208" s="168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</row>
    <row r="209" ht="14.25" customHeight="1">
      <c r="A209" s="164"/>
      <c r="B209" s="165"/>
      <c r="C209" s="166"/>
      <c r="D209" s="167"/>
      <c r="E209" s="168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</row>
    <row r="210" ht="14.25" customHeight="1">
      <c r="A210" s="164"/>
      <c r="B210" s="165"/>
      <c r="C210" s="166"/>
      <c r="D210" s="167"/>
      <c r="E210" s="168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</row>
    <row r="211" ht="14.25" customHeight="1">
      <c r="A211" s="164"/>
      <c r="B211" s="165"/>
      <c r="C211" s="166"/>
      <c r="D211" s="167"/>
      <c r="E211" s="168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</row>
    <row r="212" ht="14.25" customHeight="1">
      <c r="A212" s="164"/>
      <c r="B212" s="165"/>
      <c r="C212" s="166"/>
      <c r="D212" s="167"/>
      <c r="E212" s="168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</row>
    <row r="213" ht="14.25" customHeight="1">
      <c r="A213" s="164"/>
      <c r="B213" s="165"/>
      <c r="C213" s="166"/>
      <c r="D213" s="167"/>
      <c r="E213" s="168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</row>
    <row r="214" ht="14.25" customHeight="1">
      <c r="A214" s="164"/>
      <c r="B214" s="165"/>
      <c r="C214" s="166"/>
      <c r="D214" s="167"/>
      <c r="E214" s="168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</row>
    <row r="215" ht="14.25" customHeight="1">
      <c r="A215" s="164"/>
      <c r="B215" s="165"/>
      <c r="C215" s="166"/>
      <c r="D215" s="167"/>
      <c r="E215" s="168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4"/>
    </row>
    <row r="216" ht="14.25" customHeight="1">
      <c r="A216" s="164"/>
      <c r="B216" s="165"/>
      <c r="C216" s="166"/>
      <c r="D216" s="167"/>
      <c r="E216" s="168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</row>
    <row r="217" ht="14.25" customHeight="1">
      <c r="A217" s="164"/>
      <c r="B217" s="165"/>
      <c r="C217" s="166"/>
      <c r="D217" s="167"/>
      <c r="E217" s="168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</row>
    <row r="218" ht="14.25" customHeight="1">
      <c r="A218" s="164"/>
      <c r="B218" s="165"/>
      <c r="C218" s="166"/>
      <c r="D218" s="167"/>
      <c r="E218" s="168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</row>
    <row r="219" ht="14.25" customHeight="1">
      <c r="A219" s="164"/>
      <c r="B219" s="165"/>
      <c r="C219" s="166"/>
      <c r="D219" s="167"/>
      <c r="E219" s="168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</row>
    <row r="220" ht="14.25" customHeight="1">
      <c r="A220" s="164"/>
      <c r="B220" s="165"/>
      <c r="C220" s="166"/>
      <c r="D220" s="167"/>
      <c r="E220" s="168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</row>
    <row r="221" ht="14.25" customHeight="1">
      <c r="A221" s="164"/>
      <c r="B221" s="165"/>
      <c r="C221" s="166"/>
      <c r="D221" s="167"/>
      <c r="E221" s="168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</row>
    <row r="222" ht="14.25" customHeight="1">
      <c r="A222" s="164"/>
      <c r="B222" s="165"/>
      <c r="C222" s="166"/>
      <c r="D222" s="167"/>
      <c r="E222" s="168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</row>
    <row r="223" ht="14.25" customHeight="1">
      <c r="A223" s="164"/>
      <c r="B223" s="165"/>
      <c r="C223" s="166"/>
      <c r="D223" s="167"/>
      <c r="E223" s="168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</row>
    <row r="224" ht="14.25" customHeight="1">
      <c r="A224" s="164"/>
      <c r="B224" s="165"/>
      <c r="C224" s="166"/>
      <c r="D224" s="167"/>
      <c r="E224" s="168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</row>
    <row r="225" ht="14.25" customHeight="1">
      <c r="A225" s="164"/>
      <c r="B225" s="165"/>
      <c r="C225" s="166"/>
      <c r="D225" s="167"/>
      <c r="E225" s="168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</row>
    <row r="226" ht="14.25" customHeight="1">
      <c r="A226" s="164"/>
      <c r="B226" s="165"/>
      <c r="C226" s="166"/>
      <c r="D226" s="167"/>
      <c r="E226" s="168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</row>
    <row r="227" ht="14.25" customHeight="1">
      <c r="A227" s="164"/>
      <c r="B227" s="165"/>
      <c r="C227" s="166"/>
      <c r="D227" s="167"/>
      <c r="E227" s="168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</row>
    <row r="228" ht="14.25" customHeight="1">
      <c r="A228" s="164"/>
      <c r="B228" s="165"/>
      <c r="C228" s="166"/>
      <c r="D228" s="167"/>
      <c r="E228" s="168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</row>
    <row r="229" ht="14.25" customHeight="1">
      <c r="A229" s="164"/>
      <c r="B229" s="165"/>
      <c r="C229" s="166"/>
      <c r="D229" s="167"/>
      <c r="E229" s="168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</row>
    <row r="230" ht="14.25" customHeight="1">
      <c r="A230" s="164"/>
      <c r="B230" s="165"/>
      <c r="C230" s="166"/>
      <c r="D230" s="167"/>
      <c r="E230" s="168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</row>
    <row r="231" ht="14.25" customHeight="1">
      <c r="A231" s="164"/>
      <c r="B231" s="165"/>
      <c r="C231" s="166"/>
      <c r="D231" s="167"/>
      <c r="E231" s="168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154"/>
    </row>
    <row r="232" ht="14.25" customHeight="1">
      <c r="A232" s="164"/>
      <c r="B232" s="165"/>
      <c r="C232" s="166"/>
      <c r="D232" s="167"/>
      <c r="E232" s="168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154"/>
    </row>
    <row r="233" ht="14.25" customHeight="1">
      <c r="A233" s="164"/>
      <c r="B233" s="165"/>
      <c r="C233" s="166"/>
      <c r="D233" s="167"/>
      <c r="E233" s="168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  <c r="Z233" s="154"/>
    </row>
    <row r="234" ht="14.25" customHeight="1">
      <c r="A234" s="164"/>
      <c r="B234" s="165"/>
      <c r="C234" s="166"/>
      <c r="D234" s="167"/>
      <c r="E234" s="168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</row>
    <row r="235" ht="14.25" customHeight="1">
      <c r="A235" s="164"/>
      <c r="B235" s="165"/>
      <c r="C235" s="166"/>
      <c r="D235" s="167"/>
      <c r="E235" s="168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</row>
    <row r="236" ht="14.25" customHeight="1">
      <c r="A236" s="164"/>
      <c r="B236" s="165"/>
      <c r="C236" s="166"/>
      <c r="D236" s="167"/>
      <c r="E236" s="168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</row>
    <row r="237" ht="14.25" customHeight="1">
      <c r="A237" s="164"/>
      <c r="B237" s="165"/>
      <c r="C237" s="166"/>
      <c r="D237" s="167"/>
      <c r="E237" s="168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</row>
    <row r="238" ht="14.25" customHeight="1">
      <c r="A238" s="164"/>
      <c r="B238" s="165"/>
      <c r="C238" s="166"/>
      <c r="D238" s="167"/>
      <c r="E238" s="168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</row>
    <row r="239" ht="14.25" customHeight="1">
      <c r="A239" s="164"/>
      <c r="B239" s="165"/>
      <c r="C239" s="166"/>
      <c r="D239" s="167"/>
      <c r="E239" s="168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</row>
    <row r="240" ht="14.25" customHeight="1">
      <c r="A240" s="164"/>
      <c r="B240" s="165"/>
      <c r="C240" s="166"/>
      <c r="D240" s="167"/>
      <c r="E240" s="168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</row>
    <row r="241" ht="14.25" customHeight="1">
      <c r="A241" s="164"/>
      <c r="B241" s="165"/>
      <c r="C241" s="166"/>
      <c r="D241" s="167"/>
      <c r="E241" s="168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</row>
    <row r="242" ht="14.25" customHeight="1">
      <c r="A242" s="164"/>
      <c r="B242" s="165"/>
      <c r="C242" s="166"/>
      <c r="D242" s="167"/>
      <c r="E242" s="168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</row>
    <row r="243" ht="14.25" customHeight="1">
      <c r="A243" s="164"/>
      <c r="B243" s="165"/>
      <c r="C243" s="166"/>
      <c r="D243" s="167"/>
      <c r="E243" s="168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</row>
    <row r="244" ht="14.25" customHeight="1">
      <c r="A244" s="164"/>
      <c r="B244" s="165"/>
      <c r="C244" s="166"/>
      <c r="D244" s="167"/>
      <c r="E244" s="168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</row>
    <row r="245" ht="14.25" customHeight="1">
      <c r="A245" s="164"/>
      <c r="B245" s="165"/>
      <c r="C245" s="166"/>
      <c r="D245" s="167"/>
      <c r="E245" s="168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</row>
    <row r="246" ht="14.25" customHeight="1">
      <c r="A246" s="164"/>
      <c r="B246" s="165"/>
      <c r="C246" s="166"/>
      <c r="D246" s="167"/>
      <c r="E246" s="168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</row>
    <row r="247" ht="14.25" customHeight="1">
      <c r="A247" s="164"/>
      <c r="B247" s="165"/>
      <c r="C247" s="166"/>
      <c r="D247" s="167"/>
      <c r="E247" s="168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</row>
    <row r="248" ht="14.25" customHeight="1">
      <c r="A248" s="164"/>
      <c r="B248" s="165"/>
      <c r="C248" s="166"/>
      <c r="D248" s="167"/>
      <c r="E248" s="168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</row>
    <row r="249" ht="14.25" customHeight="1">
      <c r="A249" s="164"/>
      <c r="B249" s="165"/>
      <c r="C249" s="166"/>
      <c r="D249" s="167"/>
      <c r="E249" s="168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154"/>
    </row>
    <row r="250" ht="14.25" customHeight="1">
      <c r="A250" s="164"/>
      <c r="B250" s="165"/>
      <c r="C250" s="166"/>
      <c r="D250" s="167"/>
      <c r="E250" s="168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4"/>
    </row>
    <row r="251" ht="14.25" customHeight="1">
      <c r="A251" s="164"/>
      <c r="B251" s="165"/>
      <c r="C251" s="166"/>
      <c r="D251" s="167"/>
      <c r="E251" s="168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</row>
    <row r="252" ht="14.25" customHeight="1">
      <c r="A252" s="164"/>
      <c r="B252" s="165"/>
      <c r="C252" s="166"/>
      <c r="D252" s="167"/>
      <c r="E252" s="168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4"/>
    </row>
    <row r="253" ht="14.25" customHeight="1">
      <c r="A253" s="164"/>
      <c r="B253" s="165"/>
      <c r="C253" s="166"/>
      <c r="D253" s="167"/>
      <c r="E253" s="168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</row>
    <row r="254" ht="14.25" customHeight="1">
      <c r="A254" s="164"/>
      <c r="B254" s="165"/>
      <c r="C254" s="166"/>
      <c r="D254" s="167"/>
      <c r="E254" s="168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</row>
    <row r="255" ht="14.25" customHeight="1">
      <c r="A255" s="164"/>
      <c r="B255" s="165"/>
      <c r="C255" s="166"/>
      <c r="D255" s="167"/>
      <c r="E255" s="168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54"/>
    </row>
    <row r="256" ht="14.25" customHeight="1">
      <c r="A256" s="164"/>
      <c r="B256" s="165"/>
      <c r="C256" s="166"/>
      <c r="D256" s="167"/>
      <c r="E256" s="168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</row>
    <row r="257" ht="14.25" customHeight="1">
      <c r="A257" s="164"/>
      <c r="B257" s="165"/>
      <c r="C257" s="166"/>
      <c r="D257" s="167"/>
      <c r="E257" s="168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</row>
    <row r="258" ht="14.25" customHeight="1">
      <c r="A258" s="164"/>
      <c r="B258" s="165"/>
      <c r="C258" s="166"/>
      <c r="D258" s="167"/>
      <c r="E258" s="168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</row>
    <row r="259" ht="14.25" customHeight="1">
      <c r="A259" s="164"/>
      <c r="B259" s="165"/>
      <c r="C259" s="166"/>
      <c r="D259" s="167"/>
      <c r="E259" s="168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</row>
    <row r="260" ht="14.25" customHeight="1">
      <c r="A260" s="164"/>
      <c r="B260" s="165"/>
      <c r="C260" s="166"/>
      <c r="D260" s="167"/>
      <c r="E260" s="168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</row>
    <row r="261" ht="14.25" customHeight="1">
      <c r="A261" s="164"/>
      <c r="B261" s="165"/>
      <c r="C261" s="166"/>
      <c r="D261" s="167"/>
      <c r="E261" s="168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</row>
    <row r="262" ht="14.25" customHeight="1">
      <c r="A262" s="164"/>
      <c r="B262" s="165"/>
      <c r="C262" s="166"/>
      <c r="D262" s="167"/>
      <c r="E262" s="168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</row>
    <row r="263" ht="14.25" customHeight="1">
      <c r="A263" s="164"/>
      <c r="B263" s="165"/>
      <c r="C263" s="166"/>
      <c r="D263" s="167"/>
      <c r="E263" s="168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54"/>
    </row>
    <row r="264" ht="14.25" customHeight="1">
      <c r="A264" s="164"/>
      <c r="B264" s="165"/>
      <c r="C264" s="166"/>
      <c r="D264" s="167"/>
      <c r="E264" s="168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</row>
    <row r="265" ht="14.25" customHeight="1">
      <c r="A265" s="164"/>
      <c r="B265" s="165"/>
      <c r="C265" s="166"/>
      <c r="D265" s="167"/>
      <c r="E265" s="168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  <c r="Z265" s="154"/>
    </row>
    <row r="266" ht="14.25" customHeight="1">
      <c r="A266" s="164"/>
      <c r="B266" s="165"/>
      <c r="C266" s="166"/>
      <c r="D266" s="167"/>
      <c r="E266" s="168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  <c r="X266" s="154"/>
      <c r="Y266" s="154"/>
      <c r="Z266" s="154"/>
    </row>
    <row r="267" ht="14.25" customHeight="1">
      <c r="A267" s="164"/>
      <c r="B267" s="165"/>
      <c r="C267" s="166"/>
      <c r="D267" s="167"/>
      <c r="E267" s="168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4"/>
    </row>
    <row r="268" ht="14.25" customHeight="1">
      <c r="A268" s="164"/>
      <c r="B268" s="165"/>
      <c r="C268" s="166"/>
      <c r="D268" s="167"/>
      <c r="E268" s="168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4"/>
    </row>
    <row r="269" ht="14.25" customHeight="1">
      <c r="A269" s="164"/>
      <c r="B269" s="165"/>
      <c r="C269" s="166"/>
      <c r="D269" s="167"/>
      <c r="E269" s="168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4"/>
    </row>
    <row r="270" ht="14.25" customHeight="1">
      <c r="A270" s="164"/>
      <c r="B270" s="165"/>
      <c r="C270" s="166"/>
      <c r="D270" s="167"/>
      <c r="E270" s="168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4"/>
    </row>
    <row r="271" ht="14.25" customHeight="1">
      <c r="A271" s="164"/>
      <c r="B271" s="165"/>
      <c r="C271" s="166"/>
      <c r="D271" s="167"/>
      <c r="E271" s="168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4"/>
    </row>
    <row r="272" ht="14.25" customHeight="1">
      <c r="A272" s="164"/>
      <c r="B272" s="165"/>
      <c r="C272" s="166"/>
      <c r="D272" s="167"/>
      <c r="E272" s="168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154"/>
    </row>
    <row r="273" ht="14.25" customHeight="1">
      <c r="A273" s="164"/>
      <c r="B273" s="165"/>
      <c r="C273" s="166"/>
      <c r="D273" s="167"/>
      <c r="E273" s="168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4"/>
    </row>
    <row r="274" ht="14.25" customHeight="1">
      <c r="A274" s="164"/>
      <c r="B274" s="165"/>
      <c r="C274" s="166"/>
      <c r="D274" s="167"/>
      <c r="E274" s="168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4"/>
    </row>
    <row r="275" ht="14.25" customHeight="1">
      <c r="A275" s="164"/>
      <c r="B275" s="165"/>
      <c r="C275" s="166"/>
      <c r="D275" s="167"/>
      <c r="E275" s="168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4"/>
    </row>
    <row r="276" ht="14.25" customHeight="1">
      <c r="A276" s="164"/>
      <c r="B276" s="165"/>
      <c r="C276" s="166"/>
      <c r="D276" s="167"/>
      <c r="E276" s="168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</row>
    <row r="277" ht="14.25" customHeight="1">
      <c r="A277" s="164"/>
      <c r="B277" s="165"/>
      <c r="C277" s="166"/>
      <c r="D277" s="167"/>
      <c r="E277" s="168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</row>
    <row r="278" ht="14.25" customHeight="1">
      <c r="A278" s="164"/>
      <c r="B278" s="165"/>
      <c r="C278" s="166"/>
      <c r="D278" s="167"/>
      <c r="E278" s="168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</row>
    <row r="279" ht="14.25" customHeight="1">
      <c r="A279" s="164"/>
      <c r="B279" s="165"/>
      <c r="C279" s="166"/>
      <c r="D279" s="167"/>
      <c r="E279" s="168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4"/>
    </row>
    <row r="280" ht="14.25" customHeight="1">
      <c r="A280" s="164"/>
      <c r="B280" s="165"/>
      <c r="C280" s="166"/>
      <c r="D280" s="167"/>
      <c r="E280" s="168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</row>
    <row r="281" ht="14.25" customHeight="1">
      <c r="A281" s="164"/>
      <c r="B281" s="165"/>
      <c r="C281" s="166"/>
      <c r="D281" s="167"/>
      <c r="E281" s="168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</row>
    <row r="282" ht="14.25" customHeight="1">
      <c r="A282" s="164"/>
      <c r="B282" s="165"/>
      <c r="C282" s="166"/>
      <c r="D282" s="167"/>
      <c r="E282" s="168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</row>
    <row r="283" ht="14.25" customHeight="1">
      <c r="A283" s="164"/>
      <c r="B283" s="165"/>
      <c r="C283" s="166"/>
      <c r="D283" s="167"/>
      <c r="E283" s="168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</row>
    <row r="284" ht="14.25" customHeight="1">
      <c r="A284" s="164"/>
      <c r="B284" s="165"/>
      <c r="C284" s="166"/>
      <c r="D284" s="167"/>
      <c r="E284" s="168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</row>
    <row r="285" ht="14.25" customHeight="1">
      <c r="A285" s="164"/>
      <c r="B285" s="165"/>
      <c r="C285" s="166"/>
      <c r="D285" s="167"/>
      <c r="E285" s="168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154"/>
    </row>
    <row r="286" ht="14.25" customHeight="1">
      <c r="A286" s="164"/>
      <c r="B286" s="165"/>
      <c r="C286" s="166"/>
      <c r="D286" s="167"/>
      <c r="E286" s="168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4"/>
    </row>
    <row r="287" ht="14.25" customHeight="1">
      <c r="A287" s="164"/>
      <c r="B287" s="165"/>
      <c r="C287" s="166"/>
      <c r="D287" s="167"/>
      <c r="E287" s="168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</row>
    <row r="288" ht="14.25" customHeight="1">
      <c r="A288" s="164"/>
      <c r="B288" s="165"/>
      <c r="C288" s="166"/>
      <c r="D288" s="167"/>
      <c r="E288" s="168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</row>
    <row r="289" ht="14.25" customHeight="1">
      <c r="A289" s="164"/>
      <c r="B289" s="165"/>
      <c r="C289" s="166"/>
      <c r="D289" s="167"/>
      <c r="E289" s="168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</row>
    <row r="290" ht="14.25" customHeight="1">
      <c r="A290" s="164"/>
      <c r="B290" s="165"/>
      <c r="C290" s="166"/>
      <c r="D290" s="167"/>
      <c r="E290" s="168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4"/>
    </row>
    <row r="291" ht="14.25" customHeight="1">
      <c r="A291" s="164"/>
      <c r="B291" s="165"/>
      <c r="C291" s="166"/>
      <c r="D291" s="167"/>
      <c r="E291" s="168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154"/>
    </row>
    <row r="292" ht="14.25" customHeight="1">
      <c r="A292" s="164"/>
      <c r="B292" s="165"/>
      <c r="C292" s="166"/>
      <c r="D292" s="167"/>
      <c r="E292" s="168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154"/>
    </row>
    <row r="293" ht="14.25" customHeight="1">
      <c r="A293" s="164"/>
      <c r="B293" s="165"/>
      <c r="C293" s="166"/>
      <c r="D293" s="167"/>
      <c r="E293" s="168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154"/>
    </row>
    <row r="294" ht="14.25" customHeight="1">
      <c r="A294" s="164"/>
      <c r="B294" s="165"/>
      <c r="C294" s="166"/>
      <c r="D294" s="167"/>
      <c r="E294" s="168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</row>
    <row r="295" ht="14.25" customHeight="1">
      <c r="A295" s="164"/>
      <c r="B295" s="165"/>
      <c r="C295" s="166"/>
      <c r="D295" s="167"/>
      <c r="E295" s="168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</row>
    <row r="296" ht="14.25" customHeight="1">
      <c r="A296" s="164"/>
      <c r="B296" s="165"/>
      <c r="C296" s="166"/>
      <c r="D296" s="167"/>
      <c r="E296" s="168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</row>
    <row r="297" ht="14.25" customHeight="1">
      <c r="A297" s="164"/>
      <c r="B297" s="165"/>
      <c r="C297" s="166"/>
      <c r="D297" s="167"/>
      <c r="E297" s="168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</row>
    <row r="298" ht="14.25" customHeight="1">
      <c r="A298" s="164"/>
      <c r="B298" s="165"/>
      <c r="C298" s="166"/>
      <c r="D298" s="167"/>
      <c r="E298" s="168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</row>
    <row r="299" ht="14.25" customHeight="1">
      <c r="A299" s="164"/>
      <c r="B299" s="165"/>
      <c r="C299" s="166"/>
      <c r="D299" s="167"/>
      <c r="E299" s="168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</row>
    <row r="300" ht="14.25" customHeight="1">
      <c r="A300" s="164"/>
      <c r="B300" s="165"/>
      <c r="C300" s="166"/>
      <c r="D300" s="167"/>
      <c r="E300" s="168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</row>
    <row r="301" ht="14.25" customHeight="1">
      <c r="A301" s="164"/>
      <c r="B301" s="165"/>
      <c r="C301" s="166"/>
      <c r="D301" s="167"/>
      <c r="E301" s="168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</row>
    <row r="302" ht="14.25" customHeight="1">
      <c r="A302" s="164"/>
      <c r="B302" s="165"/>
      <c r="C302" s="166"/>
      <c r="D302" s="167"/>
      <c r="E302" s="168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</row>
    <row r="303" ht="14.25" customHeight="1">
      <c r="A303" s="164"/>
      <c r="B303" s="165"/>
      <c r="C303" s="166"/>
      <c r="D303" s="167"/>
      <c r="E303" s="168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4"/>
    </row>
    <row r="304" ht="14.25" customHeight="1">
      <c r="A304" s="164"/>
      <c r="B304" s="165"/>
      <c r="C304" s="166"/>
      <c r="D304" s="167"/>
      <c r="E304" s="168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</row>
    <row r="305" ht="14.25" customHeight="1">
      <c r="A305" s="164"/>
      <c r="B305" s="165"/>
      <c r="C305" s="166"/>
      <c r="D305" s="167"/>
      <c r="E305" s="168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</row>
    <row r="306" ht="14.25" customHeight="1">
      <c r="A306" s="164"/>
      <c r="B306" s="165"/>
      <c r="C306" s="166"/>
      <c r="D306" s="167"/>
      <c r="E306" s="168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</row>
    <row r="307" ht="14.25" customHeight="1">
      <c r="A307" s="164"/>
      <c r="B307" s="165"/>
      <c r="C307" s="166"/>
      <c r="D307" s="167"/>
      <c r="E307" s="168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154"/>
    </row>
    <row r="308" ht="14.25" customHeight="1">
      <c r="A308" s="164"/>
      <c r="B308" s="165"/>
      <c r="C308" s="166"/>
      <c r="D308" s="167"/>
      <c r="E308" s="168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4"/>
    </row>
    <row r="309" ht="14.25" customHeight="1">
      <c r="A309" s="164"/>
      <c r="B309" s="165"/>
      <c r="C309" s="166"/>
      <c r="D309" s="167"/>
      <c r="E309" s="168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</row>
    <row r="310" ht="14.25" customHeight="1">
      <c r="A310" s="164"/>
      <c r="B310" s="165"/>
      <c r="C310" s="166"/>
      <c r="D310" s="167"/>
      <c r="E310" s="168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</row>
    <row r="311" ht="14.25" customHeight="1">
      <c r="A311" s="164"/>
      <c r="B311" s="165"/>
      <c r="C311" s="166"/>
      <c r="D311" s="167"/>
      <c r="E311" s="168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</row>
    <row r="312" ht="14.25" customHeight="1">
      <c r="A312" s="164"/>
      <c r="B312" s="165"/>
      <c r="C312" s="166"/>
      <c r="D312" s="167"/>
      <c r="E312" s="168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</row>
    <row r="313" ht="14.25" customHeight="1">
      <c r="A313" s="164"/>
      <c r="B313" s="165"/>
      <c r="C313" s="166"/>
      <c r="D313" s="167"/>
      <c r="E313" s="168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</row>
    <row r="314" ht="14.25" customHeight="1">
      <c r="A314" s="164"/>
      <c r="B314" s="165"/>
      <c r="C314" s="166"/>
      <c r="D314" s="167"/>
      <c r="E314" s="168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</row>
    <row r="315" ht="14.25" customHeight="1">
      <c r="A315" s="164"/>
      <c r="B315" s="165"/>
      <c r="C315" s="166"/>
      <c r="D315" s="167"/>
      <c r="E315" s="168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</row>
    <row r="316" ht="14.25" customHeight="1">
      <c r="A316" s="164"/>
      <c r="B316" s="165"/>
      <c r="C316" s="166"/>
      <c r="D316" s="167"/>
      <c r="E316" s="168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</row>
    <row r="317" ht="14.25" customHeight="1">
      <c r="A317" s="164"/>
      <c r="B317" s="165"/>
      <c r="C317" s="166"/>
      <c r="D317" s="167"/>
      <c r="E317" s="168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</row>
    <row r="318" ht="14.25" customHeight="1">
      <c r="A318" s="164"/>
      <c r="B318" s="165"/>
      <c r="C318" s="166"/>
      <c r="D318" s="167"/>
      <c r="E318" s="168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</row>
    <row r="319" ht="14.25" customHeight="1">
      <c r="A319" s="164"/>
      <c r="B319" s="165"/>
      <c r="C319" s="166"/>
      <c r="D319" s="167"/>
      <c r="E319" s="168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</row>
    <row r="320" ht="14.25" customHeight="1">
      <c r="A320" s="164"/>
      <c r="B320" s="165"/>
      <c r="C320" s="166"/>
      <c r="D320" s="167"/>
      <c r="E320" s="168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</row>
    <row r="321" ht="14.25" customHeight="1">
      <c r="A321" s="164"/>
      <c r="B321" s="165"/>
      <c r="C321" s="166"/>
      <c r="D321" s="167"/>
      <c r="E321" s="168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</row>
    <row r="322" ht="14.25" customHeight="1">
      <c r="A322" s="164"/>
      <c r="B322" s="165"/>
      <c r="C322" s="166"/>
      <c r="D322" s="167"/>
      <c r="E322" s="168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154"/>
    </row>
    <row r="323" ht="14.25" customHeight="1">
      <c r="A323" s="164"/>
      <c r="B323" s="165"/>
      <c r="C323" s="166"/>
      <c r="D323" s="167"/>
      <c r="E323" s="168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</row>
    <row r="324" ht="14.25" customHeight="1">
      <c r="A324" s="164"/>
      <c r="B324" s="165"/>
      <c r="C324" s="166"/>
      <c r="D324" s="167"/>
      <c r="E324" s="168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</row>
    <row r="325" ht="14.25" customHeight="1">
      <c r="A325" s="164"/>
      <c r="B325" s="165"/>
      <c r="C325" s="166"/>
      <c r="D325" s="167"/>
      <c r="E325" s="168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</row>
    <row r="326" ht="14.25" customHeight="1">
      <c r="A326" s="164"/>
      <c r="B326" s="165"/>
      <c r="C326" s="166"/>
      <c r="D326" s="167"/>
      <c r="E326" s="168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</row>
    <row r="327" ht="14.25" customHeight="1">
      <c r="A327" s="164"/>
      <c r="B327" s="165"/>
      <c r="C327" s="166"/>
      <c r="D327" s="167"/>
      <c r="E327" s="168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</row>
    <row r="328" ht="14.25" customHeight="1">
      <c r="A328" s="164"/>
      <c r="B328" s="165"/>
      <c r="C328" s="166"/>
      <c r="D328" s="167"/>
      <c r="E328" s="168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</row>
    <row r="329" ht="14.25" customHeight="1">
      <c r="A329" s="164"/>
      <c r="B329" s="165"/>
      <c r="C329" s="166"/>
      <c r="D329" s="167"/>
      <c r="E329" s="168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154"/>
    </row>
    <row r="330" ht="14.25" customHeight="1">
      <c r="A330" s="164"/>
      <c r="B330" s="165"/>
      <c r="C330" s="166"/>
      <c r="D330" s="167"/>
      <c r="E330" s="168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</row>
    <row r="331" ht="14.25" customHeight="1">
      <c r="A331" s="164"/>
      <c r="B331" s="165"/>
      <c r="C331" s="166"/>
      <c r="D331" s="167"/>
      <c r="E331" s="168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</row>
    <row r="332" ht="14.25" customHeight="1">
      <c r="A332" s="164"/>
      <c r="B332" s="165"/>
      <c r="C332" s="166"/>
      <c r="D332" s="167"/>
      <c r="E332" s="168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</row>
    <row r="333" ht="14.25" customHeight="1">
      <c r="A333" s="164"/>
      <c r="B333" s="165"/>
      <c r="C333" s="166"/>
      <c r="D333" s="167"/>
      <c r="E333" s="168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</row>
    <row r="334" ht="14.25" customHeight="1">
      <c r="A334" s="164"/>
      <c r="B334" s="165"/>
      <c r="C334" s="166"/>
      <c r="D334" s="167"/>
      <c r="E334" s="168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</row>
    <row r="335" ht="14.25" customHeight="1">
      <c r="A335" s="164"/>
      <c r="B335" s="165"/>
      <c r="C335" s="166"/>
      <c r="D335" s="167"/>
      <c r="E335" s="168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</row>
    <row r="336" ht="14.25" customHeight="1">
      <c r="A336" s="164"/>
      <c r="B336" s="165"/>
      <c r="C336" s="166"/>
      <c r="D336" s="167"/>
      <c r="E336" s="168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</row>
    <row r="337" ht="14.25" customHeight="1">
      <c r="A337" s="164"/>
      <c r="B337" s="165"/>
      <c r="C337" s="166"/>
      <c r="D337" s="167"/>
      <c r="E337" s="168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</row>
    <row r="338" ht="14.25" customHeight="1">
      <c r="A338" s="164"/>
      <c r="B338" s="165"/>
      <c r="C338" s="166"/>
      <c r="D338" s="167"/>
      <c r="E338" s="168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</row>
    <row r="339" ht="14.25" customHeight="1">
      <c r="A339" s="164"/>
      <c r="B339" s="165"/>
      <c r="C339" s="166"/>
      <c r="D339" s="167"/>
      <c r="E339" s="168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154"/>
    </row>
    <row r="340" ht="14.25" customHeight="1">
      <c r="A340" s="164"/>
      <c r="B340" s="165"/>
      <c r="C340" s="166"/>
      <c r="D340" s="167"/>
      <c r="E340" s="168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</row>
    <row r="341" ht="14.25" customHeight="1">
      <c r="A341" s="164"/>
      <c r="B341" s="165"/>
      <c r="C341" s="166"/>
      <c r="D341" s="167"/>
      <c r="E341" s="168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</row>
    <row r="342" ht="14.25" customHeight="1">
      <c r="A342" s="164"/>
      <c r="B342" s="165"/>
      <c r="C342" s="166"/>
      <c r="D342" s="167"/>
      <c r="E342" s="168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</row>
    <row r="343" ht="14.25" customHeight="1">
      <c r="A343" s="164"/>
      <c r="B343" s="165"/>
      <c r="C343" s="166"/>
      <c r="D343" s="167"/>
      <c r="E343" s="168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</row>
    <row r="344" ht="14.25" customHeight="1">
      <c r="A344" s="164"/>
      <c r="B344" s="165"/>
      <c r="C344" s="166"/>
      <c r="D344" s="167"/>
      <c r="E344" s="168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154"/>
    </row>
    <row r="345" ht="14.25" customHeight="1">
      <c r="A345" s="164"/>
      <c r="B345" s="165"/>
      <c r="C345" s="166"/>
      <c r="D345" s="167"/>
      <c r="E345" s="168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154"/>
    </row>
    <row r="346" ht="14.25" customHeight="1">
      <c r="A346" s="164"/>
      <c r="B346" s="165"/>
      <c r="C346" s="166"/>
      <c r="D346" s="167"/>
      <c r="E346" s="168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154"/>
    </row>
    <row r="347" ht="14.25" customHeight="1">
      <c r="A347" s="164"/>
      <c r="B347" s="165"/>
      <c r="C347" s="166"/>
      <c r="D347" s="167"/>
      <c r="E347" s="168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</row>
    <row r="348" ht="14.25" customHeight="1">
      <c r="A348" s="164"/>
      <c r="B348" s="165"/>
      <c r="C348" s="166"/>
      <c r="D348" s="167"/>
      <c r="E348" s="168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</row>
    <row r="349" ht="14.25" customHeight="1">
      <c r="A349" s="164"/>
      <c r="B349" s="165"/>
      <c r="C349" s="166"/>
      <c r="D349" s="167"/>
      <c r="E349" s="168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</row>
    <row r="350" ht="14.25" customHeight="1">
      <c r="A350" s="164"/>
      <c r="B350" s="165"/>
      <c r="C350" s="166"/>
      <c r="D350" s="167"/>
      <c r="E350" s="168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</row>
    <row r="351" ht="14.25" customHeight="1">
      <c r="A351" s="164"/>
      <c r="B351" s="165"/>
      <c r="C351" s="166"/>
      <c r="D351" s="167"/>
      <c r="E351" s="168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</row>
    <row r="352" ht="14.25" customHeight="1">
      <c r="A352" s="164"/>
      <c r="B352" s="165"/>
      <c r="C352" s="166"/>
      <c r="D352" s="167"/>
      <c r="E352" s="168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</row>
    <row r="353" ht="14.25" customHeight="1">
      <c r="A353" s="164"/>
      <c r="B353" s="165"/>
      <c r="C353" s="166"/>
      <c r="D353" s="167"/>
      <c r="E353" s="168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</row>
    <row r="354" ht="14.25" customHeight="1">
      <c r="A354" s="164"/>
      <c r="B354" s="165"/>
      <c r="C354" s="166"/>
      <c r="D354" s="167"/>
      <c r="E354" s="168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</row>
    <row r="355" ht="14.25" customHeight="1">
      <c r="A355" s="164"/>
      <c r="B355" s="165"/>
      <c r="C355" s="166"/>
      <c r="D355" s="167"/>
      <c r="E355" s="168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</row>
    <row r="356" ht="14.25" customHeight="1">
      <c r="A356" s="164"/>
      <c r="B356" s="165"/>
      <c r="C356" s="166"/>
      <c r="D356" s="167"/>
      <c r="E356" s="168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</row>
    <row r="357" ht="14.25" customHeight="1">
      <c r="A357" s="164"/>
      <c r="B357" s="165"/>
      <c r="C357" s="166"/>
      <c r="D357" s="167"/>
      <c r="E357" s="168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</row>
    <row r="358" ht="14.25" customHeight="1">
      <c r="A358" s="164"/>
      <c r="B358" s="165"/>
      <c r="C358" s="166"/>
      <c r="D358" s="167"/>
      <c r="E358" s="168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4"/>
    </row>
    <row r="359" ht="14.25" customHeight="1">
      <c r="A359" s="164"/>
      <c r="B359" s="165"/>
      <c r="C359" s="166"/>
      <c r="D359" s="167"/>
      <c r="E359" s="168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</row>
    <row r="360" ht="14.25" customHeight="1">
      <c r="A360" s="164"/>
      <c r="B360" s="165"/>
      <c r="C360" s="166"/>
      <c r="D360" s="167"/>
      <c r="E360" s="168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4"/>
    </row>
    <row r="361" ht="14.25" customHeight="1">
      <c r="A361" s="164"/>
      <c r="B361" s="165"/>
      <c r="C361" s="166"/>
      <c r="D361" s="167"/>
      <c r="E361" s="168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148" t="s">
        <v>168</v>
      </c>
      <c r="B1" s="149" t="s">
        <v>197</v>
      </c>
      <c r="C1" s="150" t="s">
        <v>169</v>
      </c>
      <c r="D1" s="151" t="s">
        <v>198</v>
      </c>
      <c r="E1" s="152" t="s">
        <v>199</v>
      </c>
      <c r="G1" s="153" t="s">
        <v>200</v>
      </c>
      <c r="H1" s="121">
        <f>MATCH("",A2:A1001,-1)</f>
        <v>57</v>
      </c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</row>
    <row r="2" ht="14.25" customHeight="1">
      <c r="A2" s="155" t="str">
        <f>IFERROR(__xludf.DUMMYFUNCTION(" IMPORTRANGE(""https://docs.google.com/spreadsheets/d/1yezFBcd-iZhMw5FQIDYLD2HkuR0Aj0btrS4XsvMJxsQ/edit#gid=695545632"",""Roller Coaster!A2:A161"")"),"_Sale-Bet_")</f>
        <v>_Sale-Bet_</v>
      </c>
      <c r="B2" s="156">
        <v>1.0</v>
      </c>
      <c r="C2" s="157">
        <f t="shared" ref="C2:C160" si="1">525*(1-(B2/($H$1+1)))*POWER((SQRT(($H$1+1)/B2)),1/2)</f>
        <v>1423.846473</v>
      </c>
      <c r="D2" s="158" t="str">
        <f>VLOOKUP(A2,'Classement RoC'!$B$2:$C$149,1,0)</f>
        <v>_Sale-Bet_</v>
      </c>
      <c r="E2" s="159" t="str">
        <f t="shared" ref="E2:E160" si="2">IF(D2=A2,"","erreur")</f>
        <v/>
      </c>
      <c r="F2" s="120" t="str">
        <f>VLOOKUP(A2,'Classement Général'!$B$2:$B$146,1,0)</f>
        <v>_Sale-Bet_</v>
      </c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ht="14.25" customHeight="1">
      <c r="A3" s="160" t="str">
        <f>IFERROR(__xludf.DUMMYFUNCTION("""COMPUTED_VALUE"""),"FridAKahlo")</f>
        <v>FridAKahlo</v>
      </c>
      <c r="B3" s="161">
        <v>2.0</v>
      </c>
      <c r="C3" s="157">
        <f t="shared" si="1"/>
        <v>1176.302002</v>
      </c>
      <c r="D3" s="158" t="str">
        <f>VLOOKUP(A3,'Classement RoC'!$B$2:$C$149,1,0)</f>
        <v>FridAKahlo</v>
      </c>
      <c r="E3" s="159" t="str">
        <f t="shared" si="2"/>
        <v/>
      </c>
      <c r="F3" s="120" t="str">
        <f>VLOOKUP(A3,'Classement Général'!$B$2:$B$146,1,0)</f>
        <v>FridAKahlo</v>
      </c>
      <c r="G3" s="162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ht="14.25" customHeight="1">
      <c r="A4" s="160" t="str">
        <f>IFERROR(__xludf.DUMMYFUNCTION("""COMPUTED_VALUE"""),"Tontonzgueg")</f>
        <v>Tontonzgueg</v>
      </c>
      <c r="B4" s="156">
        <v>3.0</v>
      </c>
      <c r="C4" s="157">
        <f t="shared" si="1"/>
        <v>1043.928331</v>
      </c>
      <c r="D4" s="158" t="str">
        <f>VLOOKUP(A4,'Classement RoC'!$B$2:$C$149,1,0)</f>
        <v>Tontonzgueg</v>
      </c>
      <c r="E4" s="159" t="str">
        <f t="shared" si="2"/>
        <v/>
      </c>
      <c r="F4" s="120" t="str">
        <f>VLOOKUP(A4,'Classement Général'!$B$2:$B$146,1,0)</f>
        <v>Tontonzgueg</v>
      </c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ht="14.25" customHeight="1">
      <c r="A5" s="160" t="str">
        <f>IFERROR(__xludf.DUMMYFUNCTION("""COMPUTED_VALUE"""),"immond")</f>
        <v>immond</v>
      </c>
      <c r="B5" s="161">
        <v>4.0</v>
      </c>
      <c r="C5" s="157">
        <f t="shared" si="1"/>
        <v>953.8214179</v>
      </c>
      <c r="D5" s="158" t="str">
        <f>VLOOKUP(A5,'Classement RoC'!$B$2:$C$149,1,0)</f>
        <v>immond</v>
      </c>
      <c r="E5" s="163" t="str">
        <f t="shared" si="2"/>
        <v/>
      </c>
      <c r="F5" s="120" t="str">
        <f>VLOOKUP(A5,'Classement Général'!$B$2:$B$146,1,0)</f>
        <v>immond</v>
      </c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ht="14.25" customHeight="1">
      <c r="A6" s="160" t="str">
        <f>IFERROR(__xludf.DUMMYFUNCTION("""COMPUTED_VALUE"""),"Steprou86")</f>
        <v>Steprou86</v>
      </c>
      <c r="B6" s="156">
        <v>5.0</v>
      </c>
      <c r="C6" s="157">
        <f t="shared" si="1"/>
        <v>885.3636284</v>
      </c>
      <c r="D6" s="158" t="str">
        <f>VLOOKUP(A6,'Classement RoC'!$B$2:$C$149,1,0)</f>
        <v>Steprou86</v>
      </c>
      <c r="E6" s="163" t="str">
        <f t="shared" si="2"/>
        <v/>
      </c>
      <c r="F6" s="120" t="str">
        <f>VLOOKUP(A6,'Classement Général'!$B$2:$B$146,1,0)</f>
        <v>Steprou86</v>
      </c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</row>
    <row r="7" ht="14.25" customHeight="1">
      <c r="A7" s="160" t="str">
        <f>IFERROR(__xludf.DUMMYFUNCTION("""COMPUTED_VALUE"""),"SINGE7")</f>
        <v>SINGE7</v>
      </c>
      <c r="B7" s="161">
        <v>6.0</v>
      </c>
      <c r="C7" s="157">
        <f t="shared" si="1"/>
        <v>829.9536501</v>
      </c>
      <c r="D7" s="158" t="str">
        <f>VLOOKUP(A7,'Classement RoC'!$B$2:$C$149,1,0)</f>
        <v>SINGE7</v>
      </c>
      <c r="E7" s="163" t="str">
        <f t="shared" si="2"/>
        <v/>
      </c>
      <c r="F7" s="120" t="str">
        <f>VLOOKUP(A7,'Classement Général'!$B$2:$B$146,1,0)</f>
        <v>SINGE7</v>
      </c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</row>
    <row r="8" ht="14.25" customHeight="1">
      <c r="A8" s="160" t="str">
        <f>IFERROR(__xludf.DUMMYFUNCTION("""COMPUTED_VALUE"""),"GooodJooob")</f>
        <v>GooodJooob</v>
      </c>
      <c r="B8" s="156">
        <v>7.0</v>
      </c>
      <c r="C8" s="157">
        <f t="shared" si="1"/>
        <v>783.2203705</v>
      </c>
      <c r="D8" s="158" t="str">
        <f>VLOOKUP(A8,'Classement RoC'!$B$2:$C$149,1,0)</f>
        <v>GooodJooob</v>
      </c>
      <c r="E8" s="163" t="str">
        <f t="shared" si="2"/>
        <v/>
      </c>
      <c r="F8" s="120" t="str">
        <f>VLOOKUP(A8,'Classement Général'!$B$2:$B$146,1,0)</f>
        <v>GooodJooob</v>
      </c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</row>
    <row r="9" ht="14.25" customHeight="1">
      <c r="A9" s="160" t="str">
        <f>IFERROR(__xludf.DUMMYFUNCTION("""COMPUTED_VALUE"""),"COMBERS")</f>
        <v>COMBERS</v>
      </c>
      <c r="B9" s="161">
        <v>8.0</v>
      </c>
      <c r="C9" s="157">
        <f t="shared" si="1"/>
        <v>742.6527881</v>
      </c>
      <c r="D9" s="158" t="str">
        <f>VLOOKUP(A9,'Classement RoC'!$B$2:$C$149,1,0)</f>
        <v>COMBERS</v>
      </c>
      <c r="E9" s="163" t="str">
        <f t="shared" si="2"/>
        <v/>
      </c>
      <c r="F9" s="120" t="str">
        <f>VLOOKUP(A9,'Classement Général'!$B$2:$B$146,1,0)</f>
        <v>COMBERS</v>
      </c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</row>
    <row r="10" ht="14.25" customHeight="1">
      <c r="A10" s="160" t="str">
        <f>IFERROR(__xludf.DUMMYFUNCTION("""COMPUTED_VALUE"""),"Mako Lemore")</f>
        <v>Mako Lemore</v>
      </c>
      <c r="B10" s="156">
        <v>9.0</v>
      </c>
      <c r="C10" s="157">
        <f t="shared" si="1"/>
        <v>706.681563</v>
      </c>
      <c r="D10" s="158" t="str">
        <f>VLOOKUP(A10,'Classement RoC'!$B$2:$C$149,1,0)</f>
        <v>Mako Lemore</v>
      </c>
      <c r="E10" s="163" t="str">
        <f t="shared" si="2"/>
        <v/>
      </c>
      <c r="F10" s="120" t="str">
        <f>VLOOKUP(A10,'Classement Général'!$B$2:$B$146,1,0)</f>
        <v>Mako Lemore</v>
      </c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ht="14.25" customHeight="1">
      <c r="A11" s="160" t="str">
        <f>IFERROR(__xludf.DUMMYFUNCTION("""COMPUTED_VALUE"""),"Vaillant 86")</f>
        <v>Vaillant 86</v>
      </c>
      <c r="B11" s="161">
        <v>10.0</v>
      </c>
      <c r="C11" s="157">
        <f t="shared" si="1"/>
        <v>674.263337</v>
      </c>
      <c r="D11" s="158" t="str">
        <f>VLOOKUP(A11,'Classement RoC'!$B$2:$C$149,1,0)</f>
        <v>Vaillant 86</v>
      </c>
      <c r="E11" s="163" t="str">
        <f t="shared" si="2"/>
        <v/>
      </c>
      <c r="F11" s="120" t="str">
        <f>VLOOKUP(A11,'Classement Général'!$B$2:$B$146,1,0)</f>
        <v>Vaillant 86</v>
      </c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</row>
    <row r="12" ht="14.25" customHeight="1">
      <c r="A12" s="160" t="str">
        <f>IFERROR(__xludf.DUMMYFUNCTION("""COMPUTED_VALUE"""),"A_iniesta")</f>
        <v>A_iniesta</v>
      </c>
      <c r="B12" s="156">
        <v>11.0</v>
      </c>
      <c r="C12" s="157">
        <f t="shared" si="1"/>
        <v>644.6707931</v>
      </c>
      <c r="D12" s="158" t="str">
        <f>VLOOKUP(A12,'Classement RoC'!$B$2:$C$149,1,0)</f>
        <v>A_iniesta</v>
      </c>
      <c r="E12" s="163" t="str">
        <f t="shared" si="2"/>
        <v/>
      </c>
      <c r="F12" s="120" t="str">
        <f>VLOOKUP(A12,'Classement Général'!$B$2:$B$146,1,0)</f>
        <v>A_iniesta</v>
      </c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ht="14.25" customHeight="1">
      <c r="A13" s="160" t="str">
        <f>IFERROR(__xludf.DUMMYFUNCTION("""COMPUTED_VALUE"""),"Redblood92")</f>
        <v>Redblood92</v>
      </c>
      <c r="B13" s="161">
        <v>12.0</v>
      </c>
      <c r="C13" s="157">
        <f t="shared" si="1"/>
        <v>617.3775435</v>
      </c>
      <c r="D13" s="158" t="str">
        <f>VLOOKUP(A13,'Classement RoC'!$B$2:$C$149,1,0)</f>
        <v>Redblood92</v>
      </c>
      <c r="E13" s="163" t="str">
        <f t="shared" si="2"/>
        <v/>
      </c>
      <c r="F13" s="120" t="str">
        <f>VLOOKUP(A13,'Classement Général'!$B$2:$B$146,1,0)</f>
        <v>Redblood92</v>
      </c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ht="14.25" customHeight="1">
      <c r="A14" s="160" t="str">
        <f>IFERROR(__xludf.DUMMYFUNCTION("""COMPUTED_VALUE"""),"Elfy")</f>
        <v>Elfy</v>
      </c>
      <c r="B14" s="156">
        <v>13.0</v>
      </c>
      <c r="C14" s="157">
        <f t="shared" si="1"/>
        <v>591.990836</v>
      </c>
      <c r="D14" s="158" t="str">
        <f>VLOOKUP(A14,'Classement RoC'!$B$2:$C$149,1,0)</f>
        <v>Elfy</v>
      </c>
      <c r="E14" s="163" t="str">
        <f t="shared" si="2"/>
        <v/>
      </c>
      <c r="F14" s="120" t="str">
        <f>VLOOKUP(A14,'Classement Général'!$B$2:$B$146,1,0)</f>
        <v>Elfy</v>
      </c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</row>
    <row r="15" ht="14.25" customHeight="1">
      <c r="A15" s="160" t="str">
        <f>IFERROR(__xludf.DUMMYFUNCTION("""COMPUTED_VALUE"""),"DonnesTchips")</f>
        <v>DonnesTchips</v>
      </c>
      <c r="B15" s="161">
        <v>14.0</v>
      </c>
      <c r="C15" s="157">
        <f t="shared" si="1"/>
        <v>568.2101349</v>
      </c>
      <c r="D15" s="158" t="str">
        <f>VLOOKUP(A15,'Classement RoC'!$B$2:$C$149,1,0)</f>
        <v>DonnesTchips</v>
      </c>
      <c r="E15" s="163" t="str">
        <f t="shared" si="2"/>
        <v/>
      </c>
      <c r="F15" s="120" t="str">
        <f>VLOOKUP(A15,'Classement Général'!$B$2:$B$146,1,0)</f>
        <v>DonnesTchips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</row>
    <row r="16" ht="14.25" customHeight="1">
      <c r="A16" s="160" t="str">
        <f>IFERROR(__xludf.DUMMYFUNCTION("""COMPUTED_VALUE"""),"Rod_John_VI")</f>
        <v>Rod_John_VI</v>
      </c>
      <c r="B16" s="156">
        <v>15.0</v>
      </c>
      <c r="C16" s="157">
        <f t="shared" si="1"/>
        <v>545.800525</v>
      </c>
      <c r="D16" s="158" t="str">
        <f>VLOOKUP(A16,'Classement RoC'!$B$2:$C$149,1,0)</f>
        <v>Rod_John_VI</v>
      </c>
      <c r="E16" s="163" t="str">
        <f t="shared" si="2"/>
        <v/>
      </c>
      <c r="F16" s="120" t="str">
        <f>VLOOKUP(A16,'Classement Général'!$B$2:$B$146,1,0)</f>
        <v>Rod_John_VI</v>
      </c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ht="14.25" customHeight="1">
      <c r="A17" s="160" t="str">
        <f>IFERROR(__xludf.DUMMYFUNCTION("""COMPUTED_VALUE"""),"NezuKO-demon")</f>
        <v>NezuKO-demon</v>
      </c>
      <c r="B17" s="161">
        <v>16.0</v>
      </c>
      <c r="C17" s="157">
        <f t="shared" si="1"/>
        <v>524.5750165</v>
      </c>
      <c r="D17" s="158" t="str">
        <f>VLOOKUP(A17,'Classement RoC'!$B$2:$C$149,1,0)</f>
        <v>NezuKO-demon</v>
      </c>
      <c r="E17" s="163" t="str">
        <f t="shared" si="2"/>
        <v/>
      </c>
      <c r="F17" s="120" t="str">
        <f>VLOOKUP(A17,'Classement Général'!$B$2:$B$146,1,0)</f>
        <v>NezuKO-demon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</row>
    <row r="18" ht="14.25" customHeight="1">
      <c r="A18" s="160" t="str">
        <f>IFERROR(__xludf.DUMMYFUNCTION("""COMPUTED_VALUE"""),"UniThe")</f>
        <v>UniThe</v>
      </c>
      <c r="B18" s="156">
        <v>17.0</v>
      </c>
      <c r="C18" s="157">
        <f t="shared" si="1"/>
        <v>504.3824125</v>
      </c>
      <c r="D18" s="158" t="str">
        <f>VLOOKUP(A18,'Classement RoC'!$B$2:$C$149,1,0)</f>
        <v>UniThe</v>
      </c>
      <c r="E18" s="163" t="str">
        <f t="shared" si="2"/>
        <v/>
      </c>
      <c r="F18" s="120" t="str">
        <f>VLOOKUP(A18,'Classement Général'!$B$2:$B$146,1,0)</f>
        <v>UniThe</v>
      </c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</row>
    <row r="19" ht="14.25" customHeight="1">
      <c r="A19" s="160" t="str">
        <f>IFERROR(__xludf.DUMMYFUNCTION("""COMPUTED_VALUE"""),"StephBoss05")</f>
        <v>StephBoss05</v>
      </c>
      <c r="B19" s="161">
        <v>18.0</v>
      </c>
      <c r="C19" s="157">
        <f t="shared" si="1"/>
        <v>485.0987698</v>
      </c>
      <c r="D19" s="158" t="str">
        <f>VLOOKUP(A19,'Classement RoC'!$B$2:$C$149,1,0)</f>
        <v>StephBoss05</v>
      </c>
      <c r="E19" s="163" t="str">
        <f t="shared" si="2"/>
        <v/>
      </c>
      <c r="F19" s="120" t="str">
        <f>VLOOKUP(A19,'Classement Général'!$B$2:$B$146,1,0)</f>
        <v>StephBoss05</v>
      </c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</row>
    <row r="20" ht="14.25" customHeight="1">
      <c r="A20" s="160" t="str">
        <f>IFERROR(__xludf.DUMMYFUNCTION("""COMPUTED_VALUE"""),"Marco")</f>
        <v>Marco</v>
      </c>
      <c r="B20" s="156">
        <v>19.0</v>
      </c>
      <c r="C20" s="157">
        <f t="shared" si="1"/>
        <v>466.6212524</v>
      </c>
      <c r="D20" s="158" t="str">
        <f>VLOOKUP(A20,'Classement RoC'!$B$2:$C$149,1,0)</f>
        <v>Marco</v>
      </c>
      <c r="E20" s="163" t="str">
        <f t="shared" si="2"/>
        <v/>
      </c>
      <c r="F20" s="120" t="str">
        <f>VLOOKUP(A20,'Classement Général'!$B$2:$B$146,1,0)</f>
        <v>#N/A</v>
      </c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</row>
    <row r="21" ht="14.25" customHeight="1">
      <c r="A21" s="160" t="str">
        <f>IFERROR(__xludf.DUMMYFUNCTION("""COMPUTED_VALUE"""),"PrendmAmAin")</f>
        <v>PrendmAmAin</v>
      </c>
      <c r="B21" s="161">
        <v>20.0</v>
      </c>
      <c r="C21" s="157">
        <f t="shared" si="1"/>
        <v>448.8636182</v>
      </c>
      <c r="D21" s="158" t="str">
        <f>VLOOKUP(A21,'Classement RoC'!$B$2:$C$149,1,0)</f>
        <v>PrendmAmAin</v>
      </c>
      <c r="E21" s="163" t="str">
        <f t="shared" si="2"/>
        <v/>
      </c>
      <c r="F21" s="120" t="str">
        <f>VLOOKUP(A21,'Classement Général'!$B$2:$B$146,1,0)</f>
        <v>PrendmAmAin</v>
      </c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</row>
    <row r="22" ht="14.25" customHeight="1">
      <c r="A22" s="160" t="str">
        <f>IFERROR(__xludf.DUMMYFUNCTION("""COMPUTED_VALUE"""),". BARBAPAPA66")</f>
        <v>. BARBAPAPA66</v>
      </c>
      <c r="B22" s="156">
        <v>21.0</v>
      </c>
      <c r="C22" s="157">
        <f t="shared" si="1"/>
        <v>431.7528456</v>
      </c>
      <c r="D22" s="158" t="str">
        <f>VLOOKUP(A22,'Classement RoC'!$B$2:$C$149,1,0)</f>
        <v>. BARBAPAPA66</v>
      </c>
      <c r="E22" s="163" t="str">
        <f t="shared" si="2"/>
        <v/>
      </c>
      <c r="F22" s="120" t="str">
        <f>VLOOKUP(A22,'Classement Général'!$B$2:$B$146,1,0)</f>
        <v>. BARBAPAPA66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</row>
    <row r="23" ht="14.25" customHeight="1">
      <c r="A23" s="160" t="str">
        <f>IFERROR(__xludf.DUMMYFUNCTION("""COMPUTED_VALUE"""),"Mar1desbois")</f>
        <v>Mar1desbois</v>
      </c>
      <c r="B23" s="161">
        <v>22.0</v>
      </c>
      <c r="C23" s="157">
        <f t="shared" si="1"/>
        <v>415.2265728</v>
      </c>
      <c r="D23" s="158" t="str">
        <f>VLOOKUP(A23,'Classement RoC'!$B$2:$C$149,1,0)</f>
        <v>Mar1desbois</v>
      </c>
      <c r="E23" s="163" t="str">
        <f t="shared" si="2"/>
        <v/>
      </c>
      <c r="F23" s="120" t="str">
        <f>VLOOKUP(A23,'Classement Général'!$B$2:$B$146,1,0)</f>
        <v>Mar1desbois</v>
      </c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</row>
    <row r="24" ht="14.25" customHeight="1">
      <c r="A24" s="160" t="str">
        <f>IFERROR(__xludf.DUMMYFUNCTION("""COMPUTED_VALUE"""),"Blochedu86")</f>
        <v>Blochedu86</v>
      </c>
      <c r="B24" s="156">
        <v>23.0</v>
      </c>
      <c r="C24" s="157">
        <f t="shared" si="1"/>
        <v>399.2311259</v>
      </c>
      <c r="D24" s="158" t="str">
        <f>VLOOKUP(A24,'Classement RoC'!$B$2:$C$149,1,0)</f>
        <v>Blochedu86</v>
      </c>
      <c r="E24" s="163" t="str">
        <f t="shared" si="2"/>
        <v/>
      </c>
      <c r="F24" s="120" t="str">
        <f>VLOOKUP(A24,'Classement Général'!$B$2:$B$146,1,0)</f>
        <v>Blochedu86</v>
      </c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</row>
    <row r="25" ht="14.25" customHeight="1">
      <c r="A25" s="160" t="str">
        <f>IFERROR(__xludf.DUMMYFUNCTION("""COMPUTED_VALUE"""),"Kevfurious")</f>
        <v>Kevfurious</v>
      </c>
      <c r="B25" s="161">
        <v>24.0</v>
      </c>
      <c r="C25" s="157">
        <f t="shared" si="1"/>
        <v>383.7199815</v>
      </c>
      <c r="D25" s="158" t="str">
        <f>VLOOKUP(A25,'Classement RoC'!$B$2:$C$149,1,0)</f>
        <v>Kevfurious</v>
      </c>
      <c r="E25" s="163" t="str">
        <f t="shared" si="2"/>
        <v/>
      </c>
      <c r="F25" s="120" t="str">
        <f>VLOOKUP(A25,'Classement Général'!$B$2:$B$146,1,0)</f>
        <v>Kevfurious</v>
      </c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</row>
    <row r="26" ht="14.25" customHeight="1">
      <c r="A26" s="160" t="str">
        <f>IFERROR(__xludf.DUMMYFUNCTION("""COMPUTED_VALUE"""),"POMB1664")</f>
        <v>POMB1664</v>
      </c>
      <c r="B26" s="156">
        <v>25.0</v>
      </c>
      <c r="C26" s="157">
        <f t="shared" si="1"/>
        <v>368.6525531</v>
      </c>
      <c r="D26" s="158" t="str">
        <f>VLOOKUP(A26,'Classement RoC'!$B$2:$C$149,1,0)</f>
        <v>POMB1664</v>
      </c>
      <c r="E26" s="163" t="str">
        <f t="shared" si="2"/>
        <v/>
      </c>
      <c r="F26" s="120" t="str">
        <f>VLOOKUP(A26,'Classement Général'!$B$2:$B$146,1,0)</f>
        <v>POMB1664</v>
      </c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</row>
    <row r="27" ht="14.25" customHeight="1">
      <c r="A27" s="160" t="str">
        <f>IFERROR(__xludf.DUMMYFUNCTION("""COMPUTED_VALUE"""),"ariba")</f>
        <v>ariba</v>
      </c>
      <c r="B27" s="161">
        <v>26.0</v>
      </c>
      <c r="C27" s="157">
        <f t="shared" si="1"/>
        <v>353.9932244</v>
      </c>
      <c r="D27" s="158" t="str">
        <f>VLOOKUP(A27,'Classement RoC'!$B$2:$C$149,1,0)</f>
        <v>ariba</v>
      </c>
      <c r="E27" s="163" t="str">
        <f t="shared" si="2"/>
        <v/>
      </c>
      <c r="F27" s="120" t="str">
        <f>VLOOKUP(A27,'Classement Général'!$B$2:$B$146,1,0)</f>
        <v>ariba</v>
      </c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</row>
    <row r="28" ht="14.25" customHeight="1">
      <c r="A28" s="160" t="str">
        <f>IFERROR(__xludf.DUMMYFUNCTION("""COMPUTED_VALUE"""),"cassius-86")</f>
        <v>cassius-86</v>
      </c>
      <c r="B28" s="156">
        <v>27.0</v>
      </c>
      <c r="C28" s="157">
        <f t="shared" si="1"/>
        <v>339.7105708</v>
      </c>
      <c r="D28" s="158" t="str">
        <f>VLOOKUP(A28,'Classement RoC'!$B$2:$C$149,1,0)</f>
        <v>cassius-86</v>
      </c>
      <c r="E28" s="163" t="str">
        <f t="shared" si="2"/>
        <v/>
      </c>
      <c r="F28" s="120" t="str">
        <f>VLOOKUP(A28,'Classement Général'!$B$2:$B$146,1,0)</f>
        <v>cassius-86</v>
      </c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</row>
    <row r="29" ht="14.25" customHeight="1">
      <c r="A29" s="160" t="str">
        <f>IFERROR(__xludf.DUMMYFUNCTION("""COMPUTED_VALUE"""),"Like_A_Fish")</f>
        <v>Like_A_Fish</v>
      </c>
      <c r="B29" s="161">
        <v>28.0</v>
      </c>
      <c r="C29" s="157">
        <f t="shared" si="1"/>
        <v>325.7767265</v>
      </c>
      <c r="D29" s="158" t="str">
        <f>VLOOKUP(A29,'Classement RoC'!$B$2:$C$149,1,0)</f>
        <v>Like_A_Fish</v>
      </c>
      <c r="E29" s="163" t="str">
        <f t="shared" si="2"/>
        <v/>
      </c>
      <c r="F29" s="120" t="str">
        <f>VLOOKUP(A29,'Classement Général'!$B$2:$B$146,1,0)</f>
        <v>Like_A_Fish</v>
      </c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</row>
    <row r="30" ht="14.25" customHeight="1">
      <c r="A30" s="160" t="str">
        <f>IFERROR(__xludf.DUMMYFUNCTION("""COMPUTED_VALUE"""),"Titounio")</f>
        <v>Titounio</v>
      </c>
      <c r="B30" s="156">
        <v>29.0</v>
      </c>
      <c r="C30" s="157">
        <f t="shared" si="1"/>
        <v>312.1668677</v>
      </c>
      <c r="D30" s="158" t="str">
        <f>VLOOKUP(A30,'Classement RoC'!$B$2:$C$149,1,0)</f>
        <v>Titounio</v>
      </c>
      <c r="E30" s="163" t="str">
        <f t="shared" si="2"/>
        <v/>
      </c>
      <c r="F30" s="120" t="str">
        <f>VLOOKUP(A30,'Classement Général'!$B$2:$B$146,1,0)</f>
        <v>Titounio</v>
      </c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</row>
    <row r="31" ht="14.25" customHeight="1">
      <c r="A31" s="160" t="str">
        <f>IFERROR(__xludf.DUMMYFUNCTION("""COMPUTED_VALUE"""),"PSGJM")</f>
        <v>PSGJM</v>
      </c>
      <c r="B31" s="161">
        <v>30.0</v>
      </c>
      <c r="C31" s="157">
        <f t="shared" si="1"/>
        <v>298.8587846</v>
      </c>
      <c r="D31" s="158" t="str">
        <f>VLOOKUP(A31,'Classement RoC'!$B$2:$C$149,1,0)</f>
        <v>PSGJM</v>
      </c>
      <c r="E31" s="163" t="str">
        <f t="shared" si="2"/>
        <v/>
      </c>
      <c r="F31" s="120" t="str">
        <f>VLOOKUP(A31,'Classement Général'!$B$2:$B$146,1,0)</f>
        <v>PSGJM</v>
      </c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</row>
    <row r="32" ht="14.25" customHeight="1">
      <c r="A32" s="160" t="str">
        <f>IFERROR(__xludf.DUMMYFUNCTION("""COMPUTED_VALUE"""),"karibette86")</f>
        <v>karibette86</v>
      </c>
      <c r="B32" s="156">
        <v>31.0</v>
      </c>
      <c r="C32" s="157">
        <f t="shared" si="1"/>
        <v>285.8325271</v>
      </c>
      <c r="D32" s="158" t="str">
        <f>VLOOKUP(A32,'Classement RoC'!$B$2:$C$149,1,0)</f>
        <v>karibette86</v>
      </c>
      <c r="E32" s="163" t="str">
        <f t="shared" si="2"/>
        <v/>
      </c>
      <c r="F32" s="120" t="str">
        <f>VLOOKUP(A32,'Classement Général'!$B$2:$B$146,1,0)</f>
        <v>karibette86</v>
      </c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</row>
    <row r="33" ht="14.25" customHeight="1">
      <c r="A33" s="160" t="str">
        <f>IFERROR(__xludf.DUMMYFUNCTION("""COMPUTED_VALUE"""),"_VisMaVie_")</f>
        <v>_VisMaVie_</v>
      </c>
      <c r="B33" s="161">
        <v>32.0</v>
      </c>
      <c r="C33" s="157">
        <f t="shared" si="1"/>
        <v>273.0701077</v>
      </c>
      <c r="D33" s="158" t="str">
        <f>VLOOKUP(A33,'Classement RoC'!$B$2:$C$149,1,0)</f>
        <v>_VisMaVie_</v>
      </c>
      <c r="E33" s="163" t="str">
        <f t="shared" si="2"/>
        <v/>
      </c>
      <c r="F33" s="120" t="str">
        <f>VLOOKUP(A33,'Classement Général'!$B$2:$B$146,1,0)</f>
        <v>_VisMaVie_</v>
      </c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</row>
    <row r="34" ht="14.25" customHeight="1">
      <c r="A34" s="160" t="str">
        <f>IFERROR(__xludf.DUMMYFUNCTION("""COMPUTED_VALUE"""),"Belussac")</f>
        <v>Belussac</v>
      </c>
      <c r="B34" s="156">
        <v>33.0</v>
      </c>
      <c r="C34" s="157">
        <f t="shared" si="1"/>
        <v>260.5552522</v>
      </c>
      <c r="D34" s="158" t="str">
        <f>VLOOKUP(A34,'Classement RoC'!$B$2:$C$149,1,0)</f>
        <v>Belussac</v>
      </c>
      <c r="E34" s="163" t="str">
        <f t="shared" si="2"/>
        <v/>
      </c>
      <c r="F34" s="120" t="str">
        <f>VLOOKUP(A34,'Classement Général'!$B$2:$B$146,1,0)</f>
        <v>belussac</v>
      </c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</row>
    <row r="35" ht="14.25" customHeight="1">
      <c r="A35" s="160" t="str">
        <f>IFERROR(__xludf.DUMMYFUNCTION("""COMPUTED_VALUE"""),"Mikalack")</f>
        <v>Mikalack</v>
      </c>
      <c r="B35" s="161">
        <v>34.0</v>
      </c>
      <c r="C35" s="157">
        <f t="shared" si="1"/>
        <v>248.2731879</v>
      </c>
      <c r="D35" s="158" t="str">
        <f>VLOOKUP(A35,'Classement RoC'!$B$2:$C$149,1,0)</f>
        <v>Mikalack</v>
      </c>
      <c r="E35" s="163" t="str">
        <f t="shared" si="2"/>
        <v/>
      </c>
      <c r="F35" s="120" t="str">
        <f>VLOOKUP(A35,'Classement Général'!$B$2:$B$146,1,0)</f>
        <v>Mikalack</v>
      </c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</row>
    <row r="36" ht="14.25" customHeight="1">
      <c r="A36" s="160" t="str">
        <f>IFERROR(__xludf.DUMMYFUNCTION("""COMPUTED_VALUE"""),"Cataleya86")</f>
        <v>Cataleya86</v>
      </c>
      <c r="B36" s="156">
        <v>35.0</v>
      </c>
      <c r="C36" s="157">
        <f t="shared" si="1"/>
        <v>236.2104642</v>
      </c>
      <c r="D36" s="158" t="str">
        <f>VLOOKUP(A36,'Classement RoC'!$B$2:$C$149,1,0)</f>
        <v>Cataleya86</v>
      </c>
      <c r="E36" s="163" t="str">
        <f t="shared" si="2"/>
        <v/>
      </c>
      <c r="F36" s="120" t="str">
        <f>VLOOKUP(A36,'Classement Général'!$B$2:$B$146,1,0)</f>
        <v>Cataleya86</v>
      </c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</row>
    <row r="37" ht="14.25" customHeight="1">
      <c r="A37" s="160" t="str">
        <f>IFERROR(__xludf.DUMMYFUNCTION("""COMPUTED_VALUE"""),"Butterfly-as")</f>
        <v>Butterfly-as</v>
      </c>
      <c r="B37" s="161">
        <v>36.0</v>
      </c>
      <c r="C37" s="157">
        <f t="shared" si="1"/>
        <v>224.3547991</v>
      </c>
      <c r="D37" s="158" t="str">
        <f>VLOOKUP(A37,'Classement RoC'!$B$2:$C$149,1,0)</f>
        <v>Butterfly-as</v>
      </c>
      <c r="E37" s="163" t="str">
        <f t="shared" si="2"/>
        <v/>
      </c>
      <c r="F37" s="120" t="str">
        <f>VLOOKUP(A37,'Classement Général'!$B$2:$B$146,1,0)</f>
        <v>Butterfly-as</v>
      </c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</row>
    <row r="38" ht="14.25" customHeight="1">
      <c r="A38" s="160" t="str">
        <f>IFERROR(__xludf.DUMMYFUNCTION("""COMPUTED_VALUE"""),"Odile2Raise")</f>
        <v>Odile2Raise</v>
      </c>
      <c r="B38" s="156">
        <v>37.0</v>
      </c>
      <c r="C38" s="157">
        <f t="shared" si="1"/>
        <v>212.6949467</v>
      </c>
      <c r="D38" s="158" t="str">
        <f>VLOOKUP(A38,'Classement RoC'!$B$2:$C$149,1,0)</f>
        <v>Odile2Raise</v>
      </c>
      <c r="E38" s="163" t="str">
        <f t="shared" si="2"/>
        <v/>
      </c>
      <c r="F38" s="120" t="str">
        <f>VLOOKUP(A38,'Classement Général'!$B$2:$B$146,1,0)</f>
        <v>Odile2Raise</v>
      </c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</row>
    <row r="39" ht="14.25" customHeight="1">
      <c r="A39" s="160" t="str">
        <f>IFERROR(__xludf.DUMMYFUNCTION("""COMPUTED_VALUE"""),"Pachavi")</f>
        <v>Pachavi</v>
      </c>
      <c r="B39" s="161">
        <v>38.0</v>
      </c>
      <c r="C39" s="157">
        <f t="shared" si="1"/>
        <v>201.2205838</v>
      </c>
      <c r="D39" s="158" t="str">
        <f>VLOOKUP(A39,'Classement RoC'!$B$2:$C$149,1,0)</f>
        <v>Pachavi</v>
      </c>
      <c r="E39" s="163" t="str">
        <f t="shared" si="2"/>
        <v/>
      </c>
      <c r="F39" s="120" t="str">
        <f>VLOOKUP(A39,'Classement Général'!$B$2:$B$146,1,0)</f>
        <v>Pachavi</v>
      </c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</row>
    <row r="40" ht="14.25" customHeight="1">
      <c r="A40" s="160" t="str">
        <f>IFERROR(__xludf.DUMMYFUNCTION("""COMPUTED_VALUE"""),"Patgaret")</f>
        <v>Patgaret</v>
      </c>
      <c r="B40" s="156">
        <v>39.0</v>
      </c>
      <c r="C40" s="157">
        <f t="shared" si="1"/>
        <v>189.922211</v>
      </c>
      <c r="D40" s="158" t="str">
        <f>VLOOKUP(A40,'Classement RoC'!$B$2:$C$149,1,0)</f>
        <v>Patgaret</v>
      </c>
      <c r="E40" s="163" t="str">
        <f t="shared" si="2"/>
        <v/>
      </c>
      <c r="F40" s="120" t="str">
        <f>VLOOKUP(A40,'Classement Général'!$B$2:$B$146,1,0)</f>
        <v>Patgaret</v>
      </c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</row>
    <row r="41" ht="14.25" customHeight="1">
      <c r="A41" s="160" t="str">
        <f>IFERROR(__xludf.DUMMYFUNCTION("""COMPUTED_VALUE"""),"KamehamehAS")</f>
        <v>KamehamehAS</v>
      </c>
      <c r="B41" s="161">
        <v>40.0</v>
      </c>
      <c r="C41" s="157">
        <f t="shared" si="1"/>
        <v>178.7910667</v>
      </c>
      <c r="D41" s="158" t="str">
        <f>VLOOKUP(A41,'Classement RoC'!$B$2:$C$149,1,0)</f>
        <v>KamehamehAS</v>
      </c>
      <c r="E41" s="163" t="str">
        <f t="shared" si="2"/>
        <v/>
      </c>
      <c r="F41" s="120" t="str">
        <f>VLOOKUP(A41,'Classement Général'!$B$2:$B$146,1,0)</f>
        <v>KamehamehAS</v>
      </c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</row>
    <row r="42" ht="14.25" customHeight="1">
      <c r="A42" s="160" t="str">
        <f>IFERROR(__xludf.DUMMYFUNCTION("""COMPUTED_VALUE"""),"christ86000")</f>
        <v>christ86000</v>
      </c>
      <c r="B42" s="156">
        <v>41.0</v>
      </c>
      <c r="C42" s="157">
        <f t="shared" si="1"/>
        <v>167.8190528</v>
      </c>
      <c r="D42" s="158" t="str">
        <f>VLOOKUP(A42,'Classement RoC'!$B$2:$C$149,1,0)</f>
        <v>christ86000</v>
      </c>
      <c r="E42" s="163" t="str">
        <f t="shared" si="2"/>
        <v/>
      </c>
      <c r="F42" s="120" t="str">
        <f>VLOOKUP(A42,'Classement Général'!$B$2:$B$146,1,0)</f>
        <v>christ86000</v>
      </c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</row>
    <row r="43" ht="14.25" customHeight="1">
      <c r="A43" s="160" t="str">
        <f>IFERROR(__xludf.DUMMYFUNCTION("""COMPUTED_VALUE"""),"kiki86 x")</f>
        <v>kiki86 x</v>
      </c>
      <c r="B43" s="161">
        <v>42.0</v>
      </c>
      <c r="C43" s="157">
        <f t="shared" si="1"/>
        <v>156.9986682</v>
      </c>
      <c r="D43" s="158" t="str">
        <f>VLOOKUP(A43,'Classement RoC'!$B$2:$C$149,1,0)</f>
        <v>kiki86 x</v>
      </c>
      <c r="E43" s="163" t="str">
        <f t="shared" si="2"/>
        <v/>
      </c>
      <c r="F43" s="120" t="str">
        <f>VLOOKUP(A43,'Classement Général'!$B$2:$B$146,1,0)</f>
        <v>kiki86 x</v>
      </c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</row>
    <row r="44" ht="14.25" customHeight="1">
      <c r="A44" s="160" t="str">
        <f>IFERROR(__xludf.DUMMYFUNCTION("""COMPUTED_VALUE"""),"hmnyocleaver")</f>
        <v>hmnyocleaver</v>
      </c>
      <c r="B44" s="156">
        <v>43.0</v>
      </c>
      <c r="C44" s="157">
        <f t="shared" si="1"/>
        <v>146.3229517</v>
      </c>
      <c r="D44" s="158" t="str">
        <f>VLOOKUP(A44,'Classement RoC'!$B$2:$C$149,1,0)</f>
        <v>hmnyocleaver</v>
      </c>
      <c r="E44" s="163" t="str">
        <f t="shared" si="2"/>
        <v/>
      </c>
      <c r="F44" s="120" t="str">
        <f>VLOOKUP(A44,'Classement Général'!$B$2:$B$146,1,0)</f>
        <v>hmnyocleaver</v>
      </c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</row>
    <row r="45" ht="14.25" customHeight="1">
      <c r="A45" s="160" t="str">
        <f>IFERROR(__xludf.DUMMYFUNCTION("""COMPUTED_VALUE"""),"Marypops64")</f>
        <v>Marypops64</v>
      </c>
      <c r="B45" s="161">
        <v>44.0</v>
      </c>
      <c r="C45" s="157">
        <f t="shared" si="1"/>
        <v>135.7854309</v>
      </c>
      <c r="D45" s="158" t="str">
        <f>VLOOKUP(A45,'Classement RoC'!$B$2:$C$149,1,0)</f>
        <v>Marypops64</v>
      </c>
      <c r="E45" s="163" t="str">
        <f t="shared" si="2"/>
        <v/>
      </c>
      <c r="F45" s="120" t="str">
        <f>VLOOKUP(A45,'Classement Général'!$B$2:$B$146,1,0)</f>
        <v>marypops64</v>
      </c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</row>
    <row r="46" ht="14.25" customHeight="1">
      <c r="A46" s="160" t="str">
        <f>IFERROR(__xludf.DUMMYFUNCTION("""COMPUTED_VALUE"""),"chatouill86")</f>
        <v>chatouill86</v>
      </c>
      <c r="B46" s="156">
        <v>45.0</v>
      </c>
      <c r="C46" s="157">
        <f t="shared" si="1"/>
        <v>125.380077</v>
      </c>
      <c r="D46" s="158" t="str">
        <f>VLOOKUP(A46,'Classement RoC'!$B$2:$C$149,1,0)</f>
        <v>chatouill86</v>
      </c>
      <c r="E46" s="163" t="str">
        <f t="shared" si="2"/>
        <v/>
      </c>
      <c r="F46" s="120" t="str">
        <f>VLOOKUP(A46,'Classement Général'!$B$2:$B$146,1,0)</f>
        <v>chatouill86</v>
      </c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</row>
    <row r="47" ht="14.25" customHeight="1">
      <c r="A47" s="160" t="str">
        <f>IFERROR(__xludf.DUMMYFUNCTION("""COMPUTED_VALUE"""),"BBH 75")</f>
        <v>BBH 75</v>
      </c>
      <c r="B47" s="161">
        <v>46.0</v>
      </c>
      <c r="C47" s="157">
        <f t="shared" si="1"/>
        <v>115.1012649</v>
      </c>
      <c r="D47" s="158" t="str">
        <f>VLOOKUP(A47,'Classement RoC'!$B$2:$C$149,1,0)</f>
        <v>BBH 75</v>
      </c>
      <c r="E47" s="163" t="str">
        <f t="shared" si="2"/>
        <v/>
      </c>
      <c r="F47" s="120" t="str">
        <f>VLOOKUP(A47,'Classement Général'!$B$2:$B$146,1,0)</f>
        <v>BBH 75</v>
      </c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</row>
    <row r="48" ht="14.25" customHeight="1">
      <c r="A48" s="160" t="str">
        <f>IFERROR(__xludf.DUMMYFUNCTION("""COMPUTED_VALUE"""),"Garou du 86")</f>
        <v>Garou du 86</v>
      </c>
      <c r="B48" s="156">
        <v>47.0</v>
      </c>
      <c r="C48" s="157">
        <f t="shared" si="1"/>
        <v>104.9437379</v>
      </c>
      <c r="D48" s="158" t="str">
        <f>VLOOKUP(A48,'Classement RoC'!$B$2:$C$149,1,0)</f>
        <v>Garou du 86</v>
      </c>
      <c r="E48" s="163" t="str">
        <f t="shared" si="2"/>
        <v/>
      </c>
      <c r="F48" s="120" t="str">
        <f>VLOOKUP(A48,'Classement Général'!$B$2:$B$146,1,0)</f>
        <v>Garou du 86</v>
      </c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 ht="14.25" customHeight="1">
      <c r="A49" s="160" t="str">
        <f>IFERROR(__xludf.DUMMYFUNCTION("""COMPUTED_VALUE"""),"jejehehe")</f>
        <v>jejehehe</v>
      </c>
      <c r="B49" s="161">
        <v>48.0</v>
      </c>
      <c r="C49" s="157">
        <f t="shared" si="1"/>
        <v>94.90257556</v>
      </c>
      <c r="D49" s="158" t="str">
        <f>VLOOKUP(A49,'Classement RoC'!$B$2:$C$149,1,0)</f>
        <v>jejehehe</v>
      </c>
      <c r="E49" s="163" t="str">
        <f t="shared" si="2"/>
        <v/>
      </c>
      <c r="F49" s="120" t="str">
        <f>VLOOKUP(A49,'Classement Général'!$B$2:$B$146,1,0)</f>
        <v>jejehehe</v>
      </c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50" ht="14.25" customHeight="1">
      <c r="A50" s="160" t="str">
        <f>IFERROR(__xludf.DUMMYFUNCTION("""COMPUTED_VALUE"""),"Legabodu86")</f>
        <v>Legabodu86</v>
      </c>
      <c r="B50" s="156">
        <v>49.0</v>
      </c>
      <c r="C50" s="157">
        <f t="shared" si="1"/>
        <v>84.97316557</v>
      </c>
      <c r="D50" s="158" t="str">
        <f>VLOOKUP(A50,'Classement RoC'!$B$2:$C$149,1,0)</f>
        <v>Legabodu86</v>
      </c>
      <c r="E50" s="163" t="str">
        <f t="shared" si="2"/>
        <v/>
      </c>
      <c r="F50" s="120" t="str">
        <f>VLOOKUP(A50,'Classement Général'!$B$2:$B$146,1,0)</f>
        <v>Legabodu86</v>
      </c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</row>
    <row r="51" ht="14.25" customHeight="1">
      <c r="A51" s="160" t="str">
        <f>IFERROR(__xludf.DUMMYFUNCTION("""COMPUTED_VALUE"""),"Phil1308")</f>
        <v>Phil1308</v>
      </c>
      <c r="B51" s="161">
        <v>50.0</v>
      </c>
      <c r="C51" s="157">
        <f t="shared" si="1"/>
        <v>75.15117827</v>
      </c>
      <c r="D51" s="158" t="str">
        <f>VLOOKUP(A51,'Classement RoC'!$B$2:$C$149,1,0)</f>
        <v>Phil1308</v>
      </c>
      <c r="E51" s="163" t="str">
        <f t="shared" si="2"/>
        <v/>
      </c>
      <c r="F51" s="120" t="str">
        <f>VLOOKUP(A51,'Classement Général'!$B$2:$B$146,1,0)</f>
        <v>Phil1308</v>
      </c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</row>
    <row r="52" ht="14.25" customHeight="1">
      <c r="A52" s="160" t="str">
        <f>IFERROR(__xludf.DUMMYFUNCTION("""COMPUTED_VALUE"""),"rastamokett")</f>
        <v>rastamokett</v>
      </c>
      <c r="B52" s="156">
        <v>51.0</v>
      </c>
      <c r="C52" s="157">
        <f t="shared" si="1"/>
        <v>65.43254375</v>
      </c>
      <c r="D52" s="158" t="str">
        <f>VLOOKUP(A52,'Classement RoC'!$B$2:$C$149,1,0)</f>
        <v>rastamokett</v>
      </c>
      <c r="E52" s="163" t="str">
        <f t="shared" si="2"/>
        <v/>
      </c>
      <c r="F52" s="120" t="str">
        <f>VLOOKUP(A52,'Classement Général'!$B$2:$B$146,1,0)</f>
        <v>rastamokett</v>
      </c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</row>
    <row r="53" ht="14.25" customHeight="1">
      <c r="A53" s="160" t="str">
        <f>IFERROR(__xludf.DUMMYFUNCTION("""COMPUTED_VALUE"""),"sonic86")</f>
        <v>sonic86</v>
      </c>
      <c r="B53" s="161">
        <v>52.0</v>
      </c>
      <c r="C53" s="157">
        <f t="shared" si="1"/>
        <v>55.81343127</v>
      </c>
      <c r="D53" s="158" t="str">
        <f>VLOOKUP(A53,'Classement RoC'!$B$2:$C$149,1,0)</f>
        <v>sonic86</v>
      </c>
      <c r="E53" s="163" t="str">
        <f t="shared" si="2"/>
        <v/>
      </c>
      <c r="F53" s="120" t="str">
        <f>VLOOKUP(A53,'Classement Général'!$B$2:$B$146,1,0)</f>
        <v>sonic86</v>
      </c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</row>
    <row r="54" ht="14.25" customHeight="1">
      <c r="A54" s="160" t="str">
        <f>IFERROR(__xludf.DUMMYFUNCTION("""COMPUTED_VALUE"""),"Modoriya")</f>
        <v>Modoriya</v>
      </c>
      <c r="B54" s="156">
        <v>53.0</v>
      </c>
      <c r="C54" s="157">
        <f t="shared" si="1"/>
        <v>46.2902307</v>
      </c>
      <c r="D54" s="158" t="str">
        <f>VLOOKUP(A54,'Classement RoC'!$B$2:$C$149,1,0)</f>
        <v>Modoriya</v>
      </c>
      <c r="E54" s="163" t="str">
        <f t="shared" si="2"/>
        <v/>
      </c>
      <c r="F54" s="120" t="str">
        <f>VLOOKUP(A54,'Classement Général'!$B$2:$B$146,1,0)</f>
        <v>Modoriya</v>
      </c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</row>
    <row r="55" ht="14.25" customHeight="1">
      <c r="A55" s="160" t="str">
        <f>IFERROR(__xludf.DUMMYFUNCTION("""COMPUTED_VALUE"""),"Manu8671")</f>
        <v>Manu8671</v>
      </c>
      <c r="B55" s="161">
        <v>54.0</v>
      </c>
      <c r="C55" s="157">
        <f t="shared" si="1"/>
        <v>36.85953564</v>
      </c>
      <c r="D55" s="158" t="str">
        <f>VLOOKUP(A55,'Classement RoC'!$B$2:$C$149,1,0)</f>
        <v>Manu8671</v>
      </c>
      <c r="E55" s="163" t="str">
        <f t="shared" si="2"/>
        <v/>
      </c>
      <c r="F55" s="120" t="str">
        <f>VLOOKUP(A55,'Classement Général'!$B$2:$B$146,1,0)</f>
        <v>Manu8671</v>
      </c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</row>
    <row r="56" ht="14.25" customHeight="1">
      <c r="A56" s="160" t="str">
        <f>IFERROR(__xludf.DUMMYFUNCTION("""COMPUTED_VALUE"""),"Le_Pictavien")</f>
        <v>Le_Pictavien</v>
      </c>
      <c r="B56" s="156">
        <v>55.0</v>
      </c>
      <c r="C56" s="157">
        <f t="shared" si="1"/>
        <v>27.51812826</v>
      </c>
      <c r="D56" s="158" t="str">
        <f>VLOOKUP(A56,'Classement RoC'!$B$2:$C$149,1,0)</f>
        <v>Le_Pictavien</v>
      </c>
      <c r="E56" s="163" t="str">
        <f t="shared" si="2"/>
        <v/>
      </c>
      <c r="F56" s="120" t="str">
        <f>VLOOKUP(A56,'Classement Général'!$B$2:$B$146,1,0)</f>
        <v>Le_Pictavien</v>
      </c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</row>
    <row r="57" ht="14.25" customHeight="1">
      <c r="A57" s="160" t="str">
        <f>IFERROR(__xludf.DUMMYFUNCTION("""COMPUTED_VALUE"""),"KKPTETYO")</f>
        <v>KKPTETYO</v>
      </c>
      <c r="B57" s="161">
        <v>56.0</v>
      </c>
      <c r="C57" s="157">
        <f t="shared" si="1"/>
        <v>18.26296543</v>
      </c>
      <c r="D57" s="158" t="str">
        <f>VLOOKUP(A57,'Classement RoC'!$B$2:$C$149,1,0)</f>
        <v>KKPTETYO</v>
      </c>
      <c r="E57" s="163" t="str">
        <f t="shared" si="2"/>
        <v/>
      </c>
      <c r="F57" s="120" t="str">
        <f>VLOOKUP(A57,'Classement Général'!$B$2:$B$146,1,0)</f>
        <v>KKPTETYO</v>
      </c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</row>
    <row r="58" ht="14.25" customHeight="1">
      <c r="A58" s="160" t="str">
        <f>IFERROR(__xludf.DUMMYFUNCTION("""COMPUTED_VALUE"""),"erniedog56x")</f>
        <v>erniedog56x</v>
      </c>
      <c r="B58" s="156">
        <v>57.0</v>
      </c>
      <c r="C58" s="157">
        <f t="shared" si="1"/>
        <v>9.091166136</v>
      </c>
      <c r="D58" s="158" t="str">
        <f>VLOOKUP(A58,'Classement RoC'!$B$2:$C$149,1,0)</f>
        <v>erniedog56x</v>
      </c>
      <c r="E58" s="163" t="str">
        <f t="shared" si="2"/>
        <v/>
      </c>
      <c r="F58" s="120" t="str">
        <f>VLOOKUP(A58,'Classement Général'!$B$2:$B$146,1,0)</f>
        <v>erniedog56x</v>
      </c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</row>
    <row r="59" ht="14.25" customHeight="1">
      <c r="A59" s="160"/>
      <c r="B59" s="161">
        <v>58.0</v>
      </c>
      <c r="C59" s="157">
        <f t="shared" si="1"/>
        <v>0</v>
      </c>
      <c r="D59" s="158" t="str">
        <f>VLOOKUP(A59,'Classement RoC'!$B$2:$C$149,1,0)</f>
        <v>#N/A</v>
      </c>
      <c r="E59" s="163" t="str">
        <f t="shared" si="2"/>
        <v>#N/A</v>
      </c>
      <c r="F59" s="120" t="str">
        <f>VLOOKUP(A59,'Classement Général'!$B$2:$B$146,1,0)</f>
        <v>#N/A</v>
      </c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</row>
    <row r="60" ht="14.25" customHeight="1">
      <c r="A60" s="160"/>
      <c r="B60" s="156">
        <v>59.0</v>
      </c>
      <c r="C60" s="157">
        <f t="shared" si="1"/>
        <v>-9.013123156</v>
      </c>
      <c r="D60" s="158" t="str">
        <f>VLOOKUP(A60,'Classement RoC'!$B$2:$C$149,1,0)</f>
        <v>#N/A</v>
      </c>
      <c r="E60" s="163" t="str">
        <f t="shared" si="2"/>
        <v>#N/A</v>
      </c>
      <c r="F60" s="120" t="str">
        <f>VLOOKUP(A60,'Classement Général'!$B$2:$B$146,1,0)</f>
        <v>#N/A</v>
      </c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</row>
    <row r="61" ht="14.25" customHeight="1">
      <c r="A61" s="160"/>
      <c r="B61" s="161">
        <v>60.0</v>
      </c>
      <c r="C61" s="157">
        <f t="shared" si="1"/>
        <v>-17.9506629</v>
      </c>
      <c r="D61" s="158" t="str">
        <f>VLOOKUP(A61,'Classement RoC'!$B$2:$C$149,1,0)</f>
        <v>#N/A</v>
      </c>
      <c r="E61" s="163" t="str">
        <f t="shared" si="2"/>
        <v>#N/A</v>
      </c>
      <c r="F61" s="120" t="str">
        <f>VLOOKUP(A61,'Classement Général'!$B$2:$B$146,1,0)</f>
        <v>#N/A</v>
      </c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</row>
    <row r="62" ht="14.25" customHeight="1">
      <c r="A62" s="160"/>
      <c r="B62" s="156">
        <v>61.0</v>
      </c>
      <c r="C62" s="157">
        <f t="shared" si="1"/>
        <v>-26.81495696</v>
      </c>
      <c r="D62" s="158" t="str">
        <f>VLOOKUP(A62,'Classement RoC'!$B$2:$C$149,1,0)</f>
        <v>#N/A</v>
      </c>
      <c r="E62" s="163" t="str">
        <f t="shared" si="2"/>
        <v>#N/A</v>
      </c>
      <c r="F62" s="120" t="str">
        <f>VLOOKUP(A62,'Classement Général'!$B$2:$B$146,1,0)</f>
        <v>#N/A</v>
      </c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</row>
    <row r="63" ht="14.25" customHeight="1">
      <c r="A63" s="160"/>
      <c r="B63" s="161">
        <v>62.0</v>
      </c>
      <c r="C63" s="157">
        <f t="shared" si="1"/>
        <v>-35.60822924</v>
      </c>
      <c r="D63" s="158" t="str">
        <f>VLOOKUP(A63,'Classement RoC'!$B$2:$C$149,1,0)</f>
        <v>#N/A</v>
      </c>
      <c r="E63" s="163" t="str">
        <f t="shared" si="2"/>
        <v>#N/A</v>
      </c>
      <c r="F63" s="120" t="str">
        <f>VLOOKUP(A63,'Classement Général'!$B$2:$B$146,1,0)</f>
        <v>#N/A</v>
      </c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</row>
    <row r="64" ht="14.25" customHeight="1">
      <c r="A64" s="160"/>
      <c r="B64" s="156">
        <v>63.0</v>
      </c>
      <c r="C64" s="157">
        <f t="shared" si="1"/>
        <v>-44.33259723</v>
      </c>
      <c r="D64" s="158" t="str">
        <f>VLOOKUP(A64,'Classement RoC'!$B$2:$C$149,1,0)</f>
        <v>#N/A</v>
      </c>
      <c r="E64" s="163" t="str">
        <f t="shared" si="2"/>
        <v>#N/A</v>
      </c>
      <c r="F64" s="120" t="str">
        <f>VLOOKUP(A64,'Classement Général'!$B$2:$B$146,1,0)</f>
        <v>#N/A</v>
      </c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</row>
    <row r="65" ht="14.25" customHeight="1">
      <c r="A65" s="160"/>
      <c r="B65" s="161">
        <v>64.0</v>
      </c>
      <c r="C65" s="157">
        <f t="shared" si="1"/>
        <v>-52.99007877</v>
      </c>
      <c r="D65" s="158" t="str">
        <f>VLOOKUP(A65,'Classement RoC'!$B$2:$C$149,1,0)</f>
        <v>#N/A</v>
      </c>
      <c r="E65" s="163" t="str">
        <f t="shared" si="2"/>
        <v>#N/A</v>
      </c>
      <c r="F65" s="120" t="str">
        <f>VLOOKUP(A65,'Classement Général'!$B$2:$B$146,1,0)</f>
        <v>#N/A</v>
      </c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</row>
    <row r="66" ht="14.25" customHeight="1">
      <c r="A66" s="160"/>
      <c r="B66" s="156">
        <v>65.0</v>
      </c>
      <c r="C66" s="157">
        <f t="shared" si="1"/>
        <v>-61.58259835</v>
      </c>
      <c r="D66" s="158" t="str">
        <f>VLOOKUP(A66,'Classement RoC'!$B$2:$C$149,1,0)</f>
        <v>#N/A</v>
      </c>
      <c r="E66" s="163" t="str">
        <f t="shared" si="2"/>
        <v>#N/A</v>
      </c>
      <c r="F66" s="120" t="str">
        <f>VLOOKUP(A66,'Classement Général'!$B$2:$B$146,1,0)</f>
        <v>#N/A</v>
      </c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</row>
    <row r="67" ht="14.25" customHeight="1">
      <c r="A67" s="160"/>
      <c r="B67" s="161">
        <v>66.0</v>
      </c>
      <c r="C67" s="157">
        <f t="shared" si="1"/>
        <v>-70.11199281</v>
      </c>
      <c r="D67" s="158" t="str">
        <f>VLOOKUP(A67,'Classement RoC'!$B$2:$C$149,1,0)</f>
        <v>#N/A</v>
      </c>
      <c r="E67" s="163" t="str">
        <f t="shared" si="2"/>
        <v>#N/A</v>
      </c>
      <c r="F67" s="120" t="str">
        <f>VLOOKUP(A67,'Classement Général'!$B$2:$B$146,1,0)</f>
        <v>#N/A</v>
      </c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</row>
    <row r="68" ht="14.25" customHeight="1">
      <c r="A68" s="160"/>
      <c r="B68" s="156">
        <v>67.0</v>
      </c>
      <c r="C68" s="157">
        <f t="shared" si="1"/>
        <v>-78.58001674</v>
      </c>
      <c r="D68" s="158" t="str">
        <f>VLOOKUP(A68,'Classement RoC'!$B$2:$C$149,1,0)</f>
        <v>#N/A</v>
      </c>
      <c r="E68" s="163" t="str">
        <f t="shared" si="2"/>
        <v>#N/A</v>
      </c>
      <c r="F68" s="120" t="str">
        <f>VLOOKUP(A68,'Classement Général'!$B$2:$B$146,1,0)</f>
        <v>#N/A</v>
      </c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</row>
    <row r="69" ht="14.25" customHeight="1">
      <c r="A69" s="160"/>
      <c r="B69" s="161">
        <v>68.0</v>
      </c>
      <c r="C69" s="157">
        <f t="shared" si="1"/>
        <v>-86.98834737</v>
      </c>
      <c r="D69" s="158" t="str">
        <f>VLOOKUP(A69,'Classement RoC'!$B$2:$C$149,1,0)</f>
        <v>#N/A</v>
      </c>
      <c r="E69" s="163" t="str">
        <f t="shared" si="2"/>
        <v>#N/A</v>
      </c>
      <c r="F69" s="120" t="str">
        <f>VLOOKUP(A69,'Classement Général'!$B$2:$B$146,1,0)</f>
        <v>#N/A</v>
      </c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</row>
    <row r="70" ht="14.25" customHeight="1">
      <c r="A70" s="160"/>
      <c r="B70" s="156">
        <v>69.0</v>
      </c>
      <c r="C70" s="157">
        <f t="shared" si="1"/>
        <v>-95.33858913</v>
      </c>
      <c r="D70" s="158" t="str">
        <f>VLOOKUP(A70,'Classement RoC'!$B$2:$C$149,1,0)</f>
        <v>#N/A</v>
      </c>
      <c r="E70" s="163" t="str">
        <f t="shared" si="2"/>
        <v>#N/A</v>
      </c>
      <c r="F70" s="120" t="str">
        <f>VLOOKUP(A70,'Classement Général'!$B$2:$B$146,1,0)</f>
        <v>#N/A</v>
      </c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</row>
    <row r="71" ht="14.25" customHeight="1">
      <c r="A71" s="160"/>
      <c r="B71" s="161">
        <v>70.0</v>
      </c>
      <c r="C71" s="157">
        <f t="shared" si="1"/>
        <v>-103.6322779</v>
      </c>
      <c r="D71" s="158" t="str">
        <f>VLOOKUP(A71,'Classement RoC'!$B$2:$C$149,1,0)</f>
        <v>#N/A</v>
      </c>
      <c r="E71" s="163" t="str">
        <f t="shared" si="2"/>
        <v>#N/A</v>
      </c>
      <c r="F71" s="120" t="str">
        <f>VLOOKUP(A71,'Classement Général'!$B$2:$B$146,1,0)</f>
        <v>#N/A</v>
      </c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</row>
    <row r="72" ht="14.25" customHeight="1">
      <c r="A72" s="160"/>
      <c r="B72" s="156">
        <v>71.0</v>
      </c>
      <c r="C72" s="157">
        <f t="shared" si="1"/>
        <v>-111.8708849</v>
      </c>
      <c r="D72" s="158" t="str">
        <f>VLOOKUP(A72,'Classement RoC'!$B$2:$C$149,1,0)</f>
        <v>#N/A</v>
      </c>
      <c r="E72" s="163" t="str">
        <f t="shared" si="2"/>
        <v>#N/A</v>
      </c>
      <c r="F72" s="120" t="str">
        <f>VLOOKUP(A72,'Classement Général'!$B$2:$B$146,1,0)</f>
        <v>#N/A</v>
      </c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</row>
    <row r="73" ht="14.25" customHeight="1">
      <c r="A73" s="160"/>
      <c r="B73" s="161">
        <v>72.0</v>
      </c>
      <c r="C73" s="157">
        <f t="shared" si="1"/>
        <v>-120.0558204</v>
      </c>
      <c r="D73" s="158" t="str">
        <f>VLOOKUP(A73,'Classement RoC'!$B$2:$C$149,1,0)</f>
        <v>#N/A</v>
      </c>
      <c r="E73" s="163" t="str">
        <f t="shared" si="2"/>
        <v>#N/A</v>
      </c>
      <c r="F73" s="120" t="str">
        <f>VLOOKUP(A73,'Classement Général'!$B$2:$B$146,1,0)</f>
        <v>#N/A</v>
      </c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</row>
    <row r="74" ht="14.25" customHeight="1">
      <c r="A74" s="160"/>
      <c r="B74" s="156">
        <v>73.0</v>
      </c>
      <c r="C74" s="157">
        <f t="shared" si="1"/>
        <v>-128.188437</v>
      </c>
      <c r="D74" s="158" t="str">
        <f>VLOOKUP(A74,'Classement RoC'!$B$2:$C$149,1,0)</f>
        <v>#N/A</v>
      </c>
      <c r="E74" s="163" t="str">
        <f t="shared" si="2"/>
        <v>#N/A</v>
      </c>
      <c r="F74" s="120" t="str">
        <f>VLOOKUP(A74,'Classement Général'!$B$2:$B$146,1,0)</f>
        <v>#N/A</v>
      </c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</row>
    <row r="75" ht="14.25" customHeight="1">
      <c r="A75" s="160"/>
      <c r="B75" s="161">
        <v>74.0</v>
      </c>
      <c r="C75" s="157">
        <f t="shared" si="1"/>
        <v>-136.270033</v>
      </c>
      <c r="D75" s="158" t="str">
        <f>VLOOKUP(A75,'Classement RoC'!$B$2:$C$149,1,0)</f>
        <v>#N/A</v>
      </c>
      <c r="E75" s="163" t="str">
        <f t="shared" si="2"/>
        <v>#N/A</v>
      </c>
      <c r="F75" s="120" t="str">
        <f>VLOOKUP(A75,'Classement Général'!$B$2:$B$146,1,0)</f>
        <v>#N/A</v>
      </c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</row>
    <row r="76" ht="14.25" customHeight="1">
      <c r="A76" s="160"/>
      <c r="B76" s="156">
        <v>75.0</v>
      </c>
      <c r="C76" s="157">
        <f t="shared" si="1"/>
        <v>-144.3018549</v>
      </c>
      <c r="D76" s="158" t="str">
        <f>VLOOKUP(A76,'Classement RoC'!$B$2:$C$149,1,0)</f>
        <v>#N/A</v>
      </c>
      <c r="E76" s="163" t="str">
        <f t="shared" si="2"/>
        <v>#N/A</v>
      </c>
      <c r="F76" s="120" t="str">
        <f>VLOOKUP(A76,'Classement Général'!$B$2:$B$146,1,0)</f>
        <v>#N/A</v>
      </c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</row>
    <row r="77" ht="14.25" customHeight="1">
      <c r="A77" s="160"/>
      <c r="B77" s="161">
        <v>76.0</v>
      </c>
      <c r="C77" s="157">
        <f t="shared" si="1"/>
        <v>-152.2851009</v>
      </c>
      <c r="D77" s="158" t="str">
        <f>VLOOKUP(A77,'Classement RoC'!$B$2:$C$149,1,0)</f>
        <v>#N/A</v>
      </c>
      <c r="E77" s="163" t="str">
        <f t="shared" si="2"/>
        <v>#N/A</v>
      </c>
      <c r="F77" s="120" t="str">
        <f>VLOOKUP(A77,'Classement Général'!$B$2:$B$146,1,0)</f>
        <v>#N/A</v>
      </c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</row>
    <row r="78" ht="14.25" customHeight="1">
      <c r="A78" s="160"/>
      <c r="B78" s="156">
        <v>77.0</v>
      </c>
      <c r="C78" s="157">
        <f t="shared" si="1"/>
        <v>-160.2209225</v>
      </c>
      <c r="D78" s="158" t="str">
        <f>VLOOKUP(A78,'Classement RoC'!$B$2:$C$149,1,0)</f>
        <v>#N/A</v>
      </c>
      <c r="E78" s="163" t="str">
        <f t="shared" si="2"/>
        <v>#N/A</v>
      </c>
      <c r="F78" s="120" t="str">
        <f>VLOOKUP(A78,'Classement Général'!$B$2:$B$146,1,0)</f>
        <v>#N/A</v>
      </c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</row>
    <row r="79" ht="14.25" customHeight="1">
      <c r="A79" s="160"/>
      <c r="B79" s="161">
        <v>78.0</v>
      </c>
      <c r="C79" s="157">
        <f t="shared" si="1"/>
        <v>-168.1104278</v>
      </c>
      <c r="D79" s="158" t="str">
        <f>VLOOKUP(A79,'Classement RoC'!$B$2:$C$149,1,0)</f>
        <v>#N/A</v>
      </c>
      <c r="E79" s="163" t="str">
        <f t="shared" si="2"/>
        <v>#N/A</v>
      </c>
      <c r="F79" s="120" t="str">
        <f>VLOOKUP(A79,'Classement Général'!$B$2:$B$146,1,0)</f>
        <v>#N/A</v>
      </c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</row>
    <row r="80" ht="14.25" customHeight="1">
      <c r="A80" s="160"/>
      <c r="B80" s="156">
        <v>79.0</v>
      </c>
      <c r="C80" s="157">
        <f t="shared" si="1"/>
        <v>-175.9546831</v>
      </c>
      <c r="D80" s="158" t="str">
        <f>VLOOKUP(A80,'Classement RoC'!$B$2:$C$149,1,0)</f>
        <v>#N/A</v>
      </c>
      <c r="E80" s="163" t="str">
        <f t="shared" si="2"/>
        <v>#N/A</v>
      </c>
      <c r="F80" s="120" t="str">
        <f>VLOOKUP(A80,'Classement Général'!$B$2:$B$146,1,0)</f>
        <v>#N/A</v>
      </c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</row>
    <row r="81" ht="14.25" customHeight="1">
      <c r="A81" s="160"/>
      <c r="B81" s="161">
        <v>80.0</v>
      </c>
      <c r="C81" s="157">
        <f t="shared" si="1"/>
        <v>-183.7547153</v>
      </c>
      <c r="D81" s="158" t="str">
        <f>VLOOKUP(A81,'Classement RoC'!$B$2:$C$149,1,0)</f>
        <v>#N/A</v>
      </c>
      <c r="E81" s="163" t="str">
        <f t="shared" si="2"/>
        <v>#N/A</v>
      </c>
      <c r="F81" s="120" t="str">
        <f>VLOOKUP(A81,'Classement Général'!$B$2:$B$146,1,0)</f>
        <v>#N/A</v>
      </c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</row>
    <row r="82" ht="14.25" customHeight="1">
      <c r="A82" s="160"/>
      <c r="B82" s="156">
        <v>81.0</v>
      </c>
      <c r="C82" s="157">
        <f t="shared" si="1"/>
        <v>-191.511514</v>
      </c>
      <c r="D82" s="158" t="str">
        <f>VLOOKUP(A82,'Classement RoC'!$B$2:$C$149,1,0)</f>
        <v>#N/A</v>
      </c>
      <c r="E82" s="163" t="str">
        <f t="shared" si="2"/>
        <v>#N/A</v>
      </c>
      <c r="F82" s="120" t="str">
        <f>VLOOKUP(A82,'Classement Général'!$B$2:$B$146,1,0)</f>
        <v>#N/A</v>
      </c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</row>
    <row r="83" ht="14.25" customHeight="1">
      <c r="A83" s="160"/>
      <c r="B83" s="161">
        <v>82.0</v>
      </c>
      <c r="C83" s="157">
        <f t="shared" si="1"/>
        <v>-199.2260328</v>
      </c>
      <c r="D83" s="158" t="str">
        <f>VLOOKUP(A83,'Classement RoC'!$B$2:$C$149,1,0)</f>
        <v>#N/A</v>
      </c>
      <c r="E83" s="163" t="str">
        <f t="shared" si="2"/>
        <v>#N/A</v>
      </c>
      <c r="F83" s="120" t="str">
        <f>VLOOKUP(A83,'Classement Général'!$B$2:$B$146,1,0)</f>
        <v>#N/A</v>
      </c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</row>
    <row r="84" ht="14.25" customHeight="1">
      <c r="A84" s="160"/>
      <c r="B84" s="156">
        <v>83.0</v>
      </c>
      <c r="C84" s="157">
        <f t="shared" si="1"/>
        <v>-206.8991916</v>
      </c>
      <c r="D84" s="158" t="str">
        <f>VLOOKUP(A84,'Classement RoC'!$B$2:$C$149,1,0)</f>
        <v>#N/A</v>
      </c>
      <c r="E84" s="163" t="str">
        <f t="shared" si="2"/>
        <v>#N/A</v>
      </c>
      <c r="F84" s="120" t="str">
        <f>VLOOKUP(A84,'Classement Général'!$B$2:$B$146,1,0)</f>
        <v>#N/A</v>
      </c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</row>
    <row r="85" ht="14.25" customHeight="1">
      <c r="A85" s="160"/>
      <c r="B85" s="161">
        <v>84.0</v>
      </c>
      <c r="C85" s="157">
        <f t="shared" si="1"/>
        <v>-214.5318781</v>
      </c>
      <c r="D85" s="158" t="str">
        <f>VLOOKUP(A85,'Classement RoC'!$B$2:$C$149,1,0)</f>
        <v>#N/A</v>
      </c>
      <c r="E85" s="163" t="str">
        <f t="shared" si="2"/>
        <v>#N/A</v>
      </c>
      <c r="F85" s="120" t="str">
        <f>VLOOKUP(A85,'Classement Général'!$B$2:$B$146,1,0)</f>
        <v>#N/A</v>
      </c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</row>
    <row r="86" ht="14.25" customHeight="1">
      <c r="A86" s="160"/>
      <c r="B86" s="156">
        <v>85.0</v>
      </c>
      <c r="C86" s="157">
        <f t="shared" si="1"/>
        <v>-222.1249489</v>
      </c>
      <c r="D86" s="158" t="str">
        <f>VLOOKUP(A86,'Classement RoC'!$B$2:$C$149,1,0)</f>
        <v>#N/A</v>
      </c>
      <c r="E86" s="163" t="str">
        <f t="shared" si="2"/>
        <v>#N/A</v>
      </c>
      <c r="F86" s="120" t="str">
        <f>VLOOKUP(A86,'Classement Général'!$B$2:$B$146,1,0)</f>
        <v>#N/A</v>
      </c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</row>
    <row r="87" ht="14.25" customHeight="1">
      <c r="A87" s="160"/>
      <c r="B87" s="161">
        <v>86.0</v>
      </c>
      <c r="C87" s="157">
        <f t="shared" si="1"/>
        <v>-229.6792317</v>
      </c>
      <c r="D87" s="158" t="str">
        <f>VLOOKUP(A87,'Classement RoC'!$B$2:$C$149,1,0)</f>
        <v>#N/A</v>
      </c>
      <c r="E87" s="163" t="str">
        <f t="shared" si="2"/>
        <v>#N/A</v>
      </c>
      <c r="F87" s="120" t="str">
        <f>VLOOKUP(A87,'Classement Général'!$B$2:$B$146,1,0)</f>
        <v>#N/A</v>
      </c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</row>
    <row r="88" ht="14.25" customHeight="1">
      <c r="A88" s="160"/>
      <c r="B88" s="156">
        <v>87.0</v>
      </c>
      <c r="C88" s="157">
        <f t="shared" si="1"/>
        <v>-237.1955259</v>
      </c>
      <c r="D88" s="158" t="str">
        <f>VLOOKUP(A88,'Classement RoC'!$B$2:$C$149,1,0)</f>
        <v>#N/A</v>
      </c>
      <c r="E88" s="163" t="str">
        <f t="shared" si="2"/>
        <v>#N/A</v>
      </c>
      <c r="F88" s="120" t="str">
        <f>VLOOKUP(A88,'Classement Général'!$B$2:$B$146,1,0)</f>
        <v>#N/A</v>
      </c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</row>
    <row r="89" ht="14.25" customHeight="1">
      <c r="A89" s="160"/>
      <c r="B89" s="161">
        <v>88.0</v>
      </c>
      <c r="C89" s="157">
        <f t="shared" si="1"/>
        <v>-244.6746045</v>
      </c>
      <c r="D89" s="158" t="str">
        <f>VLOOKUP(A89,'Classement RoC'!$B$2:$C$149,1,0)</f>
        <v>#N/A</v>
      </c>
      <c r="E89" s="163" t="str">
        <f t="shared" si="2"/>
        <v>#N/A</v>
      </c>
      <c r="F89" s="120" t="str">
        <f>VLOOKUP(A89,'Classement Général'!$B$2:$B$146,1,0)</f>
        <v>#N/A</v>
      </c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</row>
    <row r="90" ht="14.25" customHeight="1">
      <c r="A90" s="160"/>
      <c r="B90" s="156">
        <v>89.0</v>
      </c>
      <c r="C90" s="157">
        <f t="shared" si="1"/>
        <v>-252.1172146</v>
      </c>
      <c r="D90" s="158" t="str">
        <f>VLOOKUP(A90,'Classement RoC'!$B$2:$C$149,1,0)</f>
        <v>#N/A</v>
      </c>
      <c r="E90" s="163" t="str">
        <f t="shared" si="2"/>
        <v>#N/A</v>
      </c>
      <c r="F90" s="120" t="str">
        <f>VLOOKUP(A90,'Classement Général'!$B$2:$B$146,1,0)</f>
        <v>#N/A</v>
      </c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</row>
    <row r="91" ht="14.25" customHeight="1">
      <c r="A91" s="160"/>
      <c r="B91" s="161">
        <v>90.0</v>
      </c>
      <c r="C91" s="157">
        <f t="shared" si="1"/>
        <v>-259.5240794</v>
      </c>
      <c r="D91" s="158" t="str">
        <f>VLOOKUP(A91,'Classement RoC'!$B$2:$C$149,1,0)</f>
        <v>#N/A</v>
      </c>
      <c r="E91" s="163" t="str">
        <f t="shared" si="2"/>
        <v>#N/A</v>
      </c>
      <c r="F91" s="120" t="str">
        <f>VLOOKUP(A91,'Classement Général'!$B$2:$B$146,1,0)</f>
        <v>#N/A</v>
      </c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</row>
    <row r="92" ht="14.25" customHeight="1">
      <c r="A92" s="160"/>
      <c r="B92" s="156">
        <v>91.0</v>
      </c>
      <c r="C92" s="157">
        <f t="shared" si="1"/>
        <v>-266.8958986</v>
      </c>
      <c r="D92" s="158" t="str">
        <f>VLOOKUP(A92,'Classement RoC'!$B$2:$C$149,1,0)</f>
        <v>#N/A</v>
      </c>
      <c r="E92" s="163" t="str">
        <f t="shared" si="2"/>
        <v>#N/A</v>
      </c>
      <c r="F92" s="120" t="str">
        <f>VLOOKUP(A92,'Classement Général'!$B$2:$B$146,1,0)</f>
        <v>#N/A</v>
      </c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</row>
    <row r="93" ht="14.25" customHeight="1">
      <c r="A93" s="160"/>
      <c r="B93" s="161">
        <v>92.0</v>
      </c>
      <c r="C93" s="157">
        <f t="shared" si="1"/>
        <v>-274.2333497</v>
      </c>
      <c r="D93" s="158" t="str">
        <f>VLOOKUP(A93,'Classement RoC'!$B$2:$C$149,1,0)</f>
        <v>#N/A</v>
      </c>
      <c r="E93" s="163" t="str">
        <f t="shared" si="2"/>
        <v>#N/A</v>
      </c>
      <c r="F93" s="120" t="str">
        <f>VLOOKUP(A93,'Classement Général'!$B$2:$B$146,1,0)</f>
        <v>#N/A</v>
      </c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</row>
    <row r="94" ht="14.25" customHeight="1">
      <c r="A94" s="160"/>
      <c r="B94" s="156">
        <v>93.0</v>
      </c>
      <c r="C94" s="157">
        <f t="shared" si="1"/>
        <v>-281.5370887</v>
      </c>
      <c r="D94" s="158" t="str">
        <f>VLOOKUP(A94,'Classement RoC'!$B$2:$C$149,1,0)</f>
        <v>#N/A</v>
      </c>
      <c r="E94" s="163" t="str">
        <f t="shared" si="2"/>
        <v>#N/A</v>
      </c>
      <c r="F94" s="120" t="str">
        <f>VLOOKUP(A94,'Classement Général'!$B$2:$B$146,1,0)</f>
        <v>#N/A</v>
      </c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</row>
    <row r="95" ht="14.25" customHeight="1">
      <c r="A95" s="160"/>
      <c r="B95" s="161">
        <v>94.0</v>
      </c>
      <c r="C95" s="157">
        <f t="shared" si="1"/>
        <v>-288.8077517</v>
      </c>
      <c r="D95" s="158" t="str">
        <f>VLOOKUP(A95,'Classement RoC'!$B$2:$C$149,1,0)</f>
        <v>#N/A</v>
      </c>
      <c r="E95" s="163" t="str">
        <f t="shared" si="2"/>
        <v>#N/A</v>
      </c>
      <c r="F95" s="120" t="str">
        <f>VLOOKUP(A95,'Classement Général'!$B$2:$B$146,1,0)</f>
        <v>#N/A</v>
      </c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</row>
    <row r="96" ht="14.25" customHeight="1">
      <c r="A96" s="160"/>
      <c r="B96" s="156">
        <v>95.0</v>
      </c>
      <c r="C96" s="157">
        <f t="shared" si="1"/>
        <v>-296.0459546</v>
      </c>
      <c r="D96" s="158" t="str">
        <f>VLOOKUP(A96,'Classement RoC'!$B$2:$C$149,1,0)</f>
        <v>#N/A</v>
      </c>
      <c r="E96" s="163" t="str">
        <f t="shared" si="2"/>
        <v>#N/A</v>
      </c>
      <c r="F96" s="120" t="str">
        <f>VLOOKUP(A96,'Classement Général'!$B$2:$B$146,1,0)</f>
        <v>#N/A</v>
      </c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</row>
    <row r="97" ht="14.25" customHeight="1">
      <c r="A97" s="160"/>
      <c r="B97" s="161">
        <v>96.0</v>
      </c>
      <c r="C97" s="157">
        <f t="shared" si="1"/>
        <v>-303.2522952</v>
      </c>
      <c r="D97" s="158" t="str">
        <f>VLOOKUP(A97,'Classement RoC'!$B$2:$C$149,1,0)</f>
        <v>#N/A</v>
      </c>
      <c r="E97" s="163" t="str">
        <f t="shared" si="2"/>
        <v>#N/A</v>
      </c>
      <c r="F97" s="120" t="str">
        <f>VLOOKUP(A97,'Classement Général'!$B$2:$B$146,1,0)</f>
        <v>#N/A</v>
      </c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</row>
    <row r="98" ht="14.25" customHeight="1">
      <c r="A98" s="160"/>
      <c r="B98" s="156">
        <v>97.0</v>
      </c>
      <c r="C98" s="157">
        <f t="shared" si="1"/>
        <v>-310.427353</v>
      </c>
      <c r="D98" s="158" t="str">
        <f>VLOOKUP(A98,'Classement RoC'!$B$2:$C$149,1,0)</f>
        <v>#N/A</v>
      </c>
      <c r="E98" s="163" t="str">
        <f t="shared" si="2"/>
        <v>#N/A</v>
      </c>
      <c r="F98" s="120" t="str">
        <f>VLOOKUP(A98,'Classement Général'!$B$2:$B$146,1,0)</f>
        <v>#N/A</v>
      </c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</row>
    <row r="99" ht="14.25" customHeight="1">
      <c r="A99" s="160"/>
      <c r="B99" s="161">
        <v>98.0</v>
      </c>
      <c r="C99" s="157">
        <f t="shared" si="1"/>
        <v>-317.5716903</v>
      </c>
      <c r="D99" s="158" t="str">
        <f>VLOOKUP(A99,'Classement RoC'!$B$2:$C$149,1,0)</f>
        <v>#N/A</v>
      </c>
      <c r="E99" s="163" t="str">
        <f t="shared" si="2"/>
        <v>#N/A</v>
      </c>
      <c r="F99" s="120" t="str">
        <f>VLOOKUP(A99,'Classement Général'!$B$2:$B$146,1,0)</f>
        <v>#N/A</v>
      </c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</row>
    <row r="100" ht="14.25" customHeight="1">
      <c r="A100" s="160"/>
      <c r="B100" s="156">
        <v>99.0</v>
      </c>
      <c r="C100" s="157">
        <f t="shared" si="1"/>
        <v>-324.685853</v>
      </c>
      <c r="D100" s="158" t="str">
        <f>VLOOKUP(A100,'Classement RoC'!$B$2:$C$149,1,0)</f>
        <v>#N/A</v>
      </c>
      <c r="E100" s="163" t="str">
        <f t="shared" si="2"/>
        <v>#N/A</v>
      </c>
      <c r="F100" s="120" t="str">
        <f>VLOOKUP(A100,'Classement Général'!$B$2:$B$146,1,0)</f>
        <v>#N/A</v>
      </c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</row>
    <row r="101" ht="14.25" customHeight="1">
      <c r="A101" s="160"/>
      <c r="B101" s="161">
        <v>100.0</v>
      </c>
      <c r="C101" s="157">
        <f t="shared" si="1"/>
        <v>-331.7703712</v>
      </c>
      <c r="D101" s="158" t="str">
        <f>VLOOKUP(A101,'Classement RoC'!$B$2:$C$149,1,0)</f>
        <v>#N/A</v>
      </c>
      <c r="E101" s="163" t="str">
        <f t="shared" si="2"/>
        <v>#N/A</v>
      </c>
      <c r="F101" s="120" t="str">
        <f>VLOOKUP(A101,'Classement Général'!$B$2:$B$146,1,0)</f>
        <v>#N/A</v>
      </c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</row>
    <row r="102" ht="14.25" customHeight="1">
      <c r="A102" s="160"/>
      <c r="B102" s="156">
        <v>101.0</v>
      </c>
      <c r="C102" s="157">
        <f t="shared" si="1"/>
        <v>-338.8257594</v>
      </c>
      <c r="D102" s="158" t="str">
        <f>VLOOKUP(A102,'Classement RoC'!$B$2:$C$149,1,0)</f>
        <v>#N/A</v>
      </c>
      <c r="E102" s="163" t="str">
        <f t="shared" si="2"/>
        <v>#N/A</v>
      </c>
      <c r="F102" s="120" t="str">
        <f>VLOOKUP(A102,'Classement Général'!$B$2:$B$146,1,0)</f>
        <v>#N/A</v>
      </c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</row>
    <row r="103" ht="14.25" customHeight="1">
      <c r="A103" s="160"/>
      <c r="B103" s="161">
        <v>102.0</v>
      </c>
      <c r="C103" s="157">
        <f t="shared" si="1"/>
        <v>-345.8525179</v>
      </c>
      <c r="D103" s="158" t="str">
        <f>VLOOKUP(A103,'Classement RoC'!$B$2:$C$149,1,0)</f>
        <v>#N/A</v>
      </c>
      <c r="E103" s="163" t="str">
        <f t="shared" si="2"/>
        <v>#N/A</v>
      </c>
      <c r="F103" s="120" t="str">
        <f>VLOOKUP(A103,'Classement Général'!$B$2:$B$146,1,0)</f>
        <v>#N/A</v>
      </c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</row>
    <row r="104" ht="14.25" customHeight="1">
      <c r="A104" s="160"/>
      <c r="B104" s="156">
        <v>103.0</v>
      </c>
      <c r="C104" s="157">
        <f t="shared" si="1"/>
        <v>-352.8511326</v>
      </c>
      <c r="D104" s="158" t="str">
        <f>VLOOKUP(A104,'Classement RoC'!$B$2:$C$149,1,0)</f>
        <v>#N/A</v>
      </c>
      <c r="E104" s="163" t="str">
        <f t="shared" si="2"/>
        <v>#N/A</v>
      </c>
      <c r="F104" s="120" t="str">
        <f>VLOOKUP(A104,'Classement Général'!$B$2:$B$146,1,0)</f>
        <v>#N/A</v>
      </c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</row>
    <row r="105" ht="14.25" customHeight="1">
      <c r="A105" s="160"/>
      <c r="B105" s="161">
        <v>104.0</v>
      </c>
      <c r="C105" s="157">
        <f t="shared" si="1"/>
        <v>-359.8220762</v>
      </c>
      <c r="D105" s="158" t="str">
        <f>VLOOKUP(A105,'Classement RoC'!$B$2:$C$149,1,0)</f>
        <v>#N/A</v>
      </c>
      <c r="E105" s="163" t="str">
        <f t="shared" si="2"/>
        <v>#N/A</v>
      </c>
      <c r="F105" s="120" t="str">
        <f>VLOOKUP(A105,'Classement Général'!$B$2:$B$146,1,0)</f>
        <v>#N/A</v>
      </c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</row>
    <row r="106" ht="14.25" customHeight="1">
      <c r="A106" s="160"/>
      <c r="B106" s="156">
        <v>105.0</v>
      </c>
      <c r="C106" s="157">
        <f t="shared" si="1"/>
        <v>-366.7658079</v>
      </c>
      <c r="D106" s="158" t="str">
        <f>VLOOKUP(A106,'Classement RoC'!$B$2:$C$149,1,0)</f>
        <v>#N/A</v>
      </c>
      <c r="E106" s="163" t="str">
        <f t="shared" si="2"/>
        <v>#N/A</v>
      </c>
      <c r="F106" s="120" t="str">
        <f>VLOOKUP(A106,'Classement Général'!$B$2:$B$146,1,0)</f>
        <v>#N/A</v>
      </c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</row>
    <row r="107" ht="14.25" customHeight="1">
      <c r="A107" s="160"/>
      <c r="B107" s="161">
        <v>106.0</v>
      </c>
      <c r="C107" s="157">
        <f t="shared" si="1"/>
        <v>-373.6827749</v>
      </c>
      <c r="D107" s="158" t="str">
        <f>VLOOKUP(A107,'Classement RoC'!$B$2:$C$149,1,0)</f>
        <v>#N/A</v>
      </c>
      <c r="E107" s="163" t="str">
        <f t="shared" si="2"/>
        <v>#N/A</v>
      </c>
      <c r="F107" s="120" t="str">
        <f>VLOOKUP(A107,'Classement Général'!$B$2:$B$146,1,0)</f>
        <v>#N/A</v>
      </c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</row>
    <row r="108" ht="14.25" customHeight="1">
      <c r="A108" s="160"/>
      <c r="B108" s="156">
        <v>107.0</v>
      </c>
      <c r="C108" s="157">
        <f t="shared" si="1"/>
        <v>-380.573412</v>
      </c>
      <c r="D108" s="158" t="str">
        <f>VLOOKUP(A108,'Classement RoC'!$B$2:$C$149,1,0)</f>
        <v>#N/A</v>
      </c>
      <c r="E108" s="163" t="str">
        <f t="shared" si="2"/>
        <v>#N/A</v>
      </c>
      <c r="F108" s="120" t="str">
        <f>VLOOKUP(A108,'Classement Général'!$B$2:$B$146,1,0)</f>
        <v>#N/A</v>
      </c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</row>
    <row r="109" ht="14.25" customHeight="1">
      <c r="A109" s="160"/>
      <c r="B109" s="161">
        <v>108.0</v>
      </c>
      <c r="C109" s="157">
        <f t="shared" si="1"/>
        <v>-387.4381423</v>
      </c>
      <c r="D109" s="158" t="str">
        <f>VLOOKUP(A109,'Classement RoC'!$B$2:$C$149,1,0)</f>
        <v>#N/A</v>
      </c>
      <c r="E109" s="163" t="str">
        <f t="shared" si="2"/>
        <v>#N/A</v>
      </c>
      <c r="F109" s="120" t="str">
        <f>VLOOKUP(A109,'Classement Général'!$B$2:$B$146,1,0)</f>
        <v>#N/A</v>
      </c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</row>
    <row r="110" ht="14.25" customHeight="1">
      <c r="A110" s="160"/>
      <c r="B110" s="156">
        <v>109.0</v>
      </c>
      <c r="C110" s="157">
        <f t="shared" si="1"/>
        <v>-394.2773781</v>
      </c>
      <c r="D110" s="158" t="str">
        <f>VLOOKUP(A110,'Classement RoC'!$B$2:$C$149,1,0)</f>
        <v>#N/A</v>
      </c>
      <c r="E110" s="163" t="str">
        <f t="shared" si="2"/>
        <v>#N/A</v>
      </c>
      <c r="F110" s="120" t="str">
        <f>VLOOKUP(A110,'Classement Général'!$B$2:$B$146,1,0)</f>
        <v>#N/A</v>
      </c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</row>
    <row r="111" ht="14.25" customHeight="1">
      <c r="A111" s="160"/>
      <c r="B111" s="161">
        <v>110.0</v>
      </c>
      <c r="C111" s="157">
        <f t="shared" si="1"/>
        <v>-401.0915205</v>
      </c>
      <c r="D111" s="158" t="str">
        <f>VLOOKUP(A111,'Classement RoC'!$B$2:$C$149,1,0)</f>
        <v>#N/A</v>
      </c>
      <c r="E111" s="163" t="str">
        <f t="shared" si="2"/>
        <v>#N/A</v>
      </c>
      <c r="F111" s="120" t="str">
        <f>VLOOKUP(A111,'Classement Général'!$B$2:$B$146,1,0)</f>
        <v>#N/A</v>
      </c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</row>
    <row r="112" ht="14.25" customHeight="1">
      <c r="A112" s="160"/>
      <c r="B112" s="156">
        <v>111.0</v>
      </c>
      <c r="C112" s="157">
        <f t="shared" si="1"/>
        <v>-407.8809603</v>
      </c>
      <c r="D112" s="158" t="str">
        <f>VLOOKUP(A112,'Classement RoC'!$B$2:$C$149,1,0)</f>
        <v>#N/A</v>
      </c>
      <c r="E112" s="163" t="str">
        <f t="shared" si="2"/>
        <v>#N/A</v>
      </c>
      <c r="F112" s="120" t="str">
        <f>VLOOKUP(A112,'Classement Général'!$B$2:$B$146,1,0)</f>
        <v>#N/A</v>
      </c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</row>
    <row r="113" ht="14.25" customHeight="1">
      <c r="A113" s="160"/>
      <c r="B113" s="161">
        <v>112.0</v>
      </c>
      <c r="C113" s="157">
        <f t="shared" si="1"/>
        <v>-414.6460785</v>
      </c>
      <c r="D113" s="158" t="str">
        <f>VLOOKUP(A113,'Classement RoC'!$B$2:$C$149,1,0)</f>
        <v>#N/A</v>
      </c>
      <c r="E113" s="163" t="str">
        <f t="shared" si="2"/>
        <v>#N/A</v>
      </c>
      <c r="F113" s="120" t="str">
        <f>VLOOKUP(A113,'Classement Général'!$B$2:$B$146,1,0)</f>
        <v>#N/A</v>
      </c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</row>
    <row r="114" ht="14.25" customHeight="1">
      <c r="A114" s="160"/>
      <c r="B114" s="156">
        <v>113.0</v>
      </c>
      <c r="C114" s="157">
        <f t="shared" si="1"/>
        <v>-421.387246</v>
      </c>
      <c r="D114" s="158" t="str">
        <f>VLOOKUP(A114,'Classement RoC'!$B$2:$C$149,1,0)</f>
        <v>#N/A</v>
      </c>
      <c r="E114" s="163" t="str">
        <f t="shared" si="2"/>
        <v>#N/A</v>
      </c>
      <c r="F114" s="120" t="str">
        <f>VLOOKUP(A114,'Classement Général'!$B$2:$B$146,1,0)</f>
        <v>#N/A</v>
      </c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</row>
    <row r="115" ht="14.25" customHeight="1">
      <c r="A115" s="160"/>
      <c r="B115" s="161">
        <v>114.0</v>
      </c>
      <c r="C115" s="157">
        <f t="shared" si="1"/>
        <v>-428.1048248</v>
      </c>
      <c r="D115" s="158" t="str">
        <f>VLOOKUP(A115,'Classement RoC'!$B$2:$C$149,1,0)</f>
        <v>#N/A</v>
      </c>
      <c r="E115" s="163" t="str">
        <f t="shared" si="2"/>
        <v>#N/A</v>
      </c>
      <c r="F115" s="120" t="str">
        <f>VLOOKUP(A115,'Classement Général'!$B$2:$B$146,1,0)</f>
        <v>#N/A</v>
      </c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</row>
    <row r="116" ht="14.25" customHeight="1">
      <c r="A116" s="160"/>
      <c r="B116" s="156">
        <v>115.0</v>
      </c>
      <c r="C116" s="157">
        <f t="shared" si="1"/>
        <v>-434.7991674</v>
      </c>
      <c r="D116" s="158" t="str">
        <f>VLOOKUP(A116,'Classement RoC'!$B$2:$C$149,1,0)</f>
        <v>#N/A</v>
      </c>
      <c r="E116" s="163" t="str">
        <f t="shared" si="2"/>
        <v>#N/A</v>
      </c>
      <c r="F116" s="120" t="str">
        <f>VLOOKUP(A116,'Classement Général'!$B$2:$B$146,1,0)</f>
        <v>#N/A</v>
      </c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</row>
    <row r="117" ht="14.25" customHeight="1">
      <c r="A117" s="160"/>
      <c r="B117" s="161">
        <v>116.0</v>
      </c>
      <c r="C117" s="157">
        <f t="shared" si="1"/>
        <v>-441.470618</v>
      </c>
      <c r="D117" s="158" t="str">
        <f>VLOOKUP(A117,'Classement RoC'!$B$2:$C$149,1,0)</f>
        <v>#N/A</v>
      </c>
      <c r="E117" s="163" t="str">
        <f t="shared" si="2"/>
        <v>#N/A</v>
      </c>
      <c r="F117" s="120" t="str">
        <f>VLOOKUP(A117,'Classement Général'!$B$2:$B$146,1,0)</f>
        <v>#N/A</v>
      </c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</row>
    <row r="118" ht="14.25" customHeight="1">
      <c r="A118" s="160"/>
      <c r="B118" s="156">
        <v>117.0</v>
      </c>
      <c r="C118" s="157">
        <f t="shared" si="1"/>
        <v>-448.1195121</v>
      </c>
      <c r="D118" s="158" t="str">
        <f>VLOOKUP(A118,'Classement RoC'!$B$2:$C$149,1,0)</f>
        <v>#N/A</v>
      </c>
      <c r="E118" s="163" t="str">
        <f t="shared" si="2"/>
        <v>#N/A</v>
      </c>
      <c r="F118" s="120" t="str">
        <f>VLOOKUP(A118,'Classement Général'!$B$2:$B$146,1,0)</f>
        <v>#N/A</v>
      </c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</row>
    <row r="119" ht="14.25" customHeight="1">
      <c r="A119" s="160"/>
      <c r="B119" s="161">
        <v>118.0</v>
      </c>
      <c r="C119" s="157">
        <f t="shared" si="1"/>
        <v>-454.7461771</v>
      </c>
      <c r="D119" s="158" t="str">
        <f>VLOOKUP(A119,'Classement RoC'!$B$2:$C$149,1,0)</f>
        <v>#N/A</v>
      </c>
      <c r="E119" s="163" t="str">
        <f t="shared" si="2"/>
        <v>#N/A</v>
      </c>
      <c r="F119" s="120" t="str">
        <f>VLOOKUP(A119,'Classement Général'!$B$2:$B$146,1,0)</f>
        <v>#N/A</v>
      </c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</row>
    <row r="120" ht="14.25" customHeight="1">
      <c r="A120" s="160"/>
      <c r="B120" s="156">
        <v>119.0</v>
      </c>
      <c r="C120" s="157">
        <f t="shared" si="1"/>
        <v>-461.3509326</v>
      </c>
      <c r="D120" s="158" t="str">
        <f>VLOOKUP(A120,'Classement RoC'!$B$2:$C$149,1,0)</f>
        <v>#N/A</v>
      </c>
      <c r="E120" s="163" t="str">
        <f t="shared" si="2"/>
        <v>#N/A</v>
      </c>
      <c r="F120" s="120" t="str">
        <f>VLOOKUP(A120,'Classement Général'!$B$2:$B$146,1,0)</f>
        <v>#N/A</v>
      </c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</row>
    <row r="121" ht="14.25" customHeight="1">
      <c r="A121" s="160"/>
      <c r="B121" s="161">
        <v>120.0</v>
      </c>
      <c r="C121" s="157">
        <f t="shared" si="1"/>
        <v>-467.9340906</v>
      </c>
      <c r="D121" s="158" t="str">
        <f>VLOOKUP(A121,'Classement RoC'!$B$2:$C$149,1,0)</f>
        <v>#N/A</v>
      </c>
      <c r="E121" s="163" t="str">
        <f t="shared" si="2"/>
        <v>#N/A</v>
      </c>
      <c r="F121" s="120" t="str">
        <f>VLOOKUP(A121,'Classement Général'!$B$2:$B$146,1,0)</f>
        <v>#N/A</v>
      </c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</row>
    <row r="122" ht="14.25" customHeight="1">
      <c r="A122" s="160"/>
      <c r="B122" s="156">
        <v>121.0</v>
      </c>
      <c r="C122" s="157">
        <f t="shared" si="1"/>
        <v>-474.4959557</v>
      </c>
      <c r="D122" s="158" t="str">
        <f>VLOOKUP(A122,'Classement RoC'!$B$2:$C$149,1,0)</f>
        <v>#N/A</v>
      </c>
      <c r="E122" s="163" t="str">
        <f t="shared" si="2"/>
        <v>#N/A</v>
      </c>
      <c r="F122" s="120" t="str">
        <f>VLOOKUP(A122,'Classement Général'!$B$2:$B$146,1,0)</f>
        <v>#N/A</v>
      </c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</row>
    <row r="123" ht="14.25" customHeight="1">
      <c r="A123" s="160"/>
      <c r="B123" s="161">
        <v>122.0</v>
      </c>
      <c r="C123" s="157">
        <f t="shared" si="1"/>
        <v>-481.0368252</v>
      </c>
      <c r="D123" s="158" t="str">
        <f>VLOOKUP(A123,'Classement RoC'!$B$2:$C$149,1,0)</f>
        <v>#N/A</v>
      </c>
      <c r="E123" s="163" t="str">
        <f t="shared" si="2"/>
        <v>#N/A</v>
      </c>
      <c r="F123" s="120" t="str">
        <f>VLOOKUP(A123,'Classement Général'!$B$2:$B$146,1,0)</f>
        <v>#N/A</v>
      </c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</row>
    <row r="124" ht="14.25" customHeight="1">
      <c r="A124" s="160"/>
      <c r="B124" s="156">
        <v>123.0</v>
      </c>
      <c r="C124" s="157">
        <f t="shared" si="1"/>
        <v>-487.5569898</v>
      </c>
      <c r="D124" s="158" t="str">
        <f>VLOOKUP(A124,'Classement RoC'!$B$2:$C$149,1,0)</f>
        <v>#N/A</v>
      </c>
      <c r="E124" s="163" t="str">
        <f t="shared" si="2"/>
        <v>#N/A</v>
      </c>
      <c r="F124" s="120" t="str">
        <f>VLOOKUP(A124,'Classement Général'!$B$2:$B$146,1,0)</f>
        <v>#N/A</v>
      </c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</row>
    <row r="125" ht="14.25" customHeight="1">
      <c r="A125" s="160"/>
      <c r="B125" s="161">
        <v>124.0</v>
      </c>
      <c r="C125" s="157">
        <f t="shared" si="1"/>
        <v>-494.0567333</v>
      </c>
      <c r="D125" s="158" t="str">
        <f>VLOOKUP(A125,'Classement RoC'!$B$2:$C$149,1,0)</f>
        <v>#N/A</v>
      </c>
      <c r="E125" s="163" t="str">
        <f t="shared" si="2"/>
        <v>#N/A</v>
      </c>
      <c r="F125" s="120" t="str">
        <f>VLOOKUP(A125,'Classement Général'!$B$2:$B$146,1,0)</f>
        <v>#N/A</v>
      </c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</row>
    <row r="126" ht="14.25" customHeight="1">
      <c r="A126" s="160"/>
      <c r="B126" s="156">
        <v>125.0</v>
      </c>
      <c r="C126" s="157">
        <f t="shared" si="1"/>
        <v>-500.5363331</v>
      </c>
      <c r="D126" s="158" t="str">
        <f>VLOOKUP(A126,'Classement RoC'!$B$2:$C$149,1,0)</f>
        <v>#N/A</v>
      </c>
      <c r="E126" s="163" t="str">
        <f t="shared" si="2"/>
        <v>#N/A</v>
      </c>
      <c r="F126" s="120" t="str">
        <f>VLOOKUP(A126,'Classement Général'!$B$2:$B$146,1,0)</f>
        <v>#N/A</v>
      </c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</row>
    <row r="127" ht="14.25" customHeight="1">
      <c r="A127" s="160"/>
      <c r="B127" s="161">
        <v>126.0</v>
      </c>
      <c r="C127" s="157">
        <f t="shared" si="1"/>
        <v>-506.9960604</v>
      </c>
      <c r="D127" s="158" t="str">
        <f>VLOOKUP(A127,'Classement RoC'!$B$2:$C$149,1,0)</f>
        <v>#N/A</v>
      </c>
      <c r="E127" s="163" t="str">
        <f t="shared" si="2"/>
        <v>#N/A</v>
      </c>
      <c r="F127" s="120" t="str">
        <f>VLOOKUP(A127,'Classement Général'!$B$2:$B$146,1,0)</f>
        <v>#N/A</v>
      </c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</row>
    <row r="128" ht="14.25" customHeight="1">
      <c r="A128" s="160"/>
      <c r="B128" s="156">
        <v>127.0</v>
      </c>
      <c r="C128" s="157">
        <f t="shared" si="1"/>
        <v>-513.4361802</v>
      </c>
      <c r="D128" s="158" t="str">
        <f>VLOOKUP(A128,'Classement RoC'!$B$2:$C$149,1,0)</f>
        <v>#N/A</v>
      </c>
      <c r="E128" s="163" t="str">
        <f t="shared" si="2"/>
        <v>#N/A</v>
      </c>
      <c r="F128" s="120" t="str">
        <f>VLOOKUP(A128,'Classement Général'!$B$2:$B$146,1,0)</f>
        <v>#N/A</v>
      </c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</row>
    <row r="129" ht="14.25" customHeight="1">
      <c r="A129" s="160"/>
      <c r="B129" s="161">
        <v>128.0</v>
      </c>
      <c r="C129" s="157">
        <f t="shared" si="1"/>
        <v>-519.8569517</v>
      </c>
      <c r="D129" s="158" t="str">
        <f>VLOOKUP(A129,'Classement RoC'!$B$2:$C$149,1,0)</f>
        <v>#N/A</v>
      </c>
      <c r="E129" s="163" t="str">
        <f t="shared" si="2"/>
        <v>#N/A</v>
      </c>
      <c r="F129" s="120" t="str">
        <f>VLOOKUP(A129,'Classement Général'!$B$2:$B$146,1,0)</f>
        <v>#N/A</v>
      </c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</row>
    <row r="130" ht="14.25" customHeight="1">
      <c r="A130" s="160"/>
      <c r="B130" s="156">
        <v>129.0</v>
      </c>
      <c r="C130" s="157">
        <f t="shared" si="1"/>
        <v>-526.2586283</v>
      </c>
      <c r="D130" s="158" t="str">
        <f>VLOOKUP(A130,'Classement RoC'!$B$2:$C$149,1,0)</f>
        <v>#N/A</v>
      </c>
      <c r="E130" s="163" t="str">
        <f t="shared" si="2"/>
        <v>#N/A</v>
      </c>
      <c r="F130" s="120" t="str">
        <f>VLOOKUP(A130,'Classement Général'!$B$2:$B$146,1,0)</f>
        <v>#N/A</v>
      </c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</row>
    <row r="131" ht="14.25" customHeight="1">
      <c r="A131" s="160"/>
      <c r="B131" s="161">
        <v>130.0</v>
      </c>
      <c r="C131" s="157">
        <f t="shared" si="1"/>
        <v>-532.641458</v>
      </c>
      <c r="D131" s="158" t="str">
        <f>VLOOKUP(A131,'Classement RoC'!$B$2:$C$149,1,0)</f>
        <v>#N/A</v>
      </c>
      <c r="E131" s="163" t="str">
        <f t="shared" si="2"/>
        <v>#N/A</v>
      </c>
      <c r="F131" s="120" t="str">
        <f>VLOOKUP(A131,'Classement Général'!$B$2:$B$146,1,0)</f>
        <v>#N/A</v>
      </c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</row>
    <row r="132" ht="14.25" customHeight="1">
      <c r="A132" s="160"/>
      <c r="B132" s="156">
        <v>131.0</v>
      </c>
      <c r="C132" s="157">
        <f t="shared" si="1"/>
        <v>-539.0056833</v>
      </c>
      <c r="D132" s="158" t="str">
        <f>VLOOKUP(A132,'Classement RoC'!$B$2:$C$149,1,0)</f>
        <v>#N/A</v>
      </c>
      <c r="E132" s="163" t="str">
        <f t="shared" si="2"/>
        <v>#N/A</v>
      </c>
      <c r="F132" s="120" t="str">
        <f>VLOOKUP(A132,'Classement Général'!$B$2:$B$146,1,0)</f>
        <v>#N/A</v>
      </c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</row>
    <row r="133" ht="14.25" customHeight="1">
      <c r="A133" s="160"/>
      <c r="B133" s="161">
        <v>132.0</v>
      </c>
      <c r="C133" s="157">
        <f t="shared" si="1"/>
        <v>-545.3515416</v>
      </c>
      <c r="D133" s="158" t="str">
        <f>VLOOKUP(A133,'Classement RoC'!$B$2:$C$149,1,0)</f>
        <v>#N/A</v>
      </c>
      <c r="E133" s="163" t="str">
        <f t="shared" si="2"/>
        <v>#N/A</v>
      </c>
      <c r="F133" s="120" t="str">
        <f>VLOOKUP(A133,'Classement Général'!$B$2:$B$146,1,0)</f>
        <v>#N/A</v>
      </c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</row>
    <row r="134" ht="14.25" customHeight="1">
      <c r="A134" s="160"/>
      <c r="B134" s="156">
        <v>133.0</v>
      </c>
      <c r="C134" s="157">
        <f t="shared" si="1"/>
        <v>-551.6792652</v>
      </c>
      <c r="D134" s="158" t="str">
        <f>VLOOKUP(A134,'Classement RoC'!$B$2:$C$149,1,0)</f>
        <v>#N/A</v>
      </c>
      <c r="E134" s="163" t="str">
        <f t="shared" si="2"/>
        <v>#N/A</v>
      </c>
      <c r="F134" s="120" t="str">
        <f>VLOOKUP(A134,'Classement Général'!$B$2:$B$146,1,0)</f>
        <v>#N/A</v>
      </c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</row>
    <row r="135" ht="14.25" customHeight="1">
      <c r="A135" s="160"/>
      <c r="B135" s="161">
        <v>134.0</v>
      </c>
      <c r="C135" s="157">
        <f t="shared" si="1"/>
        <v>-557.9890815</v>
      </c>
      <c r="D135" s="158" t="str">
        <f>VLOOKUP(A135,'Classement RoC'!$B$2:$C$149,1,0)</f>
        <v>#N/A</v>
      </c>
      <c r="E135" s="163" t="str">
        <f t="shared" si="2"/>
        <v>#N/A</v>
      </c>
      <c r="F135" s="120" t="str">
        <f>VLOOKUP(A135,'Classement Général'!$B$2:$B$146,1,0)</f>
        <v>#N/A</v>
      </c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</row>
    <row r="136" ht="14.25" customHeight="1">
      <c r="A136" s="160"/>
      <c r="B136" s="156">
        <v>135.0</v>
      </c>
      <c r="C136" s="157">
        <f t="shared" si="1"/>
        <v>-564.281213</v>
      </c>
      <c r="D136" s="158" t="str">
        <f>VLOOKUP(A136,'Classement RoC'!$B$2:$C$149,1,0)</f>
        <v>#N/A</v>
      </c>
      <c r="E136" s="163" t="str">
        <f t="shared" si="2"/>
        <v>#N/A</v>
      </c>
      <c r="F136" s="120" t="str">
        <f>VLOOKUP(A136,'Classement Général'!$B$2:$B$146,1,0)</f>
        <v>#N/A</v>
      </c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</row>
    <row r="137" ht="14.25" customHeight="1">
      <c r="A137" s="160"/>
      <c r="B137" s="161">
        <v>136.0</v>
      </c>
      <c r="C137" s="157">
        <f t="shared" si="1"/>
        <v>-570.5558779</v>
      </c>
      <c r="D137" s="158" t="str">
        <f>VLOOKUP(A137,'Classement RoC'!$B$2:$C$149,1,0)</f>
        <v>#N/A</v>
      </c>
      <c r="E137" s="163" t="str">
        <f t="shared" si="2"/>
        <v>#N/A</v>
      </c>
      <c r="F137" s="120" t="str">
        <f>VLOOKUP(A137,'Classement Général'!$B$2:$B$146,1,0)</f>
        <v>#N/A</v>
      </c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</row>
    <row r="138" ht="14.25" customHeight="1">
      <c r="A138" s="160"/>
      <c r="B138" s="156">
        <v>137.0</v>
      </c>
      <c r="C138" s="157">
        <f t="shared" si="1"/>
        <v>-576.8132895</v>
      </c>
      <c r="D138" s="158" t="str">
        <f>VLOOKUP(A138,'Classement RoC'!$B$2:$C$149,1,0)</f>
        <v>#N/A</v>
      </c>
      <c r="E138" s="163" t="str">
        <f t="shared" si="2"/>
        <v>#N/A</v>
      </c>
      <c r="F138" s="120" t="str">
        <f>VLOOKUP(A138,'Classement Général'!$B$2:$B$146,1,0)</f>
        <v>#N/A</v>
      </c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</row>
    <row r="139" ht="14.25" customHeight="1">
      <c r="A139" s="160"/>
      <c r="B139" s="161">
        <v>138.0</v>
      </c>
      <c r="C139" s="157">
        <f t="shared" si="1"/>
        <v>-583.053657</v>
      </c>
      <c r="D139" s="158" t="str">
        <f>VLOOKUP(A139,'Classement RoC'!$B$2:$C$149,1,0)</f>
        <v>#N/A</v>
      </c>
      <c r="E139" s="163" t="str">
        <f t="shared" si="2"/>
        <v>#N/A</v>
      </c>
      <c r="F139" s="120" t="str">
        <f>VLOOKUP(A139,'Classement Général'!$B$2:$B$146,1,0)</f>
        <v>#N/A</v>
      </c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</row>
    <row r="140" ht="14.25" customHeight="1">
      <c r="A140" s="160"/>
      <c r="B140" s="156">
        <v>139.0</v>
      </c>
      <c r="C140" s="157">
        <f t="shared" si="1"/>
        <v>-589.2771852</v>
      </c>
      <c r="D140" s="158" t="str">
        <f>VLOOKUP(A140,'Classement RoC'!$B$2:$C$149,1,0)</f>
        <v>#N/A</v>
      </c>
      <c r="E140" s="163" t="str">
        <f t="shared" si="2"/>
        <v>#N/A</v>
      </c>
      <c r="F140" s="120" t="str">
        <f>VLOOKUP(A140,'Classement Général'!$B$2:$B$146,1,0)</f>
        <v>#N/A</v>
      </c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</row>
    <row r="141" ht="14.25" customHeight="1">
      <c r="A141" s="160"/>
      <c r="B141" s="161">
        <v>140.0</v>
      </c>
      <c r="C141" s="157">
        <f t="shared" si="1"/>
        <v>-595.4840751</v>
      </c>
      <c r="D141" s="158" t="str">
        <f>VLOOKUP(A141,'Classement RoC'!$B$2:$C$149,1,0)</f>
        <v>#N/A</v>
      </c>
      <c r="E141" s="163" t="str">
        <f t="shared" si="2"/>
        <v>#N/A</v>
      </c>
      <c r="F141" s="120" t="str">
        <f>VLOOKUP(A141,'Classement Général'!$B$2:$B$146,1,0)</f>
        <v>#N/A</v>
      </c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</row>
    <row r="142" ht="14.25" customHeight="1">
      <c r="A142" s="160"/>
      <c r="B142" s="156">
        <v>141.0</v>
      </c>
      <c r="C142" s="157">
        <f t="shared" si="1"/>
        <v>-601.6745232</v>
      </c>
      <c r="D142" s="158" t="str">
        <f>VLOOKUP(A142,'Classement RoC'!$B$2:$C$149,1,0)</f>
        <v>#N/A</v>
      </c>
      <c r="E142" s="163" t="str">
        <f t="shared" si="2"/>
        <v>#N/A</v>
      </c>
      <c r="F142" s="120" t="str">
        <f>VLOOKUP(A142,'Classement Général'!$B$2:$B$146,1,0)</f>
        <v>#N/A</v>
      </c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</row>
    <row r="143" ht="14.25" customHeight="1">
      <c r="A143" s="160"/>
      <c r="B143" s="161">
        <v>142.0</v>
      </c>
      <c r="C143" s="157">
        <f t="shared" si="1"/>
        <v>-607.8487224</v>
      </c>
      <c r="D143" s="158" t="str">
        <f>VLOOKUP(A143,'Classement RoC'!$B$2:$C$149,1,0)</f>
        <v>#N/A</v>
      </c>
      <c r="E143" s="163" t="str">
        <f t="shared" si="2"/>
        <v>#N/A</v>
      </c>
      <c r="F143" s="120" t="str">
        <f>VLOOKUP(A143,'Classement Général'!$B$2:$B$146,1,0)</f>
        <v>#N/A</v>
      </c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</row>
    <row r="144" ht="14.25" customHeight="1">
      <c r="A144" s="160"/>
      <c r="B144" s="156">
        <v>143.0</v>
      </c>
      <c r="C144" s="157">
        <f t="shared" si="1"/>
        <v>-614.0068618</v>
      </c>
      <c r="D144" s="158" t="str">
        <f>VLOOKUP(A144,'Classement RoC'!$B$2:$C$149,1,0)</f>
        <v>#N/A</v>
      </c>
      <c r="E144" s="163" t="str">
        <f t="shared" si="2"/>
        <v>#N/A</v>
      </c>
      <c r="F144" s="120" t="str">
        <f>VLOOKUP(A144,'Classement Général'!$B$2:$B$146,1,0)</f>
        <v>#N/A</v>
      </c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</row>
    <row r="145" ht="14.25" customHeight="1">
      <c r="A145" s="160"/>
      <c r="B145" s="161">
        <v>144.0</v>
      </c>
      <c r="C145" s="157">
        <f t="shared" si="1"/>
        <v>-620.1491267</v>
      </c>
      <c r="D145" s="158" t="str">
        <f>VLOOKUP(A145,'Classement RoC'!$B$2:$C$149,1,0)</f>
        <v>#N/A</v>
      </c>
      <c r="E145" s="163" t="str">
        <f t="shared" si="2"/>
        <v>#N/A</v>
      </c>
      <c r="F145" s="120" t="str">
        <f>VLOOKUP(A145,'Classement Général'!$B$2:$B$146,1,0)</f>
        <v>#N/A</v>
      </c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</row>
    <row r="146" ht="14.25" customHeight="1">
      <c r="A146" s="160"/>
      <c r="B146" s="156">
        <v>145.0</v>
      </c>
      <c r="C146" s="157">
        <f t="shared" si="1"/>
        <v>-626.2756989</v>
      </c>
      <c r="D146" s="158" t="str">
        <f>VLOOKUP(A146,'Classement RoC'!$B$2:$C$149,1,0)</f>
        <v>#N/A</v>
      </c>
      <c r="E146" s="163" t="str">
        <f t="shared" si="2"/>
        <v>#N/A</v>
      </c>
      <c r="F146" s="120" t="str">
        <f>VLOOKUP(A146,'Classement Général'!$B$2:$B$146,1,0)</f>
        <v>#N/A</v>
      </c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</row>
    <row r="147" ht="14.25" customHeight="1">
      <c r="A147" s="160"/>
      <c r="B147" s="161">
        <v>146.0</v>
      </c>
      <c r="C147" s="157">
        <f t="shared" si="1"/>
        <v>-632.3867567</v>
      </c>
      <c r="D147" s="158" t="str">
        <f>VLOOKUP(A147,'Classement RoC'!$B$2:$C$149,1,0)</f>
        <v>#N/A</v>
      </c>
      <c r="E147" s="163" t="str">
        <f t="shared" si="2"/>
        <v>#N/A</v>
      </c>
      <c r="F147" s="120" t="str">
        <f>VLOOKUP(A147,'Classement Général'!$B$2:$B$146,1,0)</f>
        <v>#N/A</v>
      </c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</row>
    <row r="148" ht="14.25" customHeight="1">
      <c r="A148" s="160"/>
      <c r="B148" s="156">
        <v>147.0</v>
      </c>
      <c r="C148" s="157">
        <f t="shared" si="1"/>
        <v>-638.4824749</v>
      </c>
      <c r="D148" s="158" t="str">
        <f>VLOOKUP(A148,'Classement RoC'!$B$2:$C$149,1,0)</f>
        <v>#N/A</v>
      </c>
      <c r="E148" s="163" t="str">
        <f t="shared" si="2"/>
        <v>#N/A</v>
      </c>
      <c r="F148" s="120" t="str">
        <f>VLOOKUP(A148,'Classement Général'!$B$2:$B$146,1,0)</f>
        <v>#N/A</v>
      </c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</row>
    <row r="149" ht="14.25" customHeight="1">
      <c r="A149" s="160"/>
      <c r="B149" s="161">
        <v>148.0</v>
      </c>
      <c r="C149" s="157">
        <f t="shared" si="1"/>
        <v>-644.563025</v>
      </c>
      <c r="D149" s="158" t="str">
        <f>VLOOKUP(A149,'Classement RoC'!$B$2:$C$149,1,0)</f>
        <v>#N/A</v>
      </c>
      <c r="E149" s="163" t="str">
        <f t="shared" si="2"/>
        <v>#N/A</v>
      </c>
      <c r="F149" s="120" t="str">
        <f>VLOOKUP(A149,'Classement Général'!$B$2:$B$146,1,0)</f>
        <v>#N/A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</row>
    <row r="150" ht="14.25" customHeight="1">
      <c r="A150" s="160"/>
      <c r="B150" s="156">
        <v>149.0</v>
      </c>
      <c r="C150" s="157">
        <f t="shared" si="1"/>
        <v>-650.6285754</v>
      </c>
      <c r="D150" s="158" t="str">
        <f>VLOOKUP(A150,'Classement RoC'!$B$2:$C$149,1,0)</f>
        <v>#N/A</v>
      </c>
      <c r="E150" s="163" t="str">
        <f t="shared" si="2"/>
        <v>#N/A</v>
      </c>
      <c r="F150" s="120" t="str">
        <f>VLOOKUP(A150,'Classement Général'!$B$2:$B$146,1,0)</f>
        <v>#N/A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</row>
    <row r="151" ht="14.25" customHeight="1">
      <c r="A151" s="160"/>
      <c r="B151" s="161">
        <v>150.0</v>
      </c>
      <c r="C151" s="157">
        <f t="shared" si="1"/>
        <v>-656.6792913</v>
      </c>
      <c r="D151" s="158" t="str">
        <f>VLOOKUP(A151,'Classement RoC'!$B$2:$C$149,1,0)</f>
        <v>#N/A</v>
      </c>
      <c r="E151" s="163" t="str">
        <f t="shared" si="2"/>
        <v>#N/A</v>
      </c>
      <c r="F151" s="120" t="str">
        <f>VLOOKUP(A151,'Classement Général'!$B$2:$B$146,1,0)</f>
        <v>#N/A</v>
      </c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</row>
    <row r="152" ht="14.25" customHeight="1">
      <c r="A152" s="160"/>
      <c r="B152" s="156">
        <v>151.0</v>
      </c>
      <c r="C152" s="157">
        <f t="shared" si="1"/>
        <v>-662.7153347</v>
      </c>
      <c r="D152" s="158" t="str">
        <f>VLOOKUP(A152,'Classement RoC'!$B$2:$C$149,1,0)</f>
        <v>#N/A</v>
      </c>
      <c r="E152" s="163" t="str">
        <f t="shared" si="2"/>
        <v>#N/A</v>
      </c>
      <c r="F152" s="120" t="str">
        <f>VLOOKUP(A152,'Classement Général'!$B$2:$B$146,1,0)</f>
        <v>#N/A</v>
      </c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</row>
    <row r="153" ht="14.25" customHeight="1">
      <c r="A153" s="160"/>
      <c r="B153" s="161">
        <v>152.0</v>
      </c>
      <c r="C153" s="157">
        <f t="shared" si="1"/>
        <v>-668.7368649</v>
      </c>
      <c r="D153" s="158" t="str">
        <f>VLOOKUP(A153,'Classement RoC'!$B$2:$C$149,1,0)</f>
        <v>#N/A</v>
      </c>
      <c r="E153" s="163" t="str">
        <f t="shared" si="2"/>
        <v>#N/A</v>
      </c>
      <c r="F153" s="120" t="str">
        <f>VLOOKUP(A153,'Classement Général'!$B$2:$B$146,1,0)</f>
        <v>#N/A</v>
      </c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</row>
    <row r="154" ht="14.25" customHeight="1">
      <c r="A154" s="160"/>
      <c r="B154" s="156">
        <v>153.0</v>
      </c>
      <c r="C154" s="157">
        <f t="shared" si="1"/>
        <v>-674.744038</v>
      </c>
      <c r="D154" s="158" t="str">
        <f>VLOOKUP(A154,'Classement RoC'!$B$2:$C$149,1,0)</f>
        <v>#N/A</v>
      </c>
      <c r="E154" s="163" t="str">
        <f t="shared" si="2"/>
        <v>#N/A</v>
      </c>
      <c r="F154" s="120" t="str">
        <f>VLOOKUP(A154,'Classement Général'!$B$2:$B$146,1,0)</f>
        <v>#N/A</v>
      </c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</row>
    <row r="155" ht="14.25" customHeight="1">
      <c r="A155" s="160"/>
      <c r="B155" s="161">
        <v>154.0</v>
      </c>
      <c r="C155" s="157">
        <f t="shared" si="1"/>
        <v>-680.7370073</v>
      </c>
      <c r="D155" s="158" t="str">
        <f>VLOOKUP(A155,'Classement RoC'!$B$2:$C$149,1,0)</f>
        <v>#N/A</v>
      </c>
      <c r="E155" s="163" t="str">
        <f t="shared" si="2"/>
        <v>#N/A</v>
      </c>
      <c r="F155" s="120" t="str">
        <f>VLOOKUP(A155,'Classement Général'!$B$2:$B$146,1,0)</f>
        <v>#N/A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</row>
    <row r="156" ht="14.25" customHeight="1">
      <c r="A156" s="160"/>
      <c r="B156" s="156">
        <v>155.0</v>
      </c>
      <c r="C156" s="157">
        <f t="shared" si="1"/>
        <v>-686.7159236</v>
      </c>
      <c r="D156" s="158" t="str">
        <f>VLOOKUP(A156,'Classement RoC'!$B$2:$C$149,1,0)</f>
        <v>#N/A</v>
      </c>
      <c r="E156" s="163" t="str">
        <f t="shared" si="2"/>
        <v>#N/A</v>
      </c>
      <c r="F156" s="120" t="str">
        <f>VLOOKUP(A156,'Classement Général'!$B$2:$B$146,1,0)</f>
        <v>#N/A</v>
      </c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</row>
    <row r="157" ht="14.25" customHeight="1">
      <c r="A157" s="160"/>
      <c r="B157" s="161">
        <v>156.0</v>
      </c>
      <c r="C157" s="157">
        <f t="shared" si="1"/>
        <v>-692.6809347</v>
      </c>
      <c r="D157" s="158" t="str">
        <f>VLOOKUP(A157,'Classement RoC'!$B$2:$C$149,1,0)</f>
        <v>#N/A</v>
      </c>
      <c r="E157" s="163" t="str">
        <f t="shared" si="2"/>
        <v>#N/A</v>
      </c>
      <c r="F157" s="120" t="str">
        <f>VLOOKUP(A157,'Classement Général'!$B$2:$B$146,1,0)</f>
        <v>#N/A</v>
      </c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</row>
    <row r="158" ht="14.25" customHeight="1">
      <c r="A158" s="160"/>
      <c r="B158" s="156">
        <v>157.0</v>
      </c>
      <c r="C158" s="157">
        <f t="shared" si="1"/>
        <v>-698.632186</v>
      </c>
      <c r="D158" s="158" t="str">
        <f>VLOOKUP(A158,'Classement RoC'!$B$2:$C$149,1,0)</f>
        <v>#N/A</v>
      </c>
      <c r="E158" s="163" t="str">
        <f t="shared" si="2"/>
        <v>#N/A</v>
      </c>
      <c r="F158" s="120" t="str">
        <f>VLOOKUP(A158,'Classement Général'!$B$2:$B$146,1,0)</f>
        <v>#N/A</v>
      </c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</row>
    <row r="159" ht="14.25" customHeight="1">
      <c r="A159" s="160"/>
      <c r="B159" s="161">
        <v>158.0</v>
      </c>
      <c r="C159" s="157">
        <f t="shared" si="1"/>
        <v>-704.5698202</v>
      </c>
      <c r="D159" s="158" t="str">
        <f>VLOOKUP(A159,'Classement RoC'!$B$2:$C$149,1,0)</f>
        <v>#N/A</v>
      </c>
      <c r="E159" s="163" t="str">
        <f t="shared" si="2"/>
        <v>#N/A</v>
      </c>
      <c r="F159" s="120" t="str">
        <f>VLOOKUP(A159,'Classement Général'!$B$2:$B$146,1,0)</f>
        <v>#N/A</v>
      </c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</row>
    <row r="160" ht="14.25" customHeight="1">
      <c r="A160" s="160"/>
      <c r="B160" s="156">
        <v>159.0</v>
      </c>
      <c r="C160" s="157">
        <f t="shared" si="1"/>
        <v>-710.4939774</v>
      </c>
      <c r="D160" s="158" t="str">
        <f>VLOOKUP(A160,'Classement RoC'!$B$2:$C$149,1,0)</f>
        <v>#N/A</v>
      </c>
      <c r="E160" s="163" t="str">
        <f t="shared" si="2"/>
        <v>#N/A</v>
      </c>
      <c r="F160" s="120" t="str">
        <f>VLOOKUP(A160,'Classement Général'!$B$2:$B$146,1,0)</f>
        <v>#N/A</v>
      </c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</row>
    <row r="161" ht="14.25" customHeight="1">
      <c r="A161" s="164"/>
      <c r="B161" s="165"/>
      <c r="C161" s="166"/>
      <c r="D161" s="167"/>
      <c r="E161" s="168"/>
      <c r="F161" s="120" t="str">
        <f>VLOOKUP(A161,'Classement Général'!$B$2:$B$146,1,0)</f>
        <v>#N/A</v>
      </c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</row>
    <row r="162" ht="14.25" customHeight="1">
      <c r="A162" s="164"/>
      <c r="B162" s="165"/>
      <c r="C162" s="166"/>
      <c r="D162" s="167"/>
      <c r="E162" s="168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4"/>
    </row>
    <row r="163" ht="14.25" customHeight="1">
      <c r="A163" s="164"/>
      <c r="B163" s="165"/>
      <c r="C163" s="166"/>
      <c r="D163" s="167"/>
      <c r="E163" s="168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</row>
    <row r="164" ht="14.25" customHeight="1">
      <c r="A164" s="164"/>
      <c r="B164" s="165"/>
      <c r="C164" s="166"/>
      <c r="D164" s="167"/>
      <c r="E164" s="168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</row>
    <row r="165" ht="14.25" customHeight="1">
      <c r="A165" s="164"/>
      <c r="B165" s="165"/>
      <c r="C165" s="166"/>
      <c r="D165" s="167"/>
      <c r="E165" s="168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</row>
    <row r="166" ht="14.25" customHeight="1">
      <c r="A166" s="164"/>
      <c r="B166" s="165"/>
      <c r="C166" s="166"/>
      <c r="D166" s="167"/>
      <c r="E166" s="168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</row>
    <row r="167" ht="14.25" customHeight="1">
      <c r="A167" s="164"/>
      <c r="B167" s="165"/>
      <c r="C167" s="166"/>
      <c r="D167" s="167"/>
      <c r="E167" s="168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</row>
    <row r="168" ht="14.25" customHeight="1">
      <c r="A168" s="164"/>
      <c r="B168" s="165"/>
      <c r="C168" s="166"/>
      <c r="D168" s="167"/>
      <c r="E168" s="168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</row>
    <row r="169" ht="14.25" customHeight="1">
      <c r="A169" s="164"/>
      <c r="B169" s="165"/>
      <c r="C169" s="166"/>
      <c r="D169" s="167"/>
      <c r="E169" s="168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</row>
    <row r="170" ht="14.25" customHeight="1">
      <c r="A170" s="164"/>
      <c r="B170" s="165"/>
      <c r="C170" s="166"/>
      <c r="D170" s="167"/>
      <c r="E170" s="168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</row>
    <row r="171" ht="14.25" customHeight="1">
      <c r="A171" s="164"/>
      <c r="B171" s="165"/>
      <c r="C171" s="166"/>
      <c r="D171" s="167"/>
      <c r="E171" s="168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</row>
    <row r="172" ht="14.25" customHeight="1">
      <c r="A172" s="164"/>
      <c r="B172" s="165"/>
      <c r="C172" s="166"/>
      <c r="D172" s="167"/>
      <c r="E172" s="168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</row>
    <row r="173" ht="14.25" customHeight="1">
      <c r="A173" s="164"/>
      <c r="B173" s="165"/>
      <c r="C173" s="166"/>
      <c r="D173" s="167"/>
      <c r="E173" s="168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</row>
    <row r="174" ht="14.25" customHeight="1">
      <c r="A174" s="164"/>
      <c r="B174" s="165"/>
      <c r="C174" s="166"/>
      <c r="D174" s="167"/>
      <c r="E174" s="168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</row>
    <row r="175" ht="14.25" customHeight="1">
      <c r="A175" s="164"/>
      <c r="B175" s="165"/>
      <c r="C175" s="166"/>
      <c r="D175" s="167"/>
      <c r="E175" s="168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</row>
    <row r="176" ht="14.25" customHeight="1">
      <c r="A176" s="164"/>
      <c r="B176" s="165"/>
      <c r="C176" s="166"/>
      <c r="D176" s="167"/>
      <c r="E176" s="168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</row>
    <row r="177" ht="14.25" customHeight="1">
      <c r="A177" s="164"/>
      <c r="B177" s="165"/>
      <c r="C177" s="166"/>
      <c r="D177" s="167"/>
      <c r="E177" s="168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4"/>
    </row>
    <row r="178" ht="14.25" customHeight="1">
      <c r="A178" s="164"/>
      <c r="B178" s="165"/>
      <c r="C178" s="166"/>
      <c r="D178" s="167"/>
      <c r="E178" s="168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</row>
    <row r="179" ht="14.25" customHeight="1">
      <c r="A179" s="164"/>
      <c r="B179" s="165"/>
      <c r="C179" s="166"/>
      <c r="D179" s="167"/>
      <c r="E179" s="168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4"/>
    </row>
    <row r="180" ht="14.25" customHeight="1">
      <c r="A180" s="164"/>
      <c r="B180" s="165"/>
      <c r="C180" s="166"/>
      <c r="D180" s="167"/>
      <c r="E180" s="168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</row>
    <row r="181" ht="14.25" customHeight="1">
      <c r="A181" s="164"/>
      <c r="B181" s="165"/>
      <c r="C181" s="166"/>
      <c r="D181" s="167"/>
      <c r="E181" s="168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</row>
    <row r="182" ht="14.25" customHeight="1">
      <c r="A182" s="164"/>
      <c r="B182" s="165"/>
      <c r="C182" s="166"/>
      <c r="D182" s="167"/>
      <c r="E182" s="168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154"/>
    </row>
    <row r="183" ht="14.25" customHeight="1">
      <c r="A183" s="164"/>
      <c r="B183" s="165"/>
      <c r="C183" s="166"/>
      <c r="D183" s="167"/>
      <c r="E183" s="168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4"/>
    </row>
    <row r="184" ht="14.25" customHeight="1">
      <c r="A184" s="164"/>
      <c r="B184" s="165"/>
      <c r="C184" s="166"/>
      <c r="D184" s="167"/>
      <c r="E184" s="168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</row>
    <row r="185" ht="14.25" customHeight="1">
      <c r="A185" s="164"/>
      <c r="B185" s="165"/>
      <c r="C185" s="166"/>
      <c r="D185" s="167"/>
      <c r="E185" s="168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</row>
    <row r="186" ht="14.25" customHeight="1">
      <c r="A186" s="164"/>
      <c r="B186" s="165"/>
      <c r="C186" s="166"/>
      <c r="D186" s="167"/>
      <c r="E186" s="168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</row>
    <row r="187" ht="14.25" customHeight="1">
      <c r="A187" s="164"/>
      <c r="B187" s="165"/>
      <c r="C187" s="166"/>
      <c r="D187" s="167"/>
      <c r="E187" s="168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</row>
    <row r="188" ht="14.25" customHeight="1">
      <c r="A188" s="164"/>
      <c r="B188" s="165"/>
      <c r="C188" s="166"/>
      <c r="D188" s="167"/>
      <c r="E188" s="168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</row>
    <row r="189" ht="14.25" customHeight="1">
      <c r="A189" s="164"/>
      <c r="B189" s="165"/>
      <c r="C189" s="166"/>
      <c r="D189" s="167"/>
      <c r="E189" s="168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</row>
    <row r="190" ht="14.25" customHeight="1">
      <c r="A190" s="164"/>
      <c r="B190" s="165"/>
      <c r="C190" s="166"/>
      <c r="D190" s="167"/>
      <c r="E190" s="168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</row>
    <row r="191" ht="14.25" customHeight="1">
      <c r="A191" s="164"/>
      <c r="B191" s="165"/>
      <c r="C191" s="166"/>
      <c r="D191" s="167"/>
      <c r="E191" s="168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</row>
    <row r="192" ht="14.25" customHeight="1">
      <c r="A192" s="164"/>
      <c r="B192" s="165"/>
      <c r="C192" s="166"/>
      <c r="D192" s="167"/>
      <c r="E192" s="168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</row>
    <row r="193" ht="14.25" customHeight="1">
      <c r="A193" s="164"/>
      <c r="B193" s="165"/>
      <c r="C193" s="166"/>
      <c r="D193" s="167"/>
      <c r="E193" s="168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</row>
    <row r="194" ht="14.25" customHeight="1">
      <c r="A194" s="164"/>
      <c r="B194" s="165"/>
      <c r="C194" s="166"/>
      <c r="D194" s="167"/>
      <c r="E194" s="168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</row>
    <row r="195" ht="14.25" customHeight="1">
      <c r="A195" s="164"/>
      <c r="B195" s="165"/>
      <c r="C195" s="166"/>
      <c r="D195" s="167"/>
      <c r="E195" s="168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</row>
    <row r="196" ht="14.25" customHeight="1">
      <c r="A196" s="164"/>
      <c r="B196" s="165"/>
      <c r="C196" s="166"/>
      <c r="D196" s="167"/>
      <c r="E196" s="168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</row>
    <row r="197" ht="14.25" customHeight="1">
      <c r="A197" s="164"/>
      <c r="B197" s="165"/>
      <c r="C197" s="166"/>
      <c r="D197" s="167"/>
      <c r="E197" s="168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</row>
    <row r="198" ht="14.25" customHeight="1">
      <c r="A198" s="164"/>
      <c r="B198" s="165"/>
      <c r="C198" s="166"/>
      <c r="D198" s="167"/>
      <c r="E198" s="168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</row>
    <row r="199" ht="14.25" customHeight="1">
      <c r="A199" s="164"/>
      <c r="B199" s="165"/>
      <c r="C199" s="166"/>
      <c r="D199" s="167"/>
      <c r="E199" s="168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154"/>
    </row>
    <row r="200" ht="14.25" customHeight="1">
      <c r="A200" s="164"/>
      <c r="B200" s="165"/>
      <c r="C200" s="166"/>
      <c r="D200" s="167"/>
      <c r="E200" s="168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4"/>
    </row>
    <row r="201" ht="14.25" customHeight="1">
      <c r="A201" s="164"/>
      <c r="B201" s="165"/>
      <c r="C201" s="166"/>
      <c r="D201" s="167"/>
      <c r="E201" s="168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</row>
    <row r="202" ht="14.25" customHeight="1">
      <c r="A202" s="164"/>
      <c r="B202" s="165"/>
      <c r="C202" s="166"/>
      <c r="D202" s="167"/>
      <c r="E202" s="168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4"/>
    </row>
    <row r="203" ht="14.25" customHeight="1">
      <c r="A203" s="164"/>
      <c r="B203" s="165"/>
      <c r="C203" s="166"/>
      <c r="D203" s="167"/>
      <c r="E203" s="168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</row>
    <row r="204" ht="14.25" customHeight="1">
      <c r="A204" s="164"/>
      <c r="B204" s="165"/>
      <c r="C204" s="166"/>
      <c r="D204" s="167"/>
      <c r="E204" s="168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</row>
    <row r="205" ht="14.25" customHeight="1">
      <c r="A205" s="164"/>
      <c r="B205" s="165"/>
      <c r="C205" s="166"/>
      <c r="D205" s="167"/>
      <c r="E205" s="168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</row>
    <row r="206" ht="14.25" customHeight="1">
      <c r="A206" s="164"/>
      <c r="B206" s="165"/>
      <c r="C206" s="166"/>
      <c r="D206" s="167"/>
      <c r="E206" s="168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</row>
    <row r="207" ht="14.25" customHeight="1">
      <c r="A207" s="164"/>
      <c r="B207" s="165"/>
      <c r="C207" s="166"/>
      <c r="D207" s="167"/>
      <c r="E207" s="168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</row>
    <row r="208" ht="14.25" customHeight="1">
      <c r="A208" s="164"/>
      <c r="B208" s="165"/>
      <c r="C208" s="166"/>
      <c r="D208" s="167"/>
      <c r="E208" s="168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</row>
    <row r="209" ht="14.25" customHeight="1">
      <c r="A209" s="164"/>
      <c r="B209" s="165"/>
      <c r="C209" s="166"/>
      <c r="D209" s="167"/>
      <c r="E209" s="168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</row>
    <row r="210" ht="14.25" customHeight="1">
      <c r="A210" s="164"/>
      <c r="B210" s="165"/>
      <c r="C210" s="166"/>
      <c r="D210" s="167"/>
      <c r="E210" s="168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</row>
    <row r="211" ht="14.25" customHeight="1">
      <c r="A211" s="164"/>
      <c r="B211" s="165"/>
      <c r="C211" s="166"/>
      <c r="D211" s="167"/>
      <c r="E211" s="168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</row>
    <row r="212" ht="14.25" customHeight="1">
      <c r="A212" s="164"/>
      <c r="B212" s="165"/>
      <c r="C212" s="166"/>
      <c r="D212" s="167"/>
      <c r="E212" s="168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</row>
    <row r="213" ht="14.25" customHeight="1">
      <c r="A213" s="164"/>
      <c r="B213" s="165"/>
      <c r="C213" s="166"/>
      <c r="D213" s="167"/>
      <c r="E213" s="168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</row>
    <row r="214" ht="14.25" customHeight="1">
      <c r="A214" s="164"/>
      <c r="B214" s="165"/>
      <c r="C214" s="166"/>
      <c r="D214" s="167"/>
      <c r="E214" s="168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</row>
    <row r="215" ht="14.25" customHeight="1">
      <c r="A215" s="164"/>
      <c r="B215" s="165"/>
      <c r="C215" s="166"/>
      <c r="D215" s="167"/>
      <c r="E215" s="168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4"/>
    </row>
    <row r="216" ht="14.25" customHeight="1">
      <c r="A216" s="164"/>
      <c r="B216" s="165"/>
      <c r="C216" s="166"/>
      <c r="D216" s="167"/>
      <c r="E216" s="168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</row>
    <row r="217" ht="14.25" customHeight="1">
      <c r="A217" s="164"/>
      <c r="B217" s="165"/>
      <c r="C217" s="166"/>
      <c r="D217" s="167"/>
      <c r="E217" s="168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</row>
    <row r="218" ht="14.25" customHeight="1">
      <c r="A218" s="164"/>
      <c r="B218" s="165"/>
      <c r="C218" s="166"/>
      <c r="D218" s="167"/>
      <c r="E218" s="168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</row>
    <row r="219" ht="14.25" customHeight="1">
      <c r="A219" s="164"/>
      <c r="B219" s="165"/>
      <c r="C219" s="166"/>
      <c r="D219" s="167"/>
      <c r="E219" s="168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</row>
    <row r="220" ht="14.25" customHeight="1">
      <c r="A220" s="164"/>
      <c r="B220" s="165"/>
      <c r="C220" s="166"/>
      <c r="D220" s="167"/>
      <c r="E220" s="168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</row>
    <row r="221" ht="14.25" customHeight="1">
      <c r="A221" s="164"/>
      <c r="B221" s="165"/>
      <c r="C221" s="166"/>
      <c r="D221" s="167"/>
      <c r="E221" s="168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</row>
    <row r="222" ht="14.25" customHeight="1">
      <c r="A222" s="164"/>
      <c r="B222" s="165"/>
      <c r="C222" s="166"/>
      <c r="D222" s="167"/>
      <c r="E222" s="168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</row>
    <row r="223" ht="14.25" customHeight="1">
      <c r="A223" s="164"/>
      <c r="B223" s="165"/>
      <c r="C223" s="166"/>
      <c r="D223" s="167"/>
      <c r="E223" s="168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</row>
    <row r="224" ht="14.25" customHeight="1">
      <c r="A224" s="164"/>
      <c r="B224" s="165"/>
      <c r="C224" s="166"/>
      <c r="D224" s="167"/>
      <c r="E224" s="168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</row>
    <row r="225" ht="14.25" customHeight="1">
      <c r="A225" s="164"/>
      <c r="B225" s="165"/>
      <c r="C225" s="166"/>
      <c r="D225" s="167"/>
      <c r="E225" s="168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</row>
    <row r="226" ht="14.25" customHeight="1">
      <c r="A226" s="164"/>
      <c r="B226" s="165"/>
      <c r="C226" s="166"/>
      <c r="D226" s="167"/>
      <c r="E226" s="168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</row>
    <row r="227" ht="14.25" customHeight="1">
      <c r="A227" s="164"/>
      <c r="B227" s="165"/>
      <c r="C227" s="166"/>
      <c r="D227" s="167"/>
      <c r="E227" s="168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</row>
    <row r="228" ht="14.25" customHeight="1">
      <c r="A228" s="164"/>
      <c r="B228" s="165"/>
      <c r="C228" s="166"/>
      <c r="D228" s="167"/>
      <c r="E228" s="168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</row>
    <row r="229" ht="14.25" customHeight="1">
      <c r="A229" s="164"/>
      <c r="B229" s="165"/>
      <c r="C229" s="166"/>
      <c r="D229" s="167"/>
      <c r="E229" s="168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</row>
    <row r="230" ht="14.25" customHeight="1">
      <c r="A230" s="164"/>
      <c r="B230" s="165"/>
      <c r="C230" s="166"/>
      <c r="D230" s="167"/>
      <c r="E230" s="168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</row>
    <row r="231" ht="14.25" customHeight="1">
      <c r="A231" s="164"/>
      <c r="B231" s="165"/>
      <c r="C231" s="166"/>
      <c r="D231" s="167"/>
      <c r="E231" s="168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154"/>
    </row>
    <row r="232" ht="14.25" customHeight="1">
      <c r="A232" s="164"/>
      <c r="B232" s="165"/>
      <c r="C232" s="166"/>
      <c r="D232" s="167"/>
      <c r="E232" s="168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154"/>
    </row>
    <row r="233" ht="14.25" customHeight="1">
      <c r="A233" s="164"/>
      <c r="B233" s="165"/>
      <c r="C233" s="166"/>
      <c r="D233" s="167"/>
      <c r="E233" s="168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  <c r="Z233" s="154"/>
    </row>
    <row r="234" ht="14.25" customHeight="1">
      <c r="A234" s="164"/>
      <c r="B234" s="165"/>
      <c r="C234" s="166"/>
      <c r="D234" s="167"/>
      <c r="E234" s="168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</row>
    <row r="235" ht="14.25" customHeight="1">
      <c r="A235" s="164"/>
      <c r="B235" s="165"/>
      <c r="C235" s="166"/>
      <c r="D235" s="167"/>
      <c r="E235" s="168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</row>
    <row r="236" ht="14.25" customHeight="1">
      <c r="A236" s="164"/>
      <c r="B236" s="165"/>
      <c r="C236" s="166"/>
      <c r="D236" s="167"/>
      <c r="E236" s="168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</row>
    <row r="237" ht="14.25" customHeight="1">
      <c r="A237" s="164"/>
      <c r="B237" s="165"/>
      <c r="C237" s="166"/>
      <c r="D237" s="167"/>
      <c r="E237" s="168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</row>
    <row r="238" ht="14.25" customHeight="1">
      <c r="A238" s="164"/>
      <c r="B238" s="165"/>
      <c r="C238" s="166"/>
      <c r="D238" s="167"/>
      <c r="E238" s="168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</row>
    <row r="239" ht="14.25" customHeight="1">
      <c r="A239" s="164"/>
      <c r="B239" s="165"/>
      <c r="C239" s="166"/>
      <c r="D239" s="167"/>
      <c r="E239" s="168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</row>
    <row r="240" ht="14.25" customHeight="1">
      <c r="A240" s="164"/>
      <c r="B240" s="165"/>
      <c r="C240" s="166"/>
      <c r="D240" s="167"/>
      <c r="E240" s="168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</row>
    <row r="241" ht="14.25" customHeight="1">
      <c r="A241" s="164"/>
      <c r="B241" s="165"/>
      <c r="C241" s="166"/>
      <c r="D241" s="167"/>
      <c r="E241" s="168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</row>
    <row r="242" ht="14.25" customHeight="1">
      <c r="A242" s="164"/>
      <c r="B242" s="165"/>
      <c r="C242" s="166"/>
      <c r="D242" s="167"/>
      <c r="E242" s="168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</row>
    <row r="243" ht="14.25" customHeight="1">
      <c r="A243" s="164"/>
      <c r="B243" s="165"/>
      <c r="C243" s="166"/>
      <c r="D243" s="167"/>
      <c r="E243" s="168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</row>
    <row r="244" ht="14.25" customHeight="1">
      <c r="A244" s="164"/>
      <c r="B244" s="165"/>
      <c r="C244" s="166"/>
      <c r="D244" s="167"/>
      <c r="E244" s="168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</row>
    <row r="245" ht="14.25" customHeight="1">
      <c r="A245" s="164"/>
      <c r="B245" s="165"/>
      <c r="C245" s="166"/>
      <c r="D245" s="167"/>
      <c r="E245" s="168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</row>
    <row r="246" ht="14.25" customHeight="1">
      <c r="A246" s="164"/>
      <c r="B246" s="165"/>
      <c r="C246" s="166"/>
      <c r="D246" s="167"/>
      <c r="E246" s="168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</row>
    <row r="247" ht="14.25" customHeight="1">
      <c r="A247" s="164"/>
      <c r="B247" s="165"/>
      <c r="C247" s="166"/>
      <c r="D247" s="167"/>
      <c r="E247" s="168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</row>
    <row r="248" ht="14.25" customHeight="1">
      <c r="A248" s="164"/>
      <c r="B248" s="165"/>
      <c r="C248" s="166"/>
      <c r="D248" s="167"/>
      <c r="E248" s="168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</row>
    <row r="249" ht="14.25" customHeight="1">
      <c r="A249" s="164"/>
      <c r="B249" s="165"/>
      <c r="C249" s="166"/>
      <c r="D249" s="167"/>
      <c r="E249" s="168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154"/>
    </row>
    <row r="250" ht="14.25" customHeight="1">
      <c r="A250" s="164"/>
      <c r="B250" s="165"/>
      <c r="C250" s="166"/>
      <c r="D250" s="167"/>
      <c r="E250" s="168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4"/>
    </row>
    <row r="251" ht="14.25" customHeight="1">
      <c r="A251" s="164"/>
      <c r="B251" s="165"/>
      <c r="C251" s="166"/>
      <c r="D251" s="167"/>
      <c r="E251" s="168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</row>
    <row r="252" ht="14.25" customHeight="1">
      <c r="A252" s="164"/>
      <c r="B252" s="165"/>
      <c r="C252" s="166"/>
      <c r="D252" s="167"/>
      <c r="E252" s="168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4"/>
    </row>
    <row r="253" ht="14.25" customHeight="1">
      <c r="A253" s="164"/>
      <c r="B253" s="165"/>
      <c r="C253" s="166"/>
      <c r="D253" s="167"/>
      <c r="E253" s="168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</row>
    <row r="254" ht="14.25" customHeight="1">
      <c r="A254" s="164"/>
      <c r="B254" s="165"/>
      <c r="C254" s="166"/>
      <c r="D254" s="167"/>
      <c r="E254" s="168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</row>
    <row r="255" ht="14.25" customHeight="1">
      <c r="A255" s="164"/>
      <c r="B255" s="165"/>
      <c r="C255" s="166"/>
      <c r="D255" s="167"/>
      <c r="E255" s="168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54"/>
    </row>
    <row r="256" ht="14.25" customHeight="1">
      <c r="A256" s="164"/>
      <c r="B256" s="165"/>
      <c r="C256" s="166"/>
      <c r="D256" s="167"/>
      <c r="E256" s="168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</row>
    <row r="257" ht="14.25" customHeight="1">
      <c r="A257" s="164"/>
      <c r="B257" s="165"/>
      <c r="C257" s="166"/>
      <c r="D257" s="167"/>
      <c r="E257" s="168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</row>
    <row r="258" ht="14.25" customHeight="1">
      <c r="A258" s="164"/>
      <c r="B258" s="165"/>
      <c r="C258" s="166"/>
      <c r="D258" s="167"/>
      <c r="E258" s="168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</row>
    <row r="259" ht="14.25" customHeight="1">
      <c r="A259" s="164"/>
      <c r="B259" s="165"/>
      <c r="C259" s="166"/>
      <c r="D259" s="167"/>
      <c r="E259" s="168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</row>
    <row r="260" ht="14.25" customHeight="1">
      <c r="A260" s="164"/>
      <c r="B260" s="165"/>
      <c r="C260" s="166"/>
      <c r="D260" s="167"/>
      <c r="E260" s="168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</row>
    <row r="261" ht="14.25" customHeight="1">
      <c r="A261" s="164"/>
      <c r="B261" s="165"/>
      <c r="C261" s="166"/>
      <c r="D261" s="167"/>
      <c r="E261" s="168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</row>
    <row r="262" ht="14.25" customHeight="1">
      <c r="A262" s="164"/>
      <c r="B262" s="165"/>
      <c r="C262" s="166"/>
      <c r="D262" s="167"/>
      <c r="E262" s="168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</row>
    <row r="263" ht="14.25" customHeight="1">
      <c r="A263" s="164"/>
      <c r="B263" s="165"/>
      <c r="C263" s="166"/>
      <c r="D263" s="167"/>
      <c r="E263" s="168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54"/>
    </row>
    <row r="264" ht="14.25" customHeight="1">
      <c r="A264" s="164"/>
      <c r="B264" s="165"/>
      <c r="C264" s="166"/>
      <c r="D264" s="167"/>
      <c r="E264" s="168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</row>
    <row r="265" ht="14.25" customHeight="1">
      <c r="A265" s="164"/>
      <c r="B265" s="165"/>
      <c r="C265" s="166"/>
      <c r="D265" s="167"/>
      <c r="E265" s="168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  <c r="Z265" s="154"/>
    </row>
    <row r="266" ht="14.25" customHeight="1">
      <c r="A266" s="164"/>
      <c r="B266" s="165"/>
      <c r="C266" s="166"/>
      <c r="D266" s="167"/>
      <c r="E266" s="168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  <c r="X266" s="154"/>
      <c r="Y266" s="154"/>
      <c r="Z266" s="154"/>
    </row>
    <row r="267" ht="14.25" customHeight="1">
      <c r="A267" s="164"/>
      <c r="B267" s="165"/>
      <c r="C267" s="166"/>
      <c r="D267" s="167"/>
      <c r="E267" s="168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4"/>
    </row>
    <row r="268" ht="14.25" customHeight="1">
      <c r="A268" s="164"/>
      <c r="B268" s="165"/>
      <c r="C268" s="166"/>
      <c r="D268" s="167"/>
      <c r="E268" s="168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4"/>
    </row>
    <row r="269" ht="14.25" customHeight="1">
      <c r="A269" s="164"/>
      <c r="B269" s="165"/>
      <c r="C269" s="166"/>
      <c r="D269" s="167"/>
      <c r="E269" s="168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4"/>
    </row>
    <row r="270" ht="14.25" customHeight="1">
      <c r="A270" s="164"/>
      <c r="B270" s="165"/>
      <c r="C270" s="166"/>
      <c r="D270" s="167"/>
      <c r="E270" s="168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4"/>
    </row>
    <row r="271" ht="14.25" customHeight="1">
      <c r="A271" s="164"/>
      <c r="B271" s="165"/>
      <c r="C271" s="166"/>
      <c r="D271" s="167"/>
      <c r="E271" s="168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4"/>
    </row>
    <row r="272" ht="14.25" customHeight="1">
      <c r="A272" s="164"/>
      <c r="B272" s="165"/>
      <c r="C272" s="166"/>
      <c r="D272" s="167"/>
      <c r="E272" s="168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154"/>
    </row>
    <row r="273" ht="14.25" customHeight="1">
      <c r="A273" s="164"/>
      <c r="B273" s="165"/>
      <c r="C273" s="166"/>
      <c r="D273" s="167"/>
      <c r="E273" s="168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4"/>
    </row>
    <row r="274" ht="14.25" customHeight="1">
      <c r="A274" s="164"/>
      <c r="B274" s="165"/>
      <c r="C274" s="166"/>
      <c r="D274" s="167"/>
      <c r="E274" s="168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4"/>
    </row>
    <row r="275" ht="14.25" customHeight="1">
      <c r="A275" s="164"/>
      <c r="B275" s="165"/>
      <c r="C275" s="166"/>
      <c r="D275" s="167"/>
      <c r="E275" s="168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4"/>
    </row>
    <row r="276" ht="14.25" customHeight="1">
      <c r="A276" s="164"/>
      <c r="B276" s="165"/>
      <c r="C276" s="166"/>
      <c r="D276" s="167"/>
      <c r="E276" s="168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</row>
    <row r="277" ht="14.25" customHeight="1">
      <c r="A277" s="164"/>
      <c r="B277" s="165"/>
      <c r="C277" s="166"/>
      <c r="D277" s="167"/>
      <c r="E277" s="168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</row>
    <row r="278" ht="14.25" customHeight="1">
      <c r="A278" s="164"/>
      <c r="B278" s="165"/>
      <c r="C278" s="166"/>
      <c r="D278" s="167"/>
      <c r="E278" s="168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</row>
    <row r="279" ht="14.25" customHeight="1">
      <c r="A279" s="164"/>
      <c r="B279" s="165"/>
      <c r="C279" s="166"/>
      <c r="D279" s="167"/>
      <c r="E279" s="168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4"/>
    </row>
    <row r="280" ht="14.25" customHeight="1">
      <c r="A280" s="164"/>
      <c r="B280" s="165"/>
      <c r="C280" s="166"/>
      <c r="D280" s="167"/>
      <c r="E280" s="168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</row>
    <row r="281" ht="14.25" customHeight="1">
      <c r="A281" s="164"/>
      <c r="B281" s="165"/>
      <c r="C281" s="166"/>
      <c r="D281" s="167"/>
      <c r="E281" s="168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</row>
    <row r="282" ht="14.25" customHeight="1">
      <c r="A282" s="164"/>
      <c r="B282" s="165"/>
      <c r="C282" s="166"/>
      <c r="D282" s="167"/>
      <c r="E282" s="168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</row>
    <row r="283" ht="14.25" customHeight="1">
      <c r="A283" s="164"/>
      <c r="B283" s="165"/>
      <c r="C283" s="166"/>
      <c r="D283" s="167"/>
      <c r="E283" s="168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</row>
    <row r="284" ht="14.25" customHeight="1">
      <c r="A284" s="164"/>
      <c r="B284" s="165"/>
      <c r="C284" s="166"/>
      <c r="D284" s="167"/>
      <c r="E284" s="168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</row>
    <row r="285" ht="14.25" customHeight="1">
      <c r="A285" s="164"/>
      <c r="B285" s="165"/>
      <c r="C285" s="166"/>
      <c r="D285" s="167"/>
      <c r="E285" s="168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154"/>
    </row>
    <row r="286" ht="14.25" customHeight="1">
      <c r="A286" s="164"/>
      <c r="B286" s="165"/>
      <c r="C286" s="166"/>
      <c r="D286" s="167"/>
      <c r="E286" s="168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4"/>
    </row>
    <row r="287" ht="14.25" customHeight="1">
      <c r="A287" s="164"/>
      <c r="B287" s="165"/>
      <c r="C287" s="166"/>
      <c r="D287" s="167"/>
      <c r="E287" s="168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</row>
    <row r="288" ht="14.25" customHeight="1">
      <c r="A288" s="164"/>
      <c r="B288" s="165"/>
      <c r="C288" s="166"/>
      <c r="D288" s="167"/>
      <c r="E288" s="168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</row>
    <row r="289" ht="14.25" customHeight="1">
      <c r="A289" s="164"/>
      <c r="B289" s="165"/>
      <c r="C289" s="166"/>
      <c r="D289" s="167"/>
      <c r="E289" s="168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</row>
    <row r="290" ht="14.25" customHeight="1">
      <c r="A290" s="164"/>
      <c r="B290" s="165"/>
      <c r="C290" s="166"/>
      <c r="D290" s="167"/>
      <c r="E290" s="168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4"/>
    </row>
    <row r="291" ht="14.25" customHeight="1">
      <c r="A291" s="164"/>
      <c r="B291" s="165"/>
      <c r="C291" s="166"/>
      <c r="D291" s="167"/>
      <c r="E291" s="168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154"/>
    </row>
    <row r="292" ht="14.25" customHeight="1">
      <c r="A292" s="164"/>
      <c r="B292" s="165"/>
      <c r="C292" s="166"/>
      <c r="D292" s="167"/>
      <c r="E292" s="168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154"/>
    </row>
    <row r="293" ht="14.25" customHeight="1">
      <c r="A293" s="164"/>
      <c r="B293" s="165"/>
      <c r="C293" s="166"/>
      <c r="D293" s="167"/>
      <c r="E293" s="168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154"/>
    </row>
    <row r="294" ht="14.25" customHeight="1">
      <c r="A294" s="164"/>
      <c r="B294" s="165"/>
      <c r="C294" s="166"/>
      <c r="D294" s="167"/>
      <c r="E294" s="168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</row>
    <row r="295" ht="14.25" customHeight="1">
      <c r="A295" s="164"/>
      <c r="B295" s="165"/>
      <c r="C295" s="166"/>
      <c r="D295" s="167"/>
      <c r="E295" s="168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</row>
    <row r="296" ht="14.25" customHeight="1">
      <c r="A296" s="164"/>
      <c r="B296" s="165"/>
      <c r="C296" s="166"/>
      <c r="D296" s="167"/>
      <c r="E296" s="168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</row>
    <row r="297" ht="14.25" customHeight="1">
      <c r="A297" s="164"/>
      <c r="B297" s="165"/>
      <c r="C297" s="166"/>
      <c r="D297" s="167"/>
      <c r="E297" s="168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</row>
    <row r="298" ht="14.25" customHeight="1">
      <c r="A298" s="164"/>
      <c r="B298" s="165"/>
      <c r="C298" s="166"/>
      <c r="D298" s="167"/>
      <c r="E298" s="168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</row>
    <row r="299" ht="14.25" customHeight="1">
      <c r="A299" s="164"/>
      <c r="B299" s="165"/>
      <c r="C299" s="166"/>
      <c r="D299" s="167"/>
      <c r="E299" s="168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</row>
    <row r="300" ht="14.25" customHeight="1">
      <c r="A300" s="164"/>
      <c r="B300" s="165"/>
      <c r="C300" s="166"/>
      <c r="D300" s="167"/>
      <c r="E300" s="168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</row>
    <row r="301" ht="14.25" customHeight="1">
      <c r="A301" s="164"/>
      <c r="B301" s="165"/>
      <c r="C301" s="166"/>
      <c r="D301" s="167"/>
      <c r="E301" s="168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</row>
    <row r="302" ht="14.25" customHeight="1">
      <c r="A302" s="164"/>
      <c r="B302" s="165"/>
      <c r="C302" s="166"/>
      <c r="D302" s="167"/>
      <c r="E302" s="168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</row>
    <row r="303" ht="14.25" customHeight="1">
      <c r="A303" s="164"/>
      <c r="B303" s="165"/>
      <c r="C303" s="166"/>
      <c r="D303" s="167"/>
      <c r="E303" s="168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4"/>
    </row>
    <row r="304" ht="14.25" customHeight="1">
      <c r="A304" s="164"/>
      <c r="B304" s="165"/>
      <c r="C304" s="166"/>
      <c r="D304" s="167"/>
      <c r="E304" s="168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</row>
    <row r="305" ht="14.25" customHeight="1">
      <c r="A305" s="164"/>
      <c r="B305" s="165"/>
      <c r="C305" s="166"/>
      <c r="D305" s="167"/>
      <c r="E305" s="168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</row>
    <row r="306" ht="14.25" customHeight="1">
      <c r="A306" s="164"/>
      <c r="B306" s="165"/>
      <c r="C306" s="166"/>
      <c r="D306" s="167"/>
      <c r="E306" s="168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</row>
    <row r="307" ht="14.25" customHeight="1">
      <c r="A307" s="164"/>
      <c r="B307" s="165"/>
      <c r="C307" s="166"/>
      <c r="D307" s="167"/>
      <c r="E307" s="168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154"/>
    </row>
    <row r="308" ht="14.25" customHeight="1">
      <c r="A308" s="164"/>
      <c r="B308" s="165"/>
      <c r="C308" s="166"/>
      <c r="D308" s="167"/>
      <c r="E308" s="168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4"/>
    </row>
    <row r="309" ht="14.25" customHeight="1">
      <c r="A309" s="164"/>
      <c r="B309" s="165"/>
      <c r="C309" s="166"/>
      <c r="D309" s="167"/>
      <c r="E309" s="168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</row>
    <row r="310" ht="14.25" customHeight="1">
      <c r="A310" s="164"/>
      <c r="B310" s="165"/>
      <c r="C310" s="166"/>
      <c r="D310" s="167"/>
      <c r="E310" s="168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</row>
    <row r="311" ht="14.25" customHeight="1">
      <c r="A311" s="164"/>
      <c r="B311" s="165"/>
      <c r="C311" s="166"/>
      <c r="D311" s="167"/>
      <c r="E311" s="168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</row>
    <row r="312" ht="14.25" customHeight="1">
      <c r="A312" s="164"/>
      <c r="B312" s="165"/>
      <c r="C312" s="166"/>
      <c r="D312" s="167"/>
      <c r="E312" s="168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</row>
    <row r="313" ht="14.25" customHeight="1">
      <c r="A313" s="164"/>
      <c r="B313" s="165"/>
      <c r="C313" s="166"/>
      <c r="D313" s="167"/>
      <c r="E313" s="168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</row>
    <row r="314" ht="14.25" customHeight="1">
      <c r="A314" s="164"/>
      <c r="B314" s="165"/>
      <c r="C314" s="166"/>
      <c r="D314" s="167"/>
      <c r="E314" s="168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</row>
    <row r="315" ht="14.25" customHeight="1">
      <c r="A315" s="164"/>
      <c r="B315" s="165"/>
      <c r="C315" s="166"/>
      <c r="D315" s="167"/>
      <c r="E315" s="168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</row>
    <row r="316" ht="14.25" customHeight="1">
      <c r="A316" s="164"/>
      <c r="B316" s="165"/>
      <c r="C316" s="166"/>
      <c r="D316" s="167"/>
      <c r="E316" s="168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</row>
    <row r="317" ht="14.25" customHeight="1">
      <c r="A317" s="164"/>
      <c r="B317" s="165"/>
      <c r="C317" s="166"/>
      <c r="D317" s="167"/>
      <c r="E317" s="168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</row>
    <row r="318" ht="14.25" customHeight="1">
      <c r="A318" s="164"/>
      <c r="B318" s="165"/>
      <c r="C318" s="166"/>
      <c r="D318" s="167"/>
      <c r="E318" s="168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</row>
    <row r="319" ht="14.25" customHeight="1">
      <c r="A319" s="164"/>
      <c r="B319" s="165"/>
      <c r="C319" s="166"/>
      <c r="D319" s="167"/>
      <c r="E319" s="168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</row>
    <row r="320" ht="14.25" customHeight="1">
      <c r="A320" s="164"/>
      <c r="B320" s="165"/>
      <c r="C320" s="166"/>
      <c r="D320" s="167"/>
      <c r="E320" s="168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</row>
    <row r="321" ht="14.25" customHeight="1">
      <c r="A321" s="164"/>
      <c r="B321" s="165"/>
      <c r="C321" s="166"/>
      <c r="D321" s="167"/>
      <c r="E321" s="168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</row>
    <row r="322" ht="14.25" customHeight="1">
      <c r="A322" s="164"/>
      <c r="B322" s="165"/>
      <c r="C322" s="166"/>
      <c r="D322" s="167"/>
      <c r="E322" s="168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154"/>
    </row>
    <row r="323" ht="14.25" customHeight="1">
      <c r="A323" s="164"/>
      <c r="B323" s="165"/>
      <c r="C323" s="166"/>
      <c r="D323" s="167"/>
      <c r="E323" s="168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</row>
    <row r="324" ht="14.25" customHeight="1">
      <c r="A324" s="164"/>
      <c r="B324" s="165"/>
      <c r="C324" s="166"/>
      <c r="D324" s="167"/>
      <c r="E324" s="168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</row>
    <row r="325" ht="14.25" customHeight="1">
      <c r="A325" s="164"/>
      <c r="B325" s="165"/>
      <c r="C325" s="166"/>
      <c r="D325" s="167"/>
      <c r="E325" s="168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</row>
    <row r="326" ht="14.25" customHeight="1">
      <c r="A326" s="164"/>
      <c r="B326" s="165"/>
      <c r="C326" s="166"/>
      <c r="D326" s="167"/>
      <c r="E326" s="168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</row>
    <row r="327" ht="14.25" customHeight="1">
      <c r="A327" s="164"/>
      <c r="B327" s="165"/>
      <c r="C327" s="166"/>
      <c r="D327" s="167"/>
      <c r="E327" s="168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</row>
    <row r="328" ht="14.25" customHeight="1">
      <c r="A328" s="164"/>
      <c r="B328" s="165"/>
      <c r="C328" s="166"/>
      <c r="D328" s="167"/>
      <c r="E328" s="168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</row>
    <row r="329" ht="14.25" customHeight="1">
      <c r="A329" s="164"/>
      <c r="B329" s="165"/>
      <c r="C329" s="166"/>
      <c r="D329" s="167"/>
      <c r="E329" s="168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154"/>
    </row>
    <row r="330" ht="14.25" customHeight="1">
      <c r="A330" s="164"/>
      <c r="B330" s="165"/>
      <c r="C330" s="166"/>
      <c r="D330" s="167"/>
      <c r="E330" s="168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</row>
    <row r="331" ht="14.25" customHeight="1">
      <c r="A331" s="164"/>
      <c r="B331" s="165"/>
      <c r="C331" s="166"/>
      <c r="D331" s="167"/>
      <c r="E331" s="168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</row>
    <row r="332" ht="14.25" customHeight="1">
      <c r="A332" s="164"/>
      <c r="B332" s="165"/>
      <c r="C332" s="166"/>
      <c r="D332" s="167"/>
      <c r="E332" s="168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</row>
    <row r="333" ht="14.25" customHeight="1">
      <c r="A333" s="164"/>
      <c r="B333" s="165"/>
      <c r="C333" s="166"/>
      <c r="D333" s="167"/>
      <c r="E333" s="168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</row>
    <row r="334" ht="14.25" customHeight="1">
      <c r="A334" s="164"/>
      <c r="B334" s="165"/>
      <c r="C334" s="166"/>
      <c r="D334" s="167"/>
      <c r="E334" s="168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</row>
    <row r="335" ht="14.25" customHeight="1">
      <c r="A335" s="164"/>
      <c r="B335" s="165"/>
      <c r="C335" s="166"/>
      <c r="D335" s="167"/>
      <c r="E335" s="168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</row>
    <row r="336" ht="14.25" customHeight="1">
      <c r="A336" s="164"/>
      <c r="B336" s="165"/>
      <c r="C336" s="166"/>
      <c r="D336" s="167"/>
      <c r="E336" s="168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</row>
    <row r="337" ht="14.25" customHeight="1">
      <c r="A337" s="164"/>
      <c r="B337" s="165"/>
      <c r="C337" s="166"/>
      <c r="D337" s="167"/>
      <c r="E337" s="168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</row>
    <row r="338" ht="14.25" customHeight="1">
      <c r="A338" s="164"/>
      <c r="B338" s="165"/>
      <c r="C338" s="166"/>
      <c r="D338" s="167"/>
      <c r="E338" s="168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</row>
    <row r="339" ht="14.25" customHeight="1">
      <c r="A339" s="164"/>
      <c r="B339" s="165"/>
      <c r="C339" s="166"/>
      <c r="D339" s="167"/>
      <c r="E339" s="168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154"/>
    </row>
    <row r="340" ht="14.25" customHeight="1">
      <c r="A340" s="164"/>
      <c r="B340" s="165"/>
      <c r="C340" s="166"/>
      <c r="D340" s="167"/>
      <c r="E340" s="168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</row>
    <row r="341" ht="14.25" customHeight="1">
      <c r="A341" s="164"/>
      <c r="B341" s="165"/>
      <c r="C341" s="166"/>
      <c r="D341" s="167"/>
      <c r="E341" s="168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</row>
    <row r="342" ht="14.25" customHeight="1">
      <c r="A342" s="164"/>
      <c r="B342" s="165"/>
      <c r="C342" s="166"/>
      <c r="D342" s="167"/>
      <c r="E342" s="168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</row>
    <row r="343" ht="14.25" customHeight="1">
      <c r="A343" s="164"/>
      <c r="B343" s="165"/>
      <c r="C343" s="166"/>
      <c r="D343" s="167"/>
      <c r="E343" s="168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</row>
    <row r="344" ht="14.25" customHeight="1">
      <c r="A344" s="164"/>
      <c r="B344" s="165"/>
      <c r="C344" s="166"/>
      <c r="D344" s="167"/>
      <c r="E344" s="168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154"/>
    </row>
    <row r="345" ht="14.25" customHeight="1">
      <c r="A345" s="164"/>
      <c r="B345" s="165"/>
      <c r="C345" s="166"/>
      <c r="D345" s="167"/>
      <c r="E345" s="168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154"/>
    </row>
    <row r="346" ht="14.25" customHeight="1">
      <c r="A346" s="164"/>
      <c r="B346" s="165"/>
      <c r="C346" s="166"/>
      <c r="D346" s="167"/>
      <c r="E346" s="168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154"/>
    </row>
    <row r="347" ht="14.25" customHeight="1">
      <c r="A347" s="164"/>
      <c r="B347" s="165"/>
      <c r="C347" s="166"/>
      <c r="D347" s="167"/>
      <c r="E347" s="168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</row>
    <row r="348" ht="14.25" customHeight="1">
      <c r="A348" s="164"/>
      <c r="B348" s="165"/>
      <c r="C348" s="166"/>
      <c r="D348" s="167"/>
      <c r="E348" s="168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</row>
    <row r="349" ht="14.25" customHeight="1">
      <c r="A349" s="164"/>
      <c r="B349" s="165"/>
      <c r="C349" s="166"/>
      <c r="D349" s="167"/>
      <c r="E349" s="168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</row>
    <row r="350" ht="14.25" customHeight="1">
      <c r="A350" s="164"/>
      <c r="B350" s="165"/>
      <c r="C350" s="166"/>
      <c r="D350" s="167"/>
      <c r="E350" s="168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</row>
    <row r="351" ht="14.25" customHeight="1">
      <c r="A351" s="164"/>
      <c r="B351" s="165"/>
      <c r="C351" s="166"/>
      <c r="D351" s="167"/>
      <c r="E351" s="168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</row>
    <row r="352" ht="14.25" customHeight="1">
      <c r="A352" s="164"/>
      <c r="B352" s="165"/>
      <c r="C352" s="166"/>
      <c r="D352" s="167"/>
      <c r="E352" s="168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</row>
    <row r="353" ht="14.25" customHeight="1">
      <c r="A353" s="164"/>
      <c r="B353" s="165"/>
      <c r="C353" s="166"/>
      <c r="D353" s="167"/>
      <c r="E353" s="168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</row>
    <row r="354" ht="14.25" customHeight="1">
      <c r="A354" s="164"/>
      <c r="B354" s="165"/>
      <c r="C354" s="166"/>
      <c r="D354" s="167"/>
      <c r="E354" s="168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</row>
    <row r="355" ht="14.25" customHeight="1">
      <c r="A355" s="164"/>
      <c r="B355" s="165"/>
      <c r="C355" s="166"/>
      <c r="D355" s="167"/>
      <c r="E355" s="168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</row>
    <row r="356" ht="14.25" customHeight="1">
      <c r="A356" s="164"/>
      <c r="B356" s="165"/>
      <c r="C356" s="166"/>
      <c r="D356" s="167"/>
      <c r="E356" s="168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</row>
    <row r="357" ht="14.25" customHeight="1">
      <c r="A357" s="164"/>
      <c r="B357" s="165"/>
      <c r="C357" s="166"/>
      <c r="D357" s="167"/>
      <c r="E357" s="168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</row>
    <row r="358" ht="14.25" customHeight="1">
      <c r="A358" s="164"/>
      <c r="B358" s="165"/>
      <c r="C358" s="166"/>
      <c r="D358" s="167"/>
      <c r="E358" s="168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4"/>
    </row>
    <row r="359" ht="14.25" customHeight="1">
      <c r="A359" s="164"/>
      <c r="B359" s="165"/>
      <c r="C359" s="166"/>
      <c r="D359" s="167"/>
      <c r="E359" s="168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</row>
    <row r="360" ht="14.25" customHeight="1">
      <c r="A360" s="164"/>
      <c r="B360" s="165"/>
      <c r="C360" s="166"/>
      <c r="D360" s="167"/>
      <c r="E360" s="168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4"/>
    </row>
    <row r="361" ht="14.25" customHeight="1">
      <c r="A361" s="164"/>
      <c r="B361" s="165"/>
      <c r="C361" s="166"/>
      <c r="D361" s="167"/>
      <c r="E361" s="168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148" t="s">
        <v>168</v>
      </c>
      <c r="B1" s="149" t="s">
        <v>197</v>
      </c>
      <c r="C1" s="150" t="s">
        <v>169</v>
      </c>
      <c r="D1" s="151" t="s">
        <v>198</v>
      </c>
      <c r="E1" s="152" t="s">
        <v>199</v>
      </c>
      <c r="G1" s="153" t="s">
        <v>200</v>
      </c>
      <c r="H1" s="121">
        <f>MATCH("",A2:A1001,-1)</f>
        <v>43</v>
      </c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</row>
    <row r="2" ht="14.25" customHeight="1">
      <c r="A2" s="155" t="str">
        <f>IFERROR(__xludf.DUMMYFUNCTION(" IMPORTRANGE(""https://docs.google.com/spreadsheets/d/19PgkUofaTbwF47bS-Vk4jfaLAw7avotMX90wzskBzZA/edit#gid=695545632"",""Roller Coaster!A2:A161"")"),"StephBoss05")</f>
        <v>StephBoss05</v>
      </c>
      <c r="B2" s="156">
        <v>1.0</v>
      </c>
      <c r="C2" s="157">
        <f t="shared" ref="C2:C160" si="1">525*(1-(B2/($H$1+1)))*POWER((SQRT(($H$1+1)/B2)),1/2)</f>
        <v>1321.412016</v>
      </c>
      <c r="D2" s="158" t="str">
        <f>VLOOKUP(A2,'Classement RoC'!$B$2:$C$149,1,0)</f>
        <v>StephBoss05</v>
      </c>
      <c r="E2" s="159" t="str">
        <f t="shared" ref="E2:E160" si="2">IF(D2=A2,"","erreur")</f>
        <v/>
      </c>
      <c r="F2" s="120" t="str">
        <f>VLOOKUP(A2,'Classement Général'!$B$2:$B$146,1,0)</f>
        <v>StephBoss05</v>
      </c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ht="14.25" customHeight="1">
      <c r="A3" s="160" t="str">
        <f>IFERROR(__xludf.DUMMYFUNCTION("""COMPUTED_VALUE"""),"Dirty Bazaar")</f>
        <v>Dirty Bazaar</v>
      </c>
      <c r="B3" s="161">
        <v>2.0</v>
      </c>
      <c r="C3" s="157">
        <f t="shared" si="1"/>
        <v>1085.32945</v>
      </c>
      <c r="D3" s="158" t="str">
        <f>VLOOKUP(A3,'Classement RoC'!$B$2:$C$149,1,0)</f>
        <v>Dirty Bazaar</v>
      </c>
      <c r="E3" s="159" t="str">
        <f t="shared" si="2"/>
        <v/>
      </c>
      <c r="F3" s="120" t="str">
        <f>VLOOKUP(A3,'Classement Général'!$B$2:$B$146,1,0)</f>
        <v>Dirty Bazaar</v>
      </c>
      <c r="G3" s="162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ht="14.25" customHeight="1">
      <c r="A4" s="160" t="str">
        <f>IFERROR(__xludf.DUMMYFUNCTION("""COMPUTED_VALUE"""),"FridAKahlo")</f>
        <v>FridAKahlo</v>
      </c>
      <c r="B4" s="156">
        <v>3.0</v>
      </c>
      <c r="C4" s="157">
        <f t="shared" si="1"/>
        <v>957.3557258</v>
      </c>
      <c r="D4" s="158" t="str">
        <f>VLOOKUP(A4,'Classement RoC'!$B$2:$C$149,1,0)</f>
        <v>FridAKahlo</v>
      </c>
      <c r="E4" s="159" t="str">
        <f t="shared" si="2"/>
        <v/>
      </c>
      <c r="F4" s="120" t="str">
        <f>VLOOKUP(A4,'Classement Général'!$B$2:$B$146,1,0)</f>
        <v>FridAKahlo</v>
      </c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ht="14.25" customHeight="1">
      <c r="A5" s="160" t="str">
        <f>IFERROR(__xludf.DUMMYFUNCTION("""COMPUTED_VALUE"""),"DonnesTchips")</f>
        <v>DonnesTchips</v>
      </c>
      <c r="B5" s="161">
        <v>4.0</v>
      </c>
      <c r="C5" s="157">
        <f t="shared" si="1"/>
        <v>869.1901369</v>
      </c>
      <c r="D5" s="158" t="str">
        <f>VLOOKUP(A5,'Classement RoC'!$B$2:$C$149,1,0)</f>
        <v>DonnesTchips</v>
      </c>
      <c r="E5" s="163" t="str">
        <f t="shared" si="2"/>
        <v/>
      </c>
      <c r="F5" s="120" t="str">
        <f>VLOOKUP(A5,'Classement Général'!$B$2:$B$146,1,0)</f>
        <v>DonnesTchips</v>
      </c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ht="14.25" customHeight="1">
      <c r="A6" s="160" t="str">
        <f>IFERROR(__xludf.DUMMYFUNCTION("""COMPUTED_VALUE"""),"Kevfurious")</f>
        <v>Kevfurious</v>
      </c>
      <c r="B6" s="156">
        <v>5.0</v>
      </c>
      <c r="C6" s="157">
        <f t="shared" si="1"/>
        <v>801.4785466</v>
      </c>
      <c r="D6" s="158" t="str">
        <f>VLOOKUP(A6,'Classement RoC'!$B$2:$C$149,1,0)</f>
        <v>Kevfurious</v>
      </c>
      <c r="E6" s="163" t="str">
        <f t="shared" si="2"/>
        <v/>
      </c>
      <c r="F6" s="120" t="str">
        <f>VLOOKUP(A6,'Classement Général'!$B$2:$B$146,1,0)</f>
        <v>Kevfurious</v>
      </c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</row>
    <row r="7" ht="14.25" customHeight="1">
      <c r="A7" s="160" t="str">
        <f>IFERROR(__xludf.DUMMYFUNCTION("""COMPUTED_VALUE"""),"BRUNOWINNER")</f>
        <v>BRUNOWINNER</v>
      </c>
      <c r="B7" s="161">
        <v>6.0</v>
      </c>
      <c r="C7" s="157">
        <f t="shared" si="1"/>
        <v>746.1318518</v>
      </c>
      <c r="D7" s="158" t="str">
        <f>VLOOKUP(A7,'Classement RoC'!$B$2:$C$149,1,0)</f>
        <v>BRUNOWINNER</v>
      </c>
      <c r="E7" s="163" t="str">
        <f t="shared" si="2"/>
        <v/>
      </c>
      <c r="F7" s="120" t="str">
        <f>VLOOKUP(A7,'Classement Général'!$B$2:$B$146,1,0)</f>
        <v>BRUNOWINNER</v>
      </c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</row>
    <row r="8" ht="14.25" customHeight="1">
      <c r="A8" s="160" t="str">
        <f>IFERROR(__xludf.DUMMYFUNCTION("""COMPUTED_VALUE"""),"Le_Pictavien")</f>
        <v>Le_Pictavien</v>
      </c>
      <c r="B8" s="156">
        <v>7.0</v>
      </c>
      <c r="C8" s="157">
        <f t="shared" si="1"/>
        <v>699.0319243</v>
      </c>
      <c r="D8" s="158" t="str">
        <f>VLOOKUP(A8,'Classement RoC'!$B$2:$C$149,1,0)</f>
        <v>Le_Pictavien</v>
      </c>
      <c r="E8" s="163" t="str">
        <f t="shared" si="2"/>
        <v/>
      </c>
      <c r="F8" s="120" t="str">
        <f>VLOOKUP(A8,'Classement Général'!$B$2:$B$146,1,0)</f>
        <v>Le_Pictavien</v>
      </c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</row>
    <row r="9" ht="14.25" customHeight="1">
      <c r="A9" s="160" t="str">
        <f>IFERROR(__xludf.DUMMYFUNCTION("""COMPUTED_VALUE"""),"erniedog56x")</f>
        <v>erniedog56x</v>
      </c>
      <c r="B9" s="161">
        <v>8.0</v>
      </c>
      <c r="C9" s="157">
        <f t="shared" si="1"/>
        <v>657.8089833</v>
      </c>
      <c r="D9" s="158" t="str">
        <f>VLOOKUP(A9,'Classement RoC'!$B$2:$C$149,1,0)</f>
        <v>erniedog56x</v>
      </c>
      <c r="E9" s="163" t="str">
        <f t="shared" si="2"/>
        <v/>
      </c>
      <c r="F9" s="120" t="str">
        <f>VLOOKUP(A9,'Classement Général'!$B$2:$B$146,1,0)</f>
        <v>erniedog56x</v>
      </c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</row>
    <row r="10" ht="14.25" customHeight="1">
      <c r="A10" s="160" t="str">
        <f>IFERROR(__xludf.DUMMYFUNCTION("""COMPUTED_VALUE"""),"pablo")</f>
        <v>pablo</v>
      </c>
      <c r="B10" s="156">
        <v>9.0</v>
      </c>
      <c r="C10" s="157">
        <f t="shared" si="1"/>
        <v>620.9794281</v>
      </c>
      <c r="D10" s="158" t="str">
        <f>VLOOKUP(A10,'Classement RoC'!$B$2:$C$149,1,0)</f>
        <v>pablo</v>
      </c>
      <c r="E10" s="163" t="str">
        <f t="shared" si="2"/>
        <v/>
      </c>
      <c r="F10" s="120" t="str">
        <f>VLOOKUP(A10,'Classement Général'!$B$2:$B$146,1,0)</f>
        <v>pablo</v>
      </c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ht="14.25" customHeight="1">
      <c r="A11" s="160" t="str">
        <f>IFERROR(__xludf.DUMMYFUNCTION("""COMPUTED_VALUE"""),"_8-6_")</f>
        <v>_8-6_</v>
      </c>
      <c r="B11" s="161">
        <v>10.0</v>
      </c>
      <c r="C11" s="157">
        <f t="shared" si="1"/>
        <v>587.5552526</v>
      </c>
      <c r="D11" s="158" t="str">
        <f>VLOOKUP(A11,'Classement RoC'!$B$2:$C$149,1,0)</f>
        <v>_8-6_</v>
      </c>
      <c r="E11" s="163" t="str">
        <f t="shared" si="2"/>
        <v/>
      </c>
      <c r="F11" s="120" t="str">
        <f>VLOOKUP(A11,'Classement Général'!$B$2:$B$146,1,0)</f>
        <v>_8-6_</v>
      </c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</row>
    <row r="12" ht="14.25" customHeight="1">
      <c r="A12" s="160" t="str">
        <f>IFERROR(__xludf.DUMMYFUNCTION("""COMPUTED_VALUE"""),"sonic86")</f>
        <v>sonic86</v>
      </c>
      <c r="B12" s="156">
        <v>11.0</v>
      </c>
      <c r="C12" s="157">
        <f t="shared" si="1"/>
        <v>556.8465902</v>
      </c>
      <c r="D12" s="158" t="str">
        <f>VLOOKUP(A12,'Classement RoC'!$B$2:$C$149,1,0)</f>
        <v>sonic86</v>
      </c>
      <c r="E12" s="163" t="str">
        <f t="shared" si="2"/>
        <v/>
      </c>
      <c r="F12" s="120" t="str">
        <f>VLOOKUP(A12,'Classement Général'!$B$2:$B$146,1,0)</f>
        <v>sonic86</v>
      </c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ht="14.25" customHeight="1">
      <c r="A13" s="160" t="str">
        <f>IFERROR(__xludf.DUMMYFUNCTION("""COMPUTED_VALUE"""),"8kinder6")</f>
        <v>8kinder6</v>
      </c>
      <c r="B13" s="161">
        <v>12.0</v>
      </c>
      <c r="C13" s="157">
        <f t="shared" si="1"/>
        <v>528.3533469</v>
      </c>
      <c r="D13" s="158" t="str">
        <f>VLOOKUP(A13,'Classement RoC'!$B$2:$C$149,1,0)</f>
        <v>8kinder6</v>
      </c>
      <c r="E13" s="163" t="str">
        <f t="shared" si="2"/>
        <v/>
      </c>
      <c r="F13" s="120" t="str">
        <f>VLOOKUP(A13,'Classement Général'!$B$2:$B$146,1,0)</f>
        <v>8kinder6</v>
      </c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ht="14.25" customHeight="1">
      <c r="A14" s="160" t="str">
        <f>IFERROR(__xludf.DUMMYFUNCTION("""COMPUTED_VALUE"""),"ledids")</f>
        <v>ledids</v>
      </c>
      <c r="B14" s="156">
        <v>13.0</v>
      </c>
      <c r="C14" s="157">
        <f t="shared" si="1"/>
        <v>501.7017915</v>
      </c>
      <c r="D14" s="158" t="str">
        <f>VLOOKUP(A14,'Classement RoC'!$B$2:$C$149,1,0)</f>
        <v>ledids</v>
      </c>
      <c r="E14" s="163" t="str">
        <f t="shared" si="2"/>
        <v/>
      </c>
      <c r="F14" s="120" t="str">
        <f>VLOOKUP(A14,'Classement Général'!$B$2:$B$146,1,0)</f>
        <v>ledids</v>
      </c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</row>
    <row r="15" ht="14.25" customHeight="1">
      <c r="A15" s="160" t="str">
        <f>IFERROR(__xludf.DUMMYFUNCTION("""COMPUTED_VALUE"""),"Bratake")</f>
        <v>Bratake</v>
      </c>
      <c r="B15" s="161">
        <v>14.0</v>
      </c>
      <c r="C15" s="157">
        <f t="shared" si="1"/>
        <v>476.6054913</v>
      </c>
      <c r="D15" s="158" t="str">
        <f>VLOOKUP(A15,'Classement RoC'!$B$2:$C$149,1,0)</f>
        <v>Bratake</v>
      </c>
      <c r="E15" s="163" t="str">
        <f t="shared" si="2"/>
        <v/>
      </c>
      <c r="F15" s="120" t="str">
        <f>VLOOKUP(A15,'Classement Général'!$B$2:$B$146,1,0)</f>
        <v>Bratake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</row>
    <row r="16" ht="14.25" customHeight="1">
      <c r="A16" s="160" t="str">
        <f>IFERROR(__xludf.DUMMYFUNCTION("""COMPUTED_VALUE"""),"christ86000")</f>
        <v>christ86000</v>
      </c>
      <c r="B16" s="156">
        <v>15.0</v>
      </c>
      <c r="C16" s="157">
        <f t="shared" si="1"/>
        <v>452.8402059</v>
      </c>
      <c r="D16" s="158" t="str">
        <f>VLOOKUP(A16,'Classement RoC'!$B$2:$C$149,1,0)</f>
        <v>christ86000</v>
      </c>
      <c r="E16" s="163" t="str">
        <f t="shared" si="2"/>
        <v/>
      </c>
      <c r="F16" s="120" t="str">
        <f>VLOOKUP(A16,'Classement Général'!$B$2:$B$146,1,0)</f>
        <v>christ86000</v>
      </c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ht="14.25" customHeight="1">
      <c r="A17" s="160" t="str">
        <f>IFERROR(__xludf.DUMMYFUNCTION("""COMPUTED_VALUE"""),"_Sale-Bet_")</f>
        <v>_Sale-Bet_</v>
      </c>
      <c r="B17" s="161">
        <v>16.0</v>
      </c>
      <c r="C17" s="157">
        <f t="shared" si="1"/>
        <v>430.227168</v>
      </c>
      <c r="D17" s="158" t="str">
        <f>VLOOKUP(A17,'Classement RoC'!$B$2:$C$149,1,0)</f>
        <v>_Sale-Bet_</v>
      </c>
      <c r="E17" s="163" t="str">
        <f t="shared" si="2"/>
        <v/>
      </c>
      <c r="F17" s="120" t="str">
        <f>VLOOKUP(A17,'Classement Général'!$B$2:$B$146,1,0)</f>
        <v>_Sale-Bet_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</row>
    <row r="18" ht="14.25" customHeight="1">
      <c r="A18" s="160" t="str">
        <f>IFERROR(__xludf.DUMMYFUNCTION("""COMPUTED_VALUE"""),"jejehehe")</f>
        <v>jejehehe</v>
      </c>
      <c r="B18" s="156">
        <v>17.0</v>
      </c>
      <c r="C18" s="157">
        <f t="shared" si="1"/>
        <v>408.6216093</v>
      </c>
      <c r="D18" s="158" t="str">
        <f>VLOOKUP(A18,'Classement RoC'!$B$2:$C$149,1,0)</f>
        <v>jejehehe</v>
      </c>
      <c r="E18" s="163" t="str">
        <f t="shared" si="2"/>
        <v/>
      </c>
      <c r="F18" s="120" t="str">
        <f>VLOOKUP(A18,'Classement Général'!$B$2:$B$146,1,0)</f>
        <v>jejehehe</v>
      </c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</row>
    <row r="19" ht="14.25" customHeight="1">
      <c r="A19" s="160" t="str">
        <f>IFERROR(__xludf.DUMMYFUNCTION("""COMPUTED_VALUE"""),"--WondeR--")</f>
        <v>--WondeR--</v>
      </c>
      <c r="B19" s="161">
        <v>18.0</v>
      </c>
      <c r="C19" s="157">
        <f t="shared" si="1"/>
        <v>387.9046786</v>
      </c>
      <c r="D19" s="158" t="str">
        <f>VLOOKUP(A19,'Classement RoC'!$B$2:$C$149,1,0)</f>
        <v>--WondeR--</v>
      </c>
      <c r="E19" s="163" t="str">
        <f t="shared" si="2"/>
        <v/>
      </c>
      <c r="F19" s="120" t="str">
        <f>VLOOKUP(A19,'Classement Général'!$B$2:$B$146,1,0)</f>
        <v>--WondeR--</v>
      </c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</row>
    <row r="20" ht="14.25" customHeight="1">
      <c r="A20" s="160" t="str">
        <f>IFERROR(__xludf.DUMMYFUNCTION("""COMPUTED_VALUE"""),"cassius-86")</f>
        <v>cassius-86</v>
      </c>
      <c r="B20" s="156">
        <v>19.0</v>
      </c>
      <c r="C20" s="157">
        <f t="shared" si="1"/>
        <v>367.9776186</v>
      </c>
      <c r="D20" s="158" t="str">
        <f>VLOOKUP(A20,'Classement RoC'!$B$2:$C$149,1,0)</f>
        <v>cassius-86</v>
      </c>
      <c r="E20" s="163" t="str">
        <f t="shared" si="2"/>
        <v/>
      </c>
      <c r="F20" s="120" t="str">
        <f>VLOOKUP(A20,'Classement Général'!$B$2:$B$146,1,0)</f>
        <v>cassius-86</v>
      </c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</row>
    <row r="21" ht="14.25" customHeight="1">
      <c r="A21" s="160" t="str">
        <f>IFERROR(__xludf.DUMMYFUNCTION("""COMPUTED_VALUE"""),"Mako Lemore")</f>
        <v>Mako Lemore</v>
      </c>
      <c r="B21" s="161">
        <v>20.0</v>
      </c>
      <c r="C21" s="157">
        <f t="shared" si="1"/>
        <v>348.7574863</v>
      </c>
      <c r="D21" s="158" t="str">
        <f>VLOOKUP(A21,'Classement RoC'!$B$2:$C$149,1,0)</f>
        <v>Mako Lemore</v>
      </c>
      <c r="E21" s="163" t="str">
        <f t="shared" si="2"/>
        <v/>
      </c>
      <c r="F21" s="120" t="str">
        <f>VLOOKUP(A21,'Classement Général'!$B$2:$B$146,1,0)</f>
        <v>Mako Lemore</v>
      </c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</row>
    <row r="22" ht="14.25" customHeight="1">
      <c r="A22" s="160" t="str">
        <f>IFERROR(__xludf.DUMMYFUNCTION("""COMPUTED_VALUE"""),"UnPetitJaune")</f>
        <v>UnPetitJaune</v>
      </c>
      <c r="B22" s="156">
        <v>21.0</v>
      </c>
      <c r="C22" s="157">
        <f t="shared" si="1"/>
        <v>330.1739523</v>
      </c>
      <c r="D22" s="158" t="str">
        <f>VLOOKUP(A22,'Classement RoC'!$B$2:$C$149,1,0)</f>
        <v>UnPetitJaune</v>
      </c>
      <c r="E22" s="163" t="str">
        <f t="shared" si="2"/>
        <v/>
      </c>
      <c r="F22" s="120" t="str">
        <f>VLOOKUP(A22,'Classement Général'!$B$2:$B$146,1,0)</f>
        <v>UnPetitJaune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</row>
    <row r="23" ht="14.25" customHeight="1">
      <c r="A23" s="160" t="str">
        <f>IFERROR(__xludf.DUMMYFUNCTION("""COMPUTED_VALUE"""),"kiki86 x")</f>
        <v>kiki86 x</v>
      </c>
      <c r="B23" s="161">
        <v>22.0</v>
      </c>
      <c r="C23" s="157">
        <f t="shared" si="1"/>
        <v>312.1668677</v>
      </c>
      <c r="D23" s="158" t="str">
        <f>VLOOKUP(A23,'Classement RoC'!$B$2:$C$149,1,0)</f>
        <v>kiki86 x</v>
      </c>
      <c r="E23" s="163" t="str">
        <f t="shared" si="2"/>
        <v/>
      </c>
      <c r="F23" s="120" t="str">
        <f>VLOOKUP(A23,'Classement Général'!$B$2:$B$146,1,0)</f>
        <v>kiki86 x</v>
      </c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</row>
    <row r="24" ht="14.25" customHeight="1">
      <c r="A24" s="160" t="str">
        <f>IFERROR(__xludf.DUMMYFUNCTION("""COMPUTED_VALUE"""),"A_iniesta")</f>
        <v>A_iniesta</v>
      </c>
      <c r="B24" s="156">
        <v>23.0</v>
      </c>
      <c r="C24" s="157">
        <f t="shared" si="1"/>
        <v>294.6843905</v>
      </c>
      <c r="D24" s="158" t="str">
        <f>VLOOKUP(A24,'Classement RoC'!$B$2:$C$149,1,0)</f>
        <v>A_iniesta</v>
      </c>
      <c r="E24" s="163" t="str">
        <f t="shared" si="2"/>
        <v/>
      </c>
      <c r="F24" s="120" t="str">
        <f>VLOOKUP(A24,'Classement Général'!$B$2:$B$146,1,0)</f>
        <v>A_iniesta</v>
      </c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</row>
    <row r="25" ht="14.25" customHeight="1">
      <c r="A25" s="160" t="str">
        <f>IFERROR(__xludf.DUMMYFUNCTION("""COMPUTED_VALUE"""),"Patgaret")</f>
        <v>Patgaret</v>
      </c>
      <c r="B25" s="161">
        <v>24.0</v>
      </c>
      <c r="C25" s="157">
        <f t="shared" si="1"/>
        <v>277.6815221</v>
      </c>
      <c r="D25" s="158" t="str">
        <f>VLOOKUP(A25,'Classement RoC'!$B$2:$C$149,1,0)</f>
        <v>Patgaret</v>
      </c>
      <c r="E25" s="163" t="str">
        <f t="shared" si="2"/>
        <v/>
      </c>
      <c r="F25" s="120" t="str">
        <f>VLOOKUP(A25,'Classement Général'!$B$2:$B$146,1,0)</f>
        <v>Patgaret</v>
      </c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</row>
    <row r="26" ht="14.25" customHeight="1">
      <c r="A26" s="160" t="str">
        <f>IFERROR(__xludf.DUMMYFUNCTION("""COMPUTED_VALUE"""),"Mikalack")</f>
        <v>Mikalack</v>
      </c>
      <c r="B26" s="156">
        <v>25.0</v>
      </c>
      <c r="C26" s="157">
        <f t="shared" si="1"/>
        <v>261.1189525</v>
      </c>
      <c r="D26" s="158" t="str">
        <f>VLOOKUP(A26,'Classement RoC'!$B$2:$C$149,1,0)</f>
        <v>Mikalack</v>
      </c>
      <c r="E26" s="163" t="str">
        <f t="shared" si="2"/>
        <v/>
      </c>
      <c r="F26" s="120" t="str">
        <f>VLOOKUP(A26,'Classement Général'!$B$2:$B$146,1,0)</f>
        <v>Mikalack</v>
      </c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</row>
    <row r="27" ht="14.25" customHeight="1">
      <c r="A27" s="160" t="str">
        <f>IFERROR(__xludf.DUMMYFUNCTION("""COMPUTED_VALUE"""),"Butterfly-as")</f>
        <v>Butterfly-as</v>
      </c>
      <c r="B27" s="161">
        <v>26.0</v>
      </c>
      <c r="C27" s="157">
        <f t="shared" si="1"/>
        <v>244.9621382</v>
      </c>
      <c r="D27" s="158" t="str">
        <f>VLOOKUP(A27,'Classement RoC'!$B$2:$C$149,1,0)</f>
        <v>Butterfly-as</v>
      </c>
      <c r="E27" s="163" t="str">
        <f t="shared" si="2"/>
        <v/>
      </c>
      <c r="F27" s="120" t="str">
        <f>VLOOKUP(A27,'Classement Général'!$B$2:$B$146,1,0)</f>
        <v>Butterfly-as</v>
      </c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</row>
    <row r="28" ht="14.25" customHeight="1">
      <c r="A28" s="160" t="str">
        <f>IFERROR(__xludf.DUMMYFUNCTION("""COMPUTED_VALUE"""),"immond")</f>
        <v>immond</v>
      </c>
      <c r="B28" s="156">
        <v>27.0</v>
      </c>
      <c r="C28" s="157">
        <f t="shared" si="1"/>
        <v>229.1805601</v>
      </c>
      <c r="D28" s="158" t="str">
        <f>VLOOKUP(A28,'Classement RoC'!$B$2:$C$149,1,0)</f>
        <v>immond</v>
      </c>
      <c r="E28" s="163" t="str">
        <f t="shared" si="2"/>
        <v/>
      </c>
      <c r="F28" s="120" t="str">
        <f>VLOOKUP(A28,'Classement Général'!$B$2:$B$146,1,0)</f>
        <v>immond</v>
      </c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</row>
    <row r="29" ht="14.25" customHeight="1">
      <c r="A29" s="160" t="str">
        <f>IFERROR(__xludf.DUMMYFUNCTION("""COMPUTED_VALUE"""),"NezuKO-demon")</f>
        <v>NezuKO-demon</v>
      </c>
      <c r="B29" s="161">
        <v>28.0</v>
      </c>
      <c r="C29" s="157">
        <f t="shared" si="1"/>
        <v>213.7471195</v>
      </c>
      <c r="D29" s="158" t="str">
        <f>VLOOKUP(A29,'Classement RoC'!$B$2:$C$149,1,0)</f>
        <v>NezuKO-demon</v>
      </c>
      <c r="E29" s="163" t="str">
        <f t="shared" si="2"/>
        <v/>
      </c>
      <c r="F29" s="120" t="str">
        <f>VLOOKUP(A29,'Classement Général'!$B$2:$B$146,1,0)</f>
        <v>NezuKO-demon</v>
      </c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</row>
    <row r="30" ht="14.25" customHeight="1">
      <c r="A30" s="160" t="str">
        <f>IFERROR(__xludf.DUMMYFUNCTION("""COMPUTED_VALUE"""),"Redblood92")</f>
        <v>Redblood92</v>
      </c>
      <c r="B30" s="156">
        <v>29.0</v>
      </c>
      <c r="C30" s="157">
        <f t="shared" si="1"/>
        <v>198.6376441</v>
      </c>
      <c r="D30" s="158" t="str">
        <f>VLOOKUP(A30,'Classement RoC'!$B$2:$C$149,1,0)</f>
        <v>Redblood92</v>
      </c>
      <c r="E30" s="163" t="str">
        <f t="shared" si="2"/>
        <v/>
      </c>
      <c r="F30" s="120" t="str">
        <f>VLOOKUP(A30,'Classement Général'!$B$2:$B$146,1,0)</f>
        <v>Redblood92</v>
      </c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</row>
    <row r="31" ht="14.25" customHeight="1">
      <c r="A31" s="160" t="str">
        <f>IFERROR(__xludf.DUMMYFUNCTION("""COMPUTED_VALUE"""),"Kiki Bazaar")</f>
        <v>Kiki Bazaar</v>
      </c>
      <c r="B31" s="161">
        <v>30.0</v>
      </c>
      <c r="C31" s="157">
        <f t="shared" si="1"/>
        <v>183.8304787</v>
      </c>
      <c r="D31" s="158" t="str">
        <f>VLOOKUP(A31,'Classement RoC'!$B$2:$C$149,1,0)</f>
        <v>Kiki Bazaar</v>
      </c>
      <c r="E31" s="163" t="str">
        <f t="shared" si="2"/>
        <v/>
      </c>
      <c r="F31" s="120" t="str">
        <f>VLOOKUP(A31,'Classement Général'!$B$2:$B$146,1,0)</f>
        <v>Kiki Bazaar</v>
      </c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</row>
    <row r="32" ht="14.25" customHeight="1">
      <c r="A32" s="160" t="str">
        <f>IFERROR(__xludf.DUMMYFUNCTION("""COMPUTED_VALUE"""),"Phil1308")</f>
        <v>Phil1308</v>
      </c>
      <c r="B32" s="156">
        <v>31.0</v>
      </c>
      <c r="C32" s="157">
        <f t="shared" si="1"/>
        <v>169.3061464</v>
      </c>
      <c r="D32" s="158" t="str">
        <f>VLOOKUP(A32,'Classement RoC'!$B$2:$C$149,1,0)</f>
        <v>Phil1308</v>
      </c>
      <c r="E32" s="163" t="str">
        <f t="shared" si="2"/>
        <v/>
      </c>
      <c r="F32" s="120" t="str">
        <f>VLOOKUP(A32,'Classement Général'!$B$2:$B$146,1,0)</f>
        <v>Phil1308</v>
      </c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</row>
    <row r="33" ht="14.25" customHeight="1">
      <c r="A33" s="160" t="str">
        <f>IFERROR(__xludf.DUMMYFUNCTION("""COMPUTED_VALUE"""),". BARBAPAPA66")</f>
        <v>. BARBAPAPA66</v>
      </c>
      <c r="B33" s="161">
        <v>32.0</v>
      </c>
      <c r="C33" s="157">
        <f t="shared" si="1"/>
        <v>155.0470643</v>
      </c>
      <c r="D33" s="158" t="str">
        <f>VLOOKUP(A33,'Classement RoC'!$B$2:$C$149,1,0)</f>
        <v>. BARBAPAPA66</v>
      </c>
      <c r="E33" s="163" t="str">
        <f t="shared" si="2"/>
        <v/>
      </c>
      <c r="F33" s="120" t="str">
        <f>VLOOKUP(A33,'Classement Général'!$B$2:$B$146,1,0)</f>
        <v>. BARBAPAPA66</v>
      </c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</row>
    <row r="34" ht="14.25" customHeight="1">
      <c r="A34" s="160" t="str">
        <f>IFERROR(__xludf.DUMMYFUNCTION("""COMPUTED_VALUE"""),"Manimi67")</f>
        <v>Manimi67</v>
      </c>
      <c r="B34" s="156">
        <v>33.0</v>
      </c>
      <c r="C34" s="157">
        <f t="shared" si="1"/>
        <v>141.0373036</v>
      </c>
      <c r="D34" s="158" t="str">
        <f>VLOOKUP(A34,'Classement RoC'!$B$2:$C$149,1,0)</f>
        <v>Manimi67</v>
      </c>
      <c r="E34" s="163" t="str">
        <f t="shared" si="2"/>
        <v/>
      </c>
      <c r="F34" s="120" t="str">
        <f>VLOOKUP(A34,'Classement Général'!$B$2:$B$146,1,0)</f>
        <v>Manimi67</v>
      </c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</row>
    <row r="35" ht="14.25" customHeight="1">
      <c r="A35" s="160" t="str">
        <f>IFERROR(__xludf.DUMMYFUNCTION("""COMPUTED_VALUE"""),"Vaillant 86")</f>
        <v>Vaillant 86</v>
      </c>
      <c r="B35" s="161">
        <v>34.0</v>
      </c>
      <c r="C35" s="157">
        <f t="shared" si="1"/>
        <v>127.2623876</v>
      </c>
      <c r="D35" s="158" t="str">
        <f>VLOOKUP(A35,'Classement RoC'!$B$2:$C$149,1,0)</f>
        <v>Vaillant 86</v>
      </c>
      <c r="E35" s="163" t="str">
        <f t="shared" si="2"/>
        <v/>
      </c>
      <c r="F35" s="120" t="str">
        <f>VLOOKUP(A35,'Classement Général'!$B$2:$B$146,1,0)</f>
        <v>Vaillant 86</v>
      </c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</row>
    <row r="36" ht="14.25" customHeight="1">
      <c r="A36" s="160" t="str">
        <f>IFERROR(__xludf.DUMMYFUNCTION("""COMPUTED_VALUE"""),"Elfy")</f>
        <v>Elfy</v>
      </c>
      <c r="B36" s="156">
        <v>35.0</v>
      </c>
      <c r="C36" s="157">
        <f t="shared" si="1"/>
        <v>113.7091189</v>
      </c>
      <c r="D36" s="158" t="str">
        <f>VLOOKUP(A36,'Classement RoC'!$B$2:$C$149,1,0)</f>
        <v>Elfy</v>
      </c>
      <c r="E36" s="163" t="str">
        <f t="shared" si="2"/>
        <v/>
      </c>
      <c r="F36" s="120" t="str">
        <f>VLOOKUP(A36,'Classement Général'!$B$2:$B$146,1,0)</f>
        <v>Elfy</v>
      </c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</row>
    <row r="37" ht="14.25" customHeight="1">
      <c r="A37" s="160" t="str">
        <f>IFERROR(__xludf.DUMMYFUNCTION("""COMPUTED_VALUE"""),"PrendmAmAin")</f>
        <v>PrendmAmAin</v>
      </c>
      <c r="B37" s="161">
        <v>36.0</v>
      </c>
      <c r="C37" s="157">
        <f t="shared" si="1"/>
        <v>100.3654319</v>
      </c>
      <c r="D37" s="158" t="str">
        <f>VLOOKUP(A37,'Classement RoC'!$B$2:$C$149,1,0)</f>
        <v>PrendmAmAin</v>
      </c>
      <c r="E37" s="163" t="str">
        <f t="shared" si="2"/>
        <v/>
      </c>
      <c r="F37" s="120" t="str">
        <f>VLOOKUP(A37,'Classement Général'!$B$2:$B$146,1,0)</f>
        <v>PrendmAmAin</v>
      </c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</row>
    <row r="38" ht="14.25" customHeight="1">
      <c r="A38" s="160" t="str">
        <f>IFERROR(__xludf.DUMMYFUNCTION("""COMPUTED_VALUE"""),"Mitch")</f>
        <v>Mitch</v>
      </c>
      <c r="B38" s="156">
        <v>37.0</v>
      </c>
      <c r="C38" s="157">
        <f t="shared" si="1"/>
        <v>87.22026564</v>
      </c>
      <c r="D38" s="158" t="str">
        <f>VLOOKUP(A38,'Classement RoC'!$B$2:$C$149,1,0)</f>
        <v>Mitch</v>
      </c>
      <c r="E38" s="163" t="str">
        <f t="shared" si="2"/>
        <v/>
      </c>
      <c r="F38" s="120" t="str">
        <f>VLOOKUP(A38,'Classement Général'!$B$2:$B$146,1,0)</f>
        <v>Mitch</v>
      </c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</row>
    <row r="39" ht="14.25" customHeight="1">
      <c r="A39" s="160" t="str">
        <f>IFERROR(__xludf.DUMMYFUNCTION("""COMPUTED_VALUE"""),"Cataleya86")</f>
        <v>Cataleya86</v>
      </c>
      <c r="B39" s="161">
        <v>38.0</v>
      </c>
      <c r="C39" s="157">
        <f t="shared" si="1"/>
        <v>74.26345448</v>
      </c>
      <c r="D39" s="158" t="str">
        <f>VLOOKUP(A39,'Classement RoC'!$B$2:$C$149,1,0)</f>
        <v>Cataleya86</v>
      </c>
      <c r="E39" s="163" t="str">
        <f t="shared" si="2"/>
        <v/>
      </c>
      <c r="F39" s="120" t="str">
        <f>VLOOKUP(A39,'Classement Général'!$B$2:$B$146,1,0)</f>
        <v>Cataleya86</v>
      </c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</row>
    <row r="40" ht="14.25" customHeight="1">
      <c r="A40" s="160" t="str">
        <f>IFERROR(__xludf.DUMMYFUNCTION("""COMPUTED_VALUE"""),"Legabodu86")</f>
        <v>Legabodu86</v>
      </c>
      <c r="B40" s="156">
        <v>39.0</v>
      </c>
      <c r="C40" s="157">
        <f t="shared" si="1"/>
        <v>61.48563302</v>
      </c>
      <c r="D40" s="158" t="str">
        <f>VLOOKUP(A40,'Classement RoC'!$B$2:$C$149,1,0)</f>
        <v>Legabodu86</v>
      </c>
      <c r="E40" s="163" t="str">
        <f t="shared" si="2"/>
        <v/>
      </c>
      <c r="F40" s="120" t="str">
        <f>VLOOKUP(A40,'Classement Général'!$B$2:$B$146,1,0)</f>
        <v>Legabodu86</v>
      </c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</row>
    <row r="41" ht="14.25" customHeight="1">
      <c r="A41" s="160" t="str">
        <f>IFERROR(__xludf.DUMMYFUNCTION("""COMPUTED_VALUE"""),"SINGE7")</f>
        <v>SINGE7</v>
      </c>
      <c r="B41" s="161">
        <v>40.0</v>
      </c>
      <c r="C41" s="157">
        <f t="shared" si="1"/>
        <v>48.87815334</v>
      </c>
      <c r="D41" s="158" t="str">
        <f>VLOOKUP(A41,'Classement RoC'!$B$2:$C$149,1,0)</f>
        <v>SINGE7</v>
      </c>
      <c r="E41" s="163" t="str">
        <f t="shared" si="2"/>
        <v/>
      </c>
      <c r="F41" s="120" t="str">
        <f>VLOOKUP(A41,'Classement Général'!$B$2:$B$146,1,0)</f>
        <v>SINGE7</v>
      </c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</row>
    <row r="42" ht="14.25" customHeight="1">
      <c r="A42" s="160" t="str">
        <f>IFERROR(__xludf.DUMMYFUNCTION("""COMPUTED_VALUE"""),"KKPTETYO")</f>
        <v>KKPTETYO</v>
      </c>
      <c r="B42" s="156">
        <v>41.0</v>
      </c>
      <c r="C42" s="157">
        <f t="shared" si="1"/>
        <v>36.43301282</v>
      </c>
      <c r="D42" s="158" t="str">
        <f>VLOOKUP(A42,'Classement RoC'!$B$2:$C$149,1,0)</f>
        <v>KKPTETYO</v>
      </c>
      <c r="E42" s="163" t="str">
        <f t="shared" si="2"/>
        <v/>
      </c>
      <c r="F42" s="120" t="str">
        <f>VLOOKUP(A42,'Classement Général'!$B$2:$B$146,1,0)</f>
        <v>KKPTETYO</v>
      </c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</row>
    <row r="43" ht="14.25" customHeight="1">
      <c r="A43" s="160" t="str">
        <f>IFERROR(__xludf.DUMMYFUNCTION("""COMPUTED_VALUE"""),"fiodor86")</f>
        <v>fiodor86</v>
      </c>
      <c r="B43" s="161">
        <v>42.0</v>
      </c>
      <c r="C43" s="157">
        <f t="shared" si="1"/>
        <v>24.14279068</v>
      </c>
      <c r="D43" s="158" t="str">
        <f>VLOOKUP(A43,'Classement RoC'!$B$2:$C$149,1,0)</f>
        <v>fiodor86</v>
      </c>
      <c r="E43" s="163" t="str">
        <f t="shared" si="2"/>
        <v/>
      </c>
      <c r="F43" s="120" t="str">
        <f>VLOOKUP(A43,'Classement Général'!$B$2:$B$146,1,0)</f>
        <v>fiodor86</v>
      </c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</row>
    <row r="44" ht="14.25" customHeight="1">
      <c r="A44" s="160" t="str">
        <f>IFERROR(__xludf.DUMMYFUNCTION("""COMPUTED_VALUE"""),"LEGOLEGOTE")</f>
        <v>LEGOLEGOTE</v>
      </c>
      <c r="B44" s="156">
        <v>43.0</v>
      </c>
      <c r="C44" s="157">
        <f t="shared" si="1"/>
        <v>12.00059232</v>
      </c>
      <c r="D44" s="158" t="str">
        <f>VLOOKUP(A44,'Classement RoC'!$B$2:$C$149,1,0)</f>
        <v>LEGOLEGOTE</v>
      </c>
      <c r="E44" s="163" t="str">
        <f t="shared" si="2"/>
        <v/>
      </c>
      <c r="F44" s="120" t="str">
        <f>VLOOKUP(A44,'Classement Général'!$B$2:$B$146,1,0)</f>
        <v>LEGOLEGOTE</v>
      </c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</row>
    <row r="45" ht="14.25" customHeight="1">
      <c r="A45" s="160"/>
      <c r="B45" s="161">
        <v>44.0</v>
      </c>
      <c r="C45" s="157">
        <f t="shared" si="1"/>
        <v>0</v>
      </c>
      <c r="D45" s="158" t="str">
        <f>VLOOKUP(A45,'Classement RoC'!$B$2:$C$149,1,0)</f>
        <v>#N/A</v>
      </c>
      <c r="E45" s="163" t="str">
        <f t="shared" si="2"/>
        <v>#N/A</v>
      </c>
      <c r="F45" s="120" t="str">
        <f>VLOOKUP(A45,'Classement Général'!$B$2:$B$146,1,0)</f>
        <v>#N/A</v>
      </c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</row>
    <row r="46" ht="14.25" customHeight="1">
      <c r="A46" s="160"/>
      <c r="B46" s="156">
        <v>45.0</v>
      </c>
      <c r="C46" s="157">
        <f t="shared" si="1"/>
        <v>-11.86497063</v>
      </c>
      <c r="D46" s="158" t="str">
        <f>VLOOKUP(A46,'Classement RoC'!$B$2:$C$149,1,0)</f>
        <v>#N/A</v>
      </c>
      <c r="E46" s="163" t="str">
        <f t="shared" si="2"/>
        <v>#N/A</v>
      </c>
      <c r="F46" s="120" t="str">
        <f>VLOOKUP(A46,'Classement Général'!$B$2:$B$146,1,0)</f>
        <v>#N/A</v>
      </c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</row>
    <row r="47" ht="14.25" customHeight="1">
      <c r="A47" s="160"/>
      <c r="B47" s="161">
        <v>46.0</v>
      </c>
      <c r="C47" s="157">
        <f t="shared" si="1"/>
        <v>-23.59990929</v>
      </c>
      <c r="D47" s="158" t="str">
        <f>VLOOKUP(A47,'Classement RoC'!$B$2:$C$149,1,0)</f>
        <v>#N/A</v>
      </c>
      <c r="E47" s="163" t="str">
        <f t="shared" si="2"/>
        <v>#N/A</v>
      </c>
      <c r="F47" s="120" t="str">
        <f>VLOOKUP(A47,'Classement Général'!$B$2:$B$146,1,0)</f>
        <v>#N/A</v>
      </c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</row>
    <row r="48" ht="14.25" customHeight="1">
      <c r="A48" s="160"/>
      <c r="B48" s="156">
        <v>47.0</v>
      </c>
      <c r="C48" s="157">
        <f t="shared" si="1"/>
        <v>-35.2100455</v>
      </c>
      <c r="D48" s="158" t="str">
        <f>VLOOKUP(A48,'Classement RoC'!$B$2:$C$149,1,0)</f>
        <v>#N/A</v>
      </c>
      <c r="E48" s="163" t="str">
        <f t="shared" si="2"/>
        <v>#N/A</v>
      </c>
      <c r="F48" s="120" t="str">
        <f>VLOOKUP(A48,'Classement Général'!$B$2:$B$146,1,0)</f>
        <v>#N/A</v>
      </c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 ht="14.25" customHeight="1">
      <c r="A49" s="160"/>
      <c r="B49" s="161">
        <v>48.0</v>
      </c>
      <c r="C49" s="157">
        <f t="shared" si="1"/>
        <v>-46.70027931</v>
      </c>
      <c r="D49" s="158" t="str">
        <f>VLOOKUP(A49,'Classement RoC'!$B$2:$C$149,1,0)</f>
        <v>#N/A</v>
      </c>
      <c r="E49" s="163" t="str">
        <f t="shared" si="2"/>
        <v>#N/A</v>
      </c>
      <c r="F49" s="120" t="str">
        <f>VLOOKUP(A49,'Classement Général'!$B$2:$B$146,1,0)</f>
        <v>#N/A</v>
      </c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50" ht="14.25" customHeight="1">
      <c r="A50" s="160"/>
      <c r="B50" s="156">
        <v>49.0</v>
      </c>
      <c r="C50" s="157">
        <f t="shared" si="1"/>
        <v>-58.07520886</v>
      </c>
      <c r="D50" s="158" t="str">
        <f>VLOOKUP(A50,'Classement RoC'!$B$2:$C$149,1,0)</f>
        <v>#N/A</v>
      </c>
      <c r="E50" s="163" t="str">
        <f t="shared" si="2"/>
        <v>#N/A</v>
      </c>
      <c r="F50" s="120" t="str">
        <f>VLOOKUP(A50,'Classement Général'!$B$2:$B$146,1,0)</f>
        <v>#N/A</v>
      </c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</row>
    <row r="51" ht="14.25" customHeight="1">
      <c r="A51" s="160"/>
      <c r="B51" s="161">
        <v>50.0</v>
      </c>
      <c r="C51" s="157">
        <f t="shared" si="1"/>
        <v>-69.33915508</v>
      </c>
      <c r="D51" s="158" t="str">
        <f>VLOOKUP(A51,'Classement RoC'!$B$2:$C$149,1,0)</f>
        <v>#N/A</v>
      </c>
      <c r="E51" s="163" t="str">
        <f t="shared" si="2"/>
        <v>#N/A</v>
      </c>
      <c r="F51" s="120" t="str">
        <f>VLOOKUP(A51,'Classement Général'!$B$2:$B$146,1,0)</f>
        <v>#N/A</v>
      </c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</row>
    <row r="52" ht="14.25" customHeight="1">
      <c r="A52" s="160"/>
      <c r="B52" s="156">
        <v>51.0</v>
      </c>
      <c r="C52" s="157">
        <f t="shared" si="1"/>
        <v>-80.49618388</v>
      </c>
      <c r="D52" s="158" t="str">
        <f>VLOOKUP(A52,'Classement RoC'!$B$2:$C$149,1,0)</f>
        <v>#N/A</v>
      </c>
      <c r="E52" s="163" t="str">
        <f t="shared" si="2"/>
        <v>#N/A</v>
      </c>
      <c r="F52" s="120" t="str">
        <f>VLOOKUP(A52,'Classement Général'!$B$2:$B$146,1,0)</f>
        <v>#N/A</v>
      </c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</row>
    <row r="53" ht="14.25" customHeight="1">
      <c r="A53" s="160"/>
      <c r="B53" s="161">
        <v>52.0</v>
      </c>
      <c r="C53" s="157">
        <f t="shared" si="1"/>
        <v>-91.55012616</v>
      </c>
      <c r="D53" s="158" t="str">
        <f>VLOOKUP(A53,'Classement RoC'!$B$2:$C$149,1,0)</f>
        <v>#N/A</v>
      </c>
      <c r="E53" s="163" t="str">
        <f t="shared" si="2"/>
        <v>#N/A</v>
      </c>
      <c r="F53" s="120" t="str">
        <f>VLOOKUP(A53,'Classement Général'!$B$2:$B$146,1,0)</f>
        <v>#N/A</v>
      </c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</row>
    <row r="54" ht="14.25" customHeight="1">
      <c r="A54" s="160"/>
      <c r="B54" s="156">
        <v>53.0</v>
      </c>
      <c r="C54" s="157">
        <f t="shared" si="1"/>
        <v>-102.5045959</v>
      </c>
      <c r="D54" s="158" t="str">
        <f>VLOOKUP(A54,'Classement RoC'!$B$2:$C$149,1,0)</f>
        <v>#N/A</v>
      </c>
      <c r="E54" s="163" t="str">
        <f t="shared" si="2"/>
        <v>#N/A</v>
      </c>
      <c r="F54" s="120" t="str">
        <f>VLOOKUP(A54,'Classement Général'!$B$2:$B$146,1,0)</f>
        <v>#N/A</v>
      </c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</row>
    <row r="55" ht="14.25" customHeight="1">
      <c r="A55" s="160"/>
      <c r="B55" s="161">
        <v>54.0</v>
      </c>
      <c r="C55" s="157">
        <f t="shared" si="1"/>
        <v>-113.3630067</v>
      </c>
      <c r="D55" s="158" t="str">
        <f>VLOOKUP(A55,'Classement RoC'!$B$2:$C$149,1,0)</f>
        <v>#N/A</v>
      </c>
      <c r="E55" s="163" t="str">
        <f t="shared" si="2"/>
        <v>#N/A</v>
      </c>
      <c r="F55" s="120" t="str">
        <f>VLOOKUP(A55,'Classement Général'!$B$2:$B$146,1,0)</f>
        <v>#N/A</v>
      </c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</row>
    <row r="56" ht="14.25" customHeight="1">
      <c r="A56" s="160"/>
      <c r="B56" s="156">
        <v>55.0</v>
      </c>
      <c r="C56" s="157">
        <f t="shared" si="1"/>
        <v>-124.1285862</v>
      </c>
      <c r="D56" s="158" t="str">
        <f>VLOOKUP(A56,'Classement RoC'!$B$2:$C$149,1,0)</f>
        <v>#N/A</v>
      </c>
      <c r="E56" s="163" t="str">
        <f t="shared" si="2"/>
        <v>#N/A</v>
      </c>
      <c r="F56" s="120" t="str">
        <f>VLOOKUP(A56,'Classement Général'!$B$2:$B$146,1,0)</f>
        <v>#N/A</v>
      </c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</row>
    <row r="57" ht="14.25" customHeight="1">
      <c r="A57" s="160"/>
      <c r="B57" s="161">
        <v>56.0</v>
      </c>
      <c r="C57" s="157">
        <f t="shared" si="1"/>
        <v>-134.8043899</v>
      </c>
      <c r="D57" s="158" t="str">
        <f>VLOOKUP(A57,'Classement RoC'!$B$2:$C$149,1,0)</f>
        <v>#N/A</v>
      </c>
      <c r="E57" s="163" t="str">
        <f t="shared" si="2"/>
        <v>#N/A</v>
      </c>
      <c r="F57" s="120" t="str">
        <f>VLOOKUP(A57,'Classement Général'!$B$2:$B$146,1,0)</f>
        <v>#N/A</v>
      </c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</row>
    <row r="58" ht="14.25" customHeight="1">
      <c r="A58" s="160"/>
      <c r="B58" s="156">
        <v>57.0</v>
      </c>
      <c r="C58" s="157">
        <f t="shared" si="1"/>
        <v>-145.3933136</v>
      </c>
      <c r="D58" s="158" t="str">
        <f>VLOOKUP(A58,'Classement RoC'!$B$2:$C$149,1,0)</f>
        <v>#N/A</v>
      </c>
      <c r="E58" s="163" t="str">
        <f t="shared" si="2"/>
        <v>#N/A</v>
      </c>
      <c r="F58" s="120" t="str">
        <f>VLOOKUP(A58,'Classement Général'!$B$2:$B$146,1,0)</f>
        <v>#N/A</v>
      </c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</row>
    <row r="59" ht="14.25" customHeight="1">
      <c r="A59" s="160"/>
      <c r="B59" s="161">
        <v>58.0</v>
      </c>
      <c r="C59" s="157">
        <f t="shared" si="1"/>
        <v>-155.898104</v>
      </c>
      <c r="D59" s="158" t="str">
        <f>VLOOKUP(A59,'Classement RoC'!$B$2:$C$149,1,0)</f>
        <v>#N/A</v>
      </c>
      <c r="E59" s="163" t="str">
        <f t="shared" si="2"/>
        <v>#N/A</v>
      </c>
      <c r="F59" s="120" t="str">
        <f>VLOOKUP(A59,'Classement Général'!$B$2:$B$146,1,0)</f>
        <v>#N/A</v>
      </c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</row>
    <row r="60" ht="14.25" customHeight="1">
      <c r="A60" s="160"/>
      <c r="B60" s="156">
        <v>59.0</v>
      </c>
      <c r="C60" s="157">
        <f t="shared" si="1"/>
        <v>-166.3213694</v>
      </c>
      <c r="D60" s="158" t="str">
        <f>VLOOKUP(A60,'Classement RoC'!$B$2:$C$149,1,0)</f>
        <v>#N/A</v>
      </c>
      <c r="E60" s="163" t="str">
        <f t="shared" si="2"/>
        <v>#N/A</v>
      </c>
      <c r="F60" s="120" t="str">
        <f>VLOOKUP(A60,'Classement Général'!$B$2:$B$146,1,0)</f>
        <v>#N/A</v>
      </c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</row>
    <row r="61" ht="14.25" customHeight="1">
      <c r="A61" s="160"/>
      <c r="B61" s="161">
        <v>60.0</v>
      </c>
      <c r="C61" s="157">
        <f t="shared" si="1"/>
        <v>-176.6655892</v>
      </c>
      <c r="D61" s="158" t="str">
        <f>VLOOKUP(A61,'Classement RoC'!$B$2:$C$149,1,0)</f>
        <v>#N/A</v>
      </c>
      <c r="E61" s="163" t="str">
        <f t="shared" si="2"/>
        <v>#N/A</v>
      </c>
      <c r="F61" s="120" t="str">
        <f>VLOOKUP(A61,'Classement Général'!$B$2:$B$146,1,0)</f>
        <v>#N/A</v>
      </c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</row>
    <row r="62" ht="14.25" customHeight="1">
      <c r="A62" s="160"/>
      <c r="B62" s="156">
        <v>61.0</v>
      </c>
      <c r="C62" s="157">
        <f t="shared" si="1"/>
        <v>-186.9331217</v>
      </c>
      <c r="D62" s="158" t="str">
        <f>VLOOKUP(A62,'Classement RoC'!$B$2:$C$149,1,0)</f>
        <v>#N/A</v>
      </c>
      <c r="E62" s="163" t="str">
        <f t="shared" si="2"/>
        <v>#N/A</v>
      </c>
      <c r="F62" s="120" t="str">
        <f>VLOOKUP(A62,'Classement Général'!$B$2:$B$146,1,0)</f>
        <v>#N/A</v>
      </c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</row>
    <row r="63" ht="14.25" customHeight="1">
      <c r="A63" s="160"/>
      <c r="B63" s="161">
        <v>62.0</v>
      </c>
      <c r="C63" s="157">
        <f t="shared" si="1"/>
        <v>-197.126213</v>
      </c>
      <c r="D63" s="158" t="str">
        <f>VLOOKUP(A63,'Classement RoC'!$B$2:$C$149,1,0)</f>
        <v>#N/A</v>
      </c>
      <c r="E63" s="163" t="str">
        <f t="shared" si="2"/>
        <v>#N/A</v>
      </c>
      <c r="F63" s="120" t="str">
        <f>VLOOKUP(A63,'Classement Général'!$B$2:$B$146,1,0)</f>
        <v>#N/A</v>
      </c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</row>
    <row r="64" ht="14.25" customHeight="1">
      <c r="A64" s="160"/>
      <c r="B64" s="156">
        <v>63.0</v>
      </c>
      <c r="C64" s="157">
        <f t="shared" si="1"/>
        <v>-207.2470033</v>
      </c>
      <c r="D64" s="158" t="str">
        <f>VLOOKUP(A64,'Classement RoC'!$B$2:$C$149,1,0)</f>
        <v>#N/A</v>
      </c>
      <c r="E64" s="163" t="str">
        <f t="shared" si="2"/>
        <v>#N/A</v>
      </c>
      <c r="F64" s="120" t="str">
        <f>VLOOKUP(A64,'Classement Général'!$B$2:$B$146,1,0)</f>
        <v>#N/A</v>
      </c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</row>
    <row r="65" ht="14.25" customHeight="1">
      <c r="A65" s="160"/>
      <c r="B65" s="161">
        <v>64.0</v>
      </c>
      <c r="C65" s="157">
        <f t="shared" si="1"/>
        <v>-217.2975342</v>
      </c>
      <c r="D65" s="158" t="str">
        <f>VLOOKUP(A65,'Classement RoC'!$B$2:$C$149,1,0)</f>
        <v>#N/A</v>
      </c>
      <c r="E65" s="163" t="str">
        <f t="shared" si="2"/>
        <v>#N/A</v>
      </c>
      <c r="F65" s="120" t="str">
        <f>VLOOKUP(A65,'Classement Général'!$B$2:$B$146,1,0)</f>
        <v>#N/A</v>
      </c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</row>
    <row r="66" ht="14.25" customHeight="1">
      <c r="A66" s="160"/>
      <c r="B66" s="156">
        <v>65.0</v>
      </c>
      <c r="C66" s="157">
        <f t="shared" si="1"/>
        <v>-227.2797545</v>
      </c>
      <c r="D66" s="158" t="str">
        <f>VLOOKUP(A66,'Classement RoC'!$B$2:$C$149,1,0)</f>
        <v>#N/A</v>
      </c>
      <c r="E66" s="163" t="str">
        <f t="shared" si="2"/>
        <v>#N/A</v>
      </c>
      <c r="F66" s="120" t="str">
        <f>VLOOKUP(A66,'Classement Général'!$B$2:$B$146,1,0)</f>
        <v>#N/A</v>
      </c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</row>
    <row r="67" ht="14.25" customHeight="1">
      <c r="A67" s="160"/>
      <c r="B67" s="161">
        <v>66.0</v>
      </c>
      <c r="C67" s="157">
        <f t="shared" si="1"/>
        <v>-237.1955259</v>
      </c>
      <c r="D67" s="158" t="str">
        <f>VLOOKUP(A67,'Classement RoC'!$B$2:$C$149,1,0)</f>
        <v>#N/A</v>
      </c>
      <c r="E67" s="163" t="str">
        <f t="shared" si="2"/>
        <v>#N/A</v>
      </c>
      <c r="F67" s="120" t="str">
        <f>VLOOKUP(A67,'Classement Général'!$B$2:$B$146,1,0)</f>
        <v>#N/A</v>
      </c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</row>
    <row r="68" ht="14.25" customHeight="1">
      <c r="A68" s="160"/>
      <c r="B68" s="156">
        <v>67.0</v>
      </c>
      <c r="C68" s="157">
        <f t="shared" si="1"/>
        <v>-247.0466285</v>
      </c>
      <c r="D68" s="158" t="str">
        <f>VLOOKUP(A68,'Classement RoC'!$B$2:$C$149,1,0)</f>
        <v>#N/A</v>
      </c>
      <c r="E68" s="163" t="str">
        <f t="shared" si="2"/>
        <v>#N/A</v>
      </c>
      <c r="F68" s="120" t="str">
        <f>VLOOKUP(A68,'Classement Général'!$B$2:$B$146,1,0)</f>
        <v>#N/A</v>
      </c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</row>
    <row r="69" ht="14.25" customHeight="1">
      <c r="A69" s="160"/>
      <c r="B69" s="161">
        <v>68.0</v>
      </c>
      <c r="C69" s="157">
        <f t="shared" si="1"/>
        <v>-256.8347652</v>
      </c>
      <c r="D69" s="158" t="str">
        <f>VLOOKUP(A69,'Classement RoC'!$B$2:$C$149,1,0)</f>
        <v>#N/A</v>
      </c>
      <c r="E69" s="163" t="str">
        <f t="shared" si="2"/>
        <v>#N/A</v>
      </c>
      <c r="F69" s="120" t="str">
        <f>VLOOKUP(A69,'Classement Général'!$B$2:$B$146,1,0)</f>
        <v>#N/A</v>
      </c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</row>
    <row r="70" ht="14.25" customHeight="1">
      <c r="A70" s="160"/>
      <c r="B70" s="156">
        <v>69.0</v>
      </c>
      <c r="C70" s="157">
        <f t="shared" si="1"/>
        <v>-266.5615665</v>
      </c>
      <c r="D70" s="158" t="str">
        <f>VLOOKUP(A70,'Classement RoC'!$B$2:$C$149,1,0)</f>
        <v>#N/A</v>
      </c>
      <c r="E70" s="163" t="str">
        <f t="shared" si="2"/>
        <v>#N/A</v>
      </c>
      <c r="F70" s="120" t="str">
        <f>VLOOKUP(A70,'Classement Général'!$B$2:$B$146,1,0)</f>
        <v>#N/A</v>
      </c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</row>
    <row r="71" ht="14.25" customHeight="1">
      <c r="A71" s="160"/>
      <c r="B71" s="161">
        <v>70.0</v>
      </c>
      <c r="C71" s="157">
        <f t="shared" si="1"/>
        <v>-276.2285947</v>
      </c>
      <c r="D71" s="158" t="str">
        <f>VLOOKUP(A71,'Classement RoC'!$B$2:$C$149,1,0)</f>
        <v>#N/A</v>
      </c>
      <c r="E71" s="163" t="str">
        <f t="shared" si="2"/>
        <v>#N/A</v>
      </c>
      <c r="F71" s="120" t="str">
        <f>VLOOKUP(A71,'Classement Général'!$B$2:$B$146,1,0)</f>
        <v>#N/A</v>
      </c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</row>
    <row r="72" ht="14.25" customHeight="1">
      <c r="A72" s="160"/>
      <c r="B72" s="156">
        <v>71.0</v>
      </c>
      <c r="C72" s="157">
        <f t="shared" si="1"/>
        <v>-285.8373475</v>
      </c>
      <c r="D72" s="158" t="str">
        <f>VLOOKUP(A72,'Classement RoC'!$B$2:$C$149,1,0)</f>
        <v>#N/A</v>
      </c>
      <c r="E72" s="163" t="str">
        <f t="shared" si="2"/>
        <v>#N/A</v>
      </c>
      <c r="F72" s="120" t="str">
        <f>VLOOKUP(A72,'Classement Général'!$B$2:$B$146,1,0)</f>
        <v>#N/A</v>
      </c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</row>
    <row r="73" ht="14.25" customHeight="1">
      <c r="A73" s="160"/>
      <c r="B73" s="161">
        <v>72.0</v>
      </c>
      <c r="C73" s="157">
        <f t="shared" si="1"/>
        <v>-295.3892617</v>
      </c>
      <c r="D73" s="158" t="str">
        <f>VLOOKUP(A73,'Classement RoC'!$B$2:$C$149,1,0)</f>
        <v>#N/A</v>
      </c>
      <c r="E73" s="163" t="str">
        <f t="shared" si="2"/>
        <v>#N/A</v>
      </c>
      <c r="F73" s="120" t="str">
        <f>VLOOKUP(A73,'Classement Général'!$B$2:$B$146,1,0)</f>
        <v>#N/A</v>
      </c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</row>
    <row r="74" ht="14.25" customHeight="1">
      <c r="A74" s="160"/>
      <c r="B74" s="156">
        <v>73.0</v>
      </c>
      <c r="C74" s="157">
        <f t="shared" si="1"/>
        <v>-304.8857166</v>
      </c>
      <c r="D74" s="158" t="str">
        <f>VLOOKUP(A74,'Classement RoC'!$B$2:$C$149,1,0)</f>
        <v>#N/A</v>
      </c>
      <c r="E74" s="163" t="str">
        <f t="shared" si="2"/>
        <v>#N/A</v>
      </c>
      <c r="F74" s="120" t="str">
        <f>VLOOKUP(A74,'Classement Général'!$B$2:$B$146,1,0)</f>
        <v>#N/A</v>
      </c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</row>
    <row r="75" ht="14.25" customHeight="1">
      <c r="A75" s="160"/>
      <c r="B75" s="161">
        <v>74.0</v>
      </c>
      <c r="C75" s="157">
        <f t="shared" si="1"/>
        <v>-314.3280373</v>
      </c>
      <c r="D75" s="158" t="str">
        <f>VLOOKUP(A75,'Classement RoC'!$B$2:$C$149,1,0)</f>
        <v>#N/A</v>
      </c>
      <c r="E75" s="163" t="str">
        <f t="shared" si="2"/>
        <v>#N/A</v>
      </c>
      <c r="F75" s="120" t="str">
        <f>VLOOKUP(A75,'Classement Général'!$B$2:$B$146,1,0)</f>
        <v>#N/A</v>
      </c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</row>
    <row r="76" ht="14.25" customHeight="1">
      <c r="A76" s="160"/>
      <c r="B76" s="156">
        <v>75.0</v>
      </c>
      <c r="C76" s="157">
        <f t="shared" si="1"/>
        <v>-323.7174972</v>
      </c>
      <c r="D76" s="158" t="str">
        <f>VLOOKUP(A76,'Classement RoC'!$B$2:$C$149,1,0)</f>
        <v>#N/A</v>
      </c>
      <c r="E76" s="163" t="str">
        <f t="shared" si="2"/>
        <v>#N/A</v>
      </c>
      <c r="F76" s="120" t="str">
        <f>VLOOKUP(A76,'Classement Général'!$B$2:$B$146,1,0)</f>
        <v>#N/A</v>
      </c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</row>
    <row r="77" ht="14.25" customHeight="1">
      <c r="A77" s="160"/>
      <c r="B77" s="161">
        <v>76.0</v>
      </c>
      <c r="C77" s="157">
        <f t="shared" si="1"/>
        <v>-333.0553209</v>
      </c>
      <c r="D77" s="158" t="str">
        <f>VLOOKUP(A77,'Classement RoC'!$B$2:$C$149,1,0)</f>
        <v>#N/A</v>
      </c>
      <c r="E77" s="163" t="str">
        <f t="shared" si="2"/>
        <v>#N/A</v>
      </c>
      <c r="F77" s="120" t="str">
        <f>VLOOKUP(A77,'Classement Général'!$B$2:$B$146,1,0)</f>
        <v>#N/A</v>
      </c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</row>
    <row r="78" ht="14.25" customHeight="1">
      <c r="A78" s="160"/>
      <c r="B78" s="156">
        <v>77.0</v>
      </c>
      <c r="C78" s="157">
        <f t="shared" si="1"/>
        <v>-342.3426867</v>
      </c>
      <c r="D78" s="158" t="str">
        <f>VLOOKUP(A78,'Classement RoC'!$B$2:$C$149,1,0)</f>
        <v>#N/A</v>
      </c>
      <c r="E78" s="163" t="str">
        <f t="shared" si="2"/>
        <v>#N/A</v>
      </c>
      <c r="F78" s="120" t="str">
        <f>VLOOKUP(A78,'Classement Général'!$B$2:$B$146,1,0)</f>
        <v>#N/A</v>
      </c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</row>
    <row r="79" ht="14.25" customHeight="1">
      <c r="A79" s="160"/>
      <c r="B79" s="161">
        <v>78.0</v>
      </c>
      <c r="C79" s="157">
        <f t="shared" si="1"/>
        <v>-351.5807291</v>
      </c>
      <c r="D79" s="158" t="str">
        <f>VLOOKUP(A79,'Classement RoC'!$B$2:$C$149,1,0)</f>
        <v>#N/A</v>
      </c>
      <c r="E79" s="163" t="str">
        <f t="shared" si="2"/>
        <v>#N/A</v>
      </c>
      <c r="F79" s="120" t="str">
        <f>VLOOKUP(A79,'Classement Général'!$B$2:$B$146,1,0)</f>
        <v>#N/A</v>
      </c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</row>
    <row r="80" ht="14.25" customHeight="1">
      <c r="A80" s="160"/>
      <c r="B80" s="156">
        <v>79.0</v>
      </c>
      <c r="C80" s="157">
        <f t="shared" si="1"/>
        <v>-360.7705409</v>
      </c>
      <c r="D80" s="158" t="str">
        <f>VLOOKUP(A80,'Classement RoC'!$B$2:$C$149,1,0)</f>
        <v>#N/A</v>
      </c>
      <c r="E80" s="163" t="str">
        <f t="shared" si="2"/>
        <v>#N/A</v>
      </c>
      <c r="F80" s="120" t="str">
        <f>VLOOKUP(A80,'Classement Général'!$B$2:$B$146,1,0)</f>
        <v>#N/A</v>
      </c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</row>
    <row r="81" ht="14.25" customHeight="1">
      <c r="A81" s="160"/>
      <c r="B81" s="161">
        <v>80.0</v>
      </c>
      <c r="C81" s="157">
        <f t="shared" si="1"/>
        <v>-369.9131754</v>
      </c>
      <c r="D81" s="158" t="str">
        <f>VLOOKUP(A81,'Classement RoC'!$B$2:$C$149,1,0)</f>
        <v>#N/A</v>
      </c>
      <c r="E81" s="163" t="str">
        <f t="shared" si="2"/>
        <v>#N/A</v>
      </c>
      <c r="F81" s="120" t="str">
        <f>VLOOKUP(A81,'Classement Général'!$B$2:$B$146,1,0)</f>
        <v>#N/A</v>
      </c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</row>
    <row r="82" ht="14.25" customHeight="1">
      <c r="A82" s="160"/>
      <c r="B82" s="156">
        <v>81.0</v>
      </c>
      <c r="C82" s="157">
        <f t="shared" si="1"/>
        <v>-379.009648</v>
      </c>
      <c r="D82" s="158" t="str">
        <f>VLOOKUP(A82,'Classement RoC'!$B$2:$C$149,1,0)</f>
        <v>#N/A</v>
      </c>
      <c r="E82" s="163" t="str">
        <f t="shared" si="2"/>
        <v>#N/A</v>
      </c>
      <c r="F82" s="120" t="str">
        <f>VLOOKUP(A82,'Classement Général'!$B$2:$B$146,1,0)</f>
        <v>#N/A</v>
      </c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</row>
    <row r="83" ht="14.25" customHeight="1">
      <c r="A83" s="160"/>
      <c r="B83" s="161">
        <v>82.0</v>
      </c>
      <c r="C83" s="157">
        <f t="shared" si="1"/>
        <v>-388.0609384</v>
      </c>
      <c r="D83" s="158" t="str">
        <f>VLOOKUP(A83,'Classement RoC'!$B$2:$C$149,1,0)</f>
        <v>#N/A</v>
      </c>
      <c r="E83" s="163" t="str">
        <f t="shared" si="2"/>
        <v>#N/A</v>
      </c>
      <c r="F83" s="120" t="str">
        <f>VLOOKUP(A83,'Classement Général'!$B$2:$B$146,1,0)</f>
        <v>#N/A</v>
      </c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</row>
    <row r="84" ht="14.25" customHeight="1">
      <c r="A84" s="160"/>
      <c r="B84" s="156">
        <v>83.0</v>
      </c>
      <c r="C84" s="157">
        <f t="shared" si="1"/>
        <v>-397.0679923</v>
      </c>
      <c r="D84" s="158" t="str">
        <f>VLOOKUP(A84,'Classement RoC'!$B$2:$C$149,1,0)</f>
        <v>#N/A</v>
      </c>
      <c r="E84" s="163" t="str">
        <f t="shared" si="2"/>
        <v>#N/A</v>
      </c>
      <c r="F84" s="120" t="str">
        <f>VLOOKUP(A84,'Classement Général'!$B$2:$B$146,1,0)</f>
        <v>#N/A</v>
      </c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</row>
    <row r="85" ht="14.25" customHeight="1">
      <c r="A85" s="160"/>
      <c r="B85" s="161">
        <v>84.0</v>
      </c>
      <c r="C85" s="157">
        <f t="shared" si="1"/>
        <v>-406.0317228</v>
      </c>
      <c r="D85" s="158" t="str">
        <f>VLOOKUP(A85,'Classement RoC'!$B$2:$C$149,1,0)</f>
        <v>#N/A</v>
      </c>
      <c r="E85" s="163" t="str">
        <f t="shared" si="2"/>
        <v>#N/A</v>
      </c>
      <c r="F85" s="120" t="str">
        <f>VLOOKUP(A85,'Classement Général'!$B$2:$B$146,1,0)</f>
        <v>#N/A</v>
      </c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</row>
    <row r="86" ht="14.25" customHeight="1">
      <c r="A86" s="160"/>
      <c r="B86" s="156">
        <v>85.0</v>
      </c>
      <c r="C86" s="157">
        <f t="shared" si="1"/>
        <v>-414.953012</v>
      </c>
      <c r="D86" s="158" t="str">
        <f>VLOOKUP(A86,'Classement RoC'!$B$2:$C$149,1,0)</f>
        <v>#N/A</v>
      </c>
      <c r="E86" s="163" t="str">
        <f t="shared" si="2"/>
        <v>#N/A</v>
      </c>
      <c r="F86" s="120" t="str">
        <f>VLOOKUP(A86,'Classement Général'!$B$2:$B$146,1,0)</f>
        <v>#N/A</v>
      </c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</row>
    <row r="87" ht="14.25" customHeight="1">
      <c r="A87" s="160"/>
      <c r="B87" s="161">
        <v>86.0</v>
      </c>
      <c r="C87" s="157">
        <f t="shared" si="1"/>
        <v>-423.8327125</v>
      </c>
      <c r="D87" s="158" t="str">
        <f>VLOOKUP(A87,'Classement RoC'!$B$2:$C$149,1,0)</f>
        <v>#N/A</v>
      </c>
      <c r="E87" s="163" t="str">
        <f t="shared" si="2"/>
        <v>#N/A</v>
      </c>
      <c r="F87" s="120" t="str">
        <f>VLOOKUP(A87,'Classement Général'!$B$2:$B$146,1,0)</f>
        <v>#N/A</v>
      </c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</row>
    <row r="88" ht="14.25" customHeight="1">
      <c r="A88" s="160"/>
      <c r="B88" s="156">
        <v>87.0</v>
      </c>
      <c r="C88" s="157">
        <f t="shared" si="1"/>
        <v>-432.6716487</v>
      </c>
      <c r="D88" s="158" t="str">
        <f>VLOOKUP(A88,'Classement RoC'!$B$2:$C$149,1,0)</f>
        <v>#N/A</v>
      </c>
      <c r="E88" s="163" t="str">
        <f t="shared" si="2"/>
        <v>#N/A</v>
      </c>
      <c r="F88" s="120" t="str">
        <f>VLOOKUP(A88,'Classement Général'!$B$2:$B$146,1,0)</f>
        <v>#N/A</v>
      </c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</row>
    <row r="89" ht="14.25" customHeight="1">
      <c r="A89" s="160"/>
      <c r="B89" s="161">
        <v>88.0</v>
      </c>
      <c r="C89" s="157">
        <f t="shared" si="1"/>
        <v>-441.470618</v>
      </c>
      <c r="D89" s="158" t="str">
        <f>VLOOKUP(A89,'Classement RoC'!$B$2:$C$149,1,0)</f>
        <v>#N/A</v>
      </c>
      <c r="E89" s="163" t="str">
        <f t="shared" si="2"/>
        <v>#N/A</v>
      </c>
      <c r="F89" s="120" t="str">
        <f>VLOOKUP(A89,'Classement Général'!$B$2:$B$146,1,0)</f>
        <v>#N/A</v>
      </c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</row>
    <row r="90" ht="14.25" customHeight="1">
      <c r="A90" s="160"/>
      <c r="B90" s="156">
        <v>89.0</v>
      </c>
      <c r="C90" s="157">
        <f t="shared" si="1"/>
        <v>-450.2303922</v>
      </c>
      <c r="D90" s="158" t="str">
        <f>VLOOKUP(A90,'Classement RoC'!$B$2:$C$149,1,0)</f>
        <v>#N/A</v>
      </c>
      <c r="E90" s="163" t="str">
        <f t="shared" si="2"/>
        <v>#N/A</v>
      </c>
      <c r="F90" s="120" t="str">
        <f>VLOOKUP(A90,'Classement Général'!$B$2:$B$146,1,0)</f>
        <v>#N/A</v>
      </c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</row>
    <row r="91" ht="14.25" customHeight="1">
      <c r="A91" s="160"/>
      <c r="B91" s="161">
        <v>90.0</v>
      </c>
      <c r="C91" s="157">
        <f t="shared" si="1"/>
        <v>-458.9517185</v>
      </c>
      <c r="D91" s="158" t="str">
        <f>VLOOKUP(A91,'Classement RoC'!$B$2:$C$149,1,0)</f>
        <v>#N/A</v>
      </c>
      <c r="E91" s="163" t="str">
        <f t="shared" si="2"/>
        <v>#N/A</v>
      </c>
      <c r="F91" s="120" t="str">
        <f>VLOOKUP(A91,'Classement Général'!$B$2:$B$146,1,0)</f>
        <v>#N/A</v>
      </c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</row>
    <row r="92" ht="14.25" customHeight="1">
      <c r="A92" s="160"/>
      <c r="B92" s="156">
        <v>91.0</v>
      </c>
      <c r="C92" s="157">
        <f t="shared" si="1"/>
        <v>-467.6353204</v>
      </c>
      <c r="D92" s="158" t="str">
        <f>VLOOKUP(A92,'Classement RoC'!$B$2:$C$149,1,0)</f>
        <v>#N/A</v>
      </c>
      <c r="E92" s="163" t="str">
        <f t="shared" si="2"/>
        <v>#N/A</v>
      </c>
      <c r="F92" s="120" t="str">
        <f>VLOOKUP(A92,'Classement Général'!$B$2:$B$146,1,0)</f>
        <v>#N/A</v>
      </c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</row>
    <row r="93" ht="14.25" customHeight="1">
      <c r="A93" s="160"/>
      <c r="B93" s="161">
        <v>92.0</v>
      </c>
      <c r="C93" s="157">
        <f t="shared" si="1"/>
        <v>-476.281899</v>
      </c>
      <c r="D93" s="158" t="str">
        <f>VLOOKUP(A93,'Classement RoC'!$B$2:$C$149,1,0)</f>
        <v>#N/A</v>
      </c>
      <c r="E93" s="163" t="str">
        <f t="shared" si="2"/>
        <v>#N/A</v>
      </c>
      <c r="F93" s="120" t="str">
        <f>VLOOKUP(A93,'Classement Général'!$B$2:$B$146,1,0)</f>
        <v>#N/A</v>
      </c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</row>
    <row r="94" ht="14.25" customHeight="1">
      <c r="A94" s="160"/>
      <c r="B94" s="156">
        <v>93.0</v>
      </c>
      <c r="C94" s="157">
        <f t="shared" si="1"/>
        <v>-484.892134</v>
      </c>
      <c r="D94" s="158" t="str">
        <f>VLOOKUP(A94,'Classement RoC'!$B$2:$C$149,1,0)</f>
        <v>#N/A</v>
      </c>
      <c r="E94" s="163" t="str">
        <f t="shared" si="2"/>
        <v>#N/A</v>
      </c>
      <c r="F94" s="120" t="str">
        <f>VLOOKUP(A94,'Classement Général'!$B$2:$B$146,1,0)</f>
        <v>#N/A</v>
      </c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</row>
    <row r="95" ht="14.25" customHeight="1">
      <c r="A95" s="160"/>
      <c r="B95" s="161">
        <v>94.0</v>
      </c>
      <c r="C95" s="157">
        <f t="shared" si="1"/>
        <v>-493.466684</v>
      </c>
      <c r="D95" s="158" t="str">
        <f>VLOOKUP(A95,'Classement RoC'!$B$2:$C$149,1,0)</f>
        <v>#N/A</v>
      </c>
      <c r="E95" s="163" t="str">
        <f t="shared" si="2"/>
        <v>#N/A</v>
      </c>
      <c r="F95" s="120" t="str">
        <f>VLOOKUP(A95,'Classement Général'!$B$2:$B$146,1,0)</f>
        <v>#N/A</v>
      </c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</row>
    <row r="96" ht="14.25" customHeight="1">
      <c r="A96" s="160"/>
      <c r="B96" s="156">
        <v>95.0</v>
      </c>
      <c r="C96" s="157">
        <f t="shared" si="1"/>
        <v>-502.0061883</v>
      </c>
      <c r="D96" s="158" t="str">
        <f>VLOOKUP(A96,'Classement RoC'!$B$2:$C$149,1,0)</f>
        <v>#N/A</v>
      </c>
      <c r="E96" s="163" t="str">
        <f t="shared" si="2"/>
        <v>#N/A</v>
      </c>
      <c r="F96" s="120" t="str">
        <f>VLOOKUP(A96,'Classement Général'!$B$2:$B$146,1,0)</f>
        <v>#N/A</v>
      </c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</row>
    <row r="97" ht="14.25" customHeight="1">
      <c r="A97" s="160"/>
      <c r="B97" s="161">
        <v>96.0</v>
      </c>
      <c r="C97" s="157">
        <f t="shared" si="1"/>
        <v>-510.511267</v>
      </c>
      <c r="D97" s="158" t="str">
        <f>VLOOKUP(A97,'Classement RoC'!$B$2:$C$149,1,0)</f>
        <v>#N/A</v>
      </c>
      <c r="E97" s="163" t="str">
        <f t="shared" si="2"/>
        <v>#N/A</v>
      </c>
      <c r="F97" s="120" t="str">
        <f>VLOOKUP(A97,'Classement Général'!$B$2:$B$146,1,0)</f>
        <v>#N/A</v>
      </c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</row>
    <row r="98" ht="14.25" customHeight="1">
      <c r="A98" s="160"/>
      <c r="B98" s="156">
        <v>97.0</v>
      </c>
      <c r="C98" s="157">
        <f t="shared" si="1"/>
        <v>-518.9825219</v>
      </c>
      <c r="D98" s="158" t="str">
        <f>VLOOKUP(A98,'Classement RoC'!$B$2:$C$149,1,0)</f>
        <v>#N/A</v>
      </c>
      <c r="E98" s="163" t="str">
        <f t="shared" si="2"/>
        <v>#N/A</v>
      </c>
      <c r="F98" s="120" t="str">
        <f>VLOOKUP(A98,'Classement Général'!$B$2:$B$146,1,0)</f>
        <v>#N/A</v>
      </c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</row>
    <row r="99" ht="14.25" customHeight="1">
      <c r="A99" s="160"/>
      <c r="B99" s="161">
        <v>98.0</v>
      </c>
      <c r="C99" s="157">
        <f t="shared" si="1"/>
        <v>-527.4205374</v>
      </c>
      <c r="D99" s="158" t="str">
        <f>VLOOKUP(A99,'Classement RoC'!$B$2:$C$149,1,0)</f>
        <v>#N/A</v>
      </c>
      <c r="E99" s="163" t="str">
        <f t="shared" si="2"/>
        <v>#N/A</v>
      </c>
      <c r="F99" s="120" t="str">
        <f>VLOOKUP(A99,'Classement Général'!$B$2:$B$146,1,0)</f>
        <v>#N/A</v>
      </c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</row>
    <row r="100" ht="14.25" customHeight="1">
      <c r="A100" s="160"/>
      <c r="B100" s="156">
        <v>99.0</v>
      </c>
      <c r="C100" s="157">
        <f t="shared" si="1"/>
        <v>-535.8258812</v>
      </c>
      <c r="D100" s="158" t="str">
        <f>VLOOKUP(A100,'Classement RoC'!$B$2:$C$149,1,0)</f>
        <v>#N/A</v>
      </c>
      <c r="E100" s="163" t="str">
        <f t="shared" si="2"/>
        <v>#N/A</v>
      </c>
      <c r="F100" s="120" t="str">
        <f>VLOOKUP(A100,'Classement Général'!$B$2:$B$146,1,0)</f>
        <v>#N/A</v>
      </c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</row>
    <row r="101" ht="14.25" customHeight="1">
      <c r="A101" s="160"/>
      <c r="B101" s="161">
        <v>100.0</v>
      </c>
      <c r="C101" s="157">
        <f t="shared" si="1"/>
        <v>-544.1991048</v>
      </c>
      <c r="D101" s="158" t="str">
        <f>VLOOKUP(A101,'Classement RoC'!$B$2:$C$149,1,0)</f>
        <v>#N/A</v>
      </c>
      <c r="E101" s="163" t="str">
        <f t="shared" si="2"/>
        <v>#N/A</v>
      </c>
      <c r="F101" s="120" t="str">
        <f>VLOOKUP(A101,'Classement Général'!$B$2:$B$146,1,0)</f>
        <v>#N/A</v>
      </c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</row>
    <row r="102" ht="14.25" customHeight="1">
      <c r="A102" s="160"/>
      <c r="B102" s="156">
        <v>101.0</v>
      </c>
      <c r="C102" s="157">
        <f t="shared" si="1"/>
        <v>-552.5407442</v>
      </c>
      <c r="D102" s="158" t="str">
        <f>VLOOKUP(A102,'Classement RoC'!$B$2:$C$149,1,0)</f>
        <v>#N/A</v>
      </c>
      <c r="E102" s="163" t="str">
        <f t="shared" si="2"/>
        <v>#N/A</v>
      </c>
      <c r="F102" s="120" t="str">
        <f>VLOOKUP(A102,'Classement Général'!$B$2:$B$146,1,0)</f>
        <v>#N/A</v>
      </c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</row>
    <row r="103" ht="14.25" customHeight="1">
      <c r="A103" s="160"/>
      <c r="B103" s="161">
        <v>102.0</v>
      </c>
      <c r="C103" s="157">
        <f t="shared" si="1"/>
        <v>-560.8513204</v>
      </c>
      <c r="D103" s="158" t="str">
        <f>VLOOKUP(A103,'Classement RoC'!$B$2:$C$149,1,0)</f>
        <v>#N/A</v>
      </c>
      <c r="E103" s="163" t="str">
        <f t="shared" si="2"/>
        <v>#N/A</v>
      </c>
      <c r="F103" s="120" t="str">
        <f>VLOOKUP(A103,'Classement Général'!$B$2:$B$146,1,0)</f>
        <v>#N/A</v>
      </c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</row>
    <row r="104" ht="14.25" customHeight="1">
      <c r="A104" s="160"/>
      <c r="B104" s="156">
        <v>103.0</v>
      </c>
      <c r="C104" s="157">
        <f t="shared" si="1"/>
        <v>-569.1313403</v>
      </c>
      <c r="D104" s="158" t="str">
        <f>VLOOKUP(A104,'Classement RoC'!$B$2:$C$149,1,0)</f>
        <v>#N/A</v>
      </c>
      <c r="E104" s="163" t="str">
        <f t="shared" si="2"/>
        <v>#N/A</v>
      </c>
      <c r="F104" s="120" t="str">
        <f>VLOOKUP(A104,'Classement Général'!$B$2:$B$146,1,0)</f>
        <v>#N/A</v>
      </c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</row>
    <row r="105" ht="14.25" customHeight="1">
      <c r="A105" s="160"/>
      <c r="B105" s="161">
        <v>104.0</v>
      </c>
      <c r="C105" s="157">
        <f t="shared" si="1"/>
        <v>-577.3812968</v>
      </c>
      <c r="D105" s="158" t="str">
        <f>VLOOKUP(A105,'Classement RoC'!$B$2:$C$149,1,0)</f>
        <v>#N/A</v>
      </c>
      <c r="E105" s="163" t="str">
        <f t="shared" si="2"/>
        <v>#N/A</v>
      </c>
      <c r="F105" s="120" t="str">
        <f>VLOOKUP(A105,'Classement Général'!$B$2:$B$146,1,0)</f>
        <v>#N/A</v>
      </c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</row>
    <row r="106" ht="14.25" customHeight="1">
      <c r="A106" s="160"/>
      <c r="B106" s="156">
        <v>105.0</v>
      </c>
      <c r="C106" s="157">
        <f t="shared" si="1"/>
        <v>-585.6016696</v>
      </c>
      <c r="D106" s="158" t="str">
        <f>VLOOKUP(A106,'Classement RoC'!$B$2:$C$149,1,0)</f>
        <v>#N/A</v>
      </c>
      <c r="E106" s="163" t="str">
        <f t="shared" si="2"/>
        <v>#N/A</v>
      </c>
      <c r="F106" s="120" t="str">
        <f>VLOOKUP(A106,'Classement Général'!$B$2:$B$146,1,0)</f>
        <v>#N/A</v>
      </c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</row>
    <row r="107" ht="14.25" customHeight="1">
      <c r="A107" s="160"/>
      <c r="B107" s="161">
        <v>106.0</v>
      </c>
      <c r="C107" s="157">
        <f t="shared" si="1"/>
        <v>-593.7929257</v>
      </c>
      <c r="D107" s="158" t="str">
        <f>VLOOKUP(A107,'Classement RoC'!$B$2:$C$149,1,0)</f>
        <v>#N/A</v>
      </c>
      <c r="E107" s="163" t="str">
        <f t="shared" si="2"/>
        <v>#N/A</v>
      </c>
      <c r="F107" s="120" t="str">
        <f>VLOOKUP(A107,'Classement Général'!$B$2:$B$146,1,0)</f>
        <v>#N/A</v>
      </c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</row>
    <row r="108" ht="14.25" customHeight="1">
      <c r="A108" s="160"/>
      <c r="B108" s="156">
        <v>107.0</v>
      </c>
      <c r="C108" s="157">
        <f t="shared" si="1"/>
        <v>-601.9555196</v>
      </c>
      <c r="D108" s="158" t="str">
        <f>VLOOKUP(A108,'Classement RoC'!$B$2:$C$149,1,0)</f>
        <v>#N/A</v>
      </c>
      <c r="E108" s="163" t="str">
        <f t="shared" si="2"/>
        <v>#N/A</v>
      </c>
      <c r="F108" s="120" t="str">
        <f>VLOOKUP(A108,'Classement Général'!$B$2:$B$146,1,0)</f>
        <v>#N/A</v>
      </c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</row>
    <row r="109" ht="14.25" customHeight="1">
      <c r="A109" s="160"/>
      <c r="B109" s="161">
        <v>108.0</v>
      </c>
      <c r="C109" s="157">
        <f t="shared" si="1"/>
        <v>-610.0898941</v>
      </c>
      <c r="D109" s="158" t="str">
        <f>VLOOKUP(A109,'Classement RoC'!$B$2:$C$149,1,0)</f>
        <v>#N/A</v>
      </c>
      <c r="E109" s="163" t="str">
        <f t="shared" si="2"/>
        <v>#N/A</v>
      </c>
      <c r="F109" s="120" t="str">
        <f>VLOOKUP(A109,'Classement Général'!$B$2:$B$146,1,0)</f>
        <v>#N/A</v>
      </c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</row>
    <row r="110" ht="14.25" customHeight="1">
      <c r="A110" s="160"/>
      <c r="B110" s="156">
        <v>109.0</v>
      </c>
      <c r="C110" s="157">
        <f t="shared" si="1"/>
        <v>-618.1964805</v>
      </c>
      <c r="D110" s="158" t="str">
        <f>VLOOKUP(A110,'Classement RoC'!$B$2:$C$149,1,0)</f>
        <v>#N/A</v>
      </c>
      <c r="E110" s="163" t="str">
        <f t="shared" si="2"/>
        <v>#N/A</v>
      </c>
      <c r="F110" s="120" t="str">
        <f>VLOOKUP(A110,'Classement Général'!$B$2:$B$146,1,0)</f>
        <v>#N/A</v>
      </c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</row>
    <row r="111" ht="14.25" customHeight="1">
      <c r="A111" s="160"/>
      <c r="B111" s="161">
        <v>110.0</v>
      </c>
      <c r="C111" s="157">
        <f t="shared" si="1"/>
        <v>-626.2756989</v>
      </c>
      <c r="D111" s="158" t="str">
        <f>VLOOKUP(A111,'Classement RoC'!$B$2:$C$149,1,0)</f>
        <v>#N/A</v>
      </c>
      <c r="E111" s="163" t="str">
        <f t="shared" si="2"/>
        <v>#N/A</v>
      </c>
      <c r="F111" s="120" t="str">
        <f>VLOOKUP(A111,'Classement Général'!$B$2:$B$146,1,0)</f>
        <v>#N/A</v>
      </c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</row>
    <row r="112" ht="14.25" customHeight="1">
      <c r="A112" s="160"/>
      <c r="B112" s="156">
        <v>111.0</v>
      </c>
      <c r="C112" s="157">
        <f t="shared" si="1"/>
        <v>-634.327959</v>
      </c>
      <c r="D112" s="158" t="str">
        <f>VLOOKUP(A112,'Classement RoC'!$B$2:$C$149,1,0)</f>
        <v>#N/A</v>
      </c>
      <c r="E112" s="163" t="str">
        <f t="shared" si="2"/>
        <v>#N/A</v>
      </c>
      <c r="F112" s="120" t="str">
        <f>VLOOKUP(A112,'Classement Général'!$B$2:$B$146,1,0)</f>
        <v>#N/A</v>
      </c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</row>
    <row r="113" ht="14.25" customHeight="1">
      <c r="A113" s="160"/>
      <c r="B113" s="161">
        <v>112.0</v>
      </c>
      <c r="C113" s="157">
        <f t="shared" si="1"/>
        <v>-642.3536601</v>
      </c>
      <c r="D113" s="158" t="str">
        <f>VLOOKUP(A113,'Classement RoC'!$B$2:$C$149,1,0)</f>
        <v>#N/A</v>
      </c>
      <c r="E113" s="163" t="str">
        <f t="shared" si="2"/>
        <v>#N/A</v>
      </c>
      <c r="F113" s="120" t="str">
        <f>VLOOKUP(A113,'Classement Général'!$B$2:$B$146,1,0)</f>
        <v>#N/A</v>
      </c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</row>
    <row r="114" ht="14.25" customHeight="1">
      <c r="A114" s="160"/>
      <c r="B114" s="156">
        <v>113.0</v>
      </c>
      <c r="C114" s="157">
        <f t="shared" si="1"/>
        <v>-650.3531916</v>
      </c>
      <c r="D114" s="158" t="str">
        <f>VLOOKUP(A114,'Classement RoC'!$B$2:$C$149,1,0)</f>
        <v>#N/A</v>
      </c>
      <c r="E114" s="163" t="str">
        <f t="shared" si="2"/>
        <v>#N/A</v>
      </c>
      <c r="F114" s="120" t="str">
        <f>VLOOKUP(A114,'Classement Général'!$B$2:$B$146,1,0)</f>
        <v>#N/A</v>
      </c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</row>
    <row r="115" ht="14.25" customHeight="1">
      <c r="A115" s="160"/>
      <c r="B115" s="161">
        <v>114.0</v>
      </c>
      <c r="C115" s="157">
        <f t="shared" si="1"/>
        <v>-658.3269333</v>
      </c>
      <c r="D115" s="158" t="str">
        <f>VLOOKUP(A115,'Classement RoC'!$B$2:$C$149,1,0)</f>
        <v>#N/A</v>
      </c>
      <c r="E115" s="163" t="str">
        <f t="shared" si="2"/>
        <v>#N/A</v>
      </c>
      <c r="F115" s="120" t="str">
        <f>VLOOKUP(A115,'Classement Général'!$B$2:$B$146,1,0)</f>
        <v>#N/A</v>
      </c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</row>
    <row r="116" ht="14.25" customHeight="1">
      <c r="A116" s="160"/>
      <c r="B116" s="156">
        <v>115.0</v>
      </c>
      <c r="C116" s="157">
        <f t="shared" si="1"/>
        <v>-666.2752558</v>
      </c>
      <c r="D116" s="158" t="str">
        <f>VLOOKUP(A116,'Classement RoC'!$B$2:$C$149,1,0)</f>
        <v>#N/A</v>
      </c>
      <c r="E116" s="163" t="str">
        <f t="shared" si="2"/>
        <v>#N/A</v>
      </c>
      <c r="F116" s="120" t="str">
        <f>VLOOKUP(A116,'Classement Général'!$B$2:$B$146,1,0)</f>
        <v>#N/A</v>
      </c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</row>
    <row r="117" ht="14.25" customHeight="1">
      <c r="A117" s="160"/>
      <c r="B117" s="161">
        <v>116.0</v>
      </c>
      <c r="C117" s="157">
        <f t="shared" si="1"/>
        <v>-674.1985205</v>
      </c>
      <c r="D117" s="158" t="str">
        <f>VLOOKUP(A117,'Classement RoC'!$B$2:$C$149,1,0)</f>
        <v>#N/A</v>
      </c>
      <c r="E117" s="163" t="str">
        <f t="shared" si="2"/>
        <v>#N/A</v>
      </c>
      <c r="F117" s="120" t="str">
        <f>VLOOKUP(A117,'Classement Général'!$B$2:$B$146,1,0)</f>
        <v>#N/A</v>
      </c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</row>
    <row r="118" ht="14.25" customHeight="1">
      <c r="A118" s="160"/>
      <c r="B118" s="156">
        <v>117.0</v>
      </c>
      <c r="C118" s="157">
        <f t="shared" si="1"/>
        <v>-682.0970806</v>
      </c>
      <c r="D118" s="158" t="str">
        <f>VLOOKUP(A118,'Classement RoC'!$B$2:$C$149,1,0)</f>
        <v>#N/A</v>
      </c>
      <c r="E118" s="163" t="str">
        <f t="shared" si="2"/>
        <v>#N/A</v>
      </c>
      <c r="F118" s="120" t="str">
        <f>VLOOKUP(A118,'Classement Général'!$B$2:$B$146,1,0)</f>
        <v>#N/A</v>
      </c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</row>
    <row r="119" ht="14.25" customHeight="1">
      <c r="A119" s="160"/>
      <c r="B119" s="161">
        <v>118.0</v>
      </c>
      <c r="C119" s="157">
        <f t="shared" si="1"/>
        <v>-689.9712805</v>
      </c>
      <c r="D119" s="158" t="str">
        <f>VLOOKUP(A119,'Classement RoC'!$B$2:$C$149,1,0)</f>
        <v>#N/A</v>
      </c>
      <c r="E119" s="163" t="str">
        <f t="shared" si="2"/>
        <v>#N/A</v>
      </c>
      <c r="F119" s="120" t="str">
        <f>VLOOKUP(A119,'Classement Général'!$B$2:$B$146,1,0)</f>
        <v>#N/A</v>
      </c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</row>
    <row r="120" ht="14.25" customHeight="1">
      <c r="A120" s="160"/>
      <c r="B120" s="156">
        <v>119.0</v>
      </c>
      <c r="C120" s="157">
        <f t="shared" si="1"/>
        <v>-697.8214567</v>
      </c>
      <c r="D120" s="158" t="str">
        <f>VLOOKUP(A120,'Classement RoC'!$B$2:$C$149,1,0)</f>
        <v>#N/A</v>
      </c>
      <c r="E120" s="163" t="str">
        <f t="shared" si="2"/>
        <v>#N/A</v>
      </c>
      <c r="F120" s="120" t="str">
        <f>VLOOKUP(A120,'Classement Général'!$B$2:$B$146,1,0)</f>
        <v>#N/A</v>
      </c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</row>
    <row r="121" ht="14.25" customHeight="1">
      <c r="A121" s="160"/>
      <c r="B121" s="161">
        <v>120.0</v>
      </c>
      <c r="C121" s="157">
        <f t="shared" si="1"/>
        <v>-705.647938</v>
      </c>
      <c r="D121" s="158" t="str">
        <f>VLOOKUP(A121,'Classement RoC'!$B$2:$C$149,1,0)</f>
        <v>#N/A</v>
      </c>
      <c r="E121" s="163" t="str">
        <f t="shared" si="2"/>
        <v>#N/A</v>
      </c>
      <c r="F121" s="120" t="str">
        <f>VLOOKUP(A121,'Classement Général'!$B$2:$B$146,1,0)</f>
        <v>#N/A</v>
      </c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</row>
    <row r="122" ht="14.25" customHeight="1">
      <c r="A122" s="160"/>
      <c r="B122" s="156">
        <v>121.0</v>
      </c>
      <c r="C122" s="157">
        <f t="shared" si="1"/>
        <v>-713.4510454</v>
      </c>
      <c r="D122" s="158" t="str">
        <f>VLOOKUP(A122,'Classement RoC'!$B$2:$C$149,1,0)</f>
        <v>#N/A</v>
      </c>
      <c r="E122" s="163" t="str">
        <f t="shared" si="2"/>
        <v>#N/A</v>
      </c>
      <c r="F122" s="120" t="str">
        <f>VLOOKUP(A122,'Classement Général'!$B$2:$B$146,1,0)</f>
        <v>#N/A</v>
      </c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</row>
    <row r="123" ht="14.25" customHeight="1">
      <c r="A123" s="160"/>
      <c r="B123" s="161">
        <v>122.0</v>
      </c>
      <c r="C123" s="157">
        <f t="shared" si="1"/>
        <v>-721.2310926</v>
      </c>
      <c r="D123" s="158" t="str">
        <f>VLOOKUP(A123,'Classement RoC'!$B$2:$C$149,1,0)</f>
        <v>#N/A</v>
      </c>
      <c r="E123" s="163" t="str">
        <f t="shared" si="2"/>
        <v>#N/A</v>
      </c>
      <c r="F123" s="120" t="str">
        <f>VLOOKUP(A123,'Classement Général'!$B$2:$B$146,1,0)</f>
        <v>#N/A</v>
      </c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</row>
    <row r="124" ht="14.25" customHeight="1">
      <c r="A124" s="160"/>
      <c r="B124" s="156">
        <v>123.0</v>
      </c>
      <c r="C124" s="157">
        <f t="shared" si="1"/>
        <v>-728.9883862</v>
      </c>
      <c r="D124" s="158" t="str">
        <f>VLOOKUP(A124,'Classement RoC'!$B$2:$C$149,1,0)</f>
        <v>#N/A</v>
      </c>
      <c r="E124" s="163" t="str">
        <f t="shared" si="2"/>
        <v>#N/A</v>
      </c>
      <c r="F124" s="120" t="str">
        <f>VLOOKUP(A124,'Classement Général'!$B$2:$B$146,1,0)</f>
        <v>#N/A</v>
      </c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</row>
    <row r="125" ht="14.25" customHeight="1">
      <c r="A125" s="160"/>
      <c r="B125" s="161">
        <v>124.0</v>
      </c>
      <c r="C125" s="157">
        <f t="shared" si="1"/>
        <v>-736.7232261</v>
      </c>
      <c r="D125" s="158" t="str">
        <f>VLOOKUP(A125,'Classement RoC'!$B$2:$C$149,1,0)</f>
        <v>#N/A</v>
      </c>
      <c r="E125" s="163" t="str">
        <f t="shared" si="2"/>
        <v>#N/A</v>
      </c>
      <c r="F125" s="120" t="str">
        <f>VLOOKUP(A125,'Classement Général'!$B$2:$B$146,1,0)</f>
        <v>#N/A</v>
      </c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</row>
    <row r="126" ht="14.25" customHeight="1">
      <c r="A126" s="160"/>
      <c r="B126" s="156">
        <v>125.0</v>
      </c>
      <c r="C126" s="157">
        <f t="shared" si="1"/>
        <v>-744.4359053</v>
      </c>
      <c r="D126" s="158" t="str">
        <f>VLOOKUP(A126,'Classement RoC'!$B$2:$C$149,1,0)</f>
        <v>#N/A</v>
      </c>
      <c r="E126" s="163" t="str">
        <f t="shared" si="2"/>
        <v>#N/A</v>
      </c>
      <c r="F126" s="120" t="str">
        <f>VLOOKUP(A126,'Classement Général'!$B$2:$B$146,1,0)</f>
        <v>#N/A</v>
      </c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</row>
    <row r="127" ht="14.25" customHeight="1">
      <c r="A127" s="160"/>
      <c r="B127" s="161">
        <v>126.0</v>
      </c>
      <c r="C127" s="157">
        <f t="shared" si="1"/>
        <v>-752.1267104</v>
      </c>
      <c r="D127" s="158" t="str">
        <f>VLOOKUP(A127,'Classement RoC'!$B$2:$C$149,1,0)</f>
        <v>#N/A</v>
      </c>
      <c r="E127" s="163" t="str">
        <f t="shared" si="2"/>
        <v>#N/A</v>
      </c>
      <c r="F127" s="120" t="str">
        <f>VLOOKUP(A127,'Classement Général'!$B$2:$B$146,1,0)</f>
        <v>#N/A</v>
      </c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</row>
    <row r="128" ht="14.25" customHeight="1">
      <c r="A128" s="160"/>
      <c r="B128" s="156">
        <v>127.0</v>
      </c>
      <c r="C128" s="157">
        <f t="shared" si="1"/>
        <v>-759.7959218</v>
      </c>
      <c r="D128" s="158" t="str">
        <f>VLOOKUP(A128,'Classement RoC'!$B$2:$C$149,1,0)</f>
        <v>#N/A</v>
      </c>
      <c r="E128" s="163" t="str">
        <f t="shared" si="2"/>
        <v>#N/A</v>
      </c>
      <c r="F128" s="120" t="str">
        <f>VLOOKUP(A128,'Classement Général'!$B$2:$B$146,1,0)</f>
        <v>#N/A</v>
      </c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</row>
    <row r="129" ht="14.25" customHeight="1">
      <c r="A129" s="160"/>
      <c r="B129" s="161">
        <v>128.0</v>
      </c>
      <c r="C129" s="157">
        <f t="shared" si="1"/>
        <v>-767.4438138</v>
      </c>
      <c r="D129" s="158" t="str">
        <f>VLOOKUP(A129,'Classement RoC'!$B$2:$C$149,1,0)</f>
        <v>#N/A</v>
      </c>
      <c r="E129" s="163" t="str">
        <f t="shared" si="2"/>
        <v>#N/A</v>
      </c>
      <c r="F129" s="120" t="str">
        <f>VLOOKUP(A129,'Classement Général'!$B$2:$B$146,1,0)</f>
        <v>#N/A</v>
      </c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</row>
    <row r="130" ht="14.25" customHeight="1">
      <c r="A130" s="160"/>
      <c r="B130" s="156">
        <v>129.0</v>
      </c>
      <c r="C130" s="157">
        <f t="shared" si="1"/>
        <v>-775.0706547</v>
      </c>
      <c r="D130" s="158" t="str">
        <f>VLOOKUP(A130,'Classement RoC'!$B$2:$C$149,1,0)</f>
        <v>#N/A</v>
      </c>
      <c r="E130" s="163" t="str">
        <f t="shared" si="2"/>
        <v>#N/A</v>
      </c>
      <c r="F130" s="120" t="str">
        <f>VLOOKUP(A130,'Classement Général'!$B$2:$B$146,1,0)</f>
        <v>#N/A</v>
      </c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</row>
    <row r="131" ht="14.25" customHeight="1">
      <c r="A131" s="160"/>
      <c r="B131" s="161">
        <v>130.0</v>
      </c>
      <c r="C131" s="157">
        <f t="shared" si="1"/>
        <v>-782.6767072</v>
      </c>
      <c r="D131" s="158" t="str">
        <f>VLOOKUP(A131,'Classement RoC'!$B$2:$C$149,1,0)</f>
        <v>#N/A</v>
      </c>
      <c r="E131" s="163" t="str">
        <f t="shared" si="2"/>
        <v>#N/A</v>
      </c>
      <c r="F131" s="120" t="str">
        <f>VLOOKUP(A131,'Classement Général'!$B$2:$B$146,1,0)</f>
        <v>#N/A</v>
      </c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</row>
    <row r="132" ht="14.25" customHeight="1">
      <c r="A132" s="160"/>
      <c r="B132" s="156">
        <v>131.0</v>
      </c>
      <c r="C132" s="157">
        <f t="shared" si="1"/>
        <v>-790.2622284</v>
      </c>
      <c r="D132" s="158" t="str">
        <f>VLOOKUP(A132,'Classement RoC'!$B$2:$C$149,1,0)</f>
        <v>#N/A</v>
      </c>
      <c r="E132" s="163" t="str">
        <f t="shared" si="2"/>
        <v>#N/A</v>
      </c>
      <c r="F132" s="120" t="str">
        <f>VLOOKUP(A132,'Classement Général'!$B$2:$B$146,1,0)</f>
        <v>#N/A</v>
      </c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</row>
    <row r="133" ht="14.25" customHeight="1">
      <c r="A133" s="160"/>
      <c r="B133" s="161">
        <v>132.0</v>
      </c>
      <c r="C133" s="157">
        <f t="shared" si="1"/>
        <v>-797.8274699</v>
      </c>
      <c r="D133" s="158" t="str">
        <f>VLOOKUP(A133,'Classement RoC'!$B$2:$C$149,1,0)</f>
        <v>#N/A</v>
      </c>
      <c r="E133" s="163" t="str">
        <f t="shared" si="2"/>
        <v>#N/A</v>
      </c>
      <c r="F133" s="120" t="str">
        <f>VLOOKUP(A133,'Classement Général'!$B$2:$B$146,1,0)</f>
        <v>#N/A</v>
      </c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</row>
    <row r="134" ht="14.25" customHeight="1">
      <c r="A134" s="160"/>
      <c r="B134" s="156">
        <v>133.0</v>
      </c>
      <c r="C134" s="157">
        <f t="shared" si="1"/>
        <v>-805.3726784</v>
      </c>
      <c r="D134" s="158" t="str">
        <f>VLOOKUP(A134,'Classement RoC'!$B$2:$C$149,1,0)</f>
        <v>#N/A</v>
      </c>
      <c r="E134" s="163" t="str">
        <f t="shared" si="2"/>
        <v>#N/A</v>
      </c>
      <c r="F134" s="120" t="str">
        <f>VLOOKUP(A134,'Classement Général'!$B$2:$B$146,1,0)</f>
        <v>#N/A</v>
      </c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</row>
    <row r="135" ht="14.25" customHeight="1">
      <c r="A135" s="160"/>
      <c r="B135" s="161">
        <v>134.0</v>
      </c>
      <c r="C135" s="157">
        <f t="shared" si="1"/>
        <v>-812.8980952</v>
      </c>
      <c r="D135" s="158" t="str">
        <f>VLOOKUP(A135,'Classement RoC'!$B$2:$C$149,1,0)</f>
        <v>#N/A</v>
      </c>
      <c r="E135" s="163" t="str">
        <f t="shared" si="2"/>
        <v>#N/A</v>
      </c>
      <c r="F135" s="120" t="str">
        <f>VLOOKUP(A135,'Classement Général'!$B$2:$B$146,1,0)</f>
        <v>#N/A</v>
      </c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</row>
    <row r="136" ht="14.25" customHeight="1">
      <c r="A136" s="160"/>
      <c r="B136" s="156">
        <v>135.0</v>
      </c>
      <c r="C136" s="157">
        <f t="shared" si="1"/>
        <v>-820.4039567</v>
      </c>
      <c r="D136" s="158" t="str">
        <f>VLOOKUP(A136,'Classement RoC'!$B$2:$C$149,1,0)</f>
        <v>#N/A</v>
      </c>
      <c r="E136" s="163" t="str">
        <f t="shared" si="2"/>
        <v>#N/A</v>
      </c>
      <c r="F136" s="120" t="str">
        <f>VLOOKUP(A136,'Classement Général'!$B$2:$B$146,1,0)</f>
        <v>#N/A</v>
      </c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</row>
    <row r="137" ht="14.25" customHeight="1">
      <c r="A137" s="160"/>
      <c r="B137" s="161">
        <v>136.0</v>
      </c>
      <c r="C137" s="157">
        <f t="shared" si="1"/>
        <v>-827.8904946</v>
      </c>
      <c r="D137" s="158" t="str">
        <f>VLOOKUP(A137,'Classement RoC'!$B$2:$C$149,1,0)</f>
        <v>#N/A</v>
      </c>
      <c r="E137" s="163" t="str">
        <f t="shared" si="2"/>
        <v>#N/A</v>
      </c>
      <c r="F137" s="120" t="str">
        <f>VLOOKUP(A137,'Classement Général'!$B$2:$B$146,1,0)</f>
        <v>#N/A</v>
      </c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</row>
    <row r="138" ht="14.25" customHeight="1">
      <c r="A138" s="160"/>
      <c r="B138" s="156">
        <v>137.0</v>
      </c>
      <c r="C138" s="157">
        <f t="shared" si="1"/>
        <v>-835.357936</v>
      </c>
      <c r="D138" s="158" t="str">
        <f>VLOOKUP(A138,'Classement RoC'!$B$2:$C$149,1,0)</f>
        <v>#N/A</v>
      </c>
      <c r="E138" s="163" t="str">
        <f t="shared" si="2"/>
        <v>#N/A</v>
      </c>
      <c r="F138" s="120" t="str">
        <f>VLOOKUP(A138,'Classement Général'!$B$2:$B$146,1,0)</f>
        <v>#N/A</v>
      </c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</row>
    <row r="139" ht="14.25" customHeight="1">
      <c r="A139" s="160"/>
      <c r="B139" s="161">
        <v>138.0</v>
      </c>
      <c r="C139" s="157">
        <f t="shared" si="1"/>
        <v>-842.8065032</v>
      </c>
      <c r="D139" s="158" t="str">
        <f>VLOOKUP(A139,'Classement RoC'!$B$2:$C$149,1,0)</f>
        <v>#N/A</v>
      </c>
      <c r="E139" s="163" t="str">
        <f t="shared" si="2"/>
        <v>#N/A</v>
      </c>
      <c r="F139" s="120" t="str">
        <f>VLOOKUP(A139,'Classement Général'!$B$2:$B$146,1,0)</f>
        <v>#N/A</v>
      </c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</row>
    <row r="140" ht="14.25" customHeight="1">
      <c r="A140" s="160"/>
      <c r="B140" s="156">
        <v>139.0</v>
      </c>
      <c r="C140" s="157">
        <f t="shared" si="1"/>
        <v>-850.2364145</v>
      </c>
      <c r="D140" s="158" t="str">
        <f>VLOOKUP(A140,'Classement RoC'!$B$2:$C$149,1,0)</f>
        <v>#N/A</v>
      </c>
      <c r="E140" s="163" t="str">
        <f t="shared" si="2"/>
        <v>#N/A</v>
      </c>
      <c r="F140" s="120" t="str">
        <f>VLOOKUP(A140,'Classement Général'!$B$2:$B$146,1,0)</f>
        <v>#N/A</v>
      </c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</row>
    <row r="141" ht="14.25" customHeight="1">
      <c r="A141" s="160"/>
      <c r="B141" s="161">
        <v>140.0</v>
      </c>
      <c r="C141" s="157">
        <f t="shared" si="1"/>
        <v>-857.6478834</v>
      </c>
      <c r="D141" s="158" t="str">
        <f>VLOOKUP(A141,'Classement RoC'!$B$2:$C$149,1,0)</f>
        <v>#N/A</v>
      </c>
      <c r="E141" s="163" t="str">
        <f t="shared" si="2"/>
        <v>#N/A</v>
      </c>
      <c r="F141" s="120" t="str">
        <f>VLOOKUP(A141,'Classement Général'!$B$2:$B$146,1,0)</f>
        <v>#N/A</v>
      </c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</row>
    <row r="142" ht="14.25" customHeight="1">
      <c r="A142" s="160"/>
      <c r="B142" s="156">
        <v>141.0</v>
      </c>
      <c r="C142" s="157">
        <f t="shared" si="1"/>
        <v>-865.0411197</v>
      </c>
      <c r="D142" s="158" t="str">
        <f>VLOOKUP(A142,'Classement RoC'!$B$2:$C$149,1,0)</f>
        <v>#N/A</v>
      </c>
      <c r="E142" s="163" t="str">
        <f t="shared" si="2"/>
        <v>#N/A</v>
      </c>
      <c r="F142" s="120" t="str">
        <f>VLOOKUP(A142,'Classement Général'!$B$2:$B$146,1,0)</f>
        <v>#N/A</v>
      </c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</row>
    <row r="143" ht="14.25" customHeight="1">
      <c r="A143" s="160"/>
      <c r="B143" s="161">
        <v>142.0</v>
      </c>
      <c r="C143" s="157">
        <f t="shared" si="1"/>
        <v>-872.4163289</v>
      </c>
      <c r="D143" s="158" t="str">
        <f>VLOOKUP(A143,'Classement RoC'!$B$2:$C$149,1,0)</f>
        <v>#N/A</v>
      </c>
      <c r="E143" s="163" t="str">
        <f t="shared" si="2"/>
        <v>#N/A</v>
      </c>
      <c r="F143" s="120" t="str">
        <f>VLOOKUP(A143,'Classement Général'!$B$2:$B$146,1,0)</f>
        <v>#N/A</v>
      </c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</row>
    <row r="144" ht="14.25" customHeight="1">
      <c r="A144" s="160"/>
      <c r="B144" s="156">
        <v>143.0</v>
      </c>
      <c r="C144" s="157">
        <f t="shared" si="1"/>
        <v>-879.7737127</v>
      </c>
      <c r="D144" s="158" t="str">
        <f>VLOOKUP(A144,'Classement RoC'!$B$2:$C$149,1,0)</f>
        <v>#N/A</v>
      </c>
      <c r="E144" s="163" t="str">
        <f t="shared" si="2"/>
        <v>#N/A</v>
      </c>
      <c r="F144" s="120" t="str">
        <f>VLOOKUP(A144,'Classement Général'!$B$2:$B$146,1,0)</f>
        <v>#N/A</v>
      </c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</row>
    <row r="145" ht="14.25" customHeight="1">
      <c r="A145" s="160"/>
      <c r="B145" s="161">
        <v>144.0</v>
      </c>
      <c r="C145" s="157">
        <f t="shared" si="1"/>
        <v>-887.1134687</v>
      </c>
      <c r="D145" s="158" t="str">
        <f>VLOOKUP(A145,'Classement RoC'!$B$2:$C$149,1,0)</f>
        <v>#N/A</v>
      </c>
      <c r="E145" s="163" t="str">
        <f t="shared" si="2"/>
        <v>#N/A</v>
      </c>
      <c r="F145" s="120" t="str">
        <f>VLOOKUP(A145,'Classement Général'!$B$2:$B$146,1,0)</f>
        <v>#N/A</v>
      </c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</row>
    <row r="146" ht="14.25" customHeight="1">
      <c r="A146" s="160"/>
      <c r="B146" s="156">
        <v>145.0</v>
      </c>
      <c r="C146" s="157">
        <f t="shared" si="1"/>
        <v>-894.435791</v>
      </c>
      <c r="D146" s="158" t="str">
        <f>VLOOKUP(A146,'Classement RoC'!$B$2:$C$149,1,0)</f>
        <v>#N/A</v>
      </c>
      <c r="E146" s="163" t="str">
        <f t="shared" si="2"/>
        <v>#N/A</v>
      </c>
      <c r="F146" s="120" t="str">
        <f>VLOOKUP(A146,'Classement Général'!$B$2:$B$146,1,0)</f>
        <v>#N/A</v>
      </c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</row>
    <row r="147" ht="14.25" customHeight="1">
      <c r="A147" s="160"/>
      <c r="B147" s="161">
        <v>146.0</v>
      </c>
      <c r="C147" s="157">
        <f t="shared" si="1"/>
        <v>-901.74087</v>
      </c>
      <c r="D147" s="158" t="str">
        <f>VLOOKUP(A147,'Classement RoC'!$B$2:$C$149,1,0)</f>
        <v>#N/A</v>
      </c>
      <c r="E147" s="163" t="str">
        <f t="shared" si="2"/>
        <v>#N/A</v>
      </c>
      <c r="F147" s="120" t="str">
        <f>VLOOKUP(A147,'Classement Général'!$B$2:$B$146,1,0)</f>
        <v>#N/A</v>
      </c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</row>
    <row r="148" ht="14.25" customHeight="1">
      <c r="A148" s="160"/>
      <c r="B148" s="156">
        <v>147.0</v>
      </c>
      <c r="C148" s="157">
        <f t="shared" si="1"/>
        <v>-909.0288926</v>
      </c>
      <c r="D148" s="158" t="str">
        <f>VLOOKUP(A148,'Classement RoC'!$B$2:$C$149,1,0)</f>
        <v>#N/A</v>
      </c>
      <c r="E148" s="163" t="str">
        <f t="shared" si="2"/>
        <v>#N/A</v>
      </c>
      <c r="F148" s="120" t="str">
        <f>VLOOKUP(A148,'Classement Général'!$B$2:$B$146,1,0)</f>
        <v>#N/A</v>
      </c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</row>
    <row r="149" ht="14.25" customHeight="1">
      <c r="A149" s="160"/>
      <c r="B149" s="161">
        <v>148.0</v>
      </c>
      <c r="C149" s="157">
        <f t="shared" si="1"/>
        <v>-916.300042</v>
      </c>
      <c r="D149" s="158" t="str">
        <f>VLOOKUP(A149,'Classement RoC'!$B$2:$C$149,1,0)</f>
        <v>#N/A</v>
      </c>
      <c r="E149" s="163" t="str">
        <f t="shared" si="2"/>
        <v>#N/A</v>
      </c>
      <c r="F149" s="120" t="str">
        <f>VLOOKUP(A149,'Classement Général'!$B$2:$B$146,1,0)</f>
        <v>#N/A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</row>
    <row r="150" ht="14.25" customHeight="1">
      <c r="A150" s="160"/>
      <c r="B150" s="156">
        <v>149.0</v>
      </c>
      <c r="C150" s="157">
        <f t="shared" si="1"/>
        <v>-923.5544984</v>
      </c>
      <c r="D150" s="158" t="str">
        <f>VLOOKUP(A150,'Classement RoC'!$B$2:$C$149,1,0)</f>
        <v>#N/A</v>
      </c>
      <c r="E150" s="163" t="str">
        <f t="shared" si="2"/>
        <v>#N/A</v>
      </c>
      <c r="F150" s="120" t="str">
        <f>VLOOKUP(A150,'Classement Général'!$B$2:$B$146,1,0)</f>
        <v>#N/A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</row>
    <row r="151" ht="14.25" customHeight="1">
      <c r="A151" s="160"/>
      <c r="B151" s="161">
        <v>150.0</v>
      </c>
      <c r="C151" s="157">
        <f t="shared" si="1"/>
        <v>-930.7924385</v>
      </c>
      <c r="D151" s="158" t="str">
        <f>VLOOKUP(A151,'Classement RoC'!$B$2:$C$149,1,0)</f>
        <v>#N/A</v>
      </c>
      <c r="E151" s="163" t="str">
        <f t="shared" si="2"/>
        <v>#N/A</v>
      </c>
      <c r="F151" s="120" t="str">
        <f>VLOOKUP(A151,'Classement Général'!$B$2:$B$146,1,0)</f>
        <v>#N/A</v>
      </c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</row>
    <row r="152" ht="14.25" customHeight="1">
      <c r="A152" s="160"/>
      <c r="B152" s="156">
        <v>151.0</v>
      </c>
      <c r="C152" s="157">
        <f t="shared" si="1"/>
        <v>-938.0140358</v>
      </c>
      <c r="D152" s="158" t="str">
        <f>VLOOKUP(A152,'Classement RoC'!$B$2:$C$149,1,0)</f>
        <v>#N/A</v>
      </c>
      <c r="E152" s="163" t="str">
        <f t="shared" si="2"/>
        <v>#N/A</v>
      </c>
      <c r="F152" s="120" t="str">
        <f>VLOOKUP(A152,'Classement Général'!$B$2:$B$146,1,0)</f>
        <v>#N/A</v>
      </c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</row>
    <row r="153" ht="14.25" customHeight="1">
      <c r="A153" s="160"/>
      <c r="B153" s="161">
        <v>152.0</v>
      </c>
      <c r="C153" s="157">
        <f t="shared" si="1"/>
        <v>-945.2194607</v>
      </c>
      <c r="D153" s="158" t="str">
        <f>VLOOKUP(A153,'Classement RoC'!$B$2:$C$149,1,0)</f>
        <v>#N/A</v>
      </c>
      <c r="E153" s="163" t="str">
        <f t="shared" si="2"/>
        <v>#N/A</v>
      </c>
      <c r="F153" s="120" t="str">
        <f>VLOOKUP(A153,'Classement Général'!$B$2:$B$146,1,0)</f>
        <v>#N/A</v>
      </c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</row>
    <row r="154" ht="14.25" customHeight="1">
      <c r="A154" s="160"/>
      <c r="B154" s="156">
        <v>153.0</v>
      </c>
      <c r="C154" s="157">
        <f t="shared" si="1"/>
        <v>-952.4088806</v>
      </c>
      <c r="D154" s="158" t="str">
        <f>VLOOKUP(A154,'Classement RoC'!$B$2:$C$149,1,0)</f>
        <v>#N/A</v>
      </c>
      <c r="E154" s="163" t="str">
        <f t="shared" si="2"/>
        <v>#N/A</v>
      </c>
      <c r="F154" s="120" t="str">
        <f>VLOOKUP(A154,'Classement Général'!$B$2:$B$146,1,0)</f>
        <v>#N/A</v>
      </c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</row>
    <row r="155" ht="14.25" customHeight="1">
      <c r="A155" s="160"/>
      <c r="B155" s="161">
        <v>154.0</v>
      </c>
      <c r="C155" s="157">
        <f t="shared" si="1"/>
        <v>-959.58246</v>
      </c>
      <c r="D155" s="158" t="str">
        <f>VLOOKUP(A155,'Classement RoC'!$B$2:$C$149,1,0)</f>
        <v>#N/A</v>
      </c>
      <c r="E155" s="163" t="str">
        <f t="shared" si="2"/>
        <v>#N/A</v>
      </c>
      <c r="F155" s="120" t="str">
        <f>VLOOKUP(A155,'Classement Général'!$B$2:$B$146,1,0)</f>
        <v>#N/A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</row>
    <row r="156" ht="14.25" customHeight="1">
      <c r="A156" s="160"/>
      <c r="B156" s="156">
        <v>155.0</v>
      </c>
      <c r="C156" s="157">
        <f t="shared" si="1"/>
        <v>-966.7403603</v>
      </c>
      <c r="D156" s="158" t="str">
        <f>VLOOKUP(A156,'Classement RoC'!$B$2:$C$149,1,0)</f>
        <v>#N/A</v>
      </c>
      <c r="E156" s="163" t="str">
        <f t="shared" si="2"/>
        <v>#N/A</v>
      </c>
      <c r="F156" s="120" t="str">
        <f>VLOOKUP(A156,'Classement Général'!$B$2:$B$146,1,0)</f>
        <v>#N/A</v>
      </c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</row>
    <row r="157" ht="14.25" customHeight="1">
      <c r="A157" s="160"/>
      <c r="B157" s="161">
        <v>156.0</v>
      </c>
      <c r="C157" s="157">
        <f t="shared" si="1"/>
        <v>-973.8827404</v>
      </c>
      <c r="D157" s="158" t="str">
        <f>VLOOKUP(A157,'Classement RoC'!$B$2:$C$149,1,0)</f>
        <v>#N/A</v>
      </c>
      <c r="E157" s="163" t="str">
        <f t="shared" si="2"/>
        <v>#N/A</v>
      </c>
      <c r="F157" s="120" t="str">
        <f>VLOOKUP(A157,'Classement Général'!$B$2:$B$146,1,0)</f>
        <v>#N/A</v>
      </c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</row>
    <row r="158" ht="14.25" customHeight="1">
      <c r="A158" s="160"/>
      <c r="B158" s="156">
        <v>157.0</v>
      </c>
      <c r="C158" s="157">
        <f t="shared" si="1"/>
        <v>-981.0097561</v>
      </c>
      <c r="D158" s="158" t="str">
        <f>VLOOKUP(A158,'Classement RoC'!$B$2:$C$149,1,0)</f>
        <v>#N/A</v>
      </c>
      <c r="E158" s="163" t="str">
        <f t="shared" si="2"/>
        <v>#N/A</v>
      </c>
      <c r="F158" s="120" t="str">
        <f>VLOOKUP(A158,'Classement Général'!$B$2:$B$146,1,0)</f>
        <v>#N/A</v>
      </c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</row>
    <row r="159" ht="14.25" customHeight="1">
      <c r="A159" s="160"/>
      <c r="B159" s="161">
        <v>158.0</v>
      </c>
      <c r="C159" s="157">
        <f t="shared" si="1"/>
        <v>-988.1215607</v>
      </c>
      <c r="D159" s="158" t="str">
        <f>VLOOKUP(A159,'Classement RoC'!$B$2:$C$149,1,0)</f>
        <v>#N/A</v>
      </c>
      <c r="E159" s="163" t="str">
        <f t="shared" si="2"/>
        <v>#N/A</v>
      </c>
      <c r="F159" s="120" t="str">
        <f>VLOOKUP(A159,'Classement Général'!$B$2:$B$146,1,0)</f>
        <v>#N/A</v>
      </c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</row>
    <row r="160" ht="14.25" customHeight="1">
      <c r="A160" s="160"/>
      <c r="B160" s="156">
        <v>159.0</v>
      </c>
      <c r="C160" s="157">
        <f t="shared" si="1"/>
        <v>-995.2183049</v>
      </c>
      <c r="D160" s="158" t="str">
        <f>VLOOKUP(A160,'Classement RoC'!$B$2:$C$149,1,0)</f>
        <v>#N/A</v>
      </c>
      <c r="E160" s="163" t="str">
        <f t="shared" si="2"/>
        <v>#N/A</v>
      </c>
      <c r="F160" s="120" t="str">
        <f>VLOOKUP(A160,'Classement Général'!$B$2:$B$146,1,0)</f>
        <v>#N/A</v>
      </c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</row>
    <row r="161" ht="14.25" customHeight="1">
      <c r="A161" s="164"/>
      <c r="B161" s="165"/>
      <c r="C161" s="166"/>
      <c r="D161" s="167"/>
      <c r="E161" s="168"/>
      <c r="F161" s="120" t="str">
        <f>VLOOKUP(A161,'Classement Général'!$B$2:$B$146,1,0)</f>
        <v>#N/A</v>
      </c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</row>
    <row r="162" ht="14.25" customHeight="1">
      <c r="A162" s="164"/>
      <c r="B162" s="165"/>
      <c r="C162" s="166"/>
      <c r="D162" s="167"/>
      <c r="E162" s="168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4"/>
    </row>
    <row r="163" ht="14.25" customHeight="1">
      <c r="A163" s="164"/>
      <c r="B163" s="165"/>
      <c r="C163" s="166"/>
      <c r="D163" s="167"/>
      <c r="E163" s="168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</row>
    <row r="164" ht="14.25" customHeight="1">
      <c r="A164" s="164"/>
      <c r="B164" s="165"/>
      <c r="C164" s="166"/>
      <c r="D164" s="167"/>
      <c r="E164" s="168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</row>
    <row r="165" ht="14.25" customHeight="1">
      <c r="A165" s="164"/>
      <c r="B165" s="165"/>
      <c r="C165" s="166"/>
      <c r="D165" s="167"/>
      <c r="E165" s="168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</row>
    <row r="166" ht="14.25" customHeight="1">
      <c r="A166" s="164"/>
      <c r="B166" s="165"/>
      <c r="C166" s="166"/>
      <c r="D166" s="167"/>
      <c r="E166" s="168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</row>
    <row r="167" ht="14.25" customHeight="1">
      <c r="A167" s="164"/>
      <c r="B167" s="165"/>
      <c r="C167" s="166"/>
      <c r="D167" s="167"/>
      <c r="E167" s="168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</row>
    <row r="168" ht="14.25" customHeight="1">
      <c r="A168" s="164"/>
      <c r="B168" s="165"/>
      <c r="C168" s="166"/>
      <c r="D168" s="167"/>
      <c r="E168" s="168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</row>
    <row r="169" ht="14.25" customHeight="1">
      <c r="A169" s="164"/>
      <c r="B169" s="165"/>
      <c r="C169" s="166"/>
      <c r="D169" s="167"/>
      <c r="E169" s="168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</row>
    <row r="170" ht="14.25" customHeight="1">
      <c r="A170" s="164"/>
      <c r="B170" s="165"/>
      <c r="C170" s="166"/>
      <c r="D170" s="167"/>
      <c r="E170" s="168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</row>
    <row r="171" ht="14.25" customHeight="1">
      <c r="A171" s="164"/>
      <c r="B171" s="165"/>
      <c r="C171" s="166"/>
      <c r="D171" s="167"/>
      <c r="E171" s="168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</row>
    <row r="172" ht="14.25" customHeight="1">
      <c r="A172" s="164"/>
      <c r="B172" s="165"/>
      <c r="C172" s="166"/>
      <c r="D172" s="167"/>
      <c r="E172" s="168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</row>
    <row r="173" ht="14.25" customHeight="1">
      <c r="A173" s="164"/>
      <c r="B173" s="165"/>
      <c r="C173" s="166"/>
      <c r="D173" s="167"/>
      <c r="E173" s="168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</row>
    <row r="174" ht="14.25" customHeight="1">
      <c r="A174" s="164"/>
      <c r="B174" s="165"/>
      <c r="C174" s="166"/>
      <c r="D174" s="167"/>
      <c r="E174" s="168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</row>
    <row r="175" ht="14.25" customHeight="1">
      <c r="A175" s="164"/>
      <c r="B175" s="165"/>
      <c r="C175" s="166"/>
      <c r="D175" s="167"/>
      <c r="E175" s="168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</row>
    <row r="176" ht="14.25" customHeight="1">
      <c r="A176" s="164"/>
      <c r="B176" s="165"/>
      <c r="C176" s="166"/>
      <c r="D176" s="167"/>
      <c r="E176" s="168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</row>
    <row r="177" ht="14.25" customHeight="1">
      <c r="A177" s="164"/>
      <c r="B177" s="165"/>
      <c r="C177" s="166"/>
      <c r="D177" s="167"/>
      <c r="E177" s="168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4"/>
    </row>
    <row r="178" ht="14.25" customHeight="1">
      <c r="A178" s="164"/>
      <c r="B178" s="165"/>
      <c r="C178" s="166"/>
      <c r="D178" s="167"/>
      <c r="E178" s="168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</row>
    <row r="179" ht="14.25" customHeight="1">
      <c r="A179" s="164"/>
      <c r="B179" s="165"/>
      <c r="C179" s="166"/>
      <c r="D179" s="167"/>
      <c r="E179" s="168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4"/>
    </row>
    <row r="180" ht="14.25" customHeight="1">
      <c r="A180" s="164"/>
      <c r="B180" s="165"/>
      <c r="C180" s="166"/>
      <c r="D180" s="167"/>
      <c r="E180" s="168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</row>
    <row r="181" ht="14.25" customHeight="1">
      <c r="A181" s="164"/>
      <c r="B181" s="165"/>
      <c r="C181" s="166"/>
      <c r="D181" s="167"/>
      <c r="E181" s="168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</row>
    <row r="182" ht="14.25" customHeight="1">
      <c r="A182" s="164"/>
      <c r="B182" s="165"/>
      <c r="C182" s="166"/>
      <c r="D182" s="167"/>
      <c r="E182" s="168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154"/>
    </row>
    <row r="183" ht="14.25" customHeight="1">
      <c r="A183" s="164"/>
      <c r="B183" s="165"/>
      <c r="C183" s="166"/>
      <c r="D183" s="167"/>
      <c r="E183" s="168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4"/>
    </row>
    <row r="184" ht="14.25" customHeight="1">
      <c r="A184" s="164"/>
      <c r="B184" s="165"/>
      <c r="C184" s="166"/>
      <c r="D184" s="167"/>
      <c r="E184" s="168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</row>
    <row r="185" ht="14.25" customHeight="1">
      <c r="A185" s="164"/>
      <c r="B185" s="165"/>
      <c r="C185" s="166"/>
      <c r="D185" s="167"/>
      <c r="E185" s="168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</row>
    <row r="186" ht="14.25" customHeight="1">
      <c r="A186" s="164"/>
      <c r="B186" s="165"/>
      <c r="C186" s="166"/>
      <c r="D186" s="167"/>
      <c r="E186" s="168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</row>
    <row r="187" ht="14.25" customHeight="1">
      <c r="A187" s="164"/>
      <c r="B187" s="165"/>
      <c r="C187" s="166"/>
      <c r="D187" s="167"/>
      <c r="E187" s="168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</row>
    <row r="188" ht="14.25" customHeight="1">
      <c r="A188" s="164"/>
      <c r="B188" s="165"/>
      <c r="C188" s="166"/>
      <c r="D188" s="167"/>
      <c r="E188" s="168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</row>
    <row r="189" ht="14.25" customHeight="1">
      <c r="A189" s="164"/>
      <c r="B189" s="165"/>
      <c r="C189" s="166"/>
      <c r="D189" s="167"/>
      <c r="E189" s="168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</row>
    <row r="190" ht="14.25" customHeight="1">
      <c r="A190" s="164"/>
      <c r="B190" s="165"/>
      <c r="C190" s="166"/>
      <c r="D190" s="167"/>
      <c r="E190" s="168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</row>
    <row r="191" ht="14.25" customHeight="1">
      <c r="A191" s="164"/>
      <c r="B191" s="165"/>
      <c r="C191" s="166"/>
      <c r="D191" s="167"/>
      <c r="E191" s="168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</row>
    <row r="192" ht="14.25" customHeight="1">
      <c r="A192" s="164"/>
      <c r="B192" s="165"/>
      <c r="C192" s="166"/>
      <c r="D192" s="167"/>
      <c r="E192" s="168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</row>
    <row r="193" ht="14.25" customHeight="1">
      <c r="A193" s="164"/>
      <c r="B193" s="165"/>
      <c r="C193" s="166"/>
      <c r="D193" s="167"/>
      <c r="E193" s="168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</row>
    <row r="194" ht="14.25" customHeight="1">
      <c r="A194" s="164"/>
      <c r="B194" s="165"/>
      <c r="C194" s="166"/>
      <c r="D194" s="167"/>
      <c r="E194" s="168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</row>
    <row r="195" ht="14.25" customHeight="1">
      <c r="A195" s="164"/>
      <c r="B195" s="165"/>
      <c r="C195" s="166"/>
      <c r="D195" s="167"/>
      <c r="E195" s="168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</row>
    <row r="196" ht="14.25" customHeight="1">
      <c r="A196" s="164"/>
      <c r="B196" s="165"/>
      <c r="C196" s="166"/>
      <c r="D196" s="167"/>
      <c r="E196" s="168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</row>
    <row r="197" ht="14.25" customHeight="1">
      <c r="A197" s="164"/>
      <c r="B197" s="165"/>
      <c r="C197" s="166"/>
      <c r="D197" s="167"/>
      <c r="E197" s="168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</row>
    <row r="198" ht="14.25" customHeight="1">
      <c r="A198" s="164"/>
      <c r="B198" s="165"/>
      <c r="C198" s="166"/>
      <c r="D198" s="167"/>
      <c r="E198" s="168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</row>
    <row r="199" ht="14.25" customHeight="1">
      <c r="A199" s="164"/>
      <c r="B199" s="165"/>
      <c r="C199" s="166"/>
      <c r="D199" s="167"/>
      <c r="E199" s="168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154"/>
    </row>
    <row r="200" ht="14.25" customHeight="1">
      <c r="A200" s="164"/>
      <c r="B200" s="165"/>
      <c r="C200" s="166"/>
      <c r="D200" s="167"/>
      <c r="E200" s="168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4"/>
    </row>
    <row r="201" ht="14.25" customHeight="1">
      <c r="A201" s="164"/>
      <c r="B201" s="165"/>
      <c r="C201" s="166"/>
      <c r="D201" s="167"/>
      <c r="E201" s="168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</row>
    <row r="202" ht="14.25" customHeight="1">
      <c r="A202" s="164"/>
      <c r="B202" s="165"/>
      <c r="C202" s="166"/>
      <c r="D202" s="167"/>
      <c r="E202" s="168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4"/>
    </row>
    <row r="203" ht="14.25" customHeight="1">
      <c r="A203" s="164"/>
      <c r="B203" s="165"/>
      <c r="C203" s="166"/>
      <c r="D203" s="167"/>
      <c r="E203" s="168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</row>
    <row r="204" ht="14.25" customHeight="1">
      <c r="A204" s="164"/>
      <c r="B204" s="165"/>
      <c r="C204" s="166"/>
      <c r="D204" s="167"/>
      <c r="E204" s="168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</row>
    <row r="205" ht="14.25" customHeight="1">
      <c r="A205" s="164"/>
      <c r="B205" s="165"/>
      <c r="C205" s="166"/>
      <c r="D205" s="167"/>
      <c r="E205" s="168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</row>
    <row r="206" ht="14.25" customHeight="1">
      <c r="A206" s="164"/>
      <c r="B206" s="165"/>
      <c r="C206" s="166"/>
      <c r="D206" s="167"/>
      <c r="E206" s="168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</row>
    <row r="207" ht="14.25" customHeight="1">
      <c r="A207" s="164"/>
      <c r="B207" s="165"/>
      <c r="C207" s="166"/>
      <c r="D207" s="167"/>
      <c r="E207" s="168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</row>
    <row r="208" ht="14.25" customHeight="1">
      <c r="A208" s="164"/>
      <c r="B208" s="165"/>
      <c r="C208" s="166"/>
      <c r="D208" s="167"/>
      <c r="E208" s="168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</row>
    <row r="209" ht="14.25" customHeight="1">
      <c r="A209" s="164"/>
      <c r="B209" s="165"/>
      <c r="C209" s="166"/>
      <c r="D209" s="167"/>
      <c r="E209" s="168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</row>
    <row r="210" ht="14.25" customHeight="1">
      <c r="A210" s="164"/>
      <c r="B210" s="165"/>
      <c r="C210" s="166"/>
      <c r="D210" s="167"/>
      <c r="E210" s="168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</row>
    <row r="211" ht="14.25" customHeight="1">
      <c r="A211" s="164"/>
      <c r="B211" s="165"/>
      <c r="C211" s="166"/>
      <c r="D211" s="167"/>
      <c r="E211" s="168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</row>
    <row r="212" ht="14.25" customHeight="1">
      <c r="A212" s="164"/>
      <c r="B212" s="165"/>
      <c r="C212" s="166"/>
      <c r="D212" s="167"/>
      <c r="E212" s="168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</row>
    <row r="213" ht="14.25" customHeight="1">
      <c r="A213" s="164"/>
      <c r="B213" s="165"/>
      <c r="C213" s="166"/>
      <c r="D213" s="167"/>
      <c r="E213" s="168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</row>
    <row r="214" ht="14.25" customHeight="1">
      <c r="A214" s="164"/>
      <c r="B214" s="165"/>
      <c r="C214" s="166"/>
      <c r="D214" s="167"/>
      <c r="E214" s="168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</row>
    <row r="215" ht="14.25" customHeight="1">
      <c r="A215" s="164"/>
      <c r="B215" s="165"/>
      <c r="C215" s="166"/>
      <c r="D215" s="167"/>
      <c r="E215" s="168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4"/>
    </row>
    <row r="216" ht="14.25" customHeight="1">
      <c r="A216" s="164"/>
      <c r="B216" s="165"/>
      <c r="C216" s="166"/>
      <c r="D216" s="167"/>
      <c r="E216" s="168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</row>
    <row r="217" ht="14.25" customHeight="1">
      <c r="A217" s="164"/>
      <c r="B217" s="165"/>
      <c r="C217" s="166"/>
      <c r="D217" s="167"/>
      <c r="E217" s="168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</row>
    <row r="218" ht="14.25" customHeight="1">
      <c r="A218" s="164"/>
      <c r="B218" s="165"/>
      <c r="C218" s="166"/>
      <c r="D218" s="167"/>
      <c r="E218" s="168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</row>
    <row r="219" ht="14.25" customHeight="1">
      <c r="A219" s="164"/>
      <c r="B219" s="165"/>
      <c r="C219" s="166"/>
      <c r="D219" s="167"/>
      <c r="E219" s="168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</row>
    <row r="220" ht="14.25" customHeight="1">
      <c r="A220" s="164"/>
      <c r="B220" s="165"/>
      <c r="C220" s="166"/>
      <c r="D220" s="167"/>
      <c r="E220" s="168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</row>
    <row r="221" ht="14.25" customHeight="1">
      <c r="A221" s="164"/>
      <c r="B221" s="165"/>
      <c r="C221" s="166"/>
      <c r="D221" s="167"/>
      <c r="E221" s="168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</row>
    <row r="222" ht="14.25" customHeight="1">
      <c r="A222" s="164"/>
      <c r="B222" s="165"/>
      <c r="C222" s="166"/>
      <c r="D222" s="167"/>
      <c r="E222" s="168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</row>
    <row r="223" ht="14.25" customHeight="1">
      <c r="A223" s="164"/>
      <c r="B223" s="165"/>
      <c r="C223" s="166"/>
      <c r="D223" s="167"/>
      <c r="E223" s="168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</row>
    <row r="224" ht="14.25" customHeight="1">
      <c r="A224" s="164"/>
      <c r="B224" s="165"/>
      <c r="C224" s="166"/>
      <c r="D224" s="167"/>
      <c r="E224" s="168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</row>
    <row r="225" ht="14.25" customHeight="1">
      <c r="A225" s="164"/>
      <c r="B225" s="165"/>
      <c r="C225" s="166"/>
      <c r="D225" s="167"/>
      <c r="E225" s="168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</row>
    <row r="226" ht="14.25" customHeight="1">
      <c r="A226" s="164"/>
      <c r="B226" s="165"/>
      <c r="C226" s="166"/>
      <c r="D226" s="167"/>
      <c r="E226" s="168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</row>
    <row r="227" ht="14.25" customHeight="1">
      <c r="A227" s="164"/>
      <c r="B227" s="165"/>
      <c r="C227" s="166"/>
      <c r="D227" s="167"/>
      <c r="E227" s="168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</row>
    <row r="228" ht="14.25" customHeight="1">
      <c r="A228" s="164"/>
      <c r="B228" s="165"/>
      <c r="C228" s="166"/>
      <c r="D228" s="167"/>
      <c r="E228" s="168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</row>
    <row r="229" ht="14.25" customHeight="1">
      <c r="A229" s="164"/>
      <c r="B229" s="165"/>
      <c r="C229" s="166"/>
      <c r="D229" s="167"/>
      <c r="E229" s="168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</row>
    <row r="230" ht="14.25" customHeight="1">
      <c r="A230" s="164"/>
      <c r="B230" s="165"/>
      <c r="C230" s="166"/>
      <c r="D230" s="167"/>
      <c r="E230" s="168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</row>
    <row r="231" ht="14.25" customHeight="1">
      <c r="A231" s="164"/>
      <c r="B231" s="165"/>
      <c r="C231" s="166"/>
      <c r="D231" s="167"/>
      <c r="E231" s="168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154"/>
    </row>
    <row r="232" ht="14.25" customHeight="1">
      <c r="A232" s="164"/>
      <c r="B232" s="165"/>
      <c r="C232" s="166"/>
      <c r="D232" s="167"/>
      <c r="E232" s="168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154"/>
    </row>
    <row r="233" ht="14.25" customHeight="1">
      <c r="A233" s="164"/>
      <c r="B233" s="165"/>
      <c r="C233" s="166"/>
      <c r="D233" s="167"/>
      <c r="E233" s="168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  <c r="Z233" s="154"/>
    </row>
    <row r="234" ht="14.25" customHeight="1">
      <c r="A234" s="164"/>
      <c r="B234" s="165"/>
      <c r="C234" s="166"/>
      <c r="D234" s="167"/>
      <c r="E234" s="168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</row>
    <row r="235" ht="14.25" customHeight="1">
      <c r="A235" s="164"/>
      <c r="B235" s="165"/>
      <c r="C235" s="166"/>
      <c r="D235" s="167"/>
      <c r="E235" s="168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</row>
    <row r="236" ht="14.25" customHeight="1">
      <c r="A236" s="164"/>
      <c r="B236" s="165"/>
      <c r="C236" s="166"/>
      <c r="D236" s="167"/>
      <c r="E236" s="168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</row>
    <row r="237" ht="14.25" customHeight="1">
      <c r="A237" s="164"/>
      <c r="B237" s="165"/>
      <c r="C237" s="166"/>
      <c r="D237" s="167"/>
      <c r="E237" s="168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</row>
    <row r="238" ht="14.25" customHeight="1">
      <c r="A238" s="164"/>
      <c r="B238" s="165"/>
      <c r="C238" s="166"/>
      <c r="D238" s="167"/>
      <c r="E238" s="168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</row>
    <row r="239" ht="14.25" customHeight="1">
      <c r="A239" s="164"/>
      <c r="B239" s="165"/>
      <c r="C239" s="166"/>
      <c r="D239" s="167"/>
      <c r="E239" s="168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</row>
    <row r="240" ht="14.25" customHeight="1">
      <c r="A240" s="164"/>
      <c r="B240" s="165"/>
      <c r="C240" s="166"/>
      <c r="D240" s="167"/>
      <c r="E240" s="168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</row>
    <row r="241" ht="14.25" customHeight="1">
      <c r="A241" s="164"/>
      <c r="B241" s="165"/>
      <c r="C241" s="166"/>
      <c r="D241" s="167"/>
      <c r="E241" s="168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</row>
    <row r="242" ht="14.25" customHeight="1">
      <c r="A242" s="164"/>
      <c r="B242" s="165"/>
      <c r="C242" s="166"/>
      <c r="D242" s="167"/>
      <c r="E242" s="168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</row>
    <row r="243" ht="14.25" customHeight="1">
      <c r="A243" s="164"/>
      <c r="B243" s="165"/>
      <c r="C243" s="166"/>
      <c r="D243" s="167"/>
      <c r="E243" s="168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</row>
    <row r="244" ht="14.25" customHeight="1">
      <c r="A244" s="164"/>
      <c r="B244" s="165"/>
      <c r="C244" s="166"/>
      <c r="D244" s="167"/>
      <c r="E244" s="168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</row>
    <row r="245" ht="14.25" customHeight="1">
      <c r="A245" s="164"/>
      <c r="B245" s="165"/>
      <c r="C245" s="166"/>
      <c r="D245" s="167"/>
      <c r="E245" s="168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</row>
    <row r="246" ht="14.25" customHeight="1">
      <c r="A246" s="164"/>
      <c r="B246" s="165"/>
      <c r="C246" s="166"/>
      <c r="D246" s="167"/>
      <c r="E246" s="168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</row>
    <row r="247" ht="14.25" customHeight="1">
      <c r="A247" s="164"/>
      <c r="B247" s="165"/>
      <c r="C247" s="166"/>
      <c r="D247" s="167"/>
      <c r="E247" s="168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</row>
    <row r="248" ht="14.25" customHeight="1">
      <c r="A248" s="164"/>
      <c r="B248" s="165"/>
      <c r="C248" s="166"/>
      <c r="D248" s="167"/>
      <c r="E248" s="168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</row>
    <row r="249" ht="14.25" customHeight="1">
      <c r="A249" s="164"/>
      <c r="B249" s="165"/>
      <c r="C249" s="166"/>
      <c r="D249" s="167"/>
      <c r="E249" s="168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154"/>
    </row>
    <row r="250" ht="14.25" customHeight="1">
      <c r="A250" s="164"/>
      <c r="B250" s="165"/>
      <c r="C250" s="166"/>
      <c r="D250" s="167"/>
      <c r="E250" s="168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4"/>
    </row>
    <row r="251" ht="14.25" customHeight="1">
      <c r="A251" s="164"/>
      <c r="B251" s="165"/>
      <c r="C251" s="166"/>
      <c r="D251" s="167"/>
      <c r="E251" s="168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</row>
    <row r="252" ht="14.25" customHeight="1">
      <c r="A252" s="164"/>
      <c r="B252" s="165"/>
      <c r="C252" s="166"/>
      <c r="D252" s="167"/>
      <c r="E252" s="168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4"/>
    </row>
    <row r="253" ht="14.25" customHeight="1">
      <c r="A253" s="164"/>
      <c r="B253" s="165"/>
      <c r="C253" s="166"/>
      <c r="D253" s="167"/>
      <c r="E253" s="168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</row>
    <row r="254" ht="14.25" customHeight="1">
      <c r="A254" s="164"/>
      <c r="B254" s="165"/>
      <c r="C254" s="166"/>
      <c r="D254" s="167"/>
      <c r="E254" s="168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</row>
    <row r="255" ht="14.25" customHeight="1">
      <c r="A255" s="164"/>
      <c r="B255" s="165"/>
      <c r="C255" s="166"/>
      <c r="D255" s="167"/>
      <c r="E255" s="168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54"/>
    </row>
    <row r="256" ht="14.25" customHeight="1">
      <c r="A256" s="164"/>
      <c r="B256" s="165"/>
      <c r="C256" s="166"/>
      <c r="D256" s="167"/>
      <c r="E256" s="168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</row>
    <row r="257" ht="14.25" customHeight="1">
      <c r="A257" s="164"/>
      <c r="B257" s="165"/>
      <c r="C257" s="166"/>
      <c r="D257" s="167"/>
      <c r="E257" s="168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</row>
    <row r="258" ht="14.25" customHeight="1">
      <c r="A258" s="164"/>
      <c r="B258" s="165"/>
      <c r="C258" s="166"/>
      <c r="D258" s="167"/>
      <c r="E258" s="168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</row>
    <row r="259" ht="14.25" customHeight="1">
      <c r="A259" s="164"/>
      <c r="B259" s="165"/>
      <c r="C259" s="166"/>
      <c r="D259" s="167"/>
      <c r="E259" s="168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</row>
    <row r="260" ht="14.25" customHeight="1">
      <c r="A260" s="164"/>
      <c r="B260" s="165"/>
      <c r="C260" s="166"/>
      <c r="D260" s="167"/>
      <c r="E260" s="168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</row>
    <row r="261" ht="14.25" customHeight="1">
      <c r="A261" s="164"/>
      <c r="B261" s="165"/>
      <c r="C261" s="166"/>
      <c r="D261" s="167"/>
      <c r="E261" s="168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</row>
    <row r="262" ht="14.25" customHeight="1">
      <c r="A262" s="164"/>
      <c r="B262" s="165"/>
      <c r="C262" s="166"/>
      <c r="D262" s="167"/>
      <c r="E262" s="168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</row>
    <row r="263" ht="14.25" customHeight="1">
      <c r="A263" s="164"/>
      <c r="B263" s="165"/>
      <c r="C263" s="166"/>
      <c r="D263" s="167"/>
      <c r="E263" s="168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54"/>
    </row>
    <row r="264" ht="14.25" customHeight="1">
      <c r="A264" s="164"/>
      <c r="B264" s="165"/>
      <c r="C264" s="166"/>
      <c r="D264" s="167"/>
      <c r="E264" s="168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</row>
    <row r="265" ht="14.25" customHeight="1">
      <c r="A265" s="164"/>
      <c r="B265" s="165"/>
      <c r="C265" s="166"/>
      <c r="D265" s="167"/>
      <c r="E265" s="168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  <c r="Z265" s="154"/>
    </row>
    <row r="266" ht="14.25" customHeight="1">
      <c r="A266" s="164"/>
      <c r="B266" s="165"/>
      <c r="C266" s="166"/>
      <c r="D266" s="167"/>
      <c r="E266" s="168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  <c r="X266" s="154"/>
      <c r="Y266" s="154"/>
      <c r="Z266" s="154"/>
    </row>
    <row r="267" ht="14.25" customHeight="1">
      <c r="A267" s="164"/>
      <c r="B267" s="165"/>
      <c r="C267" s="166"/>
      <c r="D267" s="167"/>
      <c r="E267" s="168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4"/>
    </row>
    <row r="268" ht="14.25" customHeight="1">
      <c r="A268" s="164"/>
      <c r="B268" s="165"/>
      <c r="C268" s="166"/>
      <c r="D268" s="167"/>
      <c r="E268" s="168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4"/>
    </row>
    <row r="269" ht="14.25" customHeight="1">
      <c r="A269" s="164"/>
      <c r="B269" s="165"/>
      <c r="C269" s="166"/>
      <c r="D269" s="167"/>
      <c r="E269" s="168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4"/>
    </row>
    <row r="270" ht="14.25" customHeight="1">
      <c r="A270" s="164"/>
      <c r="B270" s="165"/>
      <c r="C270" s="166"/>
      <c r="D270" s="167"/>
      <c r="E270" s="168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4"/>
    </row>
    <row r="271" ht="14.25" customHeight="1">
      <c r="A271" s="164"/>
      <c r="B271" s="165"/>
      <c r="C271" s="166"/>
      <c r="D271" s="167"/>
      <c r="E271" s="168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4"/>
    </row>
    <row r="272" ht="14.25" customHeight="1">
      <c r="A272" s="164"/>
      <c r="B272" s="165"/>
      <c r="C272" s="166"/>
      <c r="D272" s="167"/>
      <c r="E272" s="168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154"/>
    </row>
    <row r="273" ht="14.25" customHeight="1">
      <c r="A273" s="164"/>
      <c r="B273" s="165"/>
      <c r="C273" s="166"/>
      <c r="D273" s="167"/>
      <c r="E273" s="168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4"/>
    </row>
    <row r="274" ht="14.25" customHeight="1">
      <c r="A274" s="164"/>
      <c r="B274" s="165"/>
      <c r="C274" s="166"/>
      <c r="D274" s="167"/>
      <c r="E274" s="168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4"/>
    </row>
    <row r="275" ht="14.25" customHeight="1">
      <c r="A275" s="164"/>
      <c r="B275" s="165"/>
      <c r="C275" s="166"/>
      <c r="D275" s="167"/>
      <c r="E275" s="168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4"/>
    </row>
    <row r="276" ht="14.25" customHeight="1">
      <c r="A276" s="164"/>
      <c r="B276" s="165"/>
      <c r="C276" s="166"/>
      <c r="D276" s="167"/>
      <c r="E276" s="168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</row>
    <row r="277" ht="14.25" customHeight="1">
      <c r="A277" s="164"/>
      <c r="B277" s="165"/>
      <c r="C277" s="166"/>
      <c r="D277" s="167"/>
      <c r="E277" s="168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</row>
    <row r="278" ht="14.25" customHeight="1">
      <c r="A278" s="164"/>
      <c r="B278" s="165"/>
      <c r="C278" s="166"/>
      <c r="D278" s="167"/>
      <c r="E278" s="168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</row>
    <row r="279" ht="14.25" customHeight="1">
      <c r="A279" s="164"/>
      <c r="B279" s="165"/>
      <c r="C279" s="166"/>
      <c r="D279" s="167"/>
      <c r="E279" s="168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4"/>
    </row>
    <row r="280" ht="14.25" customHeight="1">
      <c r="A280" s="164"/>
      <c r="B280" s="165"/>
      <c r="C280" s="166"/>
      <c r="D280" s="167"/>
      <c r="E280" s="168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</row>
    <row r="281" ht="14.25" customHeight="1">
      <c r="A281" s="164"/>
      <c r="B281" s="165"/>
      <c r="C281" s="166"/>
      <c r="D281" s="167"/>
      <c r="E281" s="168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</row>
    <row r="282" ht="14.25" customHeight="1">
      <c r="A282" s="164"/>
      <c r="B282" s="165"/>
      <c r="C282" s="166"/>
      <c r="D282" s="167"/>
      <c r="E282" s="168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</row>
    <row r="283" ht="14.25" customHeight="1">
      <c r="A283" s="164"/>
      <c r="B283" s="165"/>
      <c r="C283" s="166"/>
      <c r="D283" s="167"/>
      <c r="E283" s="168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</row>
    <row r="284" ht="14.25" customHeight="1">
      <c r="A284" s="164"/>
      <c r="B284" s="165"/>
      <c r="C284" s="166"/>
      <c r="D284" s="167"/>
      <c r="E284" s="168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</row>
    <row r="285" ht="14.25" customHeight="1">
      <c r="A285" s="164"/>
      <c r="B285" s="165"/>
      <c r="C285" s="166"/>
      <c r="D285" s="167"/>
      <c r="E285" s="168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154"/>
    </row>
    <row r="286" ht="14.25" customHeight="1">
      <c r="A286" s="164"/>
      <c r="B286" s="165"/>
      <c r="C286" s="166"/>
      <c r="D286" s="167"/>
      <c r="E286" s="168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4"/>
    </row>
    <row r="287" ht="14.25" customHeight="1">
      <c r="A287" s="164"/>
      <c r="B287" s="165"/>
      <c r="C287" s="166"/>
      <c r="D287" s="167"/>
      <c r="E287" s="168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</row>
    <row r="288" ht="14.25" customHeight="1">
      <c r="A288" s="164"/>
      <c r="B288" s="165"/>
      <c r="C288" s="166"/>
      <c r="D288" s="167"/>
      <c r="E288" s="168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</row>
    <row r="289" ht="14.25" customHeight="1">
      <c r="A289" s="164"/>
      <c r="B289" s="165"/>
      <c r="C289" s="166"/>
      <c r="D289" s="167"/>
      <c r="E289" s="168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</row>
    <row r="290" ht="14.25" customHeight="1">
      <c r="A290" s="164"/>
      <c r="B290" s="165"/>
      <c r="C290" s="166"/>
      <c r="D290" s="167"/>
      <c r="E290" s="168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4"/>
    </row>
    <row r="291" ht="14.25" customHeight="1">
      <c r="A291" s="164"/>
      <c r="B291" s="165"/>
      <c r="C291" s="166"/>
      <c r="D291" s="167"/>
      <c r="E291" s="168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154"/>
    </row>
    <row r="292" ht="14.25" customHeight="1">
      <c r="A292" s="164"/>
      <c r="B292" s="165"/>
      <c r="C292" s="166"/>
      <c r="D292" s="167"/>
      <c r="E292" s="168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154"/>
    </row>
    <row r="293" ht="14.25" customHeight="1">
      <c r="A293" s="164"/>
      <c r="B293" s="165"/>
      <c r="C293" s="166"/>
      <c r="D293" s="167"/>
      <c r="E293" s="168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154"/>
    </row>
    <row r="294" ht="14.25" customHeight="1">
      <c r="A294" s="164"/>
      <c r="B294" s="165"/>
      <c r="C294" s="166"/>
      <c r="D294" s="167"/>
      <c r="E294" s="168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</row>
    <row r="295" ht="14.25" customHeight="1">
      <c r="A295" s="164"/>
      <c r="B295" s="165"/>
      <c r="C295" s="166"/>
      <c r="D295" s="167"/>
      <c r="E295" s="168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</row>
    <row r="296" ht="14.25" customHeight="1">
      <c r="A296" s="164"/>
      <c r="B296" s="165"/>
      <c r="C296" s="166"/>
      <c r="D296" s="167"/>
      <c r="E296" s="168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</row>
    <row r="297" ht="14.25" customHeight="1">
      <c r="A297" s="164"/>
      <c r="B297" s="165"/>
      <c r="C297" s="166"/>
      <c r="D297" s="167"/>
      <c r="E297" s="168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</row>
    <row r="298" ht="14.25" customHeight="1">
      <c r="A298" s="164"/>
      <c r="B298" s="165"/>
      <c r="C298" s="166"/>
      <c r="D298" s="167"/>
      <c r="E298" s="168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</row>
    <row r="299" ht="14.25" customHeight="1">
      <c r="A299" s="164"/>
      <c r="B299" s="165"/>
      <c r="C299" s="166"/>
      <c r="D299" s="167"/>
      <c r="E299" s="168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</row>
    <row r="300" ht="14.25" customHeight="1">
      <c r="A300" s="164"/>
      <c r="B300" s="165"/>
      <c r="C300" s="166"/>
      <c r="D300" s="167"/>
      <c r="E300" s="168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</row>
    <row r="301" ht="14.25" customHeight="1">
      <c r="A301" s="164"/>
      <c r="B301" s="165"/>
      <c r="C301" s="166"/>
      <c r="D301" s="167"/>
      <c r="E301" s="168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</row>
    <row r="302" ht="14.25" customHeight="1">
      <c r="A302" s="164"/>
      <c r="B302" s="165"/>
      <c r="C302" s="166"/>
      <c r="D302" s="167"/>
      <c r="E302" s="168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</row>
    <row r="303" ht="14.25" customHeight="1">
      <c r="A303" s="164"/>
      <c r="B303" s="165"/>
      <c r="C303" s="166"/>
      <c r="D303" s="167"/>
      <c r="E303" s="168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4"/>
    </row>
    <row r="304" ht="14.25" customHeight="1">
      <c r="A304" s="164"/>
      <c r="B304" s="165"/>
      <c r="C304" s="166"/>
      <c r="D304" s="167"/>
      <c r="E304" s="168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</row>
    <row r="305" ht="14.25" customHeight="1">
      <c r="A305" s="164"/>
      <c r="B305" s="165"/>
      <c r="C305" s="166"/>
      <c r="D305" s="167"/>
      <c r="E305" s="168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</row>
    <row r="306" ht="14.25" customHeight="1">
      <c r="A306" s="164"/>
      <c r="B306" s="165"/>
      <c r="C306" s="166"/>
      <c r="D306" s="167"/>
      <c r="E306" s="168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</row>
    <row r="307" ht="14.25" customHeight="1">
      <c r="A307" s="164"/>
      <c r="B307" s="165"/>
      <c r="C307" s="166"/>
      <c r="D307" s="167"/>
      <c r="E307" s="168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154"/>
    </row>
    <row r="308" ht="14.25" customHeight="1">
      <c r="A308" s="164"/>
      <c r="B308" s="165"/>
      <c r="C308" s="166"/>
      <c r="D308" s="167"/>
      <c r="E308" s="168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4"/>
    </row>
    <row r="309" ht="14.25" customHeight="1">
      <c r="A309" s="164"/>
      <c r="B309" s="165"/>
      <c r="C309" s="166"/>
      <c r="D309" s="167"/>
      <c r="E309" s="168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</row>
    <row r="310" ht="14.25" customHeight="1">
      <c r="A310" s="164"/>
      <c r="B310" s="165"/>
      <c r="C310" s="166"/>
      <c r="D310" s="167"/>
      <c r="E310" s="168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</row>
    <row r="311" ht="14.25" customHeight="1">
      <c r="A311" s="164"/>
      <c r="B311" s="165"/>
      <c r="C311" s="166"/>
      <c r="D311" s="167"/>
      <c r="E311" s="168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</row>
    <row r="312" ht="14.25" customHeight="1">
      <c r="A312" s="164"/>
      <c r="B312" s="165"/>
      <c r="C312" s="166"/>
      <c r="D312" s="167"/>
      <c r="E312" s="168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</row>
    <row r="313" ht="14.25" customHeight="1">
      <c r="A313" s="164"/>
      <c r="B313" s="165"/>
      <c r="C313" s="166"/>
      <c r="D313" s="167"/>
      <c r="E313" s="168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</row>
    <row r="314" ht="14.25" customHeight="1">
      <c r="A314" s="164"/>
      <c r="B314" s="165"/>
      <c r="C314" s="166"/>
      <c r="D314" s="167"/>
      <c r="E314" s="168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</row>
    <row r="315" ht="14.25" customHeight="1">
      <c r="A315" s="164"/>
      <c r="B315" s="165"/>
      <c r="C315" s="166"/>
      <c r="D315" s="167"/>
      <c r="E315" s="168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</row>
    <row r="316" ht="14.25" customHeight="1">
      <c r="A316" s="164"/>
      <c r="B316" s="165"/>
      <c r="C316" s="166"/>
      <c r="D316" s="167"/>
      <c r="E316" s="168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</row>
    <row r="317" ht="14.25" customHeight="1">
      <c r="A317" s="164"/>
      <c r="B317" s="165"/>
      <c r="C317" s="166"/>
      <c r="D317" s="167"/>
      <c r="E317" s="168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</row>
    <row r="318" ht="14.25" customHeight="1">
      <c r="A318" s="164"/>
      <c r="B318" s="165"/>
      <c r="C318" s="166"/>
      <c r="D318" s="167"/>
      <c r="E318" s="168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</row>
    <row r="319" ht="14.25" customHeight="1">
      <c r="A319" s="164"/>
      <c r="B319" s="165"/>
      <c r="C319" s="166"/>
      <c r="D319" s="167"/>
      <c r="E319" s="168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</row>
    <row r="320" ht="14.25" customHeight="1">
      <c r="A320" s="164"/>
      <c r="B320" s="165"/>
      <c r="C320" s="166"/>
      <c r="D320" s="167"/>
      <c r="E320" s="168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</row>
    <row r="321" ht="14.25" customHeight="1">
      <c r="A321" s="164"/>
      <c r="B321" s="165"/>
      <c r="C321" s="166"/>
      <c r="D321" s="167"/>
      <c r="E321" s="168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</row>
    <row r="322" ht="14.25" customHeight="1">
      <c r="A322" s="164"/>
      <c r="B322" s="165"/>
      <c r="C322" s="166"/>
      <c r="D322" s="167"/>
      <c r="E322" s="168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154"/>
    </row>
    <row r="323" ht="14.25" customHeight="1">
      <c r="A323" s="164"/>
      <c r="B323" s="165"/>
      <c r="C323" s="166"/>
      <c r="D323" s="167"/>
      <c r="E323" s="168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</row>
    <row r="324" ht="14.25" customHeight="1">
      <c r="A324" s="164"/>
      <c r="B324" s="165"/>
      <c r="C324" s="166"/>
      <c r="D324" s="167"/>
      <c r="E324" s="168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</row>
    <row r="325" ht="14.25" customHeight="1">
      <c r="A325" s="164"/>
      <c r="B325" s="165"/>
      <c r="C325" s="166"/>
      <c r="D325" s="167"/>
      <c r="E325" s="168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</row>
    <row r="326" ht="14.25" customHeight="1">
      <c r="A326" s="164"/>
      <c r="B326" s="165"/>
      <c r="C326" s="166"/>
      <c r="D326" s="167"/>
      <c r="E326" s="168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</row>
    <row r="327" ht="14.25" customHeight="1">
      <c r="A327" s="164"/>
      <c r="B327" s="165"/>
      <c r="C327" s="166"/>
      <c r="D327" s="167"/>
      <c r="E327" s="168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</row>
    <row r="328" ht="14.25" customHeight="1">
      <c r="A328" s="164"/>
      <c r="B328" s="165"/>
      <c r="C328" s="166"/>
      <c r="D328" s="167"/>
      <c r="E328" s="168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</row>
    <row r="329" ht="14.25" customHeight="1">
      <c r="A329" s="164"/>
      <c r="B329" s="165"/>
      <c r="C329" s="166"/>
      <c r="D329" s="167"/>
      <c r="E329" s="168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154"/>
    </row>
    <row r="330" ht="14.25" customHeight="1">
      <c r="A330" s="164"/>
      <c r="B330" s="165"/>
      <c r="C330" s="166"/>
      <c r="D330" s="167"/>
      <c r="E330" s="168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</row>
    <row r="331" ht="14.25" customHeight="1">
      <c r="A331" s="164"/>
      <c r="B331" s="165"/>
      <c r="C331" s="166"/>
      <c r="D331" s="167"/>
      <c r="E331" s="168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</row>
    <row r="332" ht="14.25" customHeight="1">
      <c r="A332" s="164"/>
      <c r="B332" s="165"/>
      <c r="C332" s="166"/>
      <c r="D332" s="167"/>
      <c r="E332" s="168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</row>
    <row r="333" ht="14.25" customHeight="1">
      <c r="A333" s="164"/>
      <c r="B333" s="165"/>
      <c r="C333" s="166"/>
      <c r="D333" s="167"/>
      <c r="E333" s="168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</row>
    <row r="334" ht="14.25" customHeight="1">
      <c r="A334" s="164"/>
      <c r="B334" s="165"/>
      <c r="C334" s="166"/>
      <c r="D334" s="167"/>
      <c r="E334" s="168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</row>
    <row r="335" ht="14.25" customHeight="1">
      <c r="A335" s="164"/>
      <c r="B335" s="165"/>
      <c r="C335" s="166"/>
      <c r="D335" s="167"/>
      <c r="E335" s="168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</row>
    <row r="336" ht="14.25" customHeight="1">
      <c r="A336" s="164"/>
      <c r="B336" s="165"/>
      <c r="C336" s="166"/>
      <c r="D336" s="167"/>
      <c r="E336" s="168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</row>
    <row r="337" ht="14.25" customHeight="1">
      <c r="A337" s="164"/>
      <c r="B337" s="165"/>
      <c r="C337" s="166"/>
      <c r="D337" s="167"/>
      <c r="E337" s="168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</row>
    <row r="338" ht="14.25" customHeight="1">
      <c r="A338" s="164"/>
      <c r="B338" s="165"/>
      <c r="C338" s="166"/>
      <c r="D338" s="167"/>
      <c r="E338" s="168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</row>
    <row r="339" ht="14.25" customHeight="1">
      <c r="A339" s="164"/>
      <c r="B339" s="165"/>
      <c r="C339" s="166"/>
      <c r="D339" s="167"/>
      <c r="E339" s="168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154"/>
    </row>
    <row r="340" ht="14.25" customHeight="1">
      <c r="A340" s="164"/>
      <c r="B340" s="165"/>
      <c r="C340" s="166"/>
      <c r="D340" s="167"/>
      <c r="E340" s="168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</row>
    <row r="341" ht="14.25" customHeight="1">
      <c r="A341" s="164"/>
      <c r="B341" s="165"/>
      <c r="C341" s="166"/>
      <c r="D341" s="167"/>
      <c r="E341" s="168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</row>
    <row r="342" ht="14.25" customHeight="1">
      <c r="A342" s="164"/>
      <c r="B342" s="165"/>
      <c r="C342" s="166"/>
      <c r="D342" s="167"/>
      <c r="E342" s="168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</row>
    <row r="343" ht="14.25" customHeight="1">
      <c r="A343" s="164"/>
      <c r="B343" s="165"/>
      <c r="C343" s="166"/>
      <c r="D343" s="167"/>
      <c r="E343" s="168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</row>
    <row r="344" ht="14.25" customHeight="1">
      <c r="A344" s="164"/>
      <c r="B344" s="165"/>
      <c r="C344" s="166"/>
      <c r="D344" s="167"/>
      <c r="E344" s="168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154"/>
    </row>
    <row r="345" ht="14.25" customHeight="1">
      <c r="A345" s="164"/>
      <c r="B345" s="165"/>
      <c r="C345" s="166"/>
      <c r="D345" s="167"/>
      <c r="E345" s="168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154"/>
    </row>
    <row r="346" ht="14.25" customHeight="1">
      <c r="A346" s="164"/>
      <c r="B346" s="165"/>
      <c r="C346" s="166"/>
      <c r="D346" s="167"/>
      <c r="E346" s="168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154"/>
    </row>
    <row r="347" ht="14.25" customHeight="1">
      <c r="A347" s="164"/>
      <c r="B347" s="165"/>
      <c r="C347" s="166"/>
      <c r="D347" s="167"/>
      <c r="E347" s="168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</row>
    <row r="348" ht="14.25" customHeight="1">
      <c r="A348" s="164"/>
      <c r="B348" s="165"/>
      <c r="C348" s="166"/>
      <c r="D348" s="167"/>
      <c r="E348" s="168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</row>
    <row r="349" ht="14.25" customHeight="1">
      <c r="A349" s="164"/>
      <c r="B349" s="165"/>
      <c r="C349" s="166"/>
      <c r="D349" s="167"/>
      <c r="E349" s="168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</row>
    <row r="350" ht="14.25" customHeight="1">
      <c r="A350" s="164"/>
      <c r="B350" s="165"/>
      <c r="C350" s="166"/>
      <c r="D350" s="167"/>
      <c r="E350" s="168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</row>
    <row r="351" ht="14.25" customHeight="1">
      <c r="A351" s="164"/>
      <c r="B351" s="165"/>
      <c r="C351" s="166"/>
      <c r="D351" s="167"/>
      <c r="E351" s="168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</row>
    <row r="352" ht="14.25" customHeight="1">
      <c r="A352" s="164"/>
      <c r="B352" s="165"/>
      <c r="C352" s="166"/>
      <c r="D352" s="167"/>
      <c r="E352" s="168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</row>
    <row r="353" ht="14.25" customHeight="1">
      <c r="A353" s="164"/>
      <c r="B353" s="165"/>
      <c r="C353" s="166"/>
      <c r="D353" s="167"/>
      <c r="E353" s="168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</row>
    <row r="354" ht="14.25" customHeight="1">
      <c r="A354" s="164"/>
      <c r="B354" s="165"/>
      <c r="C354" s="166"/>
      <c r="D354" s="167"/>
      <c r="E354" s="168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</row>
    <row r="355" ht="14.25" customHeight="1">
      <c r="A355" s="164"/>
      <c r="B355" s="165"/>
      <c r="C355" s="166"/>
      <c r="D355" s="167"/>
      <c r="E355" s="168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</row>
    <row r="356" ht="14.25" customHeight="1">
      <c r="A356" s="164"/>
      <c r="B356" s="165"/>
      <c r="C356" s="166"/>
      <c r="D356" s="167"/>
      <c r="E356" s="168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</row>
    <row r="357" ht="14.25" customHeight="1">
      <c r="A357" s="164"/>
      <c r="B357" s="165"/>
      <c r="C357" s="166"/>
      <c r="D357" s="167"/>
      <c r="E357" s="168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</row>
    <row r="358" ht="14.25" customHeight="1">
      <c r="A358" s="164"/>
      <c r="B358" s="165"/>
      <c r="C358" s="166"/>
      <c r="D358" s="167"/>
      <c r="E358" s="168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4"/>
    </row>
    <row r="359" ht="14.25" customHeight="1">
      <c r="A359" s="164"/>
      <c r="B359" s="165"/>
      <c r="C359" s="166"/>
      <c r="D359" s="167"/>
      <c r="E359" s="168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</row>
    <row r="360" ht="14.25" customHeight="1">
      <c r="A360" s="164"/>
      <c r="B360" s="165"/>
      <c r="C360" s="166"/>
      <c r="D360" s="167"/>
      <c r="E360" s="168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4"/>
    </row>
    <row r="361" ht="14.25" customHeight="1">
      <c r="A361" s="164"/>
      <c r="B361" s="165"/>
      <c r="C361" s="166"/>
      <c r="D361" s="167"/>
      <c r="E361" s="168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148" t="s">
        <v>168</v>
      </c>
      <c r="B1" s="149" t="s">
        <v>197</v>
      </c>
      <c r="C1" s="150" t="s">
        <v>169</v>
      </c>
      <c r="D1" s="151" t="s">
        <v>198</v>
      </c>
      <c r="E1" s="152" t="s">
        <v>199</v>
      </c>
      <c r="G1" s="153" t="s">
        <v>200</v>
      </c>
      <c r="H1" s="121">
        <f>MATCH("",A2:A1001,-1)</f>
        <v>44</v>
      </c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</row>
    <row r="2" ht="14.25" customHeight="1">
      <c r="A2" s="155" t="str">
        <f>IFERROR(__xludf.DUMMYFUNCTION(" IMPORTRANGE(""https://docs.google.com/spreadsheets/d/1ttcgPdgXUe6P24urkmITmnckm1kt7uAH-hd6i6YineI/edit#gid=695545632"",""Roller Coaster!A2:A161"")"),"Fistipanda")</f>
        <v>Fistipanda</v>
      </c>
      <c r="B2" s="156">
        <v>1.0</v>
      </c>
      <c r="C2" s="157">
        <f t="shared" ref="C2:C160" si="1">525*(1-(B2/($H$1+1)))*POWER((SQRT(($H$1+1)/B2)),1/2)</f>
        <v>1329.543633</v>
      </c>
      <c r="D2" s="158" t="str">
        <f>VLOOKUP(A2,'Classement RoC'!$B$2:$C$149,1,0)</f>
        <v>Fistipanda</v>
      </c>
      <c r="E2" s="159" t="str">
        <f t="shared" ref="E2:E160" si="2">IF(D2=A2,"","erreur")</f>
        <v/>
      </c>
      <c r="F2" s="120" t="str">
        <f>VLOOKUP(A2,'Classement Général'!$B$2:$B$146,1,0)</f>
        <v>Fistipanda</v>
      </c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ht="14.25" customHeight="1">
      <c r="A3" s="160" t="str">
        <f>IFERROR(__xludf.DUMMYFUNCTION("""COMPUTED_VALUE"""),"A_iniesta")</f>
        <v>A_iniesta</v>
      </c>
      <c r="B3" s="161">
        <v>2.0</v>
      </c>
      <c r="C3" s="157">
        <f t="shared" si="1"/>
        <v>1092.599191</v>
      </c>
      <c r="D3" s="158" t="str">
        <f>VLOOKUP(A3,'Classement RoC'!$B$2:$C$149,1,0)</f>
        <v>A_iniesta</v>
      </c>
      <c r="E3" s="159" t="str">
        <f t="shared" si="2"/>
        <v/>
      </c>
      <c r="F3" s="120" t="str">
        <f>VLOOKUP(A3,'Classement Général'!$B$2:$B$146,1,0)</f>
        <v>A_iniesta</v>
      </c>
      <c r="G3" s="162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ht="14.25" customHeight="1">
      <c r="A4" s="160" t="str">
        <f>IFERROR(__xludf.DUMMYFUNCTION("""COMPUTED_VALUE"""),"jejehehe")</f>
        <v>jejehehe</v>
      </c>
      <c r="B4" s="156">
        <v>3.0</v>
      </c>
      <c r="C4" s="157">
        <f t="shared" si="1"/>
        <v>964.3149389</v>
      </c>
      <c r="D4" s="158" t="str">
        <f>VLOOKUP(A4,'Classement RoC'!$B$2:$C$149,1,0)</f>
        <v>jejehehe</v>
      </c>
      <c r="E4" s="159" t="str">
        <f t="shared" si="2"/>
        <v/>
      </c>
      <c r="F4" s="120" t="str">
        <f>VLOOKUP(A4,'Classement Général'!$B$2:$B$146,1,0)</f>
        <v>jejehehe</v>
      </c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ht="14.25" customHeight="1">
      <c r="A5" s="160" t="str">
        <f>IFERROR(__xludf.DUMMYFUNCTION("""COMPUTED_VALUE"""),"Mako Lemore")</f>
        <v>Mako Lemore</v>
      </c>
      <c r="B5" s="161">
        <v>4.0</v>
      </c>
      <c r="C5" s="157">
        <f t="shared" si="1"/>
        <v>876.0295924</v>
      </c>
      <c r="D5" s="158" t="str">
        <f>VLOOKUP(A5,'Classement RoC'!$B$2:$C$149,1,0)</f>
        <v>Mako Lemore</v>
      </c>
      <c r="E5" s="163" t="str">
        <f t="shared" si="2"/>
        <v/>
      </c>
      <c r="F5" s="120" t="str">
        <f>VLOOKUP(A5,'Classement Général'!$B$2:$B$146,1,0)</f>
        <v>Mako Lemore</v>
      </c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ht="14.25" customHeight="1">
      <c r="A6" s="160" t="str">
        <f>IFERROR(__xludf.DUMMYFUNCTION("""COMPUTED_VALUE"""),"SINGE7")</f>
        <v>SINGE7</v>
      </c>
      <c r="B6" s="156">
        <v>5.0</v>
      </c>
      <c r="C6" s="157">
        <f t="shared" si="1"/>
        <v>808.2903769</v>
      </c>
      <c r="D6" s="158" t="str">
        <f>VLOOKUP(A6,'Classement RoC'!$B$2:$C$149,1,0)</f>
        <v>SINGE7</v>
      </c>
      <c r="E6" s="163" t="str">
        <f t="shared" si="2"/>
        <v/>
      </c>
      <c r="F6" s="120" t="str">
        <f>VLOOKUP(A6,'Classement Général'!$B$2:$B$146,1,0)</f>
        <v>SINGE7</v>
      </c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</row>
    <row r="7" ht="14.25" customHeight="1">
      <c r="A7" s="160" t="str">
        <f>IFERROR(__xludf.DUMMYFUNCTION("""COMPUTED_VALUE"""),"Patgaret")</f>
        <v>Patgaret</v>
      </c>
      <c r="B7" s="161">
        <v>6.0</v>
      </c>
      <c r="C7" s="157">
        <f t="shared" si="1"/>
        <v>752.9683342</v>
      </c>
      <c r="D7" s="158" t="str">
        <f>VLOOKUP(A7,'Classement RoC'!$B$2:$C$149,1,0)</f>
        <v>Patgaret</v>
      </c>
      <c r="E7" s="163" t="str">
        <f t="shared" si="2"/>
        <v/>
      </c>
      <c r="F7" s="120" t="str">
        <f>VLOOKUP(A7,'Classement Général'!$B$2:$B$146,1,0)</f>
        <v>Patgaret</v>
      </c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</row>
    <row r="8" ht="14.25" customHeight="1">
      <c r="A8" s="160" t="str">
        <f>IFERROR(__xludf.DUMMYFUNCTION("""COMPUTED_VALUE"""),".choco")</f>
        <v>.choco</v>
      </c>
      <c r="B8" s="156">
        <v>7.0</v>
      </c>
      <c r="C8" s="157">
        <f t="shared" si="1"/>
        <v>705.9257188</v>
      </c>
      <c r="D8" s="158" t="str">
        <f>VLOOKUP(A8,'Classement RoC'!$B$2:$C$149,1,0)</f>
        <v>.choco</v>
      </c>
      <c r="E8" s="163" t="str">
        <f t="shared" si="2"/>
        <v/>
      </c>
      <c r="F8" s="120" t="str">
        <f>VLOOKUP(A8,'Classement Général'!$B$2:$B$146,1,0)</f>
        <v>.choco</v>
      </c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</row>
    <row r="9" ht="14.25" customHeight="1">
      <c r="A9" s="160" t="str">
        <f>IFERROR(__xludf.DUMMYFUNCTION("""COMPUTED_VALUE"""),"Kiki Bazaar")</f>
        <v>Kiki Bazaar</v>
      </c>
      <c r="B9" s="161">
        <v>8.0</v>
      </c>
      <c r="C9" s="157">
        <f t="shared" si="1"/>
        <v>664.7818372</v>
      </c>
      <c r="D9" s="158" t="str">
        <f>VLOOKUP(A9,'Classement RoC'!$B$2:$C$149,1,0)</f>
        <v>Kiki Bazaar</v>
      </c>
      <c r="E9" s="163" t="str">
        <f t="shared" si="2"/>
        <v/>
      </c>
      <c r="F9" s="120" t="str">
        <f>VLOOKUP(A9,'Classement Général'!$B$2:$B$146,1,0)</f>
        <v>Kiki Bazaar</v>
      </c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</row>
    <row r="10" ht="14.25" customHeight="1">
      <c r="A10" s="160" t="str">
        <f>IFERROR(__xludf.DUMMYFUNCTION("""COMPUTED_VALUE"""),"immond")</f>
        <v>immond</v>
      </c>
      <c r="B10" s="156">
        <v>9.0</v>
      </c>
      <c r="C10" s="157">
        <f t="shared" si="1"/>
        <v>628.0464881</v>
      </c>
      <c r="D10" s="158" t="str">
        <f>VLOOKUP(A10,'Classement RoC'!$B$2:$C$149,1,0)</f>
        <v>immond</v>
      </c>
      <c r="E10" s="163" t="str">
        <f t="shared" si="2"/>
        <v/>
      </c>
      <c r="F10" s="120" t="str">
        <f>VLOOKUP(A10,'Classement Général'!$B$2:$B$146,1,0)</f>
        <v>immond</v>
      </c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ht="14.25" customHeight="1">
      <c r="A11" s="160" t="str">
        <f>IFERROR(__xludf.DUMMYFUNCTION("""COMPUTED_VALUE"""),"Vaillant 86")</f>
        <v>Vaillant 86</v>
      </c>
      <c r="B11" s="161">
        <v>10.0</v>
      </c>
      <c r="C11" s="157">
        <f t="shared" si="1"/>
        <v>594.7274203</v>
      </c>
      <c r="D11" s="158" t="str">
        <f>VLOOKUP(A11,'Classement RoC'!$B$2:$C$149,1,0)</f>
        <v>Vaillant 86</v>
      </c>
      <c r="E11" s="163" t="str">
        <f t="shared" si="2"/>
        <v/>
      </c>
      <c r="F11" s="120" t="str">
        <f>VLOOKUP(A11,'Classement Général'!$B$2:$B$146,1,0)</f>
        <v>Vaillant 86</v>
      </c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</row>
    <row r="12" ht="14.25" customHeight="1">
      <c r="A12" s="160" t="str">
        <f>IFERROR(__xludf.DUMMYFUNCTION("""COMPUTED_VALUE"""),"Elfy")</f>
        <v>Elfy</v>
      </c>
      <c r="B12" s="156">
        <v>11.0</v>
      </c>
      <c r="C12" s="157">
        <f t="shared" si="1"/>
        <v>564.1319069</v>
      </c>
      <c r="D12" s="158" t="str">
        <f>VLOOKUP(A12,'Classement RoC'!$B$2:$C$149,1,0)</f>
        <v>Elfy</v>
      </c>
      <c r="E12" s="163" t="str">
        <f t="shared" si="2"/>
        <v/>
      </c>
      <c r="F12" s="120" t="str">
        <f>VLOOKUP(A12,'Classement Général'!$B$2:$B$146,1,0)</f>
        <v>Elfy</v>
      </c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ht="14.25" customHeight="1">
      <c r="A13" s="160" t="str">
        <f>IFERROR(__xludf.DUMMYFUNCTION("""COMPUTED_VALUE"""),"fiodor86")</f>
        <v>fiodor86</v>
      </c>
      <c r="B13" s="161">
        <v>12.0</v>
      </c>
      <c r="C13" s="157">
        <f t="shared" si="1"/>
        <v>535.7578541</v>
      </c>
      <c r="D13" s="158" t="str">
        <f>VLOOKUP(A13,'Classement RoC'!$B$2:$C$149,1,0)</f>
        <v>fiodor86</v>
      </c>
      <c r="E13" s="163" t="str">
        <f t="shared" si="2"/>
        <v/>
      </c>
      <c r="F13" s="120" t="str">
        <f>VLOOKUP(A13,'Classement Général'!$B$2:$B$146,1,0)</f>
        <v>fiodor86</v>
      </c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ht="14.25" customHeight="1">
      <c r="A14" s="160" t="str">
        <f>IFERROR(__xludf.DUMMYFUNCTION("""COMPUTED_VALUE"""),"chatouill86")</f>
        <v>chatouill86</v>
      </c>
      <c r="B14" s="156">
        <v>13.0</v>
      </c>
      <c r="C14" s="157">
        <f t="shared" si="1"/>
        <v>509.2300905</v>
      </c>
      <c r="D14" s="158" t="str">
        <f>VLOOKUP(A14,'Classement RoC'!$B$2:$C$149,1,0)</f>
        <v>chatouill86</v>
      </c>
      <c r="E14" s="163" t="str">
        <f t="shared" si="2"/>
        <v/>
      </c>
      <c r="F14" s="120" t="str">
        <f>VLOOKUP(A14,'Classement Général'!$B$2:$B$146,1,0)</f>
        <v>chatouill86</v>
      </c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</row>
    <row r="15" ht="14.25" customHeight="1">
      <c r="A15" s="160" t="str">
        <f>IFERROR(__xludf.DUMMYFUNCTION("""COMPUTED_VALUE"""),". BARBAPAPA66")</f>
        <v>. BARBAPAPA66</v>
      </c>
      <c r="B15" s="161">
        <v>14.0</v>
      </c>
      <c r="C15" s="157">
        <f t="shared" si="1"/>
        <v>484.261121</v>
      </c>
      <c r="D15" s="158" t="str">
        <f>VLOOKUP(A15,'Classement RoC'!$B$2:$C$149,1,0)</f>
        <v>. BARBAPAPA66</v>
      </c>
      <c r="E15" s="163" t="str">
        <f t="shared" si="2"/>
        <v/>
      </c>
      <c r="F15" s="120" t="str">
        <f>VLOOKUP(A15,'Classement Général'!$B$2:$B$146,1,0)</f>
        <v>. BARBAPAPA66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</row>
    <row r="16" ht="14.25" customHeight="1">
      <c r="A16" s="160" t="str">
        <f>IFERROR(__xludf.DUMMYFUNCTION("""COMPUTED_VALUE"""),"Mitch")</f>
        <v>Mitch</v>
      </c>
      <c r="B16" s="156">
        <v>15.0</v>
      </c>
      <c r="C16" s="157">
        <f t="shared" si="1"/>
        <v>460.6259045</v>
      </c>
      <c r="D16" s="158" t="str">
        <f>VLOOKUP(A16,'Classement RoC'!$B$2:$C$149,1,0)</f>
        <v>Mitch</v>
      </c>
      <c r="E16" s="163" t="str">
        <f t="shared" si="2"/>
        <v/>
      </c>
      <c r="F16" s="120" t="str">
        <f>VLOOKUP(A16,'Classement Général'!$B$2:$B$146,1,0)</f>
        <v>Mitch</v>
      </c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ht="14.25" customHeight="1">
      <c r="A17" s="160" t="str">
        <f>IFERROR(__xludf.DUMMYFUNCTION("""COMPUTED_VALUE"""),"cassius-86")</f>
        <v>cassius-86</v>
      </c>
      <c r="B17" s="161">
        <v>16.0</v>
      </c>
      <c r="C17" s="157">
        <f t="shared" si="1"/>
        <v>438.1450608</v>
      </c>
      <c r="D17" s="158" t="str">
        <f>VLOOKUP(A17,'Classement RoC'!$B$2:$C$149,1,0)</f>
        <v>cassius-86</v>
      </c>
      <c r="E17" s="163" t="str">
        <f t="shared" si="2"/>
        <v/>
      </c>
      <c r="F17" s="120" t="str">
        <f>VLOOKUP(A17,'Classement Général'!$B$2:$B$146,1,0)</f>
        <v>cassius-86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</row>
    <row r="18" ht="14.25" customHeight="1">
      <c r="A18" s="160" t="str">
        <f>IFERROR(__xludf.DUMMYFUNCTION("""COMPUTED_VALUE"""),"ledids")</f>
        <v>ledids</v>
      </c>
      <c r="B18" s="156">
        <v>17.0</v>
      </c>
      <c r="C18" s="157">
        <f t="shared" si="1"/>
        <v>416.673345</v>
      </c>
      <c r="D18" s="158" t="str">
        <f>VLOOKUP(A18,'Classement RoC'!$B$2:$C$149,1,0)</f>
        <v>ledids</v>
      </c>
      <c r="E18" s="163" t="str">
        <f t="shared" si="2"/>
        <v/>
      </c>
      <c r="F18" s="120" t="str">
        <f>VLOOKUP(A18,'Classement Général'!$B$2:$B$146,1,0)</f>
        <v>ledids</v>
      </c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</row>
    <row r="19" ht="14.25" customHeight="1">
      <c r="A19" s="160" t="str">
        <f>IFERROR(__xludf.DUMMYFUNCTION("""COMPUTED_VALUE"""),"erniedog56x")</f>
        <v>erniedog56x</v>
      </c>
      <c r="B19" s="161">
        <v>18.0</v>
      </c>
      <c r="C19" s="157">
        <f t="shared" si="1"/>
        <v>396.0915304</v>
      </c>
      <c r="D19" s="158" t="str">
        <f>VLOOKUP(A19,'Classement RoC'!$B$2:$C$149,1,0)</f>
        <v>erniedog56x</v>
      </c>
      <c r="E19" s="163" t="str">
        <f t="shared" si="2"/>
        <v/>
      </c>
      <c r="F19" s="120" t="str">
        <f>VLOOKUP(A19,'Classement Général'!$B$2:$B$146,1,0)</f>
        <v>erniedog56x</v>
      </c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</row>
    <row r="20" ht="14.25" customHeight="1">
      <c r="A20" s="160" t="str">
        <f>IFERROR(__xludf.DUMMYFUNCTION("""COMPUTED_VALUE"""),"FridAKahlo")</f>
        <v>FridAKahlo</v>
      </c>
      <c r="B20" s="156">
        <v>19.0</v>
      </c>
      <c r="C20" s="157">
        <f t="shared" si="1"/>
        <v>376.300561</v>
      </c>
      <c r="D20" s="158" t="str">
        <f>VLOOKUP(A20,'Classement RoC'!$B$2:$C$149,1,0)</f>
        <v>FridAKahlo</v>
      </c>
      <c r="E20" s="163" t="str">
        <f t="shared" si="2"/>
        <v/>
      </c>
      <c r="F20" s="120" t="str">
        <f>VLOOKUP(A20,'Classement Général'!$B$2:$B$146,1,0)</f>
        <v>FridAKahlo</v>
      </c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</row>
    <row r="21" ht="14.25" customHeight="1">
      <c r="A21" s="160" t="str">
        <f>IFERROR(__xludf.DUMMYFUNCTION("""COMPUTED_VALUE"""),"NezuKO-demon")</f>
        <v>NezuKO-demon</v>
      </c>
      <c r="B21" s="161">
        <v>20.0</v>
      </c>
      <c r="C21" s="157">
        <f t="shared" si="1"/>
        <v>357.2172542</v>
      </c>
      <c r="D21" s="158" t="str">
        <f>VLOOKUP(A21,'Classement RoC'!$B$2:$C$149,1,0)</f>
        <v>NezuKO-demon</v>
      </c>
      <c r="E21" s="163" t="str">
        <f t="shared" si="2"/>
        <v/>
      </c>
      <c r="F21" s="120" t="str">
        <f>VLOOKUP(A21,'Classement Général'!$B$2:$B$146,1,0)</f>
        <v>NezuKO-demon</v>
      </c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</row>
    <row r="22" ht="14.25" customHeight="1">
      <c r="A22" s="160" t="str">
        <f>IFERROR(__xludf.DUMMYFUNCTION("""COMPUTED_VALUE"""),"Kevfurious")</f>
        <v>Kevfurious</v>
      </c>
      <c r="B22" s="156">
        <v>21.0</v>
      </c>
      <c r="C22" s="157">
        <f t="shared" si="1"/>
        <v>338.7710858</v>
      </c>
      <c r="D22" s="158" t="str">
        <f>VLOOKUP(A22,'Classement RoC'!$B$2:$C$149,1,0)</f>
        <v>Kevfurious</v>
      </c>
      <c r="E22" s="163" t="str">
        <f t="shared" si="2"/>
        <v/>
      </c>
      <c r="F22" s="120" t="str">
        <f>VLOOKUP(A22,'Classement Général'!$B$2:$B$146,1,0)</f>
        <v>Kevfurious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</row>
    <row r="23" ht="14.25" customHeight="1">
      <c r="A23" s="160" t="str">
        <f>IFERROR(__xludf.DUMMYFUNCTION("""COMPUTED_VALUE"""),"StephBoss05")</f>
        <v>StephBoss05</v>
      </c>
      <c r="B23" s="161">
        <v>22.0</v>
      </c>
      <c r="C23" s="157">
        <f t="shared" si="1"/>
        <v>320.9017488</v>
      </c>
      <c r="D23" s="158" t="str">
        <f>VLOOKUP(A23,'Classement RoC'!$B$2:$C$149,1,0)</f>
        <v>StephBoss05</v>
      </c>
      <c r="E23" s="163" t="str">
        <f t="shared" si="2"/>
        <v/>
      </c>
      <c r="F23" s="120" t="str">
        <f>VLOOKUP(A23,'Classement Général'!$B$2:$B$146,1,0)</f>
        <v>StephBoss05</v>
      </c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</row>
    <row r="24" ht="14.25" customHeight="1">
      <c r="A24" s="160" t="str">
        <f>IFERROR(__xludf.DUMMYFUNCTION("""COMPUTED_VALUE"""),"Phil1308")</f>
        <v>Phil1308</v>
      </c>
      <c r="B24" s="156">
        <v>23.0</v>
      </c>
      <c r="C24" s="157">
        <f t="shared" si="1"/>
        <v>303.557271</v>
      </c>
      <c r="D24" s="158" t="str">
        <f>VLOOKUP(A24,'Classement RoC'!$B$2:$C$149,1,0)</f>
        <v>Phil1308</v>
      </c>
      <c r="E24" s="163" t="str">
        <f t="shared" si="2"/>
        <v/>
      </c>
      <c r="F24" s="120" t="str">
        <f>VLOOKUP(A24,'Classement Général'!$B$2:$B$146,1,0)</f>
        <v>Phil1308</v>
      </c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</row>
    <row r="25" ht="14.25" customHeight="1">
      <c r="A25" s="160" t="str">
        <f>IFERROR(__xludf.DUMMYFUNCTION("""COMPUTED_VALUE"""),"christ86000")</f>
        <v>christ86000</v>
      </c>
      <c r="B25" s="161">
        <v>24.0</v>
      </c>
      <c r="C25" s="157">
        <f t="shared" si="1"/>
        <v>286.6925466</v>
      </c>
      <c r="D25" s="158" t="str">
        <f>VLOOKUP(A25,'Classement RoC'!$B$2:$C$149,1,0)</f>
        <v>christ86000</v>
      </c>
      <c r="E25" s="163" t="str">
        <f t="shared" si="2"/>
        <v/>
      </c>
      <c r="F25" s="120" t="str">
        <f>VLOOKUP(A25,'Classement Général'!$B$2:$B$146,1,0)</f>
        <v>christ86000</v>
      </c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</row>
    <row r="26" ht="14.25" customHeight="1">
      <c r="A26" s="160" t="str">
        <f>IFERROR(__xludf.DUMMYFUNCTION("""COMPUTED_VALUE"""),"Tontonzgueg")</f>
        <v>Tontonzgueg</v>
      </c>
      <c r="B26" s="156">
        <v>25.0</v>
      </c>
      <c r="C26" s="157">
        <f t="shared" si="1"/>
        <v>270.2681766</v>
      </c>
      <c r="D26" s="158" t="str">
        <f>VLOOKUP(A26,'Classement RoC'!$B$2:$C$149,1,0)</f>
        <v>Tontonzgueg</v>
      </c>
      <c r="E26" s="163" t="str">
        <f t="shared" si="2"/>
        <v/>
      </c>
      <c r="F26" s="120" t="str">
        <f>VLOOKUP(A26,'Classement Général'!$B$2:$B$146,1,0)</f>
        <v>Tontonzgueg</v>
      </c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</row>
    <row r="27" ht="14.25" customHeight="1">
      <c r="A27" s="160" t="str">
        <f>IFERROR(__xludf.DUMMYFUNCTION("""COMPUTED_VALUE"""),"Marco")</f>
        <v>Marco</v>
      </c>
      <c r="B27" s="161">
        <v>26.0</v>
      </c>
      <c r="C27" s="157">
        <f t="shared" si="1"/>
        <v>254.2495436</v>
      </c>
      <c r="D27" s="158" t="str">
        <f>VLOOKUP(A27,'Classement RoC'!$B$2:$C$149,1,0)</f>
        <v>Marco</v>
      </c>
      <c r="E27" s="163" t="str">
        <f t="shared" si="2"/>
        <v/>
      </c>
      <c r="F27" s="120" t="str">
        <f>VLOOKUP(A27,'Classement Général'!$B$2:$B$146,1,0)</f>
        <v>#N/A</v>
      </c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</row>
    <row r="28" ht="14.25" customHeight="1">
      <c r="A28" s="160" t="str">
        <f>IFERROR(__xludf.DUMMYFUNCTION("""COMPUTED_VALUE"""),"8kinder6")</f>
        <v>8kinder6</v>
      </c>
      <c r="B28" s="156">
        <v>27.0</v>
      </c>
      <c r="C28" s="157">
        <f t="shared" si="1"/>
        <v>238.606067</v>
      </c>
      <c r="D28" s="158" t="str">
        <f>VLOOKUP(A28,'Classement RoC'!$B$2:$C$149,1,0)</f>
        <v>8kinder6</v>
      </c>
      <c r="E28" s="163" t="str">
        <f t="shared" si="2"/>
        <v/>
      </c>
      <c r="F28" s="120" t="str">
        <f>VLOOKUP(A28,'Classement Général'!$B$2:$B$146,1,0)</f>
        <v>8kinder6</v>
      </c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</row>
    <row r="29" ht="14.25" customHeight="1">
      <c r="A29" s="160" t="str">
        <f>IFERROR(__xludf.DUMMYFUNCTION("""COMPUTED_VALUE"""),"Garou du 86")</f>
        <v>Garou du 86</v>
      </c>
      <c r="B29" s="161">
        <v>28.0</v>
      </c>
      <c r="C29" s="157">
        <f t="shared" si="1"/>
        <v>223.3105965</v>
      </c>
      <c r="D29" s="158" t="str">
        <f>VLOOKUP(A29,'Classement RoC'!$B$2:$C$149,1,0)</f>
        <v>Garou du 86</v>
      </c>
      <c r="E29" s="163" t="str">
        <f t="shared" si="2"/>
        <v/>
      </c>
      <c r="F29" s="120" t="str">
        <f>VLOOKUP(A29,'Classement Général'!$B$2:$B$146,1,0)</f>
        <v>Garou du 86</v>
      </c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</row>
    <row r="30" ht="14.25" customHeight="1">
      <c r="A30" s="160" t="str">
        <f>IFERROR(__xludf.DUMMYFUNCTION("""COMPUTED_VALUE"""),"Blochedu86")</f>
        <v>Blochedu86</v>
      </c>
      <c r="B30" s="156">
        <v>29.0</v>
      </c>
      <c r="C30" s="157">
        <f t="shared" si="1"/>
        <v>208.3389165</v>
      </c>
      <c r="D30" s="158" t="str">
        <f>VLOOKUP(A30,'Classement RoC'!$B$2:$C$149,1,0)</f>
        <v>Blochedu86</v>
      </c>
      <c r="E30" s="163" t="str">
        <f t="shared" si="2"/>
        <v/>
      </c>
      <c r="F30" s="120" t="str">
        <f>VLOOKUP(A30,'Classement Général'!$B$2:$B$146,1,0)</f>
        <v>Blochedu86</v>
      </c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</row>
    <row r="31" ht="14.25" customHeight="1">
      <c r="A31" s="160" t="str">
        <f>IFERROR(__xludf.DUMMYFUNCTION("""COMPUTED_VALUE"""),"Titounio")</f>
        <v>Titounio</v>
      </c>
      <c r="B31" s="161">
        <v>30.0</v>
      </c>
      <c r="C31" s="157">
        <f t="shared" si="1"/>
        <v>193.6693359</v>
      </c>
      <c r="D31" s="158" t="str">
        <f>VLOOKUP(A31,'Classement RoC'!$B$2:$C$149,1,0)</f>
        <v>Titounio</v>
      </c>
      <c r="E31" s="163" t="str">
        <f t="shared" si="2"/>
        <v/>
      </c>
      <c r="F31" s="120" t="str">
        <f>VLOOKUP(A31,'Classement Général'!$B$2:$B$146,1,0)</f>
        <v>Titounio</v>
      </c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</row>
    <row r="32" ht="14.25" customHeight="1">
      <c r="A32" s="160" t="str">
        <f>IFERROR(__xludf.DUMMYFUNCTION("""COMPUTED_VALUE"""),"JM-Chatte")</f>
        <v>JM-Chatte</v>
      </c>
      <c r="B32" s="156">
        <v>31.0</v>
      </c>
      <c r="C32" s="157">
        <f t="shared" si="1"/>
        <v>179.2823476</v>
      </c>
      <c r="D32" s="158" t="str">
        <f>VLOOKUP(A32,'Classement RoC'!$B$2:$C$149,1,0)</f>
        <v>JM-Chatte</v>
      </c>
      <c r="E32" s="163" t="str">
        <f t="shared" si="2"/>
        <v/>
      </c>
      <c r="F32" s="120" t="str">
        <f>VLOOKUP(A32,'Classement Général'!$B$2:$B$146,1,0)</f>
        <v>JM-Chatte</v>
      </c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</row>
    <row r="33" ht="14.25" customHeight="1">
      <c r="A33" s="160" t="str">
        <f>IFERROR(__xludf.DUMMYFUNCTION("""COMPUTED_VALUE"""),"POMB1664")</f>
        <v>POMB1664</v>
      </c>
      <c r="B33" s="161">
        <v>32.0</v>
      </c>
      <c r="C33" s="157">
        <f t="shared" si="1"/>
        <v>165.1603429</v>
      </c>
      <c r="D33" s="158" t="str">
        <f>VLOOKUP(A33,'Classement RoC'!$B$2:$C$149,1,0)</f>
        <v>POMB1664</v>
      </c>
      <c r="E33" s="163" t="str">
        <f t="shared" si="2"/>
        <v/>
      </c>
      <c r="F33" s="120" t="str">
        <f>VLOOKUP(A33,'Classement Général'!$B$2:$B$146,1,0)</f>
        <v>POMB1664</v>
      </c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</row>
    <row r="34" ht="14.25" customHeight="1">
      <c r="A34" s="160" t="str">
        <f>IFERROR(__xludf.DUMMYFUNCTION("""COMPUTED_VALUE"""),"KKPTETYO")</f>
        <v>KKPTETYO</v>
      </c>
      <c r="B34" s="156">
        <v>33.0</v>
      </c>
      <c r="C34" s="157">
        <f t="shared" si="1"/>
        <v>151.2873721</v>
      </c>
      <c r="D34" s="158" t="str">
        <f>VLOOKUP(A34,'Classement RoC'!$B$2:$C$149,1,0)</f>
        <v>KKPTETYO</v>
      </c>
      <c r="E34" s="163" t="str">
        <f t="shared" si="2"/>
        <v/>
      </c>
      <c r="F34" s="120" t="str">
        <f>VLOOKUP(A34,'Classement Général'!$B$2:$B$146,1,0)</f>
        <v>KKPTETYO</v>
      </c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</row>
    <row r="35" ht="14.25" customHeight="1">
      <c r="A35" s="160" t="str">
        <f>IFERROR(__xludf.DUMMYFUNCTION("""COMPUTED_VALUE"""),"Dirty Bazaar")</f>
        <v>Dirty Bazaar</v>
      </c>
      <c r="B35" s="161">
        <v>34.0</v>
      </c>
      <c r="C35" s="157">
        <f t="shared" si="1"/>
        <v>137.6489408</v>
      </c>
      <c r="D35" s="158" t="str">
        <f>VLOOKUP(A35,'Classement RoC'!$B$2:$C$149,1,0)</f>
        <v>Dirty Bazaar</v>
      </c>
      <c r="E35" s="163" t="str">
        <f t="shared" si="2"/>
        <v/>
      </c>
      <c r="F35" s="120" t="str">
        <f>VLOOKUP(A35,'Classement Général'!$B$2:$B$146,1,0)</f>
        <v>Dirty Bazaar</v>
      </c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</row>
    <row r="36" ht="14.25" customHeight="1">
      <c r="A36" s="160" t="str">
        <f>IFERROR(__xludf.DUMMYFUNCTION("""COMPUTED_VALUE"""),"Butterfly-as")</f>
        <v>Butterfly-as</v>
      </c>
      <c r="B36" s="156">
        <v>35.0</v>
      </c>
      <c r="C36" s="157">
        <f t="shared" si="1"/>
        <v>124.231837</v>
      </c>
      <c r="D36" s="158" t="str">
        <f>VLOOKUP(A36,'Classement RoC'!$B$2:$C$149,1,0)</f>
        <v>Butterfly-as</v>
      </c>
      <c r="E36" s="163" t="str">
        <f t="shared" si="2"/>
        <v/>
      </c>
      <c r="F36" s="120" t="str">
        <f>VLOOKUP(A36,'Classement Général'!$B$2:$B$146,1,0)</f>
        <v>Butterfly-as</v>
      </c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</row>
    <row r="37" ht="14.25" customHeight="1">
      <c r="A37" s="160" t="str">
        <f>IFERROR(__xludf.DUMMYFUNCTION("""COMPUTED_VALUE"""),"fanny")</f>
        <v>fanny</v>
      </c>
      <c r="B37" s="161">
        <v>36.0</v>
      </c>
      <c r="C37" s="157">
        <f t="shared" si="1"/>
        <v>111.0239827</v>
      </c>
      <c r="D37" s="158" t="str">
        <f>VLOOKUP(A37,'Classement RoC'!$B$2:$C$149,1,0)</f>
        <v>fanny</v>
      </c>
      <c r="E37" s="163" t="str">
        <f t="shared" si="2"/>
        <v/>
      </c>
      <c r="F37" s="120" t="str">
        <f>VLOOKUP(A37,'Classement Général'!$B$2:$B$146,1,0)</f>
        <v>#N/A</v>
      </c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</row>
    <row r="38" ht="14.25" customHeight="1">
      <c r="A38" s="160" t="str">
        <f>IFERROR(__xludf.DUMMYFUNCTION("""COMPUTED_VALUE"""),"ariba")</f>
        <v>ariba</v>
      </c>
      <c r="B38" s="156">
        <v>37.0</v>
      </c>
      <c r="C38" s="157">
        <f t="shared" si="1"/>
        <v>98.0143071</v>
      </c>
      <c r="D38" s="158" t="str">
        <f>VLOOKUP(A38,'Classement RoC'!$B$2:$C$149,1,0)</f>
        <v>ariba</v>
      </c>
      <c r="E38" s="163" t="str">
        <f t="shared" si="2"/>
        <v/>
      </c>
      <c r="F38" s="120" t="str">
        <f>VLOOKUP(A38,'Classement Général'!$B$2:$B$146,1,0)</f>
        <v>ariba</v>
      </c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</row>
    <row r="39" ht="14.25" customHeight="1">
      <c r="A39" s="160" t="str">
        <f>IFERROR(__xludf.DUMMYFUNCTION("""COMPUTED_VALUE"""),"BRUNOWINNER")</f>
        <v>BRUNOWINNER</v>
      </c>
      <c r="B39" s="161">
        <v>38.0</v>
      </c>
      <c r="C39" s="157">
        <f t="shared" si="1"/>
        <v>85.19263653</v>
      </c>
      <c r="D39" s="158" t="str">
        <f>VLOOKUP(A39,'Classement RoC'!$B$2:$C$149,1,0)</f>
        <v>BRUNOWINNER</v>
      </c>
      <c r="E39" s="163" t="str">
        <f t="shared" si="2"/>
        <v/>
      </c>
      <c r="F39" s="120" t="str">
        <f>VLOOKUP(A39,'Classement Général'!$B$2:$B$146,1,0)</f>
        <v>BRUNOWINNER</v>
      </c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</row>
    <row r="40" ht="14.25" customHeight="1">
      <c r="A40" s="160" t="str">
        <f>IFERROR(__xludf.DUMMYFUNCTION("""COMPUTED_VALUE"""),"Sab86360")</f>
        <v>Sab86360</v>
      </c>
      <c r="B40" s="156">
        <v>39.0</v>
      </c>
      <c r="C40" s="157">
        <f t="shared" si="1"/>
        <v>72.54959906</v>
      </c>
      <c r="D40" s="158" t="str">
        <f>VLOOKUP(A40,'Classement RoC'!$B$2:$C$149,1,0)</f>
        <v>Sab86360</v>
      </c>
      <c r="E40" s="163" t="str">
        <f t="shared" si="2"/>
        <v/>
      </c>
      <c r="F40" s="120" t="str">
        <f>VLOOKUP(A40,'Classement Général'!$B$2:$B$146,1,0)</f>
        <v>Sab86360</v>
      </c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</row>
    <row r="41" ht="14.25" customHeight="1">
      <c r="A41" s="160" t="str">
        <f>IFERROR(__xludf.DUMMYFUNCTION("""COMPUTED_VALUE"""),"Redblood92")</f>
        <v>Redblood92</v>
      </c>
      <c r="B41" s="161">
        <v>40.0</v>
      </c>
      <c r="C41" s="157">
        <f t="shared" si="1"/>
        <v>60.0765417</v>
      </c>
      <c r="D41" s="158" t="str">
        <f>VLOOKUP(A41,'Classement RoC'!$B$2:$C$149,1,0)</f>
        <v>Redblood92</v>
      </c>
      <c r="E41" s="163" t="str">
        <f t="shared" si="2"/>
        <v/>
      </c>
      <c r="F41" s="120" t="str">
        <f>VLOOKUP(A41,'Classement Général'!$B$2:$B$146,1,0)</f>
        <v>Redblood92</v>
      </c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</row>
    <row r="42" ht="14.25" customHeight="1">
      <c r="A42" s="160" t="str">
        <f>IFERROR(__xludf.DUMMYFUNCTION("""COMPUTED_VALUE"""),"Bratake")</f>
        <v>Bratake</v>
      </c>
      <c r="B42" s="156">
        <v>41.0</v>
      </c>
      <c r="C42" s="157">
        <f t="shared" si="1"/>
        <v>47.76545788</v>
      </c>
      <c r="D42" s="158" t="str">
        <f>VLOOKUP(A42,'Classement RoC'!$B$2:$C$149,1,0)</f>
        <v>Bratake</v>
      </c>
      <c r="E42" s="163" t="str">
        <f t="shared" si="2"/>
        <v/>
      </c>
      <c r="F42" s="120" t="str">
        <f>VLOOKUP(A42,'Classement Général'!$B$2:$B$146,1,0)</f>
        <v>Bratake</v>
      </c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</row>
    <row r="43" ht="14.25" customHeight="1">
      <c r="A43" s="160" t="str">
        <f>IFERROR(__xludf.DUMMYFUNCTION("""COMPUTED_VALUE"""),"rastamokett")</f>
        <v>rastamokett</v>
      </c>
      <c r="B43" s="161">
        <v>42.0</v>
      </c>
      <c r="C43" s="157">
        <f t="shared" si="1"/>
        <v>35.60892396</v>
      </c>
      <c r="D43" s="158" t="str">
        <f>VLOOKUP(A43,'Classement RoC'!$B$2:$C$149,1,0)</f>
        <v>rastamokett</v>
      </c>
      <c r="E43" s="163" t="str">
        <f t="shared" si="2"/>
        <v/>
      </c>
      <c r="F43" s="120" t="str">
        <f>VLOOKUP(A43,'Classement Général'!$B$2:$B$146,1,0)</f>
        <v>rastamokett</v>
      </c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</row>
    <row r="44" ht="14.25" customHeight="1">
      <c r="A44" s="160" t="str">
        <f>IFERROR(__xludf.DUMMYFUNCTION("""COMPUTED_VALUE"""),"Jennyyy8")</f>
        <v>Jennyyy8</v>
      </c>
      <c r="B44" s="156">
        <v>43.0</v>
      </c>
      <c r="C44" s="157">
        <f t="shared" si="1"/>
        <v>23.6000433</v>
      </c>
      <c r="D44" s="158" t="str">
        <f>VLOOKUP(A44,'Classement RoC'!$B$2:$C$149,1,0)</f>
        <v>Jennyyy8</v>
      </c>
      <c r="E44" s="163" t="str">
        <f t="shared" si="2"/>
        <v/>
      </c>
      <c r="F44" s="120" t="str">
        <f>VLOOKUP(A44,'Classement Général'!$B$2:$B$146,1,0)</f>
        <v>Jennyyy8</v>
      </c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</row>
    <row r="45" ht="14.25" customHeight="1">
      <c r="A45" s="160" t="str">
        <f>IFERROR(__xludf.DUMMYFUNCTION("""COMPUTED_VALUE"""),"DonnesTchips")</f>
        <v>DonnesTchips</v>
      </c>
      <c r="B45" s="161">
        <v>44.0</v>
      </c>
      <c r="C45" s="157">
        <f t="shared" si="1"/>
        <v>11.73239697</v>
      </c>
      <c r="D45" s="158" t="str">
        <f>VLOOKUP(A45,'Classement RoC'!$B$2:$C$149,1,0)</f>
        <v>DonnesTchips</v>
      </c>
      <c r="E45" s="163" t="str">
        <f t="shared" si="2"/>
        <v/>
      </c>
      <c r="F45" s="120" t="str">
        <f>VLOOKUP(A45,'Classement Général'!$B$2:$B$146,1,0)</f>
        <v>DonnesTchips</v>
      </c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</row>
    <row r="46" ht="14.25" customHeight="1">
      <c r="A46" s="160"/>
      <c r="B46" s="156">
        <v>45.0</v>
      </c>
      <c r="C46" s="157">
        <f t="shared" si="1"/>
        <v>0</v>
      </c>
      <c r="D46" s="158" t="str">
        <f>VLOOKUP(A46,'Classement RoC'!$B$2:$C$149,1,0)</f>
        <v>#N/A</v>
      </c>
      <c r="E46" s="163" t="str">
        <f t="shared" si="2"/>
        <v>#N/A</v>
      </c>
      <c r="F46" s="120" t="str">
        <f>VLOOKUP(A46,'Classement Général'!$B$2:$B$146,1,0)</f>
        <v>#N/A</v>
      </c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</row>
    <row r="47" ht="14.25" customHeight="1">
      <c r="A47" s="160"/>
      <c r="B47" s="161">
        <v>46.0</v>
      </c>
      <c r="C47" s="157">
        <f t="shared" si="1"/>
        <v>-11.60273732</v>
      </c>
      <c r="D47" s="158" t="str">
        <f>VLOOKUP(A47,'Classement RoC'!$B$2:$C$149,1,0)</f>
        <v>#N/A</v>
      </c>
      <c r="E47" s="163" t="str">
        <f t="shared" si="2"/>
        <v>#N/A</v>
      </c>
      <c r="F47" s="120" t="str">
        <f>VLOOKUP(A47,'Classement Général'!$B$2:$B$146,1,0)</f>
        <v>#N/A</v>
      </c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</row>
    <row r="48" ht="14.25" customHeight="1">
      <c r="A48" s="160"/>
      <c r="B48" s="156">
        <v>47.0</v>
      </c>
      <c r="C48" s="157">
        <f t="shared" si="1"/>
        <v>-23.08104402</v>
      </c>
      <c r="D48" s="158" t="str">
        <f>VLOOKUP(A48,'Classement RoC'!$B$2:$C$149,1,0)</f>
        <v>#N/A</v>
      </c>
      <c r="E48" s="163" t="str">
        <f t="shared" si="2"/>
        <v>#N/A</v>
      </c>
      <c r="F48" s="120" t="str">
        <f>VLOOKUP(A48,'Classement Général'!$B$2:$B$146,1,0)</f>
        <v>#N/A</v>
      </c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 ht="14.25" customHeight="1">
      <c r="A49" s="160"/>
      <c r="B49" s="161">
        <v>48.0</v>
      </c>
      <c r="C49" s="157">
        <f t="shared" si="1"/>
        <v>-34.43981925</v>
      </c>
      <c r="D49" s="158" t="str">
        <f>VLOOKUP(A49,'Classement RoC'!$B$2:$C$149,1,0)</f>
        <v>#N/A</v>
      </c>
      <c r="E49" s="163" t="str">
        <f t="shared" si="2"/>
        <v>#N/A</v>
      </c>
      <c r="F49" s="120" t="str">
        <f>VLOOKUP(A49,'Classement Général'!$B$2:$B$146,1,0)</f>
        <v>#N/A</v>
      </c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50" ht="14.25" customHeight="1">
      <c r="A50" s="160"/>
      <c r="B50" s="156">
        <v>49.0</v>
      </c>
      <c r="C50" s="157">
        <f t="shared" si="1"/>
        <v>-45.68365987</v>
      </c>
      <c r="D50" s="158" t="str">
        <f>VLOOKUP(A50,'Classement RoC'!$B$2:$C$149,1,0)</f>
        <v>#N/A</v>
      </c>
      <c r="E50" s="163" t="str">
        <f t="shared" si="2"/>
        <v>#N/A</v>
      </c>
      <c r="F50" s="120" t="str">
        <f>VLOOKUP(A50,'Classement Général'!$B$2:$B$146,1,0)</f>
        <v>#N/A</v>
      </c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</row>
    <row r="51" ht="14.25" customHeight="1">
      <c r="A51" s="160"/>
      <c r="B51" s="161">
        <v>50.0</v>
      </c>
      <c r="C51" s="157">
        <f t="shared" si="1"/>
        <v>-56.81688521</v>
      </c>
      <c r="D51" s="158" t="str">
        <f>VLOOKUP(A51,'Classement RoC'!$B$2:$C$149,1,0)</f>
        <v>#N/A</v>
      </c>
      <c r="E51" s="163" t="str">
        <f t="shared" si="2"/>
        <v>#N/A</v>
      </c>
      <c r="F51" s="120" t="str">
        <f>VLOOKUP(A51,'Classement Général'!$B$2:$B$146,1,0)</f>
        <v>#N/A</v>
      </c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</row>
    <row r="52" ht="14.25" customHeight="1">
      <c r="A52" s="160"/>
      <c r="B52" s="156">
        <v>51.0</v>
      </c>
      <c r="C52" s="157">
        <f t="shared" si="1"/>
        <v>-67.84355931</v>
      </c>
      <c r="D52" s="158" t="str">
        <f>VLOOKUP(A52,'Classement RoC'!$B$2:$C$149,1,0)</f>
        <v>#N/A</v>
      </c>
      <c r="E52" s="163" t="str">
        <f t="shared" si="2"/>
        <v>#N/A</v>
      </c>
      <c r="F52" s="120" t="str">
        <f>VLOOKUP(A52,'Classement Général'!$B$2:$B$146,1,0)</f>
        <v>#N/A</v>
      </c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</row>
    <row r="53" ht="14.25" customHeight="1">
      <c r="A53" s="160"/>
      <c r="B53" s="161">
        <v>52.0</v>
      </c>
      <c r="C53" s="157">
        <f t="shared" si="1"/>
        <v>-78.76751098</v>
      </c>
      <c r="D53" s="158" t="str">
        <f>VLOOKUP(A53,'Classement RoC'!$B$2:$C$149,1,0)</f>
        <v>#N/A</v>
      </c>
      <c r="E53" s="163" t="str">
        <f t="shared" si="2"/>
        <v>#N/A</v>
      </c>
      <c r="F53" s="120" t="str">
        <f>VLOOKUP(A53,'Classement Général'!$B$2:$B$146,1,0)</f>
        <v>#N/A</v>
      </c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</row>
    <row r="54" ht="14.25" customHeight="1">
      <c r="A54" s="160"/>
      <c r="B54" s="156">
        <v>53.0</v>
      </c>
      <c r="C54" s="157">
        <f t="shared" si="1"/>
        <v>-89.59235194</v>
      </c>
      <c r="D54" s="158" t="str">
        <f>VLOOKUP(A54,'Classement RoC'!$B$2:$C$149,1,0)</f>
        <v>#N/A</v>
      </c>
      <c r="E54" s="163" t="str">
        <f t="shared" si="2"/>
        <v>#N/A</v>
      </c>
      <c r="F54" s="120" t="str">
        <f>VLOOKUP(A54,'Classement Général'!$B$2:$B$146,1,0)</f>
        <v>#N/A</v>
      </c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</row>
    <row r="55" ht="14.25" customHeight="1">
      <c r="A55" s="160"/>
      <c r="B55" s="161">
        <v>54.0</v>
      </c>
      <c r="C55" s="157">
        <f t="shared" si="1"/>
        <v>-100.3214932</v>
      </c>
      <c r="D55" s="158" t="str">
        <f>VLOOKUP(A55,'Classement RoC'!$B$2:$C$149,1,0)</f>
        <v>#N/A</v>
      </c>
      <c r="E55" s="163" t="str">
        <f t="shared" si="2"/>
        <v>#N/A</v>
      </c>
      <c r="F55" s="120" t="str">
        <f>VLOOKUP(A55,'Classement Général'!$B$2:$B$146,1,0)</f>
        <v>#N/A</v>
      </c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</row>
    <row r="56" ht="14.25" customHeight="1">
      <c r="A56" s="160"/>
      <c r="B56" s="156">
        <v>55.0</v>
      </c>
      <c r="C56" s="157">
        <f t="shared" si="1"/>
        <v>-110.9581598</v>
      </c>
      <c r="D56" s="158" t="str">
        <f>VLOOKUP(A56,'Classement RoC'!$B$2:$C$149,1,0)</f>
        <v>#N/A</v>
      </c>
      <c r="E56" s="163" t="str">
        <f t="shared" si="2"/>
        <v>#N/A</v>
      </c>
      <c r="F56" s="120" t="str">
        <f>VLOOKUP(A56,'Classement Général'!$B$2:$B$146,1,0)</f>
        <v>#N/A</v>
      </c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</row>
    <row r="57" ht="14.25" customHeight="1">
      <c r="A57" s="160"/>
      <c r="B57" s="161">
        <v>56.0</v>
      </c>
      <c r="C57" s="157">
        <f t="shared" si="1"/>
        <v>-121.5054048</v>
      </c>
      <c r="D57" s="158" t="str">
        <f>VLOOKUP(A57,'Classement RoC'!$B$2:$C$149,1,0)</f>
        <v>#N/A</v>
      </c>
      <c r="E57" s="163" t="str">
        <f t="shared" si="2"/>
        <v>#N/A</v>
      </c>
      <c r="F57" s="120" t="str">
        <f>VLOOKUP(A57,'Classement Général'!$B$2:$B$146,1,0)</f>
        <v>#N/A</v>
      </c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</row>
    <row r="58" ht="14.25" customHeight="1">
      <c r="A58" s="160"/>
      <c r="B58" s="156">
        <v>57.0</v>
      </c>
      <c r="C58" s="157">
        <f t="shared" si="1"/>
        <v>-131.9661207</v>
      </c>
      <c r="D58" s="158" t="str">
        <f>VLOOKUP(A58,'Classement RoC'!$B$2:$C$149,1,0)</f>
        <v>#N/A</v>
      </c>
      <c r="E58" s="163" t="str">
        <f t="shared" si="2"/>
        <v>#N/A</v>
      </c>
      <c r="F58" s="120" t="str">
        <f>VLOOKUP(A58,'Classement Général'!$B$2:$B$146,1,0)</f>
        <v>#N/A</v>
      </c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</row>
    <row r="59" ht="14.25" customHeight="1">
      <c r="A59" s="160"/>
      <c r="B59" s="161">
        <v>58.0</v>
      </c>
      <c r="C59" s="157">
        <f t="shared" si="1"/>
        <v>-142.3430515</v>
      </c>
      <c r="D59" s="158" t="str">
        <f>VLOOKUP(A59,'Classement RoC'!$B$2:$C$149,1,0)</f>
        <v>#N/A</v>
      </c>
      <c r="E59" s="163" t="str">
        <f t="shared" si="2"/>
        <v>#N/A</v>
      </c>
      <c r="F59" s="120" t="str">
        <f>VLOOKUP(A59,'Classement Général'!$B$2:$B$146,1,0)</f>
        <v>#N/A</v>
      </c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</row>
    <row r="60" ht="14.25" customHeight="1">
      <c r="A60" s="160"/>
      <c r="B60" s="156">
        <v>59.0</v>
      </c>
      <c r="C60" s="157">
        <f t="shared" si="1"/>
        <v>-152.6388027</v>
      </c>
      <c r="D60" s="158" t="str">
        <f>VLOOKUP(A60,'Classement RoC'!$B$2:$C$149,1,0)</f>
        <v>#N/A</v>
      </c>
      <c r="E60" s="163" t="str">
        <f t="shared" si="2"/>
        <v>#N/A</v>
      </c>
      <c r="F60" s="120" t="str">
        <f>VLOOKUP(A60,'Classement Général'!$B$2:$B$146,1,0)</f>
        <v>#N/A</v>
      </c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</row>
    <row r="61" ht="14.25" customHeight="1">
      <c r="A61" s="160"/>
      <c r="B61" s="161">
        <v>60.0</v>
      </c>
      <c r="C61" s="157">
        <f t="shared" si="1"/>
        <v>-162.8558503</v>
      </c>
      <c r="D61" s="158" t="str">
        <f>VLOOKUP(A61,'Classement RoC'!$B$2:$C$149,1,0)</f>
        <v>#N/A</v>
      </c>
      <c r="E61" s="163" t="str">
        <f t="shared" si="2"/>
        <v>#N/A</v>
      </c>
      <c r="F61" s="120" t="str">
        <f>VLOOKUP(A61,'Classement Général'!$B$2:$B$146,1,0)</f>
        <v>#N/A</v>
      </c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</row>
    <row r="62" ht="14.25" customHeight="1">
      <c r="A62" s="160"/>
      <c r="B62" s="156">
        <v>61.0</v>
      </c>
      <c r="C62" s="157">
        <f t="shared" si="1"/>
        <v>-172.9965499</v>
      </c>
      <c r="D62" s="158" t="str">
        <f>VLOOKUP(A62,'Classement RoC'!$B$2:$C$149,1,0)</f>
        <v>#N/A</v>
      </c>
      <c r="E62" s="163" t="str">
        <f t="shared" si="2"/>
        <v>#N/A</v>
      </c>
      <c r="F62" s="120" t="str">
        <f>VLOOKUP(A62,'Classement Général'!$B$2:$B$146,1,0)</f>
        <v>#N/A</v>
      </c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</row>
    <row r="63" ht="14.25" customHeight="1">
      <c r="A63" s="160"/>
      <c r="B63" s="161">
        <v>62.0</v>
      </c>
      <c r="C63" s="157">
        <f t="shared" si="1"/>
        <v>-183.0631441</v>
      </c>
      <c r="D63" s="158" t="str">
        <f>VLOOKUP(A63,'Classement RoC'!$B$2:$C$149,1,0)</f>
        <v>#N/A</v>
      </c>
      <c r="E63" s="163" t="str">
        <f t="shared" si="2"/>
        <v>#N/A</v>
      </c>
      <c r="F63" s="120" t="str">
        <f>VLOOKUP(A63,'Classement Général'!$B$2:$B$146,1,0)</f>
        <v>#N/A</v>
      </c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</row>
    <row r="64" ht="14.25" customHeight="1">
      <c r="A64" s="160"/>
      <c r="B64" s="156">
        <v>63.0</v>
      </c>
      <c r="C64" s="157">
        <f t="shared" si="1"/>
        <v>-193.0577702</v>
      </c>
      <c r="D64" s="158" t="str">
        <f>VLOOKUP(A64,'Classement RoC'!$B$2:$C$149,1,0)</f>
        <v>#N/A</v>
      </c>
      <c r="E64" s="163" t="str">
        <f t="shared" si="2"/>
        <v>#N/A</v>
      </c>
      <c r="F64" s="120" t="str">
        <f>VLOOKUP(A64,'Classement Général'!$B$2:$B$146,1,0)</f>
        <v>#N/A</v>
      </c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</row>
    <row r="65" ht="14.25" customHeight="1">
      <c r="A65" s="160"/>
      <c r="B65" s="161">
        <v>64.0</v>
      </c>
      <c r="C65" s="157">
        <f t="shared" si="1"/>
        <v>-202.9824665</v>
      </c>
      <c r="D65" s="158" t="str">
        <f>VLOOKUP(A65,'Classement RoC'!$B$2:$C$149,1,0)</f>
        <v>#N/A</v>
      </c>
      <c r="E65" s="163" t="str">
        <f t="shared" si="2"/>
        <v>#N/A</v>
      </c>
      <c r="F65" s="120" t="str">
        <f>VLOOKUP(A65,'Classement Général'!$B$2:$B$146,1,0)</f>
        <v>#N/A</v>
      </c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</row>
    <row r="66" ht="14.25" customHeight="1">
      <c r="A66" s="160"/>
      <c r="B66" s="156">
        <v>65.0</v>
      </c>
      <c r="C66" s="157">
        <f t="shared" si="1"/>
        <v>-212.8391788</v>
      </c>
      <c r="D66" s="158" t="str">
        <f>VLOOKUP(A66,'Classement RoC'!$B$2:$C$149,1,0)</f>
        <v>#N/A</v>
      </c>
      <c r="E66" s="163" t="str">
        <f t="shared" si="2"/>
        <v>#N/A</v>
      </c>
      <c r="F66" s="120" t="str">
        <f>VLOOKUP(A66,'Classement Général'!$B$2:$B$146,1,0)</f>
        <v>#N/A</v>
      </c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</row>
    <row r="67" ht="14.25" customHeight="1">
      <c r="A67" s="160"/>
      <c r="B67" s="161">
        <v>66.0</v>
      </c>
      <c r="C67" s="157">
        <f t="shared" si="1"/>
        <v>-222.6297655</v>
      </c>
      <c r="D67" s="158" t="str">
        <f>VLOOKUP(A67,'Classement RoC'!$B$2:$C$149,1,0)</f>
        <v>#N/A</v>
      </c>
      <c r="E67" s="163" t="str">
        <f t="shared" si="2"/>
        <v>#N/A</v>
      </c>
      <c r="F67" s="120" t="str">
        <f>VLOOKUP(A67,'Classement Général'!$B$2:$B$146,1,0)</f>
        <v>#N/A</v>
      </c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</row>
    <row r="68" ht="14.25" customHeight="1">
      <c r="A68" s="160"/>
      <c r="B68" s="156">
        <v>67.0</v>
      </c>
      <c r="C68" s="157">
        <f t="shared" si="1"/>
        <v>-232.3560036</v>
      </c>
      <c r="D68" s="158" t="str">
        <f>VLOOKUP(A68,'Classement RoC'!$B$2:$C$149,1,0)</f>
        <v>#N/A</v>
      </c>
      <c r="E68" s="163" t="str">
        <f t="shared" si="2"/>
        <v>#N/A</v>
      </c>
      <c r="F68" s="120" t="str">
        <f>VLOOKUP(A68,'Classement Général'!$B$2:$B$146,1,0)</f>
        <v>#N/A</v>
      </c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</row>
    <row r="69" ht="14.25" customHeight="1">
      <c r="A69" s="160"/>
      <c r="B69" s="161">
        <v>68.0</v>
      </c>
      <c r="C69" s="157">
        <f t="shared" si="1"/>
        <v>-242.0195928</v>
      </c>
      <c r="D69" s="158" t="str">
        <f>VLOOKUP(A69,'Classement RoC'!$B$2:$C$149,1,0)</f>
        <v>#N/A</v>
      </c>
      <c r="E69" s="163" t="str">
        <f t="shared" si="2"/>
        <v>#N/A</v>
      </c>
      <c r="F69" s="120" t="str">
        <f>VLOOKUP(A69,'Classement Général'!$B$2:$B$146,1,0)</f>
        <v>#N/A</v>
      </c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</row>
    <row r="70" ht="14.25" customHeight="1">
      <c r="A70" s="160"/>
      <c r="B70" s="156">
        <v>69.0</v>
      </c>
      <c r="C70" s="157">
        <f t="shared" si="1"/>
        <v>-251.6221606</v>
      </c>
      <c r="D70" s="158" t="str">
        <f>VLOOKUP(A70,'Classement RoC'!$B$2:$C$149,1,0)</f>
        <v>#N/A</v>
      </c>
      <c r="E70" s="163" t="str">
        <f t="shared" si="2"/>
        <v>#N/A</v>
      </c>
      <c r="F70" s="120" t="str">
        <f>VLOOKUP(A70,'Classement Général'!$B$2:$B$146,1,0)</f>
        <v>#N/A</v>
      </c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</row>
    <row r="71" ht="14.25" customHeight="1">
      <c r="A71" s="160"/>
      <c r="B71" s="161">
        <v>70.0</v>
      </c>
      <c r="C71" s="157">
        <f t="shared" si="1"/>
        <v>-261.1652659</v>
      </c>
      <c r="D71" s="158" t="str">
        <f>VLOOKUP(A71,'Classement RoC'!$B$2:$C$149,1,0)</f>
        <v>#N/A</v>
      </c>
      <c r="E71" s="163" t="str">
        <f t="shared" si="2"/>
        <v>#N/A</v>
      </c>
      <c r="F71" s="120" t="str">
        <f>VLOOKUP(A71,'Classement Général'!$B$2:$B$146,1,0)</f>
        <v>#N/A</v>
      </c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</row>
    <row r="72" ht="14.25" customHeight="1">
      <c r="A72" s="160"/>
      <c r="B72" s="156">
        <v>71.0</v>
      </c>
      <c r="C72" s="157">
        <f t="shared" si="1"/>
        <v>-270.6504035</v>
      </c>
      <c r="D72" s="158" t="str">
        <f>VLOOKUP(A72,'Classement RoC'!$B$2:$C$149,1,0)</f>
        <v>#N/A</v>
      </c>
      <c r="E72" s="163" t="str">
        <f t="shared" si="2"/>
        <v>#N/A</v>
      </c>
      <c r="F72" s="120" t="str">
        <f>VLOOKUP(A72,'Classement Général'!$B$2:$B$146,1,0)</f>
        <v>#N/A</v>
      </c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</row>
    <row r="73" ht="14.25" customHeight="1">
      <c r="A73" s="160"/>
      <c r="B73" s="161">
        <v>72.0</v>
      </c>
      <c r="C73" s="157">
        <f t="shared" si="1"/>
        <v>-280.0790071</v>
      </c>
      <c r="D73" s="158" t="str">
        <f>VLOOKUP(A73,'Classement RoC'!$B$2:$C$149,1,0)</f>
        <v>#N/A</v>
      </c>
      <c r="E73" s="163" t="str">
        <f t="shared" si="2"/>
        <v>#N/A</v>
      </c>
      <c r="F73" s="120" t="str">
        <f>VLOOKUP(A73,'Classement Général'!$B$2:$B$146,1,0)</f>
        <v>#N/A</v>
      </c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</row>
    <row r="74" ht="14.25" customHeight="1">
      <c r="A74" s="160"/>
      <c r="B74" s="156">
        <v>73.0</v>
      </c>
      <c r="C74" s="157">
        <f t="shared" si="1"/>
        <v>-289.452453</v>
      </c>
      <c r="D74" s="158" t="str">
        <f>VLOOKUP(A74,'Classement RoC'!$B$2:$C$149,1,0)</f>
        <v>#N/A</v>
      </c>
      <c r="E74" s="163" t="str">
        <f t="shared" si="2"/>
        <v>#N/A</v>
      </c>
      <c r="F74" s="120" t="str">
        <f>VLOOKUP(A74,'Classement Général'!$B$2:$B$146,1,0)</f>
        <v>#N/A</v>
      </c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</row>
    <row r="75" ht="14.25" customHeight="1">
      <c r="A75" s="160"/>
      <c r="B75" s="161">
        <v>74.0</v>
      </c>
      <c r="C75" s="157">
        <f t="shared" si="1"/>
        <v>-298.7720631</v>
      </c>
      <c r="D75" s="158" t="str">
        <f>VLOOKUP(A75,'Classement RoC'!$B$2:$C$149,1,0)</f>
        <v>#N/A</v>
      </c>
      <c r="E75" s="163" t="str">
        <f t="shared" si="2"/>
        <v>#N/A</v>
      </c>
      <c r="F75" s="120" t="str">
        <f>VLOOKUP(A75,'Classement Général'!$B$2:$B$146,1,0)</f>
        <v>#N/A</v>
      </c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</row>
    <row r="76" ht="14.25" customHeight="1">
      <c r="A76" s="160"/>
      <c r="B76" s="156">
        <v>75.0</v>
      </c>
      <c r="C76" s="157">
        <f t="shared" si="1"/>
        <v>-308.0391079</v>
      </c>
      <c r="D76" s="158" t="str">
        <f>VLOOKUP(A76,'Classement RoC'!$B$2:$C$149,1,0)</f>
        <v>#N/A</v>
      </c>
      <c r="E76" s="163" t="str">
        <f t="shared" si="2"/>
        <v>#N/A</v>
      </c>
      <c r="F76" s="120" t="str">
        <f>VLOOKUP(A76,'Classement Général'!$B$2:$B$146,1,0)</f>
        <v>#N/A</v>
      </c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</row>
    <row r="77" ht="14.25" customHeight="1">
      <c r="A77" s="160"/>
      <c r="B77" s="161">
        <v>76.0</v>
      </c>
      <c r="C77" s="157">
        <f t="shared" si="1"/>
        <v>-317.2548089</v>
      </c>
      <c r="D77" s="158" t="str">
        <f>VLOOKUP(A77,'Classement RoC'!$B$2:$C$149,1,0)</f>
        <v>#N/A</v>
      </c>
      <c r="E77" s="163" t="str">
        <f t="shared" si="2"/>
        <v>#N/A</v>
      </c>
      <c r="F77" s="120" t="str">
        <f>VLOOKUP(A77,'Classement Général'!$B$2:$B$146,1,0)</f>
        <v>#N/A</v>
      </c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</row>
    <row r="78" ht="14.25" customHeight="1">
      <c r="A78" s="160"/>
      <c r="B78" s="156">
        <v>77.0</v>
      </c>
      <c r="C78" s="157">
        <f t="shared" si="1"/>
        <v>-326.4203417</v>
      </c>
      <c r="D78" s="158" t="str">
        <f>VLOOKUP(A78,'Classement RoC'!$B$2:$C$149,1,0)</f>
        <v>#N/A</v>
      </c>
      <c r="E78" s="163" t="str">
        <f t="shared" si="2"/>
        <v>#N/A</v>
      </c>
      <c r="F78" s="120" t="str">
        <f>VLOOKUP(A78,'Classement Général'!$B$2:$B$146,1,0)</f>
        <v>#N/A</v>
      </c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</row>
    <row r="79" ht="14.25" customHeight="1">
      <c r="A79" s="160"/>
      <c r="B79" s="161">
        <v>78.0</v>
      </c>
      <c r="C79" s="157">
        <f t="shared" si="1"/>
        <v>-335.5368378</v>
      </c>
      <c r="D79" s="158" t="str">
        <f>VLOOKUP(A79,'Classement RoC'!$B$2:$C$149,1,0)</f>
        <v>#N/A</v>
      </c>
      <c r="E79" s="163" t="str">
        <f t="shared" si="2"/>
        <v>#N/A</v>
      </c>
      <c r="F79" s="120" t="str">
        <f>VLOOKUP(A79,'Classement Général'!$B$2:$B$146,1,0)</f>
        <v>#N/A</v>
      </c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</row>
    <row r="80" ht="14.25" customHeight="1">
      <c r="A80" s="160"/>
      <c r="B80" s="156">
        <v>79.0</v>
      </c>
      <c r="C80" s="157">
        <f t="shared" si="1"/>
        <v>-344.6053871</v>
      </c>
      <c r="D80" s="158" t="str">
        <f>VLOOKUP(A80,'Classement RoC'!$B$2:$C$149,1,0)</f>
        <v>#N/A</v>
      </c>
      <c r="E80" s="163" t="str">
        <f t="shared" si="2"/>
        <v>#N/A</v>
      </c>
      <c r="F80" s="120" t="str">
        <f>VLOOKUP(A80,'Classement Général'!$B$2:$B$146,1,0)</f>
        <v>#N/A</v>
      </c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</row>
    <row r="81" ht="14.25" customHeight="1">
      <c r="A81" s="160"/>
      <c r="B81" s="161">
        <v>80.0</v>
      </c>
      <c r="C81" s="157">
        <f t="shared" si="1"/>
        <v>-353.6270399</v>
      </c>
      <c r="D81" s="158" t="str">
        <f>VLOOKUP(A81,'Classement RoC'!$B$2:$C$149,1,0)</f>
        <v>#N/A</v>
      </c>
      <c r="E81" s="163" t="str">
        <f t="shared" si="2"/>
        <v>#N/A</v>
      </c>
      <c r="F81" s="120" t="str">
        <f>VLOOKUP(A81,'Classement Général'!$B$2:$B$146,1,0)</f>
        <v>#N/A</v>
      </c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</row>
    <row r="82" ht="14.25" customHeight="1">
      <c r="A82" s="160"/>
      <c r="B82" s="156">
        <v>81.0</v>
      </c>
      <c r="C82" s="157">
        <f t="shared" si="1"/>
        <v>-362.602809</v>
      </c>
      <c r="D82" s="158" t="str">
        <f>VLOOKUP(A82,'Classement RoC'!$B$2:$C$149,1,0)</f>
        <v>#N/A</v>
      </c>
      <c r="E82" s="163" t="str">
        <f t="shared" si="2"/>
        <v>#N/A</v>
      </c>
      <c r="F82" s="120" t="str">
        <f>VLOOKUP(A82,'Classement Général'!$B$2:$B$146,1,0)</f>
        <v>#N/A</v>
      </c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</row>
    <row r="83" ht="14.25" customHeight="1">
      <c r="A83" s="160"/>
      <c r="B83" s="161">
        <v>82.0</v>
      </c>
      <c r="C83" s="157">
        <f t="shared" si="1"/>
        <v>-371.5336713</v>
      </c>
      <c r="D83" s="158" t="str">
        <f>VLOOKUP(A83,'Classement RoC'!$B$2:$C$149,1,0)</f>
        <v>#N/A</v>
      </c>
      <c r="E83" s="163" t="str">
        <f t="shared" si="2"/>
        <v>#N/A</v>
      </c>
      <c r="F83" s="120" t="str">
        <f>VLOOKUP(A83,'Classement Général'!$B$2:$B$146,1,0)</f>
        <v>#N/A</v>
      </c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</row>
    <row r="84" ht="14.25" customHeight="1">
      <c r="A84" s="160"/>
      <c r="B84" s="156">
        <v>83.0</v>
      </c>
      <c r="C84" s="157">
        <f t="shared" si="1"/>
        <v>-380.4205697</v>
      </c>
      <c r="D84" s="158" t="str">
        <f>VLOOKUP(A84,'Classement RoC'!$B$2:$C$149,1,0)</f>
        <v>#N/A</v>
      </c>
      <c r="E84" s="163" t="str">
        <f t="shared" si="2"/>
        <v>#N/A</v>
      </c>
      <c r="F84" s="120" t="str">
        <f>VLOOKUP(A84,'Classement Général'!$B$2:$B$146,1,0)</f>
        <v>#N/A</v>
      </c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</row>
    <row r="85" ht="14.25" customHeight="1">
      <c r="A85" s="160"/>
      <c r="B85" s="161">
        <v>84.0</v>
      </c>
      <c r="C85" s="157">
        <f t="shared" si="1"/>
        <v>-389.2644146</v>
      </c>
      <c r="D85" s="158" t="str">
        <f>VLOOKUP(A85,'Classement RoC'!$B$2:$C$149,1,0)</f>
        <v>#N/A</v>
      </c>
      <c r="E85" s="163" t="str">
        <f t="shared" si="2"/>
        <v>#N/A</v>
      </c>
      <c r="F85" s="120" t="str">
        <f>VLOOKUP(A85,'Classement Général'!$B$2:$B$146,1,0)</f>
        <v>#N/A</v>
      </c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</row>
    <row r="86" ht="14.25" customHeight="1">
      <c r="A86" s="160"/>
      <c r="B86" s="156">
        <v>85.0</v>
      </c>
      <c r="C86" s="157">
        <f t="shared" si="1"/>
        <v>-398.0660854</v>
      </c>
      <c r="D86" s="158" t="str">
        <f>VLOOKUP(A86,'Classement RoC'!$B$2:$C$149,1,0)</f>
        <v>#N/A</v>
      </c>
      <c r="E86" s="163" t="str">
        <f t="shared" si="2"/>
        <v>#N/A</v>
      </c>
      <c r="F86" s="120" t="str">
        <f>VLOOKUP(A86,'Classement Général'!$B$2:$B$146,1,0)</f>
        <v>#N/A</v>
      </c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</row>
    <row r="87" ht="14.25" customHeight="1">
      <c r="A87" s="160"/>
      <c r="B87" s="161">
        <v>86.0</v>
      </c>
      <c r="C87" s="157">
        <f t="shared" si="1"/>
        <v>-406.8264322</v>
      </c>
      <c r="D87" s="158" t="str">
        <f>VLOOKUP(A87,'Classement RoC'!$B$2:$C$149,1,0)</f>
        <v>#N/A</v>
      </c>
      <c r="E87" s="163" t="str">
        <f t="shared" si="2"/>
        <v>#N/A</v>
      </c>
      <c r="F87" s="120" t="str">
        <f>VLOOKUP(A87,'Classement Général'!$B$2:$B$146,1,0)</f>
        <v>#N/A</v>
      </c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</row>
    <row r="88" ht="14.25" customHeight="1">
      <c r="A88" s="160"/>
      <c r="B88" s="156">
        <v>87.0</v>
      </c>
      <c r="C88" s="157">
        <f t="shared" si="1"/>
        <v>-415.5462766</v>
      </c>
      <c r="D88" s="158" t="str">
        <f>VLOOKUP(A88,'Classement RoC'!$B$2:$C$149,1,0)</f>
        <v>#N/A</v>
      </c>
      <c r="E88" s="163" t="str">
        <f t="shared" si="2"/>
        <v>#N/A</v>
      </c>
      <c r="F88" s="120" t="str">
        <f>VLOOKUP(A88,'Classement Général'!$B$2:$B$146,1,0)</f>
        <v>#N/A</v>
      </c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</row>
    <row r="89" ht="14.25" customHeight="1">
      <c r="A89" s="160"/>
      <c r="B89" s="161">
        <v>88.0</v>
      </c>
      <c r="C89" s="157">
        <f t="shared" si="1"/>
        <v>-424.2264137</v>
      </c>
      <c r="D89" s="158" t="str">
        <f>VLOOKUP(A89,'Classement RoC'!$B$2:$C$149,1,0)</f>
        <v>#N/A</v>
      </c>
      <c r="E89" s="163" t="str">
        <f t="shared" si="2"/>
        <v>#N/A</v>
      </c>
      <c r="F89" s="120" t="str">
        <f>VLOOKUP(A89,'Classement Général'!$B$2:$B$146,1,0)</f>
        <v>#N/A</v>
      </c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</row>
    <row r="90" ht="14.25" customHeight="1">
      <c r="A90" s="160"/>
      <c r="B90" s="156">
        <v>89.0</v>
      </c>
      <c r="C90" s="157">
        <f t="shared" si="1"/>
        <v>-432.8676126</v>
      </c>
      <c r="D90" s="158" t="str">
        <f>VLOOKUP(A90,'Classement RoC'!$B$2:$C$149,1,0)</f>
        <v>#N/A</v>
      </c>
      <c r="E90" s="163" t="str">
        <f t="shared" si="2"/>
        <v>#N/A</v>
      </c>
      <c r="F90" s="120" t="str">
        <f>VLOOKUP(A90,'Classement Général'!$B$2:$B$146,1,0)</f>
        <v>#N/A</v>
      </c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</row>
    <row r="91" ht="14.25" customHeight="1">
      <c r="A91" s="160"/>
      <c r="B91" s="161">
        <v>90.0</v>
      </c>
      <c r="C91" s="157">
        <f t="shared" si="1"/>
        <v>-441.470618</v>
      </c>
      <c r="D91" s="158" t="str">
        <f>VLOOKUP(A91,'Classement RoC'!$B$2:$C$149,1,0)</f>
        <v>#N/A</v>
      </c>
      <c r="E91" s="163" t="str">
        <f t="shared" si="2"/>
        <v>#N/A</v>
      </c>
      <c r="F91" s="120" t="str">
        <f>VLOOKUP(A91,'Classement Général'!$B$2:$B$146,1,0)</f>
        <v>#N/A</v>
      </c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</row>
    <row r="92" ht="14.25" customHeight="1">
      <c r="A92" s="160"/>
      <c r="B92" s="156">
        <v>91.0</v>
      </c>
      <c r="C92" s="157">
        <f t="shared" si="1"/>
        <v>-450.036151</v>
      </c>
      <c r="D92" s="158" t="str">
        <f>VLOOKUP(A92,'Classement RoC'!$B$2:$C$149,1,0)</f>
        <v>#N/A</v>
      </c>
      <c r="E92" s="163" t="str">
        <f t="shared" si="2"/>
        <v>#N/A</v>
      </c>
      <c r="F92" s="120" t="str">
        <f>VLOOKUP(A92,'Classement Général'!$B$2:$B$146,1,0)</f>
        <v>#N/A</v>
      </c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</row>
    <row r="93" ht="14.25" customHeight="1">
      <c r="A93" s="160"/>
      <c r="B93" s="161">
        <v>92.0</v>
      </c>
      <c r="C93" s="157">
        <f t="shared" si="1"/>
        <v>-458.5649103</v>
      </c>
      <c r="D93" s="158" t="str">
        <f>VLOOKUP(A93,'Classement RoC'!$B$2:$C$149,1,0)</f>
        <v>#N/A</v>
      </c>
      <c r="E93" s="163" t="str">
        <f t="shared" si="2"/>
        <v>#N/A</v>
      </c>
      <c r="F93" s="120" t="str">
        <f>VLOOKUP(A93,'Classement Général'!$B$2:$B$146,1,0)</f>
        <v>#N/A</v>
      </c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</row>
    <row r="94" ht="14.25" customHeight="1">
      <c r="A94" s="160"/>
      <c r="B94" s="156">
        <v>93.0</v>
      </c>
      <c r="C94" s="157">
        <f t="shared" si="1"/>
        <v>-467.0575731</v>
      </c>
      <c r="D94" s="158" t="str">
        <f>VLOOKUP(A94,'Classement RoC'!$B$2:$C$149,1,0)</f>
        <v>#N/A</v>
      </c>
      <c r="E94" s="163" t="str">
        <f t="shared" si="2"/>
        <v>#N/A</v>
      </c>
      <c r="F94" s="120" t="str">
        <f>VLOOKUP(A94,'Classement Général'!$B$2:$B$146,1,0)</f>
        <v>#N/A</v>
      </c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</row>
    <row r="95" ht="14.25" customHeight="1">
      <c r="A95" s="160"/>
      <c r="B95" s="161">
        <v>94.0</v>
      </c>
      <c r="C95" s="157">
        <f t="shared" si="1"/>
        <v>-475.5147958</v>
      </c>
      <c r="D95" s="158" t="str">
        <f>VLOOKUP(A95,'Classement RoC'!$B$2:$C$149,1,0)</f>
        <v>#N/A</v>
      </c>
      <c r="E95" s="163" t="str">
        <f t="shared" si="2"/>
        <v>#N/A</v>
      </c>
      <c r="F95" s="120" t="str">
        <f>VLOOKUP(A95,'Classement Général'!$B$2:$B$146,1,0)</f>
        <v>#N/A</v>
      </c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</row>
    <row r="96" ht="14.25" customHeight="1">
      <c r="A96" s="160"/>
      <c r="B96" s="156">
        <v>95.0</v>
      </c>
      <c r="C96" s="157">
        <f t="shared" si="1"/>
        <v>-483.9372153</v>
      </c>
      <c r="D96" s="158" t="str">
        <f>VLOOKUP(A96,'Classement RoC'!$B$2:$C$149,1,0)</f>
        <v>#N/A</v>
      </c>
      <c r="E96" s="163" t="str">
        <f t="shared" si="2"/>
        <v>#N/A</v>
      </c>
      <c r="F96" s="120" t="str">
        <f>VLOOKUP(A96,'Classement Général'!$B$2:$B$146,1,0)</f>
        <v>#N/A</v>
      </c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</row>
    <row r="97" ht="14.25" customHeight="1">
      <c r="A97" s="160"/>
      <c r="B97" s="161">
        <v>96.0</v>
      </c>
      <c r="C97" s="157">
        <f t="shared" si="1"/>
        <v>-492.3254493</v>
      </c>
      <c r="D97" s="158" t="str">
        <f>VLOOKUP(A97,'Classement RoC'!$B$2:$C$149,1,0)</f>
        <v>#N/A</v>
      </c>
      <c r="E97" s="163" t="str">
        <f t="shared" si="2"/>
        <v>#N/A</v>
      </c>
      <c r="F97" s="120" t="str">
        <f>VLOOKUP(A97,'Classement Général'!$B$2:$B$146,1,0)</f>
        <v>#N/A</v>
      </c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</row>
    <row r="98" ht="14.25" customHeight="1">
      <c r="A98" s="160"/>
      <c r="B98" s="156">
        <v>97.0</v>
      </c>
      <c r="C98" s="157">
        <f t="shared" si="1"/>
        <v>-500.6800975</v>
      </c>
      <c r="D98" s="158" t="str">
        <f>VLOOKUP(A98,'Classement RoC'!$B$2:$C$149,1,0)</f>
        <v>#N/A</v>
      </c>
      <c r="E98" s="163" t="str">
        <f t="shared" si="2"/>
        <v>#N/A</v>
      </c>
      <c r="F98" s="120" t="str">
        <f>VLOOKUP(A98,'Classement Général'!$B$2:$B$146,1,0)</f>
        <v>#N/A</v>
      </c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</row>
    <row r="99" ht="14.25" customHeight="1">
      <c r="A99" s="160"/>
      <c r="B99" s="161">
        <v>98.0</v>
      </c>
      <c r="C99" s="157">
        <f t="shared" si="1"/>
        <v>-509.0017421</v>
      </c>
      <c r="D99" s="158" t="str">
        <f>VLOOKUP(A99,'Classement RoC'!$B$2:$C$149,1,0)</f>
        <v>#N/A</v>
      </c>
      <c r="E99" s="163" t="str">
        <f t="shared" si="2"/>
        <v>#N/A</v>
      </c>
      <c r="F99" s="120" t="str">
        <f>VLOOKUP(A99,'Classement Général'!$B$2:$B$146,1,0)</f>
        <v>#N/A</v>
      </c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</row>
    <row r="100" ht="14.25" customHeight="1">
      <c r="A100" s="160"/>
      <c r="B100" s="156">
        <v>99.0</v>
      </c>
      <c r="C100" s="157">
        <f t="shared" si="1"/>
        <v>-517.2909485</v>
      </c>
      <c r="D100" s="158" t="str">
        <f>VLOOKUP(A100,'Classement RoC'!$B$2:$C$149,1,0)</f>
        <v>#N/A</v>
      </c>
      <c r="E100" s="163" t="str">
        <f t="shared" si="2"/>
        <v>#N/A</v>
      </c>
      <c r="F100" s="120" t="str">
        <f>VLOOKUP(A100,'Classement Général'!$B$2:$B$146,1,0)</f>
        <v>#N/A</v>
      </c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</row>
    <row r="101" ht="14.25" customHeight="1">
      <c r="A101" s="160"/>
      <c r="B101" s="161">
        <v>100.0</v>
      </c>
      <c r="C101" s="157">
        <f t="shared" si="1"/>
        <v>-525.5482661</v>
      </c>
      <c r="D101" s="158" t="str">
        <f>VLOOKUP(A101,'Classement RoC'!$B$2:$C$149,1,0)</f>
        <v>#N/A</v>
      </c>
      <c r="E101" s="163" t="str">
        <f t="shared" si="2"/>
        <v>#N/A</v>
      </c>
      <c r="F101" s="120" t="str">
        <f>VLOOKUP(A101,'Classement Général'!$B$2:$B$146,1,0)</f>
        <v>#N/A</v>
      </c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</row>
    <row r="102" ht="14.25" customHeight="1">
      <c r="A102" s="160"/>
      <c r="B102" s="156">
        <v>101.0</v>
      </c>
      <c r="C102" s="157">
        <f t="shared" si="1"/>
        <v>-533.7742287</v>
      </c>
      <c r="D102" s="158" t="str">
        <f>VLOOKUP(A102,'Classement RoC'!$B$2:$C$149,1,0)</f>
        <v>#N/A</v>
      </c>
      <c r="E102" s="163" t="str">
        <f t="shared" si="2"/>
        <v>#N/A</v>
      </c>
      <c r="F102" s="120" t="str">
        <f>VLOOKUP(A102,'Classement Général'!$B$2:$B$146,1,0)</f>
        <v>#N/A</v>
      </c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</row>
    <row r="103" ht="14.25" customHeight="1">
      <c r="A103" s="160"/>
      <c r="B103" s="161">
        <v>102.0</v>
      </c>
      <c r="C103" s="157">
        <f t="shared" si="1"/>
        <v>-541.9693553</v>
      </c>
      <c r="D103" s="158" t="str">
        <f>VLOOKUP(A103,'Classement RoC'!$B$2:$C$149,1,0)</f>
        <v>#N/A</v>
      </c>
      <c r="E103" s="163" t="str">
        <f t="shared" si="2"/>
        <v>#N/A</v>
      </c>
      <c r="F103" s="120" t="str">
        <f>VLOOKUP(A103,'Classement Général'!$B$2:$B$146,1,0)</f>
        <v>#N/A</v>
      </c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</row>
    <row r="104" ht="14.25" customHeight="1">
      <c r="A104" s="160"/>
      <c r="B104" s="156">
        <v>103.0</v>
      </c>
      <c r="C104" s="157">
        <f t="shared" si="1"/>
        <v>-550.1341506</v>
      </c>
      <c r="D104" s="158" t="str">
        <f>VLOOKUP(A104,'Classement RoC'!$B$2:$C$149,1,0)</f>
        <v>#N/A</v>
      </c>
      <c r="E104" s="163" t="str">
        <f t="shared" si="2"/>
        <v>#N/A</v>
      </c>
      <c r="F104" s="120" t="str">
        <f>VLOOKUP(A104,'Classement Général'!$B$2:$B$146,1,0)</f>
        <v>#N/A</v>
      </c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</row>
    <row r="105" ht="14.25" customHeight="1">
      <c r="A105" s="160"/>
      <c r="B105" s="161">
        <v>104.0</v>
      </c>
      <c r="C105" s="157">
        <f t="shared" si="1"/>
        <v>-558.2691057</v>
      </c>
      <c r="D105" s="158" t="str">
        <f>VLOOKUP(A105,'Classement RoC'!$B$2:$C$149,1,0)</f>
        <v>#N/A</v>
      </c>
      <c r="E105" s="163" t="str">
        <f t="shared" si="2"/>
        <v>#N/A</v>
      </c>
      <c r="F105" s="120" t="str">
        <f>VLOOKUP(A105,'Classement Général'!$B$2:$B$146,1,0)</f>
        <v>#N/A</v>
      </c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</row>
    <row r="106" ht="14.25" customHeight="1">
      <c r="A106" s="160"/>
      <c r="B106" s="156">
        <v>105.0</v>
      </c>
      <c r="C106" s="157">
        <f t="shared" si="1"/>
        <v>-566.3746981</v>
      </c>
      <c r="D106" s="158" t="str">
        <f>VLOOKUP(A106,'Classement RoC'!$B$2:$C$149,1,0)</f>
        <v>#N/A</v>
      </c>
      <c r="E106" s="163" t="str">
        <f t="shared" si="2"/>
        <v>#N/A</v>
      </c>
      <c r="F106" s="120" t="str">
        <f>VLOOKUP(A106,'Classement Général'!$B$2:$B$146,1,0)</f>
        <v>#N/A</v>
      </c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</row>
    <row r="107" ht="14.25" customHeight="1">
      <c r="A107" s="160"/>
      <c r="B107" s="161">
        <v>106.0</v>
      </c>
      <c r="C107" s="157">
        <f t="shared" si="1"/>
        <v>-574.4513928</v>
      </c>
      <c r="D107" s="158" t="str">
        <f>VLOOKUP(A107,'Classement RoC'!$B$2:$C$149,1,0)</f>
        <v>#N/A</v>
      </c>
      <c r="E107" s="163" t="str">
        <f t="shared" si="2"/>
        <v>#N/A</v>
      </c>
      <c r="F107" s="120" t="str">
        <f>VLOOKUP(A107,'Classement Général'!$B$2:$B$146,1,0)</f>
        <v>#N/A</v>
      </c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</row>
    <row r="108" ht="14.25" customHeight="1">
      <c r="A108" s="160"/>
      <c r="B108" s="156">
        <v>107.0</v>
      </c>
      <c r="C108" s="157">
        <f t="shared" si="1"/>
        <v>-582.4996425</v>
      </c>
      <c r="D108" s="158" t="str">
        <f>VLOOKUP(A108,'Classement RoC'!$B$2:$C$149,1,0)</f>
        <v>#N/A</v>
      </c>
      <c r="E108" s="163" t="str">
        <f t="shared" si="2"/>
        <v>#N/A</v>
      </c>
      <c r="F108" s="120" t="str">
        <f>VLOOKUP(A108,'Classement Général'!$B$2:$B$146,1,0)</f>
        <v>#N/A</v>
      </c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</row>
    <row r="109" ht="14.25" customHeight="1">
      <c r="A109" s="160"/>
      <c r="B109" s="161">
        <v>108.0</v>
      </c>
      <c r="C109" s="157">
        <f t="shared" si="1"/>
        <v>-590.5198879</v>
      </c>
      <c r="D109" s="158" t="str">
        <f>VLOOKUP(A109,'Classement RoC'!$B$2:$C$149,1,0)</f>
        <v>#N/A</v>
      </c>
      <c r="E109" s="163" t="str">
        <f t="shared" si="2"/>
        <v>#N/A</v>
      </c>
      <c r="F109" s="120" t="str">
        <f>VLOOKUP(A109,'Classement Général'!$B$2:$B$146,1,0)</f>
        <v>#N/A</v>
      </c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</row>
    <row r="110" ht="14.25" customHeight="1">
      <c r="A110" s="160"/>
      <c r="B110" s="156">
        <v>109.0</v>
      </c>
      <c r="C110" s="157">
        <f t="shared" si="1"/>
        <v>-598.5125585</v>
      </c>
      <c r="D110" s="158" t="str">
        <f>VLOOKUP(A110,'Classement RoC'!$B$2:$C$149,1,0)</f>
        <v>#N/A</v>
      </c>
      <c r="E110" s="163" t="str">
        <f t="shared" si="2"/>
        <v>#N/A</v>
      </c>
      <c r="F110" s="120" t="str">
        <f>VLOOKUP(A110,'Classement Général'!$B$2:$B$146,1,0)</f>
        <v>#N/A</v>
      </c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</row>
    <row r="111" ht="14.25" customHeight="1">
      <c r="A111" s="160"/>
      <c r="B111" s="161">
        <v>110.0</v>
      </c>
      <c r="C111" s="157">
        <f t="shared" si="1"/>
        <v>-606.4780726</v>
      </c>
      <c r="D111" s="158" t="str">
        <f>VLOOKUP(A111,'Classement RoC'!$B$2:$C$149,1,0)</f>
        <v>#N/A</v>
      </c>
      <c r="E111" s="163" t="str">
        <f t="shared" si="2"/>
        <v>#N/A</v>
      </c>
      <c r="F111" s="120" t="str">
        <f>VLOOKUP(A111,'Classement Général'!$B$2:$B$146,1,0)</f>
        <v>#N/A</v>
      </c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</row>
    <row r="112" ht="14.25" customHeight="1">
      <c r="A112" s="160"/>
      <c r="B112" s="156">
        <v>111.0</v>
      </c>
      <c r="C112" s="157">
        <f t="shared" si="1"/>
        <v>-614.4168379</v>
      </c>
      <c r="D112" s="158" t="str">
        <f>VLOOKUP(A112,'Classement RoC'!$B$2:$C$149,1,0)</f>
        <v>#N/A</v>
      </c>
      <c r="E112" s="163" t="str">
        <f t="shared" si="2"/>
        <v>#N/A</v>
      </c>
      <c r="F112" s="120" t="str">
        <f>VLOOKUP(A112,'Classement Général'!$B$2:$B$146,1,0)</f>
        <v>#N/A</v>
      </c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</row>
    <row r="113" ht="14.25" customHeight="1">
      <c r="A113" s="160"/>
      <c r="B113" s="161">
        <v>112.0</v>
      </c>
      <c r="C113" s="157">
        <f t="shared" si="1"/>
        <v>-622.3292521</v>
      </c>
      <c r="D113" s="158" t="str">
        <f>VLOOKUP(A113,'Classement RoC'!$B$2:$C$149,1,0)</f>
        <v>#N/A</v>
      </c>
      <c r="E113" s="163" t="str">
        <f t="shared" si="2"/>
        <v>#N/A</v>
      </c>
      <c r="F113" s="120" t="str">
        <f>VLOOKUP(A113,'Classement Général'!$B$2:$B$146,1,0)</f>
        <v>#N/A</v>
      </c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</row>
    <row r="114" ht="14.25" customHeight="1">
      <c r="A114" s="160"/>
      <c r="B114" s="156">
        <v>113.0</v>
      </c>
      <c r="C114" s="157">
        <f t="shared" si="1"/>
        <v>-630.2157025</v>
      </c>
      <c r="D114" s="158" t="str">
        <f>VLOOKUP(A114,'Classement RoC'!$B$2:$C$149,1,0)</f>
        <v>#N/A</v>
      </c>
      <c r="E114" s="163" t="str">
        <f t="shared" si="2"/>
        <v>#N/A</v>
      </c>
      <c r="F114" s="120" t="str">
        <f>VLOOKUP(A114,'Classement Général'!$B$2:$B$146,1,0)</f>
        <v>#N/A</v>
      </c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</row>
    <row r="115" ht="14.25" customHeight="1">
      <c r="A115" s="160"/>
      <c r="B115" s="161">
        <v>114.0</v>
      </c>
      <c r="C115" s="157">
        <f t="shared" si="1"/>
        <v>-638.0765674</v>
      </c>
      <c r="D115" s="158" t="str">
        <f>VLOOKUP(A115,'Classement RoC'!$B$2:$C$149,1,0)</f>
        <v>#N/A</v>
      </c>
      <c r="E115" s="163" t="str">
        <f t="shared" si="2"/>
        <v>#N/A</v>
      </c>
      <c r="F115" s="120" t="str">
        <f>VLOOKUP(A115,'Classement Général'!$B$2:$B$146,1,0)</f>
        <v>#N/A</v>
      </c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</row>
    <row r="116" ht="14.25" customHeight="1">
      <c r="A116" s="160"/>
      <c r="B116" s="156">
        <v>115.0</v>
      </c>
      <c r="C116" s="157">
        <f t="shared" si="1"/>
        <v>-645.9122155</v>
      </c>
      <c r="D116" s="158" t="str">
        <f>VLOOKUP(A116,'Classement RoC'!$B$2:$C$149,1,0)</f>
        <v>#N/A</v>
      </c>
      <c r="E116" s="163" t="str">
        <f t="shared" si="2"/>
        <v>#N/A</v>
      </c>
      <c r="F116" s="120" t="str">
        <f>VLOOKUP(A116,'Classement Général'!$B$2:$B$146,1,0)</f>
        <v>#N/A</v>
      </c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</row>
    <row r="117" ht="14.25" customHeight="1">
      <c r="A117" s="160"/>
      <c r="B117" s="161">
        <v>116.0</v>
      </c>
      <c r="C117" s="157">
        <f t="shared" si="1"/>
        <v>-653.7230067</v>
      </c>
      <c r="D117" s="158" t="str">
        <f>VLOOKUP(A117,'Classement RoC'!$B$2:$C$149,1,0)</f>
        <v>#N/A</v>
      </c>
      <c r="E117" s="163" t="str">
        <f t="shared" si="2"/>
        <v>#N/A</v>
      </c>
      <c r="F117" s="120" t="str">
        <f>VLOOKUP(A117,'Classement Général'!$B$2:$B$146,1,0)</f>
        <v>#N/A</v>
      </c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</row>
    <row r="118" ht="14.25" customHeight="1">
      <c r="A118" s="160"/>
      <c r="B118" s="156">
        <v>117.0</v>
      </c>
      <c r="C118" s="157">
        <f t="shared" si="1"/>
        <v>-661.5092922</v>
      </c>
      <c r="D118" s="158" t="str">
        <f>VLOOKUP(A118,'Classement RoC'!$B$2:$C$149,1,0)</f>
        <v>#N/A</v>
      </c>
      <c r="E118" s="163" t="str">
        <f t="shared" si="2"/>
        <v>#N/A</v>
      </c>
      <c r="F118" s="120" t="str">
        <f>VLOOKUP(A118,'Classement Général'!$B$2:$B$146,1,0)</f>
        <v>#N/A</v>
      </c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</row>
    <row r="119" ht="14.25" customHeight="1">
      <c r="A119" s="160"/>
      <c r="B119" s="161">
        <v>118.0</v>
      </c>
      <c r="C119" s="157">
        <f t="shared" si="1"/>
        <v>-669.2714149</v>
      </c>
      <c r="D119" s="158" t="str">
        <f>VLOOKUP(A119,'Classement RoC'!$B$2:$C$149,1,0)</f>
        <v>#N/A</v>
      </c>
      <c r="E119" s="163" t="str">
        <f t="shared" si="2"/>
        <v>#N/A</v>
      </c>
      <c r="F119" s="120" t="str">
        <f>VLOOKUP(A119,'Classement Général'!$B$2:$B$146,1,0)</f>
        <v>#N/A</v>
      </c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</row>
    <row r="120" ht="14.25" customHeight="1">
      <c r="A120" s="160"/>
      <c r="B120" s="156">
        <v>119.0</v>
      </c>
      <c r="C120" s="157">
        <f t="shared" si="1"/>
        <v>-677.0097098</v>
      </c>
      <c r="D120" s="158" t="str">
        <f>VLOOKUP(A120,'Classement RoC'!$B$2:$C$149,1,0)</f>
        <v>#N/A</v>
      </c>
      <c r="E120" s="163" t="str">
        <f t="shared" si="2"/>
        <v>#N/A</v>
      </c>
      <c r="F120" s="120" t="str">
        <f>VLOOKUP(A120,'Classement Général'!$B$2:$B$146,1,0)</f>
        <v>#N/A</v>
      </c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</row>
    <row r="121" ht="14.25" customHeight="1">
      <c r="A121" s="160"/>
      <c r="B121" s="161">
        <v>120.0</v>
      </c>
      <c r="C121" s="157">
        <f t="shared" si="1"/>
        <v>-684.7245038</v>
      </c>
      <c r="D121" s="158" t="str">
        <f>VLOOKUP(A121,'Classement RoC'!$B$2:$C$149,1,0)</f>
        <v>#N/A</v>
      </c>
      <c r="E121" s="163" t="str">
        <f t="shared" si="2"/>
        <v>#N/A</v>
      </c>
      <c r="F121" s="120" t="str">
        <f>VLOOKUP(A121,'Classement Général'!$B$2:$B$146,1,0)</f>
        <v>#N/A</v>
      </c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</row>
    <row r="122" ht="14.25" customHeight="1">
      <c r="A122" s="160"/>
      <c r="B122" s="156">
        <v>121.0</v>
      </c>
      <c r="C122" s="157">
        <f t="shared" si="1"/>
        <v>-692.4161164</v>
      </c>
      <c r="D122" s="158" t="str">
        <f>VLOOKUP(A122,'Classement RoC'!$B$2:$C$149,1,0)</f>
        <v>#N/A</v>
      </c>
      <c r="E122" s="163" t="str">
        <f t="shared" si="2"/>
        <v>#N/A</v>
      </c>
      <c r="F122" s="120" t="str">
        <f>VLOOKUP(A122,'Classement Général'!$B$2:$B$146,1,0)</f>
        <v>#N/A</v>
      </c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</row>
    <row r="123" ht="14.25" customHeight="1">
      <c r="A123" s="160"/>
      <c r="B123" s="161">
        <v>122.0</v>
      </c>
      <c r="C123" s="157">
        <f t="shared" si="1"/>
        <v>-700.0848598</v>
      </c>
      <c r="D123" s="158" t="str">
        <f>VLOOKUP(A123,'Classement RoC'!$B$2:$C$149,1,0)</f>
        <v>#N/A</v>
      </c>
      <c r="E123" s="163" t="str">
        <f t="shared" si="2"/>
        <v>#N/A</v>
      </c>
      <c r="F123" s="120" t="str">
        <f>VLOOKUP(A123,'Classement Général'!$B$2:$B$146,1,0)</f>
        <v>#N/A</v>
      </c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</row>
    <row r="124" ht="14.25" customHeight="1">
      <c r="A124" s="160"/>
      <c r="B124" s="156">
        <v>123.0</v>
      </c>
      <c r="C124" s="157">
        <f t="shared" si="1"/>
        <v>-707.731039</v>
      </c>
      <c r="D124" s="158" t="str">
        <f>VLOOKUP(A124,'Classement RoC'!$B$2:$C$149,1,0)</f>
        <v>#N/A</v>
      </c>
      <c r="E124" s="163" t="str">
        <f t="shared" si="2"/>
        <v>#N/A</v>
      </c>
      <c r="F124" s="120" t="str">
        <f>VLOOKUP(A124,'Classement Général'!$B$2:$B$146,1,0)</f>
        <v>#N/A</v>
      </c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</row>
    <row r="125" ht="14.25" customHeight="1">
      <c r="A125" s="160"/>
      <c r="B125" s="161">
        <v>124.0</v>
      </c>
      <c r="C125" s="157">
        <f t="shared" si="1"/>
        <v>-715.3549523</v>
      </c>
      <c r="D125" s="158" t="str">
        <f>VLOOKUP(A125,'Classement RoC'!$B$2:$C$149,1,0)</f>
        <v>#N/A</v>
      </c>
      <c r="E125" s="163" t="str">
        <f t="shared" si="2"/>
        <v>#N/A</v>
      </c>
      <c r="F125" s="120" t="str">
        <f>VLOOKUP(A125,'Classement Général'!$B$2:$B$146,1,0)</f>
        <v>#N/A</v>
      </c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</row>
    <row r="126" ht="14.25" customHeight="1">
      <c r="A126" s="160"/>
      <c r="B126" s="156">
        <v>125.0</v>
      </c>
      <c r="C126" s="157">
        <f t="shared" si="1"/>
        <v>-722.9568913</v>
      </c>
      <c r="D126" s="158" t="str">
        <f>VLOOKUP(A126,'Classement RoC'!$B$2:$C$149,1,0)</f>
        <v>#N/A</v>
      </c>
      <c r="E126" s="163" t="str">
        <f t="shared" si="2"/>
        <v>#N/A</v>
      </c>
      <c r="F126" s="120" t="str">
        <f>VLOOKUP(A126,'Classement Général'!$B$2:$B$146,1,0)</f>
        <v>#N/A</v>
      </c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</row>
    <row r="127" ht="14.25" customHeight="1">
      <c r="A127" s="160"/>
      <c r="B127" s="161">
        <v>126.0</v>
      </c>
      <c r="C127" s="157">
        <f t="shared" si="1"/>
        <v>-730.537141</v>
      </c>
      <c r="D127" s="158" t="str">
        <f>VLOOKUP(A127,'Classement RoC'!$B$2:$C$149,1,0)</f>
        <v>#N/A</v>
      </c>
      <c r="E127" s="163" t="str">
        <f t="shared" si="2"/>
        <v>#N/A</v>
      </c>
      <c r="F127" s="120" t="str">
        <f>VLOOKUP(A127,'Classement Général'!$B$2:$B$146,1,0)</f>
        <v>#N/A</v>
      </c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</row>
    <row r="128" ht="14.25" customHeight="1">
      <c r="A128" s="160"/>
      <c r="B128" s="156">
        <v>127.0</v>
      </c>
      <c r="C128" s="157">
        <f t="shared" si="1"/>
        <v>-738.0959804</v>
      </c>
      <c r="D128" s="158" t="str">
        <f>VLOOKUP(A128,'Classement RoC'!$B$2:$C$149,1,0)</f>
        <v>#N/A</v>
      </c>
      <c r="E128" s="163" t="str">
        <f t="shared" si="2"/>
        <v>#N/A</v>
      </c>
      <c r="F128" s="120" t="str">
        <f>VLOOKUP(A128,'Classement Général'!$B$2:$B$146,1,0)</f>
        <v>#N/A</v>
      </c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</row>
    <row r="129" ht="14.25" customHeight="1">
      <c r="A129" s="160"/>
      <c r="B129" s="161">
        <v>128.0</v>
      </c>
      <c r="C129" s="157">
        <f t="shared" si="1"/>
        <v>-745.6336823</v>
      </c>
      <c r="D129" s="158" t="str">
        <f>VLOOKUP(A129,'Classement RoC'!$B$2:$C$149,1,0)</f>
        <v>#N/A</v>
      </c>
      <c r="E129" s="163" t="str">
        <f t="shared" si="2"/>
        <v>#N/A</v>
      </c>
      <c r="F129" s="120" t="str">
        <f>VLOOKUP(A129,'Classement Général'!$B$2:$B$146,1,0)</f>
        <v>#N/A</v>
      </c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</row>
    <row r="130" ht="14.25" customHeight="1">
      <c r="A130" s="160"/>
      <c r="B130" s="156">
        <v>129.0</v>
      </c>
      <c r="C130" s="157">
        <f t="shared" si="1"/>
        <v>-753.1505135</v>
      </c>
      <c r="D130" s="158" t="str">
        <f>VLOOKUP(A130,'Classement RoC'!$B$2:$C$149,1,0)</f>
        <v>#N/A</v>
      </c>
      <c r="E130" s="163" t="str">
        <f t="shared" si="2"/>
        <v>#N/A</v>
      </c>
      <c r="F130" s="120" t="str">
        <f>VLOOKUP(A130,'Classement Général'!$B$2:$B$146,1,0)</f>
        <v>#N/A</v>
      </c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</row>
    <row r="131" ht="14.25" customHeight="1">
      <c r="A131" s="160"/>
      <c r="B131" s="161">
        <v>130.0</v>
      </c>
      <c r="C131" s="157">
        <f t="shared" si="1"/>
        <v>-760.6467355</v>
      </c>
      <c r="D131" s="158" t="str">
        <f>VLOOKUP(A131,'Classement RoC'!$B$2:$C$149,1,0)</f>
        <v>#N/A</v>
      </c>
      <c r="E131" s="163" t="str">
        <f t="shared" si="2"/>
        <v>#N/A</v>
      </c>
      <c r="F131" s="120" t="str">
        <f>VLOOKUP(A131,'Classement Général'!$B$2:$B$146,1,0)</f>
        <v>#N/A</v>
      </c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</row>
    <row r="132" ht="14.25" customHeight="1">
      <c r="A132" s="160"/>
      <c r="B132" s="156">
        <v>131.0</v>
      </c>
      <c r="C132" s="157">
        <f t="shared" si="1"/>
        <v>-768.1226038</v>
      </c>
      <c r="D132" s="158" t="str">
        <f>VLOOKUP(A132,'Classement RoC'!$B$2:$C$149,1,0)</f>
        <v>#N/A</v>
      </c>
      <c r="E132" s="163" t="str">
        <f t="shared" si="2"/>
        <v>#N/A</v>
      </c>
      <c r="F132" s="120" t="str">
        <f>VLOOKUP(A132,'Classement Général'!$B$2:$B$146,1,0)</f>
        <v>#N/A</v>
      </c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</row>
    <row r="133" ht="14.25" customHeight="1">
      <c r="A133" s="160"/>
      <c r="B133" s="161">
        <v>132.0</v>
      </c>
      <c r="C133" s="157">
        <f t="shared" si="1"/>
        <v>-775.5783687</v>
      </c>
      <c r="D133" s="158" t="str">
        <f>VLOOKUP(A133,'Classement RoC'!$B$2:$C$149,1,0)</f>
        <v>#N/A</v>
      </c>
      <c r="E133" s="163" t="str">
        <f t="shared" si="2"/>
        <v>#N/A</v>
      </c>
      <c r="F133" s="120" t="str">
        <f>VLOOKUP(A133,'Classement Général'!$B$2:$B$146,1,0)</f>
        <v>#N/A</v>
      </c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</row>
    <row r="134" ht="14.25" customHeight="1">
      <c r="A134" s="160"/>
      <c r="B134" s="156">
        <v>133.0</v>
      </c>
      <c r="C134" s="157">
        <f t="shared" si="1"/>
        <v>-783.0142755</v>
      </c>
      <c r="D134" s="158" t="str">
        <f>VLOOKUP(A134,'Classement RoC'!$B$2:$C$149,1,0)</f>
        <v>#N/A</v>
      </c>
      <c r="E134" s="163" t="str">
        <f t="shared" si="2"/>
        <v>#N/A</v>
      </c>
      <c r="F134" s="120" t="str">
        <f>VLOOKUP(A134,'Classement Général'!$B$2:$B$146,1,0)</f>
        <v>#N/A</v>
      </c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</row>
    <row r="135" ht="14.25" customHeight="1">
      <c r="A135" s="160"/>
      <c r="B135" s="161">
        <v>134.0</v>
      </c>
      <c r="C135" s="157">
        <f t="shared" si="1"/>
        <v>-790.4305642</v>
      </c>
      <c r="D135" s="158" t="str">
        <f>VLOOKUP(A135,'Classement RoC'!$B$2:$C$149,1,0)</f>
        <v>#N/A</v>
      </c>
      <c r="E135" s="163" t="str">
        <f t="shared" si="2"/>
        <v>#N/A</v>
      </c>
      <c r="F135" s="120" t="str">
        <f>VLOOKUP(A135,'Classement Général'!$B$2:$B$146,1,0)</f>
        <v>#N/A</v>
      </c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</row>
    <row r="136" ht="14.25" customHeight="1">
      <c r="A136" s="160"/>
      <c r="B136" s="156">
        <v>135.0</v>
      </c>
      <c r="C136" s="157">
        <f t="shared" si="1"/>
        <v>-797.8274699</v>
      </c>
      <c r="D136" s="158" t="str">
        <f>VLOOKUP(A136,'Classement RoC'!$B$2:$C$149,1,0)</f>
        <v>#N/A</v>
      </c>
      <c r="E136" s="163" t="str">
        <f t="shared" si="2"/>
        <v>#N/A</v>
      </c>
      <c r="F136" s="120" t="str">
        <f>VLOOKUP(A136,'Classement Général'!$B$2:$B$146,1,0)</f>
        <v>#N/A</v>
      </c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</row>
    <row r="137" ht="14.25" customHeight="1">
      <c r="A137" s="160"/>
      <c r="B137" s="161">
        <v>136.0</v>
      </c>
      <c r="C137" s="157">
        <f t="shared" si="1"/>
        <v>-805.205223</v>
      </c>
      <c r="D137" s="158" t="str">
        <f>VLOOKUP(A137,'Classement RoC'!$B$2:$C$149,1,0)</f>
        <v>#N/A</v>
      </c>
      <c r="E137" s="163" t="str">
        <f t="shared" si="2"/>
        <v>#N/A</v>
      </c>
      <c r="F137" s="120" t="str">
        <f>VLOOKUP(A137,'Classement Général'!$B$2:$B$146,1,0)</f>
        <v>#N/A</v>
      </c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</row>
    <row r="138" ht="14.25" customHeight="1">
      <c r="A138" s="160"/>
      <c r="B138" s="156">
        <v>137.0</v>
      </c>
      <c r="C138" s="157">
        <f t="shared" si="1"/>
        <v>-812.5640492</v>
      </c>
      <c r="D138" s="158" t="str">
        <f>VLOOKUP(A138,'Classement RoC'!$B$2:$C$149,1,0)</f>
        <v>#N/A</v>
      </c>
      <c r="E138" s="163" t="str">
        <f t="shared" si="2"/>
        <v>#N/A</v>
      </c>
      <c r="F138" s="120" t="str">
        <f>VLOOKUP(A138,'Classement Général'!$B$2:$B$146,1,0)</f>
        <v>#N/A</v>
      </c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</row>
    <row r="139" ht="14.25" customHeight="1">
      <c r="A139" s="160"/>
      <c r="B139" s="161">
        <v>138.0</v>
      </c>
      <c r="C139" s="157">
        <f t="shared" si="1"/>
        <v>-819.9041696</v>
      </c>
      <c r="D139" s="158" t="str">
        <f>VLOOKUP(A139,'Classement RoC'!$B$2:$C$149,1,0)</f>
        <v>#N/A</v>
      </c>
      <c r="E139" s="163" t="str">
        <f t="shared" si="2"/>
        <v>#N/A</v>
      </c>
      <c r="F139" s="120" t="str">
        <f>VLOOKUP(A139,'Classement Général'!$B$2:$B$146,1,0)</f>
        <v>#N/A</v>
      </c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</row>
    <row r="140" ht="14.25" customHeight="1">
      <c r="A140" s="160"/>
      <c r="B140" s="156">
        <v>139.0</v>
      </c>
      <c r="C140" s="157">
        <f t="shared" si="1"/>
        <v>-827.2258012</v>
      </c>
      <c r="D140" s="158" t="str">
        <f>VLOOKUP(A140,'Classement RoC'!$B$2:$C$149,1,0)</f>
        <v>#N/A</v>
      </c>
      <c r="E140" s="163" t="str">
        <f t="shared" si="2"/>
        <v>#N/A</v>
      </c>
      <c r="F140" s="120" t="str">
        <f>VLOOKUP(A140,'Classement Général'!$B$2:$B$146,1,0)</f>
        <v>#N/A</v>
      </c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</row>
    <row r="141" ht="14.25" customHeight="1">
      <c r="A141" s="160"/>
      <c r="B141" s="161">
        <v>140.0</v>
      </c>
      <c r="C141" s="157">
        <f t="shared" si="1"/>
        <v>-834.5291564</v>
      </c>
      <c r="D141" s="158" t="str">
        <f>VLOOKUP(A141,'Classement RoC'!$B$2:$C$149,1,0)</f>
        <v>#N/A</v>
      </c>
      <c r="E141" s="163" t="str">
        <f t="shared" si="2"/>
        <v>#N/A</v>
      </c>
      <c r="F141" s="120" t="str">
        <f>VLOOKUP(A141,'Classement Général'!$B$2:$B$146,1,0)</f>
        <v>#N/A</v>
      </c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</row>
    <row r="142" ht="14.25" customHeight="1">
      <c r="A142" s="160"/>
      <c r="B142" s="156">
        <v>141.0</v>
      </c>
      <c r="C142" s="157">
        <f t="shared" si="1"/>
        <v>-841.8144436</v>
      </c>
      <c r="D142" s="158" t="str">
        <f>VLOOKUP(A142,'Classement RoC'!$B$2:$C$149,1,0)</f>
        <v>#N/A</v>
      </c>
      <c r="E142" s="163" t="str">
        <f t="shared" si="2"/>
        <v>#N/A</v>
      </c>
      <c r="F142" s="120" t="str">
        <f>VLOOKUP(A142,'Classement Général'!$B$2:$B$146,1,0)</f>
        <v>#N/A</v>
      </c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</row>
    <row r="143" ht="14.25" customHeight="1">
      <c r="A143" s="160"/>
      <c r="B143" s="161">
        <v>142.0</v>
      </c>
      <c r="C143" s="157">
        <f t="shared" si="1"/>
        <v>-849.0818671</v>
      </c>
      <c r="D143" s="158" t="str">
        <f>VLOOKUP(A143,'Classement RoC'!$B$2:$C$149,1,0)</f>
        <v>#N/A</v>
      </c>
      <c r="E143" s="163" t="str">
        <f t="shared" si="2"/>
        <v>#N/A</v>
      </c>
      <c r="F143" s="120" t="str">
        <f>VLOOKUP(A143,'Classement Général'!$B$2:$B$146,1,0)</f>
        <v>#N/A</v>
      </c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</row>
    <row r="144" ht="14.25" customHeight="1">
      <c r="A144" s="160"/>
      <c r="B144" s="156">
        <v>143.0</v>
      </c>
      <c r="C144" s="157">
        <f t="shared" si="1"/>
        <v>-856.3316275</v>
      </c>
      <c r="D144" s="158" t="str">
        <f>VLOOKUP(A144,'Classement RoC'!$B$2:$C$149,1,0)</f>
        <v>#N/A</v>
      </c>
      <c r="E144" s="163" t="str">
        <f t="shared" si="2"/>
        <v>#N/A</v>
      </c>
      <c r="F144" s="120" t="str">
        <f>VLOOKUP(A144,'Classement Général'!$B$2:$B$146,1,0)</f>
        <v>#N/A</v>
      </c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</row>
    <row r="145" ht="14.25" customHeight="1">
      <c r="A145" s="160"/>
      <c r="B145" s="161">
        <v>144.0</v>
      </c>
      <c r="C145" s="157">
        <f t="shared" si="1"/>
        <v>-863.5639212</v>
      </c>
      <c r="D145" s="158" t="str">
        <f>VLOOKUP(A145,'Classement RoC'!$B$2:$C$149,1,0)</f>
        <v>#N/A</v>
      </c>
      <c r="E145" s="163" t="str">
        <f t="shared" si="2"/>
        <v>#N/A</v>
      </c>
      <c r="F145" s="120" t="str">
        <f>VLOOKUP(A145,'Classement Général'!$B$2:$B$146,1,0)</f>
        <v>#N/A</v>
      </c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</row>
    <row r="146" ht="14.25" customHeight="1">
      <c r="A146" s="160"/>
      <c r="B146" s="156">
        <v>145.0</v>
      </c>
      <c r="C146" s="157">
        <f t="shared" si="1"/>
        <v>-870.7789411</v>
      </c>
      <c r="D146" s="158" t="str">
        <f>VLOOKUP(A146,'Classement RoC'!$B$2:$C$149,1,0)</f>
        <v>#N/A</v>
      </c>
      <c r="E146" s="163" t="str">
        <f t="shared" si="2"/>
        <v>#N/A</v>
      </c>
      <c r="F146" s="120" t="str">
        <f>VLOOKUP(A146,'Classement Général'!$B$2:$B$146,1,0)</f>
        <v>#N/A</v>
      </c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</row>
    <row r="147" ht="14.25" customHeight="1">
      <c r="A147" s="160"/>
      <c r="B147" s="161">
        <v>146.0</v>
      </c>
      <c r="C147" s="157">
        <f t="shared" si="1"/>
        <v>-877.9768765</v>
      </c>
      <c r="D147" s="158" t="str">
        <f>VLOOKUP(A147,'Classement RoC'!$B$2:$C$149,1,0)</f>
        <v>#N/A</v>
      </c>
      <c r="E147" s="163" t="str">
        <f t="shared" si="2"/>
        <v>#N/A</v>
      </c>
      <c r="F147" s="120" t="str">
        <f>VLOOKUP(A147,'Classement Général'!$B$2:$B$146,1,0)</f>
        <v>#N/A</v>
      </c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</row>
    <row r="148" ht="14.25" customHeight="1">
      <c r="A148" s="160"/>
      <c r="B148" s="156">
        <v>147.0</v>
      </c>
      <c r="C148" s="157">
        <f t="shared" si="1"/>
        <v>-885.157913</v>
      </c>
      <c r="D148" s="158" t="str">
        <f>VLOOKUP(A148,'Classement RoC'!$B$2:$C$149,1,0)</f>
        <v>#N/A</v>
      </c>
      <c r="E148" s="163" t="str">
        <f t="shared" si="2"/>
        <v>#N/A</v>
      </c>
      <c r="F148" s="120" t="str">
        <f>VLOOKUP(A148,'Classement Général'!$B$2:$B$146,1,0)</f>
        <v>#N/A</v>
      </c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</row>
    <row r="149" ht="14.25" customHeight="1">
      <c r="A149" s="160"/>
      <c r="B149" s="161">
        <v>148.0</v>
      </c>
      <c r="C149" s="157">
        <f t="shared" si="1"/>
        <v>-892.322233</v>
      </c>
      <c r="D149" s="158" t="str">
        <f>VLOOKUP(A149,'Classement RoC'!$B$2:$C$149,1,0)</f>
        <v>#N/A</v>
      </c>
      <c r="E149" s="163" t="str">
        <f t="shared" si="2"/>
        <v>#N/A</v>
      </c>
      <c r="F149" s="120" t="str">
        <f>VLOOKUP(A149,'Classement Général'!$B$2:$B$146,1,0)</f>
        <v>#N/A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</row>
    <row r="150" ht="14.25" customHeight="1">
      <c r="A150" s="160"/>
      <c r="B150" s="156">
        <v>149.0</v>
      </c>
      <c r="C150" s="157">
        <f t="shared" si="1"/>
        <v>-899.4700152</v>
      </c>
      <c r="D150" s="158" t="str">
        <f>VLOOKUP(A150,'Classement RoC'!$B$2:$C$149,1,0)</f>
        <v>#N/A</v>
      </c>
      <c r="E150" s="163" t="str">
        <f t="shared" si="2"/>
        <v>#N/A</v>
      </c>
      <c r="F150" s="120" t="str">
        <f>VLOOKUP(A150,'Classement Général'!$B$2:$B$146,1,0)</f>
        <v>#N/A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</row>
    <row r="151" ht="14.25" customHeight="1">
      <c r="A151" s="160"/>
      <c r="B151" s="161">
        <v>150.0</v>
      </c>
      <c r="C151" s="157">
        <f t="shared" si="1"/>
        <v>-906.6014355</v>
      </c>
      <c r="D151" s="158" t="str">
        <f>VLOOKUP(A151,'Classement RoC'!$B$2:$C$149,1,0)</f>
        <v>#N/A</v>
      </c>
      <c r="E151" s="163" t="str">
        <f t="shared" si="2"/>
        <v>#N/A</v>
      </c>
      <c r="F151" s="120" t="str">
        <f>VLOOKUP(A151,'Classement Général'!$B$2:$B$146,1,0)</f>
        <v>#N/A</v>
      </c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</row>
    <row r="152" ht="14.25" customHeight="1">
      <c r="A152" s="160"/>
      <c r="B152" s="156">
        <v>151.0</v>
      </c>
      <c r="C152" s="157">
        <f t="shared" si="1"/>
        <v>-913.7166662</v>
      </c>
      <c r="D152" s="158" t="str">
        <f>VLOOKUP(A152,'Classement RoC'!$B$2:$C$149,1,0)</f>
        <v>#N/A</v>
      </c>
      <c r="E152" s="163" t="str">
        <f t="shared" si="2"/>
        <v>#N/A</v>
      </c>
      <c r="F152" s="120" t="str">
        <f>VLOOKUP(A152,'Classement Général'!$B$2:$B$146,1,0)</f>
        <v>#N/A</v>
      </c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</row>
    <row r="153" ht="14.25" customHeight="1">
      <c r="A153" s="160"/>
      <c r="B153" s="161">
        <v>152.0</v>
      </c>
      <c r="C153" s="157">
        <f t="shared" si="1"/>
        <v>-920.8158767</v>
      </c>
      <c r="D153" s="158" t="str">
        <f>VLOOKUP(A153,'Classement RoC'!$B$2:$C$149,1,0)</f>
        <v>#N/A</v>
      </c>
      <c r="E153" s="163" t="str">
        <f t="shared" si="2"/>
        <v>#N/A</v>
      </c>
      <c r="F153" s="120" t="str">
        <f>VLOOKUP(A153,'Classement Général'!$B$2:$B$146,1,0)</f>
        <v>#N/A</v>
      </c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</row>
    <row r="154" ht="14.25" customHeight="1">
      <c r="A154" s="160"/>
      <c r="B154" s="156">
        <v>153.0</v>
      </c>
      <c r="C154" s="157">
        <f t="shared" si="1"/>
        <v>-927.8992333</v>
      </c>
      <c r="D154" s="158" t="str">
        <f>VLOOKUP(A154,'Classement RoC'!$B$2:$C$149,1,0)</f>
        <v>#N/A</v>
      </c>
      <c r="E154" s="163" t="str">
        <f t="shared" si="2"/>
        <v>#N/A</v>
      </c>
      <c r="F154" s="120" t="str">
        <f>VLOOKUP(A154,'Classement Général'!$B$2:$B$146,1,0)</f>
        <v>#N/A</v>
      </c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</row>
    <row r="155" ht="14.25" customHeight="1">
      <c r="A155" s="160"/>
      <c r="B155" s="161">
        <v>154.0</v>
      </c>
      <c r="C155" s="157">
        <f t="shared" si="1"/>
        <v>-934.9668993</v>
      </c>
      <c r="D155" s="158" t="str">
        <f>VLOOKUP(A155,'Classement RoC'!$B$2:$C$149,1,0)</f>
        <v>#N/A</v>
      </c>
      <c r="E155" s="163" t="str">
        <f t="shared" si="2"/>
        <v>#N/A</v>
      </c>
      <c r="F155" s="120" t="str">
        <f>VLOOKUP(A155,'Classement Général'!$B$2:$B$146,1,0)</f>
        <v>#N/A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</row>
    <row r="156" ht="14.25" customHeight="1">
      <c r="A156" s="160"/>
      <c r="B156" s="156">
        <v>155.0</v>
      </c>
      <c r="C156" s="157">
        <f t="shared" si="1"/>
        <v>-942.0190354</v>
      </c>
      <c r="D156" s="158" t="str">
        <f>VLOOKUP(A156,'Classement RoC'!$B$2:$C$149,1,0)</f>
        <v>#N/A</v>
      </c>
      <c r="E156" s="163" t="str">
        <f t="shared" si="2"/>
        <v>#N/A</v>
      </c>
      <c r="F156" s="120" t="str">
        <f>VLOOKUP(A156,'Classement Général'!$B$2:$B$146,1,0)</f>
        <v>#N/A</v>
      </c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</row>
    <row r="157" ht="14.25" customHeight="1">
      <c r="A157" s="160"/>
      <c r="B157" s="161">
        <v>156.0</v>
      </c>
      <c r="C157" s="157">
        <f t="shared" si="1"/>
        <v>-949.0557992</v>
      </c>
      <c r="D157" s="158" t="str">
        <f>VLOOKUP(A157,'Classement RoC'!$B$2:$C$149,1,0)</f>
        <v>#N/A</v>
      </c>
      <c r="E157" s="163" t="str">
        <f t="shared" si="2"/>
        <v>#N/A</v>
      </c>
      <c r="F157" s="120" t="str">
        <f>VLOOKUP(A157,'Classement Général'!$B$2:$B$146,1,0)</f>
        <v>#N/A</v>
      </c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</row>
    <row r="158" ht="14.25" customHeight="1">
      <c r="A158" s="160"/>
      <c r="B158" s="156">
        <v>157.0</v>
      </c>
      <c r="C158" s="157">
        <f t="shared" si="1"/>
        <v>-956.0773456</v>
      </c>
      <c r="D158" s="158" t="str">
        <f>VLOOKUP(A158,'Classement RoC'!$B$2:$C$149,1,0)</f>
        <v>#N/A</v>
      </c>
      <c r="E158" s="163" t="str">
        <f t="shared" si="2"/>
        <v>#N/A</v>
      </c>
      <c r="F158" s="120" t="str">
        <f>VLOOKUP(A158,'Classement Général'!$B$2:$B$146,1,0)</f>
        <v>#N/A</v>
      </c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</row>
    <row r="159" ht="14.25" customHeight="1">
      <c r="A159" s="160"/>
      <c r="B159" s="161">
        <v>158.0</v>
      </c>
      <c r="C159" s="157">
        <f t="shared" si="1"/>
        <v>-963.0838269</v>
      </c>
      <c r="D159" s="158" t="str">
        <f>VLOOKUP(A159,'Classement RoC'!$B$2:$C$149,1,0)</f>
        <v>#N/A</v>
      </c>
      <c r="E159" s="163" t="str">
        <f t="shared" si="2"/>
        <v>#N/A</v>
      </c>
      <c r="F159" s="120" t="str">
        <f>VLOOKUP(A159,'Classement Général'!$B$2:$B$146,1,0)</f>
        <v>#N/A</v>
      </c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</row>
    <row r="160" ht="14.25" customHeight="1">
      <c r="A160" s="160"/>
      <c r="B160" s="156">
        <v>159.0</v>
      </c>
      <c r="C160" s="157">
        <f t="shared" si="1"/>
        <v>-970.0753929</v>
      </c>
      <c r="D160" s="158" t="str">
        <f>VLOOKUP(A160,'Classement RoC'!$B$2:$C$149,1,0)</f>
        <v>#N/A</v>
      </c>
      <c r="E160" s="163" t="str">
        <f t="shared" si="2"/>
        <v>#N/A</v>
      </c>
      <c r="F160" s="120" t="str">
        <f>VLOOKUP(A160,'Classement Général'!$B$2:$B$146,1,0)</f>
        <v>#N/A</v>
      </c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</row>
    <row r="161" ht="14.25" customHeight="1">
      <c r="A161" s="164"/>
      <c r="B161" s="165"/>
      <c r="C161" s="166"/>
      <c r="D161" s="167"/>
      <c r="E161" s="168"/>
      <c r="F161" s="120" t="str">
        <f>VLOOKUP(A161,'Classement Général'!$B$2:$B$146,1,0)</f>
        <v>#N/A</v>
      </c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</row>
    <row r="162" ht="14.25" customHeight="1">
      <c r="A162" s="164"/>
      <c r="B162" s="165"/>
      <c r="C162" s="166"/>
      <c r="D162" s="167"/>
      <c r="E162" s="168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4"/>
    </row>
    <row r="163" ht="14.25" customHeight="1">
      <c r="A163" s="164"/>
      <c r="B163" s="165"/>
      <c r="C163" s="166"/>
      <c r="D163" s="167"/>
      <c r="E163" s="168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</row>
    <row r="164" ht="14.25" customHeight="1">
      <c r="A164" s="164"/>
      <c r="B164" s="165"/>
      <c r="C164" s="166"/>
      <c r="D164" s="167"/>
      <c r="E164" s="168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</row>
    <row r="165" ht="14.25" customHeight="1">
      <c r="A165" s="164"/>
      <c r="B165" s="165"/>
      <c r="C165" s="166"/>
      <c r="D165" s="167"/>
      <c r="E165" s="168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</row>
    <row r="166" ht="14.25" customHeight="1">
      <c r="A166" s="164"/>
      <c r="B166" s="165"/>
      <c r="C166" s="166"/>
      <c r="D166" s="167"/>
      <c r="E166" s="168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</row>
    <row r="167" ht="14.25" customHeight="1">
      <c r="A167" s="164"/>
      <c r="B167" s="165"/>
      <c r="C167" s="166"/>
      <c r="D167" s="167"/>
      <c r="E167" s="168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</row>
    <row r="168" ht="14.25" customHeight="1">
      <c r="A168" s="164"/>
      <c r="B168" s="165"/>
      <c r="C168" s="166"/>
      <c r="D168" s="167"/>
      <c r="E168" s="168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</row>
    <row r="169" ht="14.25" customHeight="1">
      <c r="A169" s="164"/>
      <c r="B169" s="165"/>
      <c r="C169" s="166"/>
      <c r="D169" s="167"/>
      <c r="E169" s="168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</row>
    <row r="170" ht="14.25" customHeight="1">
      <c r="A170" s="164"/>
      <c r="B170" s="165"/>
      <c r="C170" s="166"/>
      <c r="D170" s="167"/>
      <c r="E170" s="168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</row>
    <row r="171" ht="14.25" customHeight="1">
      <c r="A171" s="164"/>
      <c r="B171" s="165"/>
      <c r="C171" s="166"/>
      <c r="D171" s="167"/>
      <c r="E171" s="168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</row>
    <row r="172" ht="14.25" customHeight="1">
      <c r="A172" s="164"/>
      <c r="B172" s="165"/>
      <c r="C172" s="166"/>
      <c r="D172" s="167"/>
      <c r="E172" s="168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</row>
    <row r="173" ht="14.25" customHeight="1">
      <c r="A173" s="164"/>
      <c r="B173" s="165"/>
      <c r="C173" s="166"/>
      <c r="D173" s="167"/>
      <c r="E173" s="168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</row>
    <row r="174" ht="14.25" customHeight="1">
      <c r="A174" s="164"/>
      <c r="B174" s="165"/>
      <c r="C174" s="166"/>
      <c r="D174" s="167"/>
      <c r="E174" s="168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</row>
    <row r="175" ht="14.25" customHeight="1">
      <c r="A175" s="164"/>
      <c r="B175" s="165"/>
      <c r="C175" s="166"/>
      <c r="D175" s="167"/>
      <c r="E175" s="168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</row>
    <row r="176" ht="14.25" customHeight="1">
      <c r="A176" s="164"/>
      <c r="B176" s="165"/>
      <c r="C176" s="166"/>
      <c r="D176" s="167"/>
      <c r="E176" s="168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</row>
    <row r="177" ht="14.25" customHeight="1">
      <c r="A177" s="164"/>
      <c r="B177" s="165"/>
      <c r="C177" s="166"/>
      <c r="D177" s="167"/>
      <c r="E177" s="168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4"/>
    </row>
    <row r="178" ht="14.25" customHeight="1">
      <c r="A178" s="164"/>
      <c r="B178" s="165"/>
      <c r="C178" s="166"/>
      <c r="D178" s="167"/>
      <c r="E178" s="168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</row>
    <row r="179" ht="14.25" customHeight="1">
      <c r="A179" s="164"/>
      <c r="B179" s="165"/>
      <c r="C179" s="166"/>
      <c r="D179" s="167"/>
      <c r="E179" s="168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4"/>
    </row>
    <row r="180" ht="14.25" customHeight="1">
      <c r="A180" s="164"/>
      <c r="B180" s="165"/>
      <c r="C180" s="166"/>
      <c r="D180" s="167"/>
      <c r="E180" s="168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</row>
    <row r="181" ht="14.25" customHeight="1">
      <c r="A181" s="164"/>
      <c r="B181" s="165"/>
      <c r="C181" s="166"/>
      <c r="D181" s="167"/>
      <c r="E181" s="168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</row>
    <row r="182" ht="14.25" customHeight="1">
      <c r="A182" s="164"/>
      <c r="B182" s="165"/>
      <c r="C182" s="166"/>
      <c r="D182" s="167"/>
      <c r="E182" s="168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154"/>
    </row>
    <row r="183" ht="14.25" customHeight="1">
      <c r="A183" s="164"/>
      <c r="B183" s="165"/>
      <c r="C183" s="166"/>
      <c r="D183" s="167"/>
      <c r="E183" s="168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4"/>
    </row>
    <row r="184" ht="14.25" customHeight="1">
      <c r="A184" s="164"/>
      <c r="B184" s="165"/>
      <c r="C184" s="166"/>
      <c r="D184" s="167"/>
      <c r="E184" s="168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</row>
    <row r="185" ht="14.25" customHeight="1">
      <c r="A185" s="164"/>
      <c r="B185" s="165"/>
      <c r="C185" s="166"/>
      <c r="D185" s="167"/>
      <c r="E185" s="168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</row>
    <row r="186" ht="14.25" customHeight="1">
      <c r="A186" s="164"/>
      <c r="B186" s="165"/>
      <c r="C186" s="166"/>
      <c r="D186" s="167"/>
      <c r="E186" s="168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</row>
    <row r="187" ht="14.25" customHeight="1">
      <c r="A187" s="164"/>
      <c r="B187" s="165"/>
      <c r="C187" s="166"/>
      <c r="D187" s="167"/>
      <c r="E187" s="168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</row>
    <row r="188" ht="14.25" customHeight="1">
      <c r="A188" s="164"/>
      <c r="B188" s="165"/>
      <c r="C188" s="166"/>
      <c r="D188" s="167"/>
      <c r="E188" s="168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</row>
    <row r="189" ht="14.25" customHeight="1">
      <c r="A189" s="164"/>
      <c r="B189" s="165"/>
      <c r="C189" s="166"/>
      <c r="D189" s="167"/>
      <c r="E189" s="168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</row>
    <row r="190" ht="14.25" customHeight="1">
      <c r="A190" s="164"/>
      <c r="B190" s="165"/>
      <c r="C190" s="166"/>
      <c r="D190" s="167"/>
      <c r="E190" s="168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</row>
    <row r="191" ht="14.25" customHeight="1">
      <c r="A191" s="164"/>
      <c r="B191" s="165"/>
      <c r="C191" s="166"/>
      <c r="D191" s="167"/>
      <c r="E191" s="168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</row>
    <row r="192" ht="14.25" customHeight="1">
      <c r="A192" s="164"/>
      <c r="B192" s="165"/>
      <c r="C192" s="166"/>
      <c r="D192" s="167"/>
      <c r="E192" s="168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</row>
    <row r="193" ht="14.25" customHeight="1">
      <c r="A193" s="164"/>
      <c r="B193" s="165"/>
      <c r="C193" s="166"/>
      <c r="D193" s="167"/>
      <c r="E193" s="168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</row>
    <row r="194" ht="14.25" customHeight="1">
      <c r="A194" s="164"/>
      <c r="B194" s="165"/>
      <c r="C194" s="166"/>
      <c r="D194" s="167"/>
      <c r="E194" s="168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</row>
    <row r="195" ht="14.25" customHeight="1">
      <c r="A195" s="164"/>
      <c r="B195" s="165"/>
      <c r="C195" s="166"/>
      <c r="D195" s="167"/>
      <c r="E195" s="168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</row>
    <row r="196" ht="14.25" customHeight="1">
      <c r="A196" s="164"/>
      <c r="B196" s="165"/>
      <c r="C196" s="166"/>
      <c r="D196" s="167"/>
      <c r="E196" s="168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</row>
    <row r="197" ht="14.25" customHeight="1">
      <c r="A197" s="164"/>
      <c r="B197" s="165"/>
      <c r="C197" s="166"/>
      <c r="D197" s="167"/>
      <c r="E197" s="168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</row>
    <row r="198" ht="14.25" customHeight="1">
      <c r="A198" s="164"/>
      <c r="B198" s="165"/>
      <c r="C198" s="166"/>
      <c r="D198" s="167"/>
      <c r="E198" s="168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</row>
    <row r="199" ht="14.25" customHeight="1">
      <c r="A199" s="164"/>
      <c r="B199" s="165"/>
      <c r="C199" s="166"/>
      <c r="D199" s="167"/>
      <c r="E199" s="168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154"/>
    </row>
    <row r="200" ht="14.25" customHeight="1">
      <c r="A200" s="164"/>
      <c r="B200" s="165"/>
      <c r="C200" s="166"/>
      <c r="D200" s="167"/>
      <c r="E200" s="168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4"/>
    </row>
    <row r="201" ht="14.25" customHeight="1">
      <c r="A201" s="164"/>
      <c r="B201" s="165"/>
      <c r="C201" s="166"/>
      <c r="D201" s="167"/>
      <c r="E201" s="168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</row>
    <row r="202" ht="14.25" customHeight="1">
      <c r="A202" s="164"/>
      <c r="B202" s="165"/>
      <c r="C202" s="166"/>
      <c r="D202" s="167"/>
      <c r="E202" s="168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4"/>
    </row>
    <row r="203" ht="14.25" customHeight="1">
      <c r="A203" s="164"/>
      <c r="B203" s="165"/>
      <c r="C203" s="166"/>
      <c r="D203" s="167"/>
      <c r="E203" s="168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</row>
    <row r="204" ht="14.25" customHeight="1">
      <c r="A204" s="164"/>
      <c r="B204" s="165"/>
      <c r="C204" s="166"/>
      <c r="D204" s="167"/>
      <c r="E204" s="168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</row>
    <row r="205" ht="14.25" customHeight="1">
      <c r="A205" s="164"/>
      <c r="B205" s="165"/>
      <c r="C205" s="166"/>
      <c r="D205" s="167"/>
      <c r="E205" s="168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</row>
    <row r="206" ht="14.25" customHeight="1">
      <c r="A206" s="164"/>
      <c r="B206" s="165"/>
      <c r="C206" s="166"/>
      <c r="D206" s="167"/>
      <c r="E206" s="168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</row>
    <row r="207" ht="14.25" customHeight="1">
      <c r="A207" s="164"/>
      <c r="B207" s="165"/>
      <c r="C207" s="166"/>
      <c r="D207" s="167"/>
      <c r="E207" s="168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</row>
    <row r="208" ht="14.25" customHeight="1">
      <c r="A208" s="164"/>
      <c r="B208" s="165"/>
      <c r="C208" s="166"/>
      <c r="D208" s="167"/>
      <c r="E208" s="168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</row>
    <row r="209" ht="14.25" customHeight="1">
      <c r="A209" s="164"/>
      <c r="B209" s="165"/>
      <c r="C209" s="166"/>
      <c r="D209" s="167"/>
      <c r="E209" s="168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</row>
    <row r="210" ht="14.25" customHeight="1">
      <c r="A210" s="164"/>
      <c r="B210" s="165"/>
      <c r="C210" s="166"/>
      <c r="D210" s="167"/>
      <c r="E210" s="168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</row>
    <row r="211" ht="14.25" customHeight="1">
      <c r="A211" s="164"/>
      <c r="B211" s="165"/>
      <c r="C211" s="166"/>
      <c r="D211" s="167"/>
      <c r="E211" s="168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</row>
    <row r="212" ht="14.25" customHeight="1">
      <c r="A212" s="164"/>
      <c r="B212" s="165"/>
      <c r="C212" s="166"/>
      <c r="D212" s="167"/>
      <c r="E212" s="168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</row>
    <row r="213" ht="14.25" customHeight="1">
      <c r="A213" s="164"/>
      <c r="B213" s="165"/>
      <c r="C213" s="166"/>
      <c r="D213" s="167"/>
      <c r="E213" s="168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</row>
    <row r="214" ht="14.25" customHeight="1">
      <c r="A214" s="164"/>
      <c r="B214" s="165"/>
      <c r="C214" s="166"/>
      <c r="D214" s="167"/>
      <c r="E214" s="168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</row>
    <row r="215" ht="14.25" customHeight="1">
      <c r="A215" s="164"/>
      <c r="B215" s="165"/>
      <c r="C215" s="166"/>
      <c r="D215" s="167"/>
      <c r="E215" s="168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4"/>
    </row>
    <row r="216" ht="14.25" customHeight="1">
      <c r="A216" s="164"/>
      <c r="B216" s="165"/>
      <c r="C216" s="166"/>
      <c r="D216" s="167"/>
      <c r="E216" s="168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</row>
    <row r="217" ht="14.25" customHeight="1">
      <c r="A217" s="164"/>
      <c r="B217" s="165"/>
      <c r="C217" s="166"/>
      <c r="D217" s="167"/>
      <c r="E217" s="168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</row>
    <row r="218" ht="14.25" customHeight="1">
      <c r="A218" s="164"/>
      <c r="B218" s="165"/>
      <c r="C218" s="166"/>
      <c r="D218" s="167"/>
      <c r="E218" s="168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</row>
    <row r="219" ht="14.25" customHeight="1">
      <c r="A219" s="164"/>
      <c r="B219" s="165"/>
      <c r="C219" s="166"/>
      <c r="D219" s="167"/>
      <c r="E219" s="168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</row>
    <row r="220" ht="14.25" customHeight="1">
      <c r="A220" s="164"/>
      <c r="B220" s="165"/>
      <c r="C220" s="166"/>
      <c r="D220" s="167"/>
      <c r="E220" s="168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</row>
    <row r="221" ht="14.25" customHeight="1">
      <c r="A221" s="164"/>
      <c r="B221" s="165"/>
      <c r="C221" s="166"/>
      <c r="D221" s="167"/>
      <c r="E221" s="168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</row>
    <row r="222" ht="14.25" customHeight="1">
      <c r="A222" s="164"/>
      <c r="B222" s="165"/>
      <c r="C222" s="166"/>
      <c r="D222" s="167"/>
      <c r="E222" s="168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</row>
    <row r="223" ht="14.25" customHeight="1">
      <c r="A223" s="164"/>
      <c r="B223" s="165"/>
      <c r="C223" s="166"/>
      <c r="D223" s="167"/>
      <c r="E223" s="168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</row>
    <row r="224" ht="14.25" customHeight="1">
      <c r="A224" s="164"/>
      <c r="B224" s="165"/>
      <c r="C224" s="166"/>
      <c r="D224" s="167"/>
      <c r="E224" s="168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</row>
    <row r="225" ht="14.25" customHeight="1">
      <c r="A225" s="164"/>
      <c r="B225" s="165"/>
      <c r="C225" s="166"/>
      <c r="D225" s="167"/>
      <c r="E225" s="168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</row>
    <row r="226" ht="14.25" customHeight="1">
      <c r="A226" s="164"/>
      <c r="B226" s="165"/>
      <c r="C226" s="166"/>
      <c r="D226" s="167"/>
      <c r="E226" s="168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</row>
    <row r="227" ht="14.25" customHeight="1">
      <c r="A227" s="164"/>
      <c r="B227" s="165"/>
      <c r="C227" s="166"/>
      <c r="D227" s="167"/>
      <c r="E227" s="168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</row>
    <row r="228" ht="14.25" customHeight="1">
      <c r="A228" s="164"/>
      <c r="B228" s="165"/>
      <c r="C228" s="166"/>
      <c r="D228" s="167"/>
      <c r="E228" s="168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</row>
    <row r="229" ht="14.25" customHeight="1">
      <c r="A229" s="164"/>
      <c r="B229" s="165"/>
      <c r="C229" s="166"/>
      <c r="D229" s="167"/>
      <c r="E229" s="168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</row>
    <row r="230" ht="14.25" customHeight="1">
      <c r="A230" s="164"/>
      <c r="B230" s="165"/>
      <c r="C230" s="166"/>
      <c r="D230" s="167"/>
      <c r="E230" s="168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</row>
    <row r="231" ht="14.25" customHeight="1">
      <c r="A231" s="164"/>
      <c r="B231" s="165"/>
      <c r="C231" s="166"/>
      <c r="D231" s="167"/>
      <c r="E231" s="168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154"/>
    </row>
    <row r="232" ht="14.25" customHeight="1">
      <c r="A232" s="164"/>
      <c r="B232" s="165"/>
      <c r="C232" s="166"/>
      <c r="D232" s="167"/>
      <c r="E232" s="168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154"/>
    </row>
    <row r="233" ht="14.25" customHeight="1">
      <c r="A233" s="164"/>
      <c r="B233" s="165"/>
      <c r="C233" s="166"/>
      <c r="D233" s="167"/>
      <c r="E233" s="168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  <c r="Z233" s="154"/>
    </row>
    <row r="234" ht="14.25" customHeight="1">
      <c r="A234" s="164"/>
      <c r="B234" s="165"/>
      <c r="C234" s="166"/>
      <c r="D234" s="167"/>
      <c r="E234" s="168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</row>
    <row r="235" ht="14.25" customHeight="1">
      <c r="A235" s="164"/>
      <c r="B235" s="165"/>
      <c r="C235" s="166"/>
      <c r="D235" s="167"/>
      <c r="E235" s="168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</row>
    <row r="236" ht="14.25" customHeight="1">
      <c r="A236" s="164"/>
      <c r="B236" s="165"/>
      <c r="C236" s="166"/>
      <c r="D236" s="167"/>
      <c r="E236" s="168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</row>
    <row r="237" ht="14.25" customHeight="1">
      <c r="A237" s="164"/>
      <c r="B237" s="165"/>
      <c r="C237" s="166"/>
      <c r="D237" s="167"/>
      <c r="E237" s="168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</row>
    <row r="238" ht="14.25" customHeight="1">
      <c r="A238" s="164"/>
      <c r="B238" s="165"/>
      <c r="C238" s="166"/>
      <c r="D238" s="167"/>
      <c r="E238" s="168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</row>
    <row r="239" ht="14.25" customHeight="1">
      <c r="A239" s="164"/>
      <c r="B239" s="165"/>
      <c r="C239" s="166"/>
      <c r="D239" s="167"/>
      <c r="E239" s="168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</row>
    <row r="240" ht="14.25" customHeight="1">
      <c r="A240" s="164"/>
      <c r="B240" s="165"/>
      <c r="C240" s="166"/>
      <c r="D240" s="167"/>
      <c r="E240" s="168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</row>
    <row r="241" ht="14.25" customHeight="1">
      <c r="A241" s="164"/>
      <c r="B241" s="165"/>
      <c r="C241" s="166"/>
      <c r="D241" s="167"/>
      <c r="E241" s="168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</row>
    <row r="242" ht="14.25" customHeight="1">
      <c r="A242" s="164"/>
      <c r="B242" s="165"/>
      <c r="C242" s="166"/>
      <c r="D242" s="167"/>
      <c r="E242" s="168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</row>
    <row r="243" ht="14.25" customHeight="1">
      <c r="A243" s="164"/>
      <c r="B243" s="165"/>
      <c r="C243" s="166"/>
      <c r="D243" s="167"/>
      <c r="E243" s="168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</row>
    <row r="244" ht="14.25" customHeight="1">
      <c r="A244" s="164"/>
      <c r="B244" s="165"/>
      <c r="C244" s="166"/>
      <c r="D244" s="167"/>
      <c r="E244" s="168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</row>
    <row r="245" ht="14.25" customHeight="1">
      <c r="A245" s="164"/>
      <c r="B245" s="165"/>
      <c r="C245" s="166"/>
      <c r="D245" s="167"/>
      <c r="E245" s="168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</row>
    <row r="246" ht="14.25" customHeight="1">
      <c r="A246" s="164"/>
      <c r="B246" s="165"/>
      <c r="C246" s="166"/>
      <c r="D246" s="167"/>
      <c r="E246" s="168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</row>
    <row r="247" ht="14.25" customHeight="1">
      <c r="A247" s="164"/>
      <c r="B247" s="165"/>
      <c r="C247" s="166"/>
      <c r="D247" s="167"/>
      <c r="E247" s="168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</row>
    <row r="248" ht="14.25" customHeight="1">
      <c r="A248" s="164"/>
      <c r="B248" s="165"/>
      <c r="C248" s="166"/>
      <c r="D248" s="167"/>
      <c r="E248" s="168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</row>
    <row r="249" ht="14.25" customHeight="1">
      <c r="A249" s="164"/>
      <c r="B249" s="165"/>
      <c r="C249" s="166"/>
      <c r="D249" s="167"/>
      <c r="E249" s="168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154"/>
    </row>
    <row r="250" ht="14.25" customHeight="1">
      <c r="A250" s="164"/>
      <c r="B250" s="165"/>
      <c r="C250" s="166"/>
      <c r="D250" s="167"/>
      <c r="E250" s="168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4"/>
    </row>
    <row r="251" ht="14.25" customHeight="1">
      <c r="A251" s="164"/>
      <c r="B251" s="165"/>
      <c r="C251" s="166"/>
      <c r="D251" s="167"/>
      <c r="E251" s="168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</row>
    <row r="252" ht="14.25" customHeight="1">
      <c r="A252" s="164"/>
      <c r="B252" s="165"/>
      <c r="C252" s="166"/>
      <c r="D252" s="167"/>
      <c r="E252" s="168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4"/>
    </row>
    <row r="253" ht="14.25" customHeight="1">
      <c r="A253" s="164"/>
      <c r="B253" s="165"/>
      <c r="C253" s="166"/>
      <c r="D253" s="167"/>
      <c r="E253" s="168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</row>
    <row r="254" ht="14.25" customHeight="1">
      <c r="A254" s="164"/>
      <c r="B254" s="165"/>
      <c r="C254" s="166"/>
      <c r="D254" s="167"/>
      <c r="E254" s="168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</row>
    <row r="255" ht="14.25" customHeight="1">
      <c r="A255" s="164"/>
      <c r="B255" s="165"/>
      <c r="C255" s="166"/>
      <c r="D255" s="167"/>
      <c r="E255" s="168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54"/>
    </row>
    <row r="256" ht="14.25" customHeight="1">
      <c r="A256" s="164"/>
      <c r="B256" s="165"/>
      <c r="C256" s="166"/>
      <c r="D256" s="167"/>
      <c r="E256" s="168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</row>
    <row r="257" ht="14.25" customHeight="1">
      <c r="A257" s="164"/>
      <c r="B257" s="165"/>
      <c r="C257" s="166"/>
      <c r="D257" s="167"/>
      <c r="E257" s="168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</row>
    <row r="258" ht="14.25" customHeight="1">
      <c r="A258" s="164"/>
      <c r="B258" s="165"/>
      <c r="C258" s="166"/>
      <c r="D258" s="167"/>
      <c r="E258" s="168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</row>
    <row r="259" ht="14.25" customHeight="1">
      <c r="A259" s="164"/>
      <c r="B259" s="165"/>
      <c r="C259" s="166"/>
      <c r="D259" s="167"/>
      <c r="E259" s="168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</row>
    <row r="260" ht="14.25" customHeight="1">
      <c r="A260" s="164"/>
      <c r="B260" s="165"/>
      <c r="C260" s="166"/>
      <c r="D260" s="167"/>
      <c r="E260" s="168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</row>
    <row r="261" ht="14.25" customHeight="1">
      <c r="A261" s="164"/>
      <c r="B261" s="165"/>
      <c r="C261" s="166"/>
      <c r="D261" s="167"/>
      <c r="E261" s="168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</row>
    <row r="262" ht="14.25" customHeight="1">
      <c r="A262" s="164"/>
      <c r="B262" s="165"/>
      <c r="C262" s="166"/>
      <c r="D262" s="167"/>
      <c r="E262" s="168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</row>
    <row r="263" ht="14.25" customHeight="1">
      <c r="A263" s="164"/>
      <c r="B263" s="165"/>
      <c r="C263" s="166"/>
      <c r="D263" s="167"/>
      <c r="E263" s="168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54"/>
    </row>
    <row r="264" ht="14.25" customHeight="1">
      <c r="A264" s="164"/>
      <c r="B264" s="165"/>
      <c r="C264" s="166"/>
      <c r="D264" s="167"/>
      <c r="E264" s="168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</row>
    <row r="265" ht="14.25" customHeight="1">
      <c r="A265" s="164"/>
      <c r="B265" s="165"/>
      <c r="C265" s="166"/>
      <c r="D265" s="167"/>
      <c r="E265" s="168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  <c r="Z265" s="154"/>
    </row>
    <row r="266" ht="14.25" customHeight="1">
      <c r="A266" s="164"/>
      <c r="B266" s="165"/>
      <c r="C266" s="166"/>
      <c r="D266" s="167"/>
      <c r="E266" s="168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  <c r="X266" s="154"/>
      <c r="Y266" s="154"/>
      <c r="Z266" s="154"/>
    </row>
    <row r="267" ht="14.25" customHeight="1">
      <c r="A267" s="164"/>
      <c r="B267" s="165"/>
      <c r="C267" s="166"/>
      <c r="D267" s="167"/>
      <c r="E267" s="168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4"/>
    </row>
    <row r="268" ht="14.25" customHeight="1">
      <c r="A268" s="164"/>
      <c r="B268" s="165"/>
      <c r="C268" s="166"/>
      <c r="D268" s="167"/>
      <c r="E268" s="168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4"/>
    </row>
    <row r="269" ht="14.25" customHeight="1">
      <c r="A269" s="164"/>
      <c r="B269" s="165"/>
      <c r="C269" s="166"/>
      <c r="D269" s="167"/>
      <c r="E269" s="168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4"/>
    </row>
    <row r="270" ht="14.25" customHeight="1">
      <c r="A270" s="164"/>
      <c r="B270" s="165"/>
      <c r="C270" s="166"/>
      <c r="D270" s="167"/>
      <c r="E270" s="168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4"/>
    </row>
    <row r="271" ht="14.25" customHeight="1">
      <c r="A271" s="164"/>
      <c r="B271" s="165"/>
      <c r="C271" s="166"/>
      <c r="D271" s="167"/>
      <c r="E271" s="168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4"/>
    </row>
    <row r="272" ht="14.25" customHeight="1">
      <c r="A272" s="164"/>
      <c r="B272" s="165"/>
      <c r="C272" s="166"/>
      <c r="D272" s="167"/>
      <c r="E272" s="168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154"/>
    </row>
    <row r="273" ht="14.25" customHeight="1">
      <c r="A273" s="164"/>
      <c r="B273" s="165"/>
      <c r="C273" s="166"/>
      <c r="D273" s="167"/>
      <c r="E273" s="168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4"/>
    </row>
    <row r="274" ht="14.25" customHeight="1">
      <c r="A274" s="164"/>
      <c r="B274" s="165"/>
      <c r="C274" s="166"/>
      <c r="D274" s="167"/>
      <c r="E274" s="168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4"/>
    </row>
    <row r="275" ht="14.25" customHeight="1">
      <c r="A275" s="164"/>
      <c r="B275" s="165"/>
      <c r="C275" s="166"/>
      <c r="D275" s="167"/>
      <c r="E275" s="168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4"/>
    </row>
    <row r="276" ht="14.25" customHeight="1">
      <c r="A276" s="164"/>
      <c r="B276" s="165"/>
      <c r="C276" s="166"/>
      <c r="D276" s="167"/>
      <c r="E276" s="168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</row>
    <row r="277" ht="14.25" customHeight="1">
      <c r="A277" s="164"/>
      <c r="B277" s="165"/>
      <c r="C277" s="166"/>
      <c r="D277" s="167"/>
      <c r="E277" s="168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</row>
    <row r="278" ht="14.25" customHeight="1">
      <c r="A278" s="164"/>
      <c r="B278" s="165"/>
      <c r="C278" s="166"/>
      <c r="D278" s="167"/>
      <c r="E278" s="168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</row>
    <row r="279" ht="14.25" customHeight="1">
      <c r="A279" s="164"/>
      <c r="B279" s="165"/>
      <c r="C279" s="166"/>
      <c r="D279" s="167"/>
      <c r="E279" s="168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4"/>
    </row>
    <row r="280" ht="14.25" customHeight="1">
      <c r="A280" s="164"/>
      <c r="B280" s="165"/>
      <c r="C280" s="166"/>
      <c r="D280" s="167"/>
      <c r="E280" s="168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</row>
    <row r="281" ht="14.25" customHeight="1">
      <c r="A281" s="164"/>
      <c r="B281" s="165"/>
      <c r="C281" s="166"/>
      <c r="D281" s="167"/>
      <c r="E281" s="168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</row>
    <row r="282" ht="14.25" customHeight="1">
      <c r="A282" s="164"/>
      <c r="B282" s="165"/>
      <c r="C282" s="166"/>
      <c r="D282" s="167"/>
      <c r="E282" s="168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</row>
    <row r="283" ht="14.25" customHeight="1">
      <c r="A283" s="164"/>
      <c r="B283" s="165"/>
      <c r="C283" s="166"/>
      <c r="D283" s="167"/>
      <c r="E283" s="168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</row>
    <row r="284" ht="14.25" customHeight="1">
      <c r="A284" s="164"/>
      <c r="B284" s="165"/>
      <c r="C284" s="166"/>
      <c r="D284" s="167"/>
      <c r="E284" s="168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</row>
    <row r="285" ht="14.25" customHeight="1">
      <c r="A285" s="164"/>
      <c r="B285" s="165"/>
      <c r="C285" s="166"/>
      <c r="D285" s="167"/>
      <c r="E285" s="168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154"/>
    </row>
    <row r="286" ht="14.25" customHeight="1">
      <c r="A286" s="164"/>
      <c r="B286" s="165"/>
      <c r="C286" s="166"/>
      <c r="D286" s="167"/>
      <c r="E286" s="168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4"/>
    </row>
    <row r="287" ht="14.25" customHeight="1">
      <c r="A287" s="164"/>
      <c r="B287" s="165"/>
      <c r="C287" s="166"/>
      <c r="D287" s="167"/>
      <c r="E287" s="168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</row>
    <row r="288" ht="14.25" customHeight="1">
      <c r="A288" s="164"/>
      <c r="B288" s="165"/>
      <c r="C288" s="166"/>
      <c r="D288" s="167"/>
      <c r="E288" s="168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</row>
    <row r="289" ht="14.25" customHeight="1">
      <c r="A289" s="164"/>
      <c r="B289" s="165"/>
      <c r="C289" s="166"/>
      <c r="D289" s="167"/>
      <c r="E289" s="168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</row>
    <row r="290" ht="14.25" customHeight="1">
      <c r="A290" s="164"/>
      <c r="B290" s="165"/>
      <c r="C290" s="166"/>
      <c r="D290" s="167"/>
      <c r="E290" s="168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4"/>
    </row>
    <row r="291" ht="14.25" customHeight="1">
      <c r="A291" s="164"/>
      <c r="B291" s="165"/>
      <c r="C291" s="166"/>
      <c r="D291" s="167"/>
      <c r="E291" s="168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154"/>
    </row>
    <row r="292" ht="14.25" customHeight="1">
      <c r="A292" s="164"/>
      <c r="B292" s="165"/>
      <c r="C292" s="166"/>
      <c r="D292" s="167"/>
      <c r="E292" s="168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154"/>
    </row>
    <row r="293" ht="14.25" customHeight="1">
      <c r="A293" s="164"/>
      <c r="B293" s="165"/>
      <c r="C293" s="166"/>
      <c r="D293" s="167"/>
      <c r="E293" s="168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154"/>
    </row>
    <row r="294" ht="14.25" customHeight="1">
      <c r="A294" s="164"/>
      <c r="B294" s="165"/>
      <c r="C294" s="166"/>
      <c r="D294" s="167"/>
      <c r="E294" s="168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</row>
    <row r="295" ht="14.25" customHeight="1">
      <c r="A295" s="164"/>
      <c r="B295" s="165"/>
      <c r="C295" s="166"/>
      <c r="D295" s="167"/>
      <c r="E295" s="168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</row>
    <row r="296" ht="14.25" customHeight="1">
      <c r="A296" s="164"/>
      <c r="B296" s="165"/>
      <c r="C296" s="166"/>
      <c r="D296" s="167"/>
      <c r="E296" s="168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</row>
    <row r="297" ht="14.25" customHeight="1">
      <c r="A297" s="164"/>
      <c r="B297" s="165"/>
      <c r="C297" s="166"/>
      <c r="D297" s="167"/>
      <c r="E297" s="168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</row>
    <row r="298" ht="14.25" customHeight="1">
      <c r="A298" s="164"/>
      <c r="B298" s="165"/>
      <c r="C298" s="166"/>
      <c r="D298" s="167"/>
      <c r="E298" s="168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</row>
    <row r="299" ht="14.25" customHeight="1">
      <c r="A299" s="164"/>
      <c r="B299" s="165"/>
      <c r="C299" s="166"/>
      <c r="D299" s="167"/>
      <c r="E299" s="168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</row>
    <row r="300" ht="14.25" customHeight="1">
      <c r="A300" s="164"/>
      <c r="B300" s="165"/>
      <c r="C300" s="166"/>
      <c r="D300" s="167"/>
      <c r="E300" s="168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</row>
    <row r="301" ht="14.25" customHeight="1">
      <c r="A301" s="164"/>
      <c r="B301" s="165"/>
      <c r="C301" s="166"/>
      <c r="D301" s="167"/>
      <c r="E301" s="168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</row>
    <row r="302" ht="14.25" customHeight="1">
      <c r="A302" s="164"/>
      <c r="B302" s="165"/>
      <c r="C302" s="166"/>
      <c r="D302" s="167"/>
      <c r="E302" s="168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</row>
    <row r="303" ht="14.25" customHeight="1">
      <c r="A303" s="164"/>
      <c r="B303" s="165"/>
      <c r="C303" s="166"/>
      <c r="D303" s="167"/>
      <c r="E303" s="168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4"/>
    </row>
    <row r="304" ht="14.25" customHeight="1">
      <c r="A304" s="164"/>
      <c r="B304" s="165"/>
      <c r="C304" s="166"/>
      <c r="D304" s="167"/>
      <c r="E304" s="168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</row>
    <row r="305" ht="14.25" customHeight="1">
      <c r="A305" s="164"/>
      <c r="B305" s="165"/>
      <c r="C305" s="166"/>
      <c r="D305" s="167"/>
      <c r="E305" s="168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</row>
    <row r="306" ht="14.25" customHeight="1">
      <c r="A306" s="164"/>
      <c r="B306" s="165"/>
      <c r="C306" s="166"/>
      <c r="D306" s="167"/>
      <c r="E306" s="168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</row>
    <row r="307" ht="14.25" customHeight="1">
      <c r="A307" s="164"/>
      <c r="B307" s="165"/>
      <c r="C307" s="166"/>
      <c r="D307" s="167"/>
      <c r="E307" s="168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154"/>
    </row>
    <row r="308" ht="14.25" customHeight="1">
      <c r="A308" s="164"/>
      <c r="B308" s="165"/>
      <c r="C308" s="166"/>
      <c r="D308" s="167"/>
      <c r="E308" s="168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4"/>
    </row>
    <row r="309" ht="14.25" customHeight="1">
      <c r="A309" s="164"/>
      <c r="B309" s="165"/>
      <c r="C309" s="166"/>
      <c r="D309" s="167"/>
      <c r="E309" s="168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</row>
    <row r="310" ht="14.25" customHeight="1">
      <c r="A310" s="164"/>
      <c r="B310" s="165"/>
      <c r="C310" s="166"/>
      <c r="D310" s="167"/>
      <c r="E310" s="168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</row>
    <row r="311" ht="14.25" customHeight="1">
      <c r="A311" s="164"/>
      <c r="B311" s="165"/>
      <c r="C311" s="166"/>
      <c r="D311" s="167"/>
      <c r="E311" s="168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</row>
    <row r="312" ht="14.25" customHeight="1">
      <c r="A312" s="164"/>
      <c r="B312" s="165"/>
      <c r="C312" s="166"/>
      <c r="D312" s="167"/>
      <c r="E312" s="168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</row>
    <row r="313" ht="14.25" customHeight="1">
      <c r="A313" s="164"/>
      <c r="B313" s="165"/>
      <c r="C313" s="166"/>
      <c r="D313" s="167"/>
      <c r="E313" s="168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</row>
    <row r="314" ht="14.25" customHeight="1">
      <c r="A314" s="164"/>
      <c r="B314" s="165"/>
      <c r="C314" s="166"/>
      <c r="D314" s="167"/>
      <c r="E314" s="168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</row>
    <row r="315" ht="14.25" customHeight="1">
      <c r="A315" s="164"/>
      <c r="B315" s="165"/>
      <c r="C315" s="166"/>
      <c r="D315" s="167"/>
      <c r="E315" s="168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</row>
    <row r="316" ht="14.25" customHeight="1">
      <c r="A316" s="164"/>
      <c r="B316" s="165"/>
      <c r="C316" s="166"/>
      <c r="D316" s="167"/>
      <c r="E316" s="168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</row>
    <row r="317" ht="14.25" customHeight="1">
      <c r="A317" s="164"/>
      <c r="B317" s="165"/>
      <c r="C317" s="166"/>
      <c r="D317" s="167"/>
      <c r="E317" s="168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</row>
    <row r="318" ht="14.25" customHeight="1">
      <c r="A318" s="164"/>
      <c r="B318" s="165"/>
      <c r="C318" s="166"/>
      <c r="D318" s="167"/>
      <c r="E318" s="168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</row>
    <row r="319" ht="14.25" customHeight="1">
      <c r="A319" s="164"/>
      <c r="B319" s="165"/>
      <c r="C319" s="166"/>
      <c r="D319" s="167"/>
      <c r="E319" s="168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</row>
    <row r="320" ht="14.25" customHeight="1">
      <c r="A320" s="164"/>
      <c r="B320" s="165"/>
      <c r="C320" s="166"/>
      <c r="D320" s="167"/>
      <c r="E320" s="168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</row>
    <row r="321" ht="14.25" customHeight="1">
      <c r="A321" s="164"/>
      <c r="B321" s="165"/>
      <c r="C321" s="166"/>
      <c r="D321" s="167"/>
      <c r="E321" s="168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</row>
    <row r="322" ht="14.25" customHeight="1">
      <c r="A322" s="164"/>
      <c r="B322" s="165"/>
      <c r="C322" s="166"/>
      <c r="D322" s="167"/>
      <c r="E322" s="168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154"/>
    </row>
    <row r="323" ht="14.25" customHeight="1">
      <c r="A323" s="164"/>
      <c r="B323" s="165"/>
      <c r="C323" s="166"/>
      <c r="D323" s="167"/>
      <c r="E323" s="168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</row>
    <row r="324" ht="14.25" customHeight="1">
      <c r="A324" s="164"/>
      <c r="B324" s="165"/>
      <c r="C324" s="166"/>
      <c r="D324" s="167"/>
      <c r="E324" s="168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</row>
    <row r="325" ht="14.25" customHeight="1">
      <c r="A325" s="164"/>
      <c r="B325" s="165"/>
      <c r="C325" s="166"/>
      <c r="D325" s="167"/>
      <c r="E325" s="168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</row>
    <row r="326" ht="14.25" customHeight="1">
      <c r="A326" s="164"/>
      <c r="B326" s="165"/>
      <c r="C326" s="166"/>
      <c r="D326" s="167"/>
      <c r="E326" s="168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</row>
    <row r="327" ht="14.25" customHeight="1">
      <c r="A327" s="164"/>
      <c r="B327" s="165"/>
      <c r="C327" s="166"/>
      <c r="D327" s="167"/>
      <c r="E327" s="168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</row>
    <row r="328" ht="14.25" customHeight="1">
      <c r="A328" s="164"/>
      <c r="B328" s="165"/>
      <c r="C328" s="166"/>
      <c r="D328" s="167"/>
      <c r="E328" s="168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</row>
    <row r="329" ht="14.25" customHeight="1">
      <c r="A329" s="164"/>
      <c r="B329" s="165"/>
      <c r="C329" s="166"/>
      <c r="D329" s="167"/>
      <c r="E329" s="168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154"/>
    </row>
    <row r="330" ht="14.25" customHeight="1">
      <c r="A330" s="164"/>
      <c r="B330" s="165"/>
      <c r="C330" s="166"/>
      <c r="D330" s="167"/>
      <c r="E330" s="168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</row>
    <row r="331" ht="14.25" customHeight="1">
      <c r="A331" s="164"/>
      <c r="B331" s="165"/>
      <c r="C331" s="166"/>
      <c r="D331" s="167"/>
      <c r="E331" s="168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</row>
    <row r="332" ht="14.25" customHeight="1">
      <c r="A332" s="164"/>
      <c r="B332" s="165"/>
      <c r="C332" s="166"/>
      <c r="D332" s="167"/>
      <c r="E332" s="168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</row>
    <row r="333" ht="14.25" customHeight="1">
      <c r="A333" s="164"/>
      <c r="B333" s="165"/>
      <c r="C333" s="166"/>
      <c r="D333" s="167"/>
      <c r="E333" s="168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</row>
    <row r="334" ht="14.25" customHeight="1">
      <c r="A334" s="164"/>
      <c r="B334" s="165"/>
      <c r="C334" s="166"/>
      <c r="D334" s="167"/>
      <c r="E334" s="168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</row>
    <row r="335" ht="14.25" customHeight="1">
      <c r="A335" s="164"/>
      <c r="B335" s="165"/>
      <c r="C335" s="166"/>
      <c r="D335" s="167"/>
      <c r="E335" s="168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</row>
    <row r="336" ht="14.25" customHeight="1">
      <c r="A336" s="164"/>
      <c r="B336" s="165"/>
      <c r="C336" s="166"/>
      <c r="D336" s="167"/>
      <c r="E336" s="168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</row>
    <row r="337" ht="14.25" customHeight="1">
      <c r="A337" s="164"/>
      <c r="B337" s="165"/>
      <c r="C337" s="166"/>
      <c r="D337" s="167"/>
      <c r="E337" s="168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</row>
    <row r="338" ht="14.25" customHeight="1">
      <c r="A338" s="164"/>
      <c r="B338" s="165"/>
      <c r="C338" s="166"/>
      <c r="D338" s="167"/>
      <c r="E338" s="168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</row>
    <row r="339" ht="14.25" customHeight="1">
      <c r="A339" s="164"/>
      <c r="B339" s="165"/>
      <c r="C339" s="166"/>
      <c r="D339" s="167"/>
      <c r="E339" s="168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154"/>
    </row>
    <row r="340" ht="14.25" customHeight="1">
      <c r="A340" s="164"/>
      <c r="B340" s="165"/>
      <c r="C340" s="166"/>
      <c r="D340" s="167"/>
      <c r="E340" s="168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</row>
    <row r="341" ht="14.25" customHeight="1">
      <c r="A341" s="164"/>
      <c r="B341" s="165"/>
      <c r="C341" s="166"/>
      <c r="D341" s="167"/>
      <c r="E341" s="168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</row>
    <row r="342" ht="14.25" customHeight="1">
      <c r="A342" s="164"/>
      <c r="B342" s="165"/>
      <c r="C342" s="166"/>
      <c r="D342" s="167"/>
      <c r="E342" s="168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</row>
    <row r="343" ht="14.25" customHeight="1">
      <c r="A343" s="164"/>
      <c r="B343" s="165"/>
      <c r="C343" s="166"/>
      <c r="D343" s="167"/>
      <c r="E343" s="168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</row>
    <row r="344" ht="14.25" customHeight="1">
      <c r="A344" s="164"/>
      <c r="B344" s="165"/>
      <c r="C344" s="166"/>
      <c r="D344" s="167"/>
      <c r="E344" s="168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154"/>
    </row>
    <row r="345" ht="14.25" customHeight="1">
      <c r="A345" s="164"/>
      <c r="B345" s="165"/>
      <c r="C345" s="166"/>
      <c r="D345" s="167"/>
      <c r="E345" s="168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154"/>
    </row>
    <row r="346" ht="14.25" customHeight="1">
      <c r="A346" s="164"/>
      <c r="B346" s="165"/>
      <c r="C346" s="166"/>
      <c r="D346" s="167"/>
      <c r="E346" s="168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154"/>
    </row>
    <row r="347" ht="14.25" customHeight="1">
      <c r="A347" s="164"/>
      <c r="B347" s="165"/>
      <c r="C347" s="166"/>
      <c r="D347" s="167"/>
      <c r="E347" s="168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</row>
    <row r="348" ht="14.25" customHeight="1">
      <c r="A348" s="164"/>
      <c r="B348" s="165"/>
      <c r="C348" s="166"/>
      <c r="D348" s="167"/>
      <c r="E348" s="168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</row>
    <row r="349" ht="14.25" customHeight="1">
      <c r="A349" s="164"/>
      <c r="B349" s="165"/>
      <c r="C349" s="166"/>
      <c r="D349" s="167"/>
      <c r="E349" s="168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</row>
    <row r="350" ht="14.25" customHeight="1">
      <c r="A350" s="164"/>
      <c r="B350" s="165"/>
      <c r="C350" s="166"/>
      <c r="D350" s="167"/>
      <c r="E350" s="168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</row>
    <row r="351" ht="14.25" customHeight="1">
      <c r="A351" s="164"/>
      <c r="B351" s="165"/>
      <c r="C351" s="166"/>
      <c r="D351" s="167"/>
      <c r="E351" s="168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</row>
    <row r="352" ht="14.25" customHeight="1">
      <c r="A352" s="164"/>
      <c r="B352" s="165"/>
      <c r="C352" s="166"/>
      <c r="D352" s="167"/>
      <c r="E352" s="168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</row>
    <row r="353" ht="14.25" customHeight="1">
      <c r="A353" s="164"/>
      <c r="B353" s="165"/>
      <c r="C353" s="166"/>
      <c r="D353" s="167"/>
      <c r="E353" s="168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</row>
    <row r="354" ht="14.25" customHeight="1">
      <c r="A354" s="164"/>
      <c r="B354" s="165"/>
      <c r="C354" s="166"/>
      <c r="D354" s="167"/>
      <c r="E354" s="168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</row>
    <row r="355" ht="14.25" customHeight="1">
      <c r="A355" s="164"/>
      <c r="B355" s="165"/>
      <c r="C355" s="166"/>
      <c r="D355" s="167"/>
      <c r="E355" s="168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</row>
    <row r="356" ht="14.25" customHeight="1">
      <c r="A356" s="164"/>
      <c r="B356" s="165"/>
      <c r="C356" s="166"/>
      <c r="D356" s="167"/>
      <c r="E356" s="168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</row>
    <row r="357" ht="14.25" customHeight="1">
      <c r="A357" s="164"/>
      <c r="B357" s="165"/>
      <c r="C357" s="166"/>
      <c r="D357" s="167"/>
      <c r="E357" s="168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</row>
    <row r="358" ht="14.25" customHeight="1">
      <c r="A358" s="164"/>
      <c r="B358" s="165"/>
      <c r="C358" s="166"/>
      <c r="D358" s="167"/>
      <c r="E358" s="168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4"/>
    </row>
    <row r="359" ht="14.25" customHeight="1">
      <c r="A359" s="164"/>
      <c r="B359" s="165"/>
      <c r="C359" s="166"/>
      <c r="D359" s="167"/>
      <c r="E359" s="168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</row>
    <row r="360" ht="14.25" customHeight="1">
      <c r="A360" s="164"/>
      <c r="B360" s="165"/>
      <c r="C360" s="166"/>
      <c r="D360" s="167"/>
      <c r="E360" s="168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4"/>
    </row>
    <row r="361" ht="14.25" customHeight="1">
      <c r="A361" s="164"/>
      <c r="B361" s="165"/>
      <c r="C361" s="166"/>
      <c r="D361" s="167"/>
      <c r="E361" s="168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148" t="s">
        <v>168</v>
      </c>
      <c r="B1" s="149" t="s">
        <v>197</v>
      </c>
      <c r="C1" s="150" t="s">
        <v>169</v>
      </c>
      <c r="D1" s="151" t="s">
        <v>198</v>
      </c>
      <c r="E1" s="152" t="s">
        <v>199</v>
      </c>
      <c r="G1" s="153" t="s">
        <v>200</v>
      </c>
      <c r="H1" s="121">
        <f>MATCH("",A2:A1001,-1)</f>
        <v>38</v>
      </c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</row>
    <row r="2" ht="14.25" customHeight="1">
      <c r="A2" s="155" t="str">
        <f>IFERROR(__xludf.DUMMYFUNCTION(" IMPORTRANGE(""https://docs.google.com/spreadsheets/d/1twX1iNacw4TkmnSOqJDY6p4dpyW49UVuLGYNQAb5BXQ/edit#gid=695545632"",""Roller Coaster!A2:A161"")"),"Dirty Bazaar")</f>
        <v>Dirty Bazaar</v>
      </c>
      <c r="B2" s="156">
        <v>1.0</v>
      </c>
      <c r="C2" s="157">
        <f t="shared" ref="C2:C160" si="1">525*(1-(B2/($H$1+1)))*POWER((SQRT(($H$1+1)/B2)),1/2)</f>
        <v>1278.334308</v>
      </c>
      <c r="D2" s="158" t="str">
        <f>VLOOKUP(A2,'Classement RoC'!$B$2:$C$149,1,0)</f>
        <v>Dirty Bazaar</v>
      </c>
      <c r="E2" s="159" t="str">
        <f t="shared" ref="E2:E160" si="2">IF(D2=A2,"","erreur")</f>
        <v/>
      </c>
      <c r="F2" s="120" t="str">
        <f>VLOOKUP(A2,'Classement Général'!$B$2:$B$146,1,0)</f>
        <v>Dirty Bazaar</v>
      </c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ht="14.25" customHeight="1">
      <c r="A3" s="160" t="str">
        <f>IFERROR(__xludf.DUMMYFUNCTION("""COMPUTED_VALUE"""),"immond")</f>
        <v>immond</v>
      </c>
      <c r="B3" s="161">
        <v>2.0</v>
      </c>
      <c r="C3" s="157">
        <f t="shared" si="1"/>
        <v>1046.658665</v>
      </c>
      <c r="D3" s="158" t="str">
        <f>VLOOKUP(A3,'Classement RoC'!$B$2:$C$149,1,0)</f>
        <v>immond</v>
      </c>
      <c r="E3" s="159" t="str">
        <f t="shared" si="2"/>
        <v/>
      </c>
      <c r="F3" s="120" t="str">
        <f>VLOOKUP(A3,'Classement Général'!$B$2:$B$146,1,0)</f>
        <v>immond</v>
      </c>
      <c r="G3" s="162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ht="14.25" customHeight="1">
      <c r="A4" s="160" t="str">
        <f>IFERROR(__xludf.DUMMYFUNCTION("""COMPUTED_VALUE"""),"Cataleya86")</f>
        <v>Cataleya86</v>
      </c>
      <c r="B4" s="156">
        <v>3.0</v>
      </c>
      <c r="C4" s="157">
        <f t="shared" si="1"/>
        <v>920.2017084</v>
      </c>
      <c r="D4" s="158" t="str">
        <f>VLOOKUP(A4,'Classement RoC'!$B$2:$C$149,1,0)</f>
        <v>Cataleya86</v>
      </c>
      <c r="E4" s="159" t="str">
        <f t="shared" si="2"/>
        <v/>
      </c>
      <c r="F4" s="120" t="str">
        <f>VLOOKUP(A4,'Classement Général'!$B$2:$B$146,1,0)</f>
        <v>Cataleya86</v>
      </c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ht="14.25" customHeight="1">
      <c r="A5" s="160" t="str">
        <f>IFERROR(__xludf.DUMMYFUNCTION("""COMPUTED_VALUE"""),"nono1er")</f>
        <v>nono1er</v>
      </c>
      <c r="B5" s="161">
        <v>4.0</v>
      </c>
      <c r="C5" s="157">
        <f t="shared" si="1"/>
        <v>832.5568428</v>
      </c>
      <c r="D5" s="158" t="str">
        <f>VLOOKUP(A5,'Classement RoC'!$B$2:$C$149,1,0)</f>
        <v>#N/A</v>
      </c>
      <c r="E5" s="163" t="str">
        <f t="shared" si="2"/>
        <v>#N/A</v>
      </c>
      <c r="F5" s="120" t="str">
        <f>VLOOKUP(A5,'Classement Général'!$B$2:$B$146,1,0)</f>
        <v>#N/A</v>
      </c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ht="14.25" customHeight="1">
      <c r="A6" s="160" t="str">
        <f>IFERROR(__xludf.DUMMYFUNCTION("""COMPUTED_VALUE"""),"karibette86")</f>
        <v>karibette86</v>
      </c>
      <c r="B6" s="156">
        <v>5.0</v>
      </c>
      <c r="C6" s="157">
        <f t="shared" si="1"/>
        <v>764.8869725</v>
      </c>
      <c r="D6" s="158" t="str">
        <f>VLOOKUP(A6,'Classement RoC'!$B$2:$C$149,1,0)</f>
        <v>karibette86</v>
      </c>
      <c r="E6" s="163" t="str">
        <f t="shared" si="2"/>
        <v/>
      </c>
      <c r="F6" s="120" t="str">
        <f>VLOOKUP(A6,'Classement Général'!$B$2:$B$146,1,0)</f>
        <v>karibette86</v>
      </c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</row>
    <row r="7" ht="14.25" customHeight="1">
      <c r="A7" s="160" t="str">
        <f>IFERROR(__xludf.DUMMYFUNCTION("""COMPUTED_VALUE"""),"foldzilla")</f>
        <v>foldzilla</v>
      </c>
      <c r="B7" s="161">
        <v>6.0</v>
      </c>
      <c r="C7" s="157">
        <f t="shared" si="1"/>
        <v>709.3114581</v>
      </c>
      <c r="D7" s="158" t="str">
        <f>VLOOKUP(A7,'Classement RoC'!$B$2:$C$149,1,0)</f>
        <v>#N/A</v>
      </c>
      <c r="E7" s="163" t="str">
        <f t="shared" si="2"/>
        <v>#N/A</v>
      </c>
      <c r="F7" s="120" t="str">
        <f>VLOOKUP(A7,'Classement Général'!$B$2:$B$146,1,0)</f>
        <v>#N/A</v>
      </c>
      <c r="G7" s="154"/>
      <c r="H7" s="154"/>
      <c r="I7" s="154"/>
      <c r="J7" s="154"/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</row>
    <row r="8" ht="14.25" customHeight="1">
      <c r="A8" s="160" t="str">
        <f>IFERROR(__xludf.DUMMYFUNCTION("""COMPUTED_VALUE"""),"erniedog56x")</f>
        <v>erniedog56x</v>
      </c>
      <c r="B8" s="156">
        <v>7.0</v>
      </c>
      <c r="C8" s="157">
        <f t="shared" si="1"/>
        <v>661.8145585</v>
      </c>
      <c r="D8" s="158" t="str">
        <f>VLOOKUP(A8,'Classement RoC'!$B$2:$C$149,1,0)</f>
        <v>erniedog56x</v>
      </c>
      <c r="E8" s="163" t="str">
        <f t="shared" si="2"/>
        <v/>
      </c>
      <c r="F8" s="120" t="str">
        <f>VLOOKUP(A8,'Classement Général'!$B$2:$B$146,1,0)</f>
        <v>erniedog56x</v>
      </c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</row>
    <row r="9" ht="14.25" customHeight="1">
      <c r="A9" s="160" t="str">
        <f>IFERROR(__xludf.DUMMYFUNCTION("""COMPUTED_VALUE"""),"Kiki Bazaar")</f>
        <v>Kiki Bazaar</v>
      </c>
      <c r="B9" s="161">
        <v>8.0</v>
      </c>
      <c r="C9" s="157">
        <f t="shared" si="1"/>
        <v>620.0833144</v>
      </c>
      <c r="D9" s="158" t="str">
        <f>VLOOKUP(A9,'Classement RoC'!$B$2:$C$149,1,0)</f>
        <v>Kiki Bazaar</v>
      </c>
      <c r="E9" s="163" t="str">
        <f t="shared" si="2"/>
        <v/>
      </c>
      <c r="F9" s="120" t="str">
        <f>VLOOKUP(A9,'Classement Général'!$B$2:$B$146,1,0)</f>
        <v>Kiki Bazaar</v>
      </c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</row>
    <row r="10" ht="14.25" customHeight="1">
      <c r="A10" s="160" t="str">
        <f>IFERROR(__xludf.DUMMYFUNCTION("""COMPUTED_VALUE"""),"pit86")</f>
        <v>pit86</v>
      </c>
      <c r="B10" s="156">
        <v>9.0</v>
      </c>
      <c r="C10" s="157">
        <f t="shared" si="1"/>
        <v>582.6684134</v>
      </c>
      <c r="D10" s="158" t="str">
        <f>VLOOKUP(A10,'Classement RoC'!$B$2:$C$149,1,0)</f>
        <v>#N/A</v>
      </c>
      <c r="E10" s="163" t="str">
        <f t="shared" si="2"/>
        <v>#N/A</v>
      </c>
      <c r="F10" s="120" t="str">
        <f>VLOOKUP(A10,'Classement Général'!$B$2:$B$146,1,0)</f>
        <v>#N/A</v>
      </c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ht="14.25" customHeight="1">
      <c r="A11" s="160" t="str">
        <f>IFERROR(__xludf.DUMMYFUNCTION("""COMPUTED_VALUE"""),"M2TH")</f>
        <v>M2TH</v>
      </c>
      <c r="B11" s="161">
        <v>10.0</v>
      </c>
      <c r="C11" s="157">
        <f t="shared" si="1"/>
        <v>548.6038436</v>
      </c>
      <c r="D11" s="158" t="str">
        <f>VLOOKUP(A11,'Classement RoC'!$B$2:$C$149,1,0)</f>
        <v>#N/A</v>
      </c>
      <c r="E11" s="163" t="str">
        <f t="shared" si="2"/>
        <v>#N/A</v>
      </c>
      <c r="F11" s="120" t="str">
        <f>VLOOKUP(A11,'Classement Général'!$B$2:$B$146,1,0)</f>
        <v>#N/A</v>
      </c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</row>
    <row r="12" ht="14.25" customHeight="1">
      <c r="A12" s="160" t="str">
        <f>IFERROR(__xludf.DUMMYFUNCTION("""COMPUTED_VALUE"""),"Phil1308")</f>
        <v>Phil1308</v>
      </c>
      <c r="B12" s="156">
        <v>11.0</v>
      </c>
      <c r="C12" s="157">
        <f t="shared" si="1"/>
        <v>517.2145196</v>
      </c>
      <c r="D12" s="158" t="str">
        <f>VLOOKUP(A12,'Classement RoC'!$B$2:$C$149,1,0)</f>
        <v>Phil1308</v>
      </c>
      <c r="E12" s="163" t="str">
        <f t="shared" si="2"/>
        <v/>
      </c>
      <c r="F12" s="120" t="str">
        <f>VLOOKUP(A12,'Classement Général'!$B$2:$B$146,1,0)</f>
        <v>Phil1308</v>
      </c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ht="14.25" customHeight="1">
      <c r="A13" s="160" t="str">
        <f>IFERROR(__xludf.DUMMYFUNCTION("""COMPUTED_VALUE"""),"DonnesTchips")</f>
        <v>DonnesTchips</v>
      </c>
      <c r="B13" s="161">
        <v>12.0</v>
      </c>
      <c r="C13" s="157">
        <f t="shared" si="1"/>
        <v>488.0106511</v>
      </c>
      <c r="D13" s="158" t="str">
        <f>VLOOKUP(A13,'Classement RoC'!$B$2:$C$149,1,0)</f>
        <v>DonnesTchips</v>
      </c>
      <c r="E13" s="163" t="str">
        <f t="shared" si="2"/>
        <v/>
      </c>
      <c r="F13" s="120" t="str">
        <f>VLOOKUP(A13,'Classement Général'!$B$2:$B$146,1,0)</f>
        <v>DonnesTchips</v>
      </c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ht="14.25" customHeight="1">
      <c r="A14" s="160" t="str">
        <f>IFERROR(__xludf.DUMMYFUNCTION("""COMPUTED_VALUE"""),"POMB1664")</f>
        <v>POMB1664</v>
      </c>
      <c r="B14" s="156">
        <v>13.0</v>
      </c>
      <c r="C14" s="157">
        <f t="shared" si="1"/>
        <v>460.6259045</v>
      </c>
      <c r="D14" s="158" t="str">
        <f>VLOOKUP(A14,'Classement RoC'!$B$2:$C$149,1,0)</f>
        <v>POMB1664</v>
      </c>
      <c r="E14" s="163" t="str">
        <f t="shared" si="2"/>
        <v/>
      </c>
      <c r="F14" s="120" t="str">
        <f>VLOOKUP(A14,'Classement Général'!$B$2:$B$146,1,0)</f>
        <v>POMB1664</v>
      </c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</row>
    <row r="15" ht="14.25" customHeight="1">
      <c r="A15" s="160" t="str">
        <f>IFERROR(__xludf.DUMMYFUNCTION("""COMPUTED_VALUE"""),"christ86000")</f>
        <v>christ86000</v>
      </c>
      <c r="B15" s="161">
        <v>14.0</v>
      </c>
      <c r="C15" s="157">
        <f t="shared" si="1"/>
        <v>434.7792889</v>
      </c>
      <c r="D15" s="158" t="str">
        <f>VLOOKUP(A15,'Classement RoC'!$B$2:$C$149,1,0)</f>
        <v>christ86000</v>
      </c>
      <c r="E15" s="163" t="str">
        <f t="shared" si="2"/>
        <v/>
      </c>
      <c r="F15" s="120" t="str">
        <f>VLOOKUP(A15,'Classement Général'!$B$2:$B$146,1,0)</f>
        <v>christ86000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</row>
    <row r="16" ht="14.25" customHeight="1">
      <c r="A16" s="160" t="str">
        <f>IFERROR(__xludf.DUMMYFUNCTION("""COMPUTED_VALUE"""),"Mistral86")</f>
        <v>Mistral86</v>
      </c>
      <c r="B16" s="156">
        <v>15.0</v>
      </c>
      <c r="C16" s="157">
        <f t="shared" si="1"/>
        <v>410.2506474</v>
      </c>
      <c r="D16" s="158" t="str">
        <f>VLOOKUP(A16,'Classement RoC'!$B$2:$C$149,1,0)</f>
        <v>#N/A</v>
      </c>
      <c r="E16" s="163" t="str">
        <f t="shared" si="2"/>
        <v>#N/A</v>
      </c>
      <c r="F16" s="120" t="str">
        <f>VLOOKUP(A16,'Classement Général'!$B$2:$B$146,1,0)</f>
        <v>Mistral86</v>
      </c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ht="14.25" customHeight="1">
      <c r="A17" s="160" t="str">
        <f>IFERROR(__xludf.DUMMYFUNCTION("""COMPUTED_VALUE"""),"Mako Lemore")</f>
        <v>Mako Lemore</v>
      </c>
      <c r="B17" s="161">
        <v>16.0</v>
      </c>
      <c r="C17" s="157">
        <f t="shared" si="1"/>
        <v>386.8643301</v>
      </c>
      <c r="D17" s="158" t="str">
        <f>VLOOKUP(A17,'Classement RoC'!$B$2:$C$149,1,0)</f>
        <v>Mako Lemore</v>
      </c>
      <c r="E17" s="163" t="str">
        <f t="shared" si="2"/>
        <v/>
      </c>
      <c r="F17" s="120" t="str">
        <f>VLOOKUP(A17,'Classement Général'!$B$2:$B$146,1,0)</f>
        <v>Mako Lemore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</row>
    <row r="18" ht="14.25" customHeight="1">
      <c r="A18" s="160" t="str">
        <f>IFERROR(__xludf.DUMMYFUNCTION("""COMPUTED_VALUE"""),"LEGOLEGOTE")</f>
        <v>LEGOLEGOTE</v>
      </c>
      <c r="B18" s="156">
        <v>17.0</v>
      </c>
      <c r="C18" s="157">
        <f t="shared" si="1"/>
        <v>364.4779826</v>
      </c>
      <c r="D18" s="158" t="str">
        <f>VLOOKUP(A18,'Classement RoC'!$B$2:$C$149,1,0)</f>
        <v>LEGOLEGOTE</v>
      </c>
      <c r="E18" s="163" t="str">
        <f t="shared" si="2"/>
        <v/>
      </c>
      <c r="F18" s="120" t="str">
        <f>VLOOKUP(A18,'Classement Général'!$B$2:$B$146,1,0)</f>
        <v>LEGOLEGOTE</v>
      </c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</row>
    <row r="19" ht="14.25" customHeight="1">
      <c r="A19" s="160" t="str">
        <f>IFERROR(__xludf.DUMMYFUNCTION("""COMPUTED_VALUE"""),"SINGE7")</f>
        <v>SINGE7</v>
      </c>
      <c r="B19" s="161">
        <v>18.0</v>
      </c>
      <c r="C19" s="157">
        <f t="shared" si="1"/>
        <v>342.9746461</v>
      </c>
      <c r="D19" s="158" t="str">
        <f>VLOOKUP(A19,'Classement RoC'!$B$2:$C$149,1,0)</f>
        <v>SINGE7</v>
      </c>
      <c r="E19" s="163" t="str">
        <f t="shared" si="2"/>
        <v/>
      </c>
      <c r="F19" s="120" t="str">
        <f>VLOOKUP(A19,'Classement Général'!$B$2:$B$146,1,0)</f>
        <v>SINGE7</v>
      </c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</row>
    <row r="20" ht="14.25" customHeight="1">
      <c r="A20" s="160" t="str">
        <f>IFERROR(__xludf.DUMMYFUNCTION("""COMPUTED_VALUE"""),"sonic86")</f>
        <v>sonic86</v>
      </c>
      <c r="B20" s="156">
        <v>19.0</v>
      </c>
      <c r="C20" s="157">
        <f t="shared" si="1"/>
        <v>322.2570622</v>
      </c>
      <c r="D20" s="158" t="str">
        <f>VLOOKUP(A20,'Classement RoC'!$B$2:$C$149,1,0)</f>
        <v>sonic86</v>
      </c>
      <c r="E20" s="163" t="str">
        <f t="shared" si="2"/>
        <v/>
      </c>
      <c r="F20" s="120" t="str">
        <f>VLOOKUP(A20,'Classement Général'!$B$2:$B$146,1,0)</f>
        <v>sonic86</v>
      </c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</row>
    <row r="21" ht="14.25" customHeight="1">
      <c r="A21" s="160" t="str">
        <f>IFERROR(__xludf.DUMMYFUNCTION("""COMPUTED_VALUE"""),"BRUNOWINNER")</f>
        <v>BRUNOWINNER</v>
      </c>
      <c r="B21" s="161">
        <v>20.0</v>
      </c>
      <c r="C21" s="157">
        <f t="shared" si="1"/>
        <v>302.2434864</v>
      </c>
      <c r="D21" s="158" t="str">
        <f>VLOOKUP(A21,'Classement RoC'!$B$2:$C$149,1,0)</f>
        <v>BRUNOWINNER</v>
      </c>
      <c r="E21" s="163" t="str">
        <f t="shared" si="2"/>
        <v/>
      </c>
      <c r="F21" s="120" t="str">
        <f>VLOOKUP(A21,'Classement Général'!$B$2:$B$146,1,0)</f>
        <v>BRUNOWINNER</v>
      </c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</row>
    <row r="22" ht="14.25" customHeight="1">
      <c r="A22" s="160" t="str">
        <f>IFERROR(__xludf.DUMMYFUNCTION("""COMPUTED_VALUE"""),"StephBoss05")</f>
        <v>StephBoss05</v>
      </c>
      <c r="B22" s="156">
        <v>21.0</v>
      </c>
      <c r="C22" s="157">
        <f t="shared" si="1"/>
        <v>282.8645543</v>
      </c>
      <c r="D22" s="158" t="str">
        <f>VLOOKUP(A22,'Classement RoC'!$B$2:$C$149,1,0)</f>
        <v>StephBoss05</v>
      </c>
      <c r="E22" s="163" t="str">
        <f t="shared" si="2"/>
        <v/>
      </c>
      <c r="F22" s="120" t="str">
        <f>VLOOKUP(A22,'Classement Général'!$B$2:$B$146,1,0)</f>
        <v>StephBoss05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</row>
    <row r="23" ht="14.25" customHeight="1">
      <c r="A23" s="160" t="str">
        <f>IFERROR(__xludf.DUMMYFUNCTION("""COMPUTED_VALUE"""),"Fistipanda")</f>
        <v>Fistipanda</v>
      </c>
      <c r="B23" s="161">
        <v>22.0</v>
      </c>
      <c r="C23" s="157">
        <f t="shared" si="1"/>
        <v>264.0609001</v>
      </c>
      <c r="D23" s="158" t="str">
        <f>VLOOKUP(A23,'Classement RoC'!$B$2:$C$149,1,0)</f>
        <v>Fistipanda</v>
      </c>
      <c r="E23" s="163" t="str">
        <f t="shared" si="2"/>
        <v/>
      </c>
      <c r="F23" s="120" t="str">
        <f>VLOOKUP(A23,'Classement Général'!$B$2:$B$146,1,0)</f>
        <v>Fistipanda</v>
      </c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</row>
    <row r="24" ht="14.25" customHeight="1">
      <c r="A24" s="160" t="str">
        <f>IFERROR(__xludf.DUMMYFUNCTION("""COMPUTED_VALUE"""),"gregmoore")</f>
        <v>gregmoore</v>
      </c>
      <c r="B24" s="156">
        <v>23.0</v>
      </c>
      <c r="C24" s="157">
        <f t="shared" si="1"/>
        <v>245.7813197</v>
      </c>
      <c r="D24" s="158" t="str">
        <f>VLOOKUP(A24,'Classement RoC'!$B$2:$C$149,1,0)</f>
        <v>gregmoore</v>
      </c>
      <c r="E24" s="163" t="str">
        <f t="shared" si="2"/>
        <v/>
      </c>
      <c r="F24" s="120" t="str">
        <f>VLOOKUP(A24,'Classement Général'!$B$2:$B$146,1,0)</f>
        <v>gregmoore</v>
      </c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</row>
    <row r="25" ht="14.25" customHeight="1">
      <c r="A25" s="160" t="str">
        <f>IFERROR(__xludf.DUMMYFUNCTION("""COMPUTED_VALUE"""),"8kinder6")</f>
        <v>8kinder6</v>
      </c>
      <c r="B25" s="161">
        <v>24.0</v>
      </c>
      <c r="C25" s="157">
        <f t="shared" si="1"/>
        <v>227.9813373</v>
      </c>
      <c r="D25" s="158" t="str">
        <f>VLOOKUP(A25,'Classement RoC'!$B$2:$C$149,1,0)</f>
        <v>8kinder6</v>
      </c>
      <c r="E25" s="163" t="str">
        <f t="shared" si="2"/>
        <v/>
      </c>
      <c r="F25" s="120" t="str">
        <f>VLOOKUP(A25,'Classement Général'!$B$2:$B$146,1,0)</f>
        <v>8kinder6</v>
      </c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</row>
    <row r="26" ht="14.25" customHeight="1">
      <c r="A26" s="160" t="str">
        <f>IFERROR(__xludf.DUMMYFUNCTION("""COMPUTED_VALUE"""),"jejehehe")</f>
        <v>jejehehe</v>
      </c>
      <c r="B26" s="156">
        <v>25.0</v>
      </c>
      <c r="C26" s="157">
        <f t="shared" si="1"/>
        <v>210.6220724</v>
      </c>
      <c r="D26" s="158" t="str">
        <f>VLOOKUP(A26,'Classement RoC'!$B$2:$C$149,1,0)</f>
        <v>jejehehe</v>
      </c>
      <c r="E26" s="163" t="str">
        <f t="shared" si="2"/>
        <v/>
      </c>
      <c r="F26" s="120" t="str">
        <f>VLOOKUP(A26,'Classement Général'!$B$2:$B$146,1,0)</f>
        <v>jejehehe</v>
      </c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</row>
    <row r="27" ht="14.25" customHeight="1">
      <c r="A27" s="160" t="str">
        <f>IFERROR(__xludf.DUMMYFUNCTION("""COMPUTED_VALUE"""),"JM-Chatte")</f>
        <v>JM-Chatte</v>
      </c>
      <c r="B27" s="161">
        <v>26.0</v>
      </c>
      <c r="C27" s="157">
        <f t="shared" si="1"/>
        <v>193.6693359</v>
      </c>
      <c r="D27" s="158" t="str">
        <f>VLOOKUP(A27,'Classement RoC'!$B$2:$C$149,1,0)</f>
        <v>JM-Chatte</v>
      </c>
      <c r="E27" s="163" t="str">
        <f t="shared" si="2"/>
        <v/>
      </c>
      <c r="F27" s="120" t="str">
        <f>VLOOKUP(A27,'Classement Général'!$B$2:$B$146,1,0)</f>
        <v>JM-Chatte</v>
      </c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</row>
    <row r="28" ht="14.25" customHeight="1">
      <c r="A28" s="160" t="str">
        <f>IFERROR(__xludf.DUMMYFUNCTION("""COMPUTED_VALUE"""),"fiodor86")</f>
        <v>fiodor86</v>
      </c>
      <c r="B28" s="156">
        <v>27.0</v>
      </c>
      <c r="C28" s="157">
        <f t="shared" si="1"/>
        <v>177.0929014</v>
      </c>
      <c r="D28" s="158" t="str">
        <f>VLOOKUP(A28,'Classement RoC'!$B$2:$C$149,1,0)</f>
        <v>fiodor86</v>
      </c>
      <c r="E28" s="163" t="str">
        <f t="shared" si="2"/>
        <v/>
      </c>
      <c r="F28" s="120" t="str">
        <f>VLOOKUP(A28,'Classement Général'!$B$2:$B$146,1,0)</f>
        <v>fiodor86</v>
      </c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</row>
    <row r="29" ht="14.25" customHeight="1">
      <c r="A29" s="160" t="str">
        <f>IFERROR(__xludf.DUMMYFUNCTION("""COMPUTED_VALUE"""),"chatouill86")</f>
        <v>chatouill86</v>
      </c>
      <c r="B29" s="161">
        <v>28.0</v>
      </c>
      <c r="C29" s="157">
        <f t="shared" si="1"/>
        <v>160.865912</v>
      </c>
      <c r="D29" s="158" t="str">
        <f>VLOOKUP(A29,'Classement RoC'!$B$2:$C$149,1,0)</f>
        <v>chatouill86</v>
      </c>
      <c r="E29" s="163" t="str">
        <f t="shared" si="2"/>
        <v/>
      </c>
      <c r="F29" s="120" t="str">
        <f>VLOOKUP(A29,'Classement Général'!$B$2:$B$146,1,0)</f>
        <v>chatouill86</v>
      </c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</row>
    <row r="30" ht="14.25" customHeight="1">
      <c r="A30" s="160" t="str">
        <f>IFERROR(__xludf.DUMMYFUNCTION("""COMPUTED_VALUE"""),"Elfy")</f>
        <v>Elfy</v>
      </c>
      <c r="B30" s="156">
        <v>29.0</v>
      </c>
      <c r="C30" s="157">
        <f t="shared" si="1"/>
        <v>144.9643954</v>
      </c>
      <c r="D30" s="158" t="str">
        <f>VLOOKUP(A30,'Classement RoC'!$B$2:$C$149,1,0)</f>
        <v>Elfy</v>
      </c>
      <c r="E30" s="163" t="str">
        <f t="shared" si="2"/>
        <v/>
      </c>
      <c r="F30" s="120" t="str">
        <f>VLOOKUP(A30,'Classement Général'!$B$2:$B$146,1,0)</f>
        <v>Elfy</v>
      </c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</row>
    <row r="31" ht="14.25" customHeight="1">
      <c r="A31" s="160" t="str">
        <f>IFERROR(__xludf.DUMMYFUNCTION("""COMPUTED_VALUE"""),"xenocq")</f>
        <v>xenocq</v>
      </c>
      <c r="B31" s="161">
        <v>30.0</v>
      </c>
      <c r="C31" s="157">
        <f t="shared" si="1"/>
        <v>129.366862</v>
      </c>
      <c r="D31" s="158" t="str">
        <f>VLOOKUP(A31,'Classement RoC'!$B$2:$C$149,1,0)</f>
        <v>#N/A</v>
      </c>
      <c r="E31" s="163" t="str">
        <f t="shared" si="2"/>
        <v>#N/A</v>
      </c>
      <c r="F31" s="120" t="str">
        <f>VLOOKUP(A31,'Classement Général'!$B$2:$B$146,1,0)</f>
        <v>#N/A</v>
      </c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</row>
    <row r="32" ht="14.25" customHeight="1">
      <c r="A32" s="160" t="str">
        <f>IFERROR(__xludf.DUMMYFUNCTION("""COMPUTED_VALUE"""),"UnPetitJaune")</f>
        <v>UnPetitJaune</v>
      </c>
      <c r="B32" s="156">
        <v>31.0</v>
      </c>
      <c r="C32" s="157">
        <f t="shared" si="1"/>
        <v>114.0539713</v>
      </c>
      <c r="D32" s="158" t="str">
        <f>VLOOKUP(A32,'Classement RoC'!$B$2:$C$149,1,0)</f>
        <v>UnPetitJaune</v>
      </c>
      <c r="E32" s="163" t="str">
        <f t="shared" si="2"/>
        <v/>
      </c>
      <c r="F32" s="120" t="str">
        <f>VLOOKUP(A32,'Classement Général'!$B$2:$B$146,1,0)</f>
        <v>UnPetitJaune</v>
      </c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</row>
    <row r="33" ht="14.25" customHeight="1">
      <c r="A33" s="160" t="str">
        <f>IFERROR(__xludf.DUMMYFUNCTION("""COMPUTED_VALUE"""),"NezuKO-demon")</f>
        <v>NezuKO-demon</v>
      </c>
      <c r="B33" s="161">
        <v>32.0</v>
      </c>
      <c r="C33" s="157">
        <f t="shared" si="1"/>
        <v>99.00825211</v>
      </c>
      <c r="D33" s="158" t="str">
        <f>VLOOKUP(A33,'Classement RoC'!$B$2:$C$149,1,0)</f>
        <v>NezuKO-demon</v>
      </c>
      <c r="E33" s="163" t="str">
        <f t="shared" si="2"/>
        <v/>
      </c>
      <c r="F33" s="120" t="str">
        <f>VLOOKUP(A33,'Classement Général'!$B$2:$B$146,1,0)</f>
        <v>NezuKO-demon</v>
      </c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</row>
    <row r="34" ht="14.25" customHeight="1">
      <c r="A34" s="160" t="str">
        <f>IFERROR(__xludf.DUMMYFUNCTION("""COMPUTED_VALUE"""),"Butterfly-as")</f>
        <v>Butterfly-as</v>
      </c>
      <c r="B34" s="156">
        <v>33.0</v>
      </c>
      <c r="C34" s="157">
        <f t="shared" si="1"/>
        <v>84.21386767</v>
      </c>
      <c r="D34" s="158" t="str">
        <f>VLOOKUP(A34,'Classement RoC'!$B$2:$C$149,1,0)</f>
        <v>Butterfly-as</v>
      </c>
      <c r="E34" s="163" t="str">
        <f t="shared" si="2"/>
        <v/>
      </c>
      <c r="F34" s="120" t="str">
        <f>VLOOKUP(A34,'Classement Général'!$B$2:$B$146,1,0)</f>
        <v>Butterfly-as</v>
      </c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</row>
    <row r="35" ht="14.25" customHeight="1">
      <c r="A35" s="160" t="str">
        <f>IFERROR(__xludf.DUMMYFUNCTION("""COMPUTED_VALUE"""),"FridAKahlo")</f>
        <v>FridAKahlo</v>
      </c>
      <c r="B35" s="161">
        <v>34.0</v>
      </c>
      <c r="C35" s="157">
        <f t="shared" si="1"/>
        <v>69.65641569</v>
      </c>
      <c r="D35" s="158" t="str">
        <f>VLOOKUP(A35,'Classement RoC'!$B$2:$C$149,1,0)</f>
        <v>FridAKahlo</v>
      </c>
      <c r="E35" s="163" t="str">
        <f t="shared" si="2"/>
        <v/>
      </c>
      <c r="F35" s="120" t="str">
        <f>VLOOKUP(A35,'Classement Général'!$B$2:$B$146,1,0)</f>
        <v>FridAKahlo</v>
      </c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</row>
    <row r="36" ht="14.25" customHeight="1">
      <c r="A36" s="160" t="str">
        <f>IFERROR(__xludf.DUMMYFUNCTION("""COMPUTED_VALUE"""),"rastamokett")</f>
        <v>rastamokett</v>
      </c>
      <c r="B36" s="156">
        <v>35.0</v>
      </c>
      <c r="C36" s="157">
        <f t="shared" si="1"/>
        <v>55.32275871</v>
      </c>
      <c r="D36" s="158" t="str">
        <f>VLOOKUP(A36,'Classement RoC'!$B$2:$C$149,1,0)</f>
        <v>rastamokett</v>
      </c>
      <c r="E36" s="163" t="str">
        <f t="shared" si="2"/>
        <v/>
      </c>
      <c r="F36" s="120" t="str">
        <f>VLOOKUP(A36,'Classement Général'!$B$2:$B$146,1,0)</f>
        <v>rastamokett</v>
      </c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</row>
    <row r="37" ht="14.25" customHeight="1">
      <c r="A37" s="160" t="str">
        <f>IFERROR(__xludf.DUMMYFUNCTION("""COMPUTED_VALUE"""),"KamehamehAS")</f>
        <v>KamehamehAS</v>
      </c>
      <c r="B37" s="161">
        <v>36.0</v>
      </c>
      <c r="C37" s="157">
        <f t="shared" si="1"/>
        <v>41.20087863</v>
      </c>
      <c r="D37" s="158" t="str">
        <f>VLOOKUP(A37,'Classement RoC'!$B$2:$C$149,1,0)</f>
        <v>KamehamehAS</v>
      </c>
      <c r="E37" s="163" t="str">
        <f t="shared" si="2"/>
        <v/>
      </c>
      <c r="F37" s="120" t="str">
        <f>VLOOKUP(A37,'Classement Général'!$B$2:$B$146,1,0)</f>
        <v>KamehamehAS</v>
      </c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</row>
    <row r="38" ht="14.25" customHeight="1">
      <c r="A38" s="160" t="str">
        <f>IFERROR(__xludf.DUMMYFUNCTION("""COMPUTED_VALUE"""),"Redblood92")</f>
        <v>Redblood92</v>
      </c>
      <c r="B38" s="156">
        <v>37.0</v>
      </c>
      <c r="C38" s="157">
        <f t="shared" si="1"/>
        <v>27.27975168</v>
      </c>
      <c r="D38" s="158" t="str">
        <f>VLOOKUP(A38,'Classement RoC'!$B$2:$C$149,1,0)</f>
        <v>Redblood92</v>
      </c>
      <c r="E38" s="163" t="str">
        <f t="shared" si="2"/>
        <v/>
      </c>
      <c r="F38" s="120" t="str">
        <f>VLOOKUP(A38,'Classement Général'!$B$2:$B$146,1,0)</f>
        <v>Redblood92</v>
      </c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</row>
    <row r="39" ht="14.25" customHeight="1">
      <c r="A39" s="160" t="str">
        <f>IFERROR(__xludf.DUMMYFUNCTION("""COMPUTED_VALUE"""),"_Sale-Bet_")</f>
        <v>_Sale-Bet_</v>
      </c>
      <c r="B39" s="161">
        <v>38.0</v>
      </c>
      <c r="C39" s="157">
        <f t="shared" si="1"/>
        <v>13.54924042</v>
      </c>
      <c r="D39" s="158" t="str">
        <f>VLOOKUP(A39,'Classement RoC'!$B$2:$C$149,1,0)</f>
        <v>_Sale-Bet_</v>
      </c>
      <c r="E39" s="163" t="str">
        <f t="shared" si="2"/>
        <v/>
      </c>
      <c r="F39" s="120" t="str">
        <f>VLOOKUP(A39,'Classement Général'!$B$2:$B$146,1,0)</f>
        <v>_Sale-Bet_</v>
      </c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</row>
    <row r="40" ht="14.25" customHeight="1">
      <c r="A40" s="160"/>
      <c r="B40" s="156">
        <v>39.0</v>
      </c>
      <c r="C40" s="157">
        <f t="shared" si="1"/>
        <v>0</v>
      </c>
      <c r="D40" s="158" t="str">
        <f>VLOOKUP(A40,'Classement RoC'!$B$2:$C$149,1,0)</f>
        <v>#N/A</v>
      </c>
      <c r="E40" s="163" t="str">
        <f t="shared" si="2"/>
        <v>#N/A</v>
      </c>
      <c r="F40" s="120" t="str">
        <f>VLOOKUP(A40,'Classement Général'!$B$2:$B$146,1,0)</f>
        <v>#N/A</v>
      </c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</row>
    <row r="41" ht="14.25" customHeight="1">
      <c r="A41" s="160"/>
      <c r="B41" s="161">
        <v>40.0</v>
      </c>
      <c r="C41" s="157">
        <f t="shared" si="1"/>
        <v>-13.37660338</v>
      </c>
      <c r="D41" s="158" t="str">
        <f>VLOOKUP(A41,'Classement RoC'!$B$2:$C$149,1,0)</f>
        <v>#N/A</v>
      </c>
      <c r="E41" s="163" t="str">
        <f t="shared" si="2"/>
        <v>#N/A</v>
      </c>
      <c r="F41" s="120" t="str">
        <f>VLOOKUP(A41,'Classement Général'!$B$2:$B$146,1,0)</f>
        <v>#N/A</v>
      </c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</row>
    <row r="42" ht="14.25" customHeight="1">
      <c r="A42" s="160"/>
      <c r="B42" s="156">
        <v>41.0</v>
      </c>
      <c r="C42" s="157">
        <f t="shared" si="1"/>
        <v>-26.58856382</v>
      </c>
      <c r="D42" s="158" t="str">
        <f>VLOOKUP(A42,'Classement RoC'!$B$2:$C$149,1,0)</f>
        <v>#N/A</v>
      </c>
      <c r="E42" s="163" t="str">
        <f t="shared" si="2"/>
        <v>#N/A</v>
      </c>
      <c r="F42" s="120" t="str">
        <f>VLOOKUP(A42,'Classement Général'!$B$2:$B$146,1,0)</f>
        <v>#N/A</v>
      </c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</row>
    <row r="43" ht="14.25" customHeight="1">
      <c r="A43" s="160"/>
      <c r="B43" s="161">
        <v>42.0</v>
      </c>
      <c r="C43" s="157">
        <f t="shared" si="1"/>
        <v>-39.64329829</v>
      </c>
      <c r="D43" s="158" t="str">
        <f>VLOOKUP(A43,'Classement RoC'!$B$2:$C$149,1,0)</f>
        <v>#N/A</v>
      </c>
      <c r="E43" s="163" t="str">
        <f t="shared" si="2"/>
        <v>#N/A</v>
      </c>
      <c r="F43" s="120" t="str">
        <f>VLOOKUP(A43,'Classement Général'!$B$2:$B$146,1,0)</f>
        <v>#N/A</v>
      </c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</row>
    <row r="44" ht="14.25" customHeight="1">
      <c r="A44" s="160"/>
      <c r="B44" s="156">
        <v>43.0</v>
      </c>
      <c r="C44" s="157">
        <f t="shared" si="1"/>
        <v>-52.54770166</v>
      </c>
      <c r="D44" s="158" t="str">
        <f>VLOOKUP(A44,'Classement RoC'!$B$2:$C$149,1,0)</f>
        <v>#N/A</v>
      </c>
      <c r="E44" s="163" t="str">
        <f t="shared" si="2"/>
        <v>#N/A</v>
      </c>
      <c r="F44" s="120" t="str">
        <f>VLOOKUP(A44,'Classement Général'!$B$2:$B$146,1,0)</f>
        <v>#N/A</v>
      </c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</row>
    <row r="45" ht="14.25" customHeight="1">
      <c r="A45" s="160"/>
      <c r="B45" s="161">
        <v>44.0</v>
      </c>
      <c r="C45" s="157">
        <f t="shared" si="1"/>
        <v>-65.30819538</v>
      </c>
      <c r="D45" s="158" t="str">
        <f>VLOOKUP(A45,'Classement RoC'!$B$2:$C$149,1,0)</f>
        <v>#N/A</v>
      </c>
      <c r="E45" s="163" t="str">
        <f t="shared" si="2"/>
        <v>#N/A</v>
      </c>
      <c r="F45" s="120" t="str">
        <f>VLOOKUP(A45,'Classement Général'!$B$2:$B$146,1,0)</f>
        <v>#N/A</v>
      </c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</row>
    <row r="46" ht="14.25" customHeight="1">
      <c r="A46" s="160"/>
      <c r="B46" s="156">
        <v>45.0</v>
      </c>
      <c r="C46" s="157">
        <f t="shared" si="1"/>
        <v>-77.93077049</v>
      </c>
      <c r="D46" s="158" t="str">
        <f>VLOOKUP(A46,'Classement RoC'!$B$2:$C$149,1,0)</f>
        <v>#N/A</v>
      </c>
      <c r="E46" s="163" t="str">
        <f t="shared" si="2"/>
        <v>#N/A</v>
      </c>
      <c r="F46" s="120" t="str">
        <f>VLOOKUP(A46,'Classement Général'!$B$2:$B$146,1,0)</f>
        <v>#N/A</v>
      </c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</row>
    <row r="47" ht="14.25" customHeight="1">
      <c r="A47" s="160"/>
      <c r="B47" s="161">
        <v>46.0</v>
      </c>
      <c r="C47" s="157">
        <f t="shared" si="1"/>
        <v>-90.42102592</v>
      </c>
      <c r="D47" s="158" t="str">
        <f>VLOOKUP(A47,'Classement RoC'!$B$2:$C$149,1,0)</f>
        <v>#N/A</v>
      </c>
      <c r="E47" s="163" t="str">
        <f t="shared" si="2"/>
        <v>#N/A</v>
      </c>
      <c r="F47" s="120" t="str">
        <f>VLOOKUP(A47,'Classement Général'!$B$2:$B$146,1,0)</f>
        <v>#N/A</v>
      </c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</row>
    <row r="48" ht="14.25" customHeight="1">
      <c r="A48" s="160"/>
      <c r="B48" s="156">
        <v>47.0</v>
      </c>
      <c r="C48" s="157">
        <f t="shared" si="1"/>
        <v>-102.7842025</v>
      </c>
      <c r="D48" s="158" t="str">
        <f>VLOOKUP(A48,'Classement RoC'!$B$2:$C$149,1,0)</f>
        <v>#N/A</v>
      </c>
      <c r="E48" s="163" t="str">
        <f t="shared" si="2"/>
        <v>#N/A</v>
      </c>
      <c r="F48" s="120" t="str">
        <f>VLOOKUP(A48,'Classement Général'!$B$2:$B$146,1,0)</f>
        <v>#N/A</v>
      </c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 ht="14.25" customHeight="1">
      <c r="A49" s="160"/>
      <c r="B49" s="161">
        <v>48.0</v>
      </c>
      <c r="C49" s="157">
        <f t="shared" si="1"/>
        <v>-115.0252136</v>
      </c>
      <c r="D49" s="158" t="str">
        <f>VLOOKUP(A49,'Classement RoC'!$B$2:$C$149,1,0)</f>
        <v>#N/A</v>
      </c>
      <c r="E49" s="163" t="str">
        <f t="shared" si="2"/>
        <v>#N/A</v>
      </c>
      <c r="F49" s="120" t="str">
        <f>VLOOKUP(A49,'Classement Général'!$B$2:$B$146,1,0)</f>
        <v>#N/A</v>
      </c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50" ht="14.25" customHeight="1">
      <c r="A50" s="160"/>
      <c r="B50" s="156">
        <v>49.0</v>
      </c>
      <c r="C50" s="157">
        <f t="shared" si="1"/>
        <v>-127.1486719</v>
      </c>
      <c r="D50" s="158" t="str">
        <f>VLOOKUP(A50,'Classement RoC'!$B$2:$C$149,1,0)</f>
        <v>#N/A</v>
      </c>
      <c r="E50" s="163" t="str">
        <f t="shared" si="2"/>
        <v>#N/A</v>
      </c>
      <c r="F50" s="120" t="str">
        <f>VLOOKUP(A50,'Classement Général'!$B$2:$B$146,1,0)</f>
        <v>#N/A</v>
      </c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</row>
    <row r="51" ht="14.25" customHeight="1">
      <c r="A51" s="160"/>
      <c r="B51" s="161">
        <v>50.0</v>
      </c>
      <c r="C51" s="157">
        <f t="shared" si="1"/>
        <v>-139.1589144</v>
      </c>
      <c r="D51" s="158" t="str">
        <f>VLOOKUP(A51,'Classement RoC'!$B$2:$C$149,1,0)</f>
        <v>#N/A</v>
      </c>
      <c r="E51" s="163" t="str">
        <f t="shared" si="2"/>
        <v>#N/A</v>
      </c>
      <c r="F51" s="120" t="str">
        <f>VLOOKUP(A51,'Classement Général'!$B$2:$B$146,1,0)</f>
        <v>#N/A</v>
      </c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</row>
    <row r="52" ht="14.25" customHeight="1">
      <c r="A52" s="160"/>
      <c r="B52" s="156">
        <v>51.0</v>
      </c>
      <c r="C52" s="157">
        <f t="shared" si="1"/>
        <v>-151.0600243</v>
      </c>
      <c r="D52" s="158" t="str">
        <f>VLOOKUP(A52,'Classement RoC'!$B$2:$C$149,1,0)</f>
        <v>#N/A</v>
      </c>
      <c r="E52" s="163" t="str">
        <f t="shared" si="2"/>
        <v>#N/A</v>
      </c>
      <c r="F52" s="120" t="str">
        <f>VLOOKUP(A52,'Classement Général'!$B$2:$B$146,1,0)</f>
        <v>#N/A</v>
      </c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</row>
    <row r="53" ht="14.25" customHeight="1">
      <c r="A53" s="160"/>
      <c r="B53" s="161">
        <v>52.0</v>
      </c>
      <c r="C53" s="157">
        <f t="shared" si="1"/>
        <v>-162.8558503</v>
      </c>
      <c r="D53" s="158" t="str">
        <f>VLOOKUP(A53,'Classement RoC'!$B$2:$C$149,1,0)</f>
        <v>#N/A</v>
      </c>
      <c r="E53" s="163" t="str">
        <f t="shared" si="2"/>
        <v>#N/A</v>
      </c>
      <c r="F53" s="120" t="str">
        <f>VLOOKUP(A53,'Classement Général'!$B$2:$B$146,1,0)</f>
        <v>#N/A</v>
      </c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</row>
    <row r="54" ht="14.25" customHeight="1">
      <c r="A54" s="160"/>
      <c r="B54" s="156">
        <v>53.0</v>
      </c>
      <c r="C54" s="157">
        <f t="shared" si="1"/>
        <v>-174.5500254</v>
      </c>
      <c r="D54" s="158" t="str">
        <f>VLOOKUP(A54,'Classement RoC'!$B$2:$C$149,1,0)</f>
        <v>#N/A</v>
      </c>
      <c r="E54" s="163" t="str">
        <f t="shared" si="2"/>
        <v>#N/A</v>
      </c>
      <c r="F54" s="120" t="str">
        <f>VLOOKUP(A54,'Classement Général'!$B$2:$B$146,1,0)</f>
        <v>#N/A</v>
      </c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</row>
    <row r="55" ht="14.25" customHeight="1">
      <c r="A55" s="160"/>
      <c r="B55" s="161">
        <v>54.0</v>
      </c>
      <c r="C55" s="157">
        <f t="shared" si="1"/>
        <v>-186.1459824</v>
      </c>
      <c r="D55" s="158" t="str">
        <f>VLOOKUP(A55,'Classement RoC'!$B$2:$C$149,1,0)</f>
        <v>#N/A</v>
      </c>
      <c r="E55" s="163" t="str">
        <f t="shared" si="2"/>
        <v>#N/A</v>
      </c>
      <c r="F55" s="120" t="str">
        <f>VLOOKUP(A55,'Classement Général'!$B$2:$B$146,1,0)</f>
        <v>#N/A</v>
      </c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</row>
    <row r="56" ht="14.25" customHeight="1">
      <c r="A56" s="160"/>
      <c r="B56" s="156">
        <v>55.0</v>
      </c>
      <c r="C56" s="157">
        <f t="shared" si="1"/>
        <v>-197.6469689</v>
      </c>
      <c r="D56" s="158" t="str">
        <f>VLOOKUP(A56,'Classement RoC'!$B$2:$C$149,1,0)</f>
        <v>#N/A</v>
      </c>
      <c r="E56" s="163" t="str">
        <f t="shared" si="2"/>
        <v>#N/A</v>
      </c>
      <c r="F56" s="120" t="str">
        <f>VLOOKUP(A56,'Classement Général'!$B$2:$B$146,1,0)</f>
        <v>#N/A</v>
      </c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</row>
    <row r="57" ht="14.25" customHeight="1">
      <c r="A57" s="160"/>
      <c r="B57" s="161">
        <v>56.0</v>
      </c>
      <c r="C57" s="157">
        <f t="shared" si="1"/>
        <v>-209.0560608</v>
      </c>
      <c r="D57" s="158" t="str">
        <f>VLOOKUP(A57,'Classement RoC'!$B$2:$C$149,1,0)</f>
        <v>#N/A</v>
      </c>
      <c r="E57" s="163" t="str">
        <f t="shared" si="2"/>
        <v>#N/A</v>
      </c>
      <c r="F57" s="120" t="str">
        <f>VLOOKUP(A57,'Classement Général'!$B$2:$B$146,1,0)</f>
        <v>#N/A</v>
      </c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</row>
    <row r="58" ht="14.25" customHeight="1">
      <c r="A58" s="160"/>
      <c r="B58" s="156">
        <v>57.0</v>
      </c>
      <c r="C58" s="157">
        <f t="shared" si="1"/>
        <v>-220.3761742</v>
      </c>
      <c r="D58" s="158" t="str">
        <f>VLOOKUP(A58,'Classement RoC'!$B$2:$C$149,1,0)</f>
        <v>#N/A</v>
      </c>
      <c r="E58" s="163" t="str">
        <f t="shared" si="2"/>
        <v>#N/A</v>
      </c>
      <c r="F58" s="120" t="str">
        <f>VLOOKUP(A58,'Classement Général'!$B$2:$B$146,1,0)</f>
        <v>#N/A</v>
      </c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</row>
    <row r="59" ht="14.25" customHeight="1">
      <c r="A59" s="160"/>
      <c r="B59" s="161">
        <v>58.0</v>
      </c>
      <c r="C59" s="157">
        <f t="shared" si="1"/>
        <v>-231.6100769</v>
      </c>
      <c r="D59" s="158" t="str">
        <f>VLOOKUP(A59,'Classement RoC'!$B$2:$C$149,1,0)</f>
        <v>#N/A</v>
      </c>
      <c r="E59" s="163" t="str">
        <f t="shared" si="2"/>
        <v>#N/A</v>
      </c>
      <c r="F59" s="120" t="str">
        <f>VLOOKUP(A59,'Classement Général'!$B$2:$B$146,1,0)</f>
        <v>#N/A</v>
      </c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</row>
    <row r="60" ht="14.25" customHeight="1">
      <c r="A60" s="160"/>
      <c r="B60" s="156">
        <v>59.0</v>
      </c>
      <c r="C60" s="157">
        <f t="shared" si="1"/>
        <v>-242.760398</v>
      </c>
      <c r="D60" s="158" t="str">
        <f>VLOOKUP(A60,'Classement RoC'!$B$2:$C$149,1,0)</f>
        <v>#N/A</v>
      </c>
      <c r="E60" s="163" t="str">
        <f t="shared" si="2"/>
        <v>#N/A</v>
      </c>
      <c r="F60" s="120" t="str">
        <f>VLOOKUP(A60,'Classement Général'!$B$2:$B$146,1,0)</f>
        <v>#N/A</v>
      </c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</row>
    <row r="61" ht="14.25" customHeight="1">
      <c r="A61" s="160"/>
      <c r="B61" s="161">
        <v>60.0</v>
      </c>
      <c r="C61" s="157">
        <f t="shared" si="1"/>
        <v>-253.8296379</v>
      </c>
      <c r="D61" s="158" t="str">
        <f>VLOOKUP(A61,'Classement RoC'!$B$2:$C$149,1,0)</f>
        <v>#N/A</v>
      </c>
      <c r="E61" s="163" t="str">
        <f t="shared" si="2"/>
        <v>#N/A</v>
      </c>
      <c r="F61" s="120" t="str">
        <f>VLOOKUP(A61,'Classement Général'!$B$2:$B$146,1,0)</f>
        <v>#N/A</v>
      </c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</row>
    <row r="62" ht="14.25" customHeight="1">
      <c r="A62" s="160"/>
      <c r="B62" s="156">
        <v>61.0</v>
      </c>
      <c r="C62" s="157">
        <f t="shared" si="1"/>
        <v>-264.8201762</v>
      </c>
      <c r="D62" s="158" t="str">
        <f>VLOOKUP(A62,'Classement RoC'!$B$2:$C$149,1,0)</f>
        <v>#N/A</v>
      </c>
      <c r="E62" s="163" t="str">
        <f t="shared" si="2"/>
        <v>#N/A</v>
      </c>
      <c r="F62" s="120" t="str">
        <f>VLOOKUP(A62,'Classement Général'!$B$2:$B$146,1,0)</f>
        <v>#N/A</v>
      </c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</row>
    <row r="63" ht="14.25" customHeight="1">
      <c r="A63" s="160"/>
      <c r="B63" s="161">
        <v>62.0</v>
      </c>
      <c r="C63" s="157">
        <f t="shared" si="1"/>
        <v>-275.7342798</v>
      </c>
      <c r="D63" s="158" t="str">
        <f>VLOOKUP(A63,'Classement RoC'!$B$2:$C$149,1,0)</f>
        <v>#N/A</v>
      </c>
      <c r="E63" s="163" t="str">
        <f t="shared" si="2"/>
        <v>#N/A</v>
      </c>
      <c r="F63" s="120" t="str">
        <f>VLOOKUP(A63,'Classement Général'!$B$2:$B$146,1,0)</f>
        <v>#N/A</v>
      </c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</row>
    <row r="64" ht="14.25" customHeight="1">
      <c r="A64" s="160"/>
      <c r="B64" s="156">
        <v>63.0</v>
      </c>
      <c r="C64" s="157">
        <f t="shared" si="1"/>
        <v>-286.5741101</v>
      </c>
      <c r="D64" s="158" t="str">
        <f>VLOOKUP(A64,'Classement RoC'!$B$2:$C$149,1,0)</f>
        <v>#N/A</v>
      </c>
      <c r="E64" s="163" t="str">
        <f t="shared" si="2"/>
        <v>#N/A</v>
      </c>
      <c r="F64" s="120" t="str">
        <f>VLOOKUP(A64,'Classement Général'!$B$2:$B$146,1,0)</f>
        <v>#N/A</v>
      </c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</row>
    <row r="65" ht="14.25" customHeight="1">
      <c r="A65" s="160"/>
      <c r="B65" s="161">
        <v>64.0</v>
      </c>
      <c r="C65" s="157">
        <f t="shared" si="1"/>
        <v>-297.3417296</v>
      </c>
      <c r="D65" s="158" t="str">
        <f>VLOOKUP(A65,'Classement RoC'!$B$2:$C$149,1,0)</f>
        <v>#N/A</v>
      </c>
      <c r="E65" s="163" t="str">
        <f t="shared" si="2"/>
        <v>#N/A</v>
      </c>
      <c r="F65" s="120" t="str">
        <f>VLOOKUP(A65,'Classement Général'!$B$2:$B$146,1,0)</f>
        <v>#N/A</v>
      </c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</row>
    <row r="66" ht="14.25" customHeight="1">
      <c r="A66" s="160"/>
      <c r="B66" s="156">
        <v>65.0</v>
      </c>
      <c r="C66" s="157">
        <f t="shared" si="1"/>
        <v>-308.0391079</v>
      </c>
      <c r="D66" s="158" t="str">
        <f>VLOOKUP(A66,'Classement RoC'!$B$2:$C$149,1,0)</f>
        <v>#N/A</v>
      </c>
      <c r="E66" s="163" t="str">
        <f t="shared" si="2"/>
        <v>#N/A</v>
      </c>
      <c r="F66" s="120" t="str">
        <f>VLOOKUP(A66,'Classement Général'!$B$2:$B$146,1,0)</f>
        <v>#N/A</v>
      </c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</row>
    <row r="67" ht="14.25" customHeight="1">
      <c r="A67" s="160"/>
      <c r="B67" s="161">
        <v>66.0</v>
      </c>
      <c r="C67" s="157">
        <f t="shared" si="1"/>
        <v>-318.6681275</v>
      </c>
      <c r="D67" s="158" t="str">
        <f>VLOOKUP(A67,'Classement RoC'!$B$2:$C$149,1,0)</f>
        <v>#N/A</v>
      </c>
      <c r="E67" s="163" t="str">
        <f t="shared" si="2"/>
        <v>#N/A</v>
      </c>
      <c r="F67" s="120" t="str">
        <f>VLOOKUP(A67,'Classement Général'!$B$2:$B$146,1,0)</f>
        <v>#N/A</v>
      </c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</row>
    <row r="68" ht="14.25" customHeight="1">
      <c r="A68" s="160"/>
      <c r="B68" s="156">
        <v>67.0</v>
      </c>
      <c r="C68" s="157">
        <f t="shared" si="1"/>
        <v>-329.2305889</v>
      </c>
      <c r="D68" s="158" t="str">
        <f>VLOOKUP(A68,'Classement RoC'!$B$2:$C$149,1,0)</f>
        <v>#N/A</v>
      </c>
      <c r="E68" s="163" t="str">
        <f t="shared" si="2"/>
        <v>#N/A</v>
      </c>
      <c r="F68" s="120" t="str">
        <f>VLOOKUP(A68,'Classement Général'!$B$2:$B$146,1,0)</f>
        <v>#N/A</v>
      </c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</row>
    <row r="69" ht="14.25" customHeight="1">
      <c r="A69" s="160"/>
      <c r="B69" s="161">
        <v>68.0</v>
      </c>
      <c r="C69" s="157">
        <f t="shared" si="1"/>
        <v>-339.7282155</v>
      </c>
      <c r="D69" s="158" t="str">
        <f>VLOOKUP(A69,'Classement RoC'!$B$2:$C$149,1,0)</f>
        <v>#N/A</v>
      </c>
      <c r="E69" s="163" t="str">
        <f t="shared" si="2"/>
        <v>#N/A</v>
      </c>
      <c r="F69" s="120" t="str">
        <f>VLOOKUP(A69,'Classement Général'!$B$2:$B$146,1,0)</f>
        <v>#N/A</v>
      </c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</row>
    <row r="70" ht="14.25" customHeight="1">
      <c r="A70" s="160"/>
      <c r="B70" s="156">
        <v>69.0</v>
      </c>
      <c r="C70" s="157">
        <f t="shared" si="1"/>
        <v>-350.1626579</v>
      </c>
      <c r="D70" s="158" t="str">
        <f>VLOOKUP(A70,'Classement RoC'!$B$2:$C$149,1,0)</f>
        <v>#N/A</v>
      </c>
      <c r="E70" s="163" t="str">
        <f t="shared" si="2"/>
        <v>#N/A</v>
      </c>
      <c r="F70" s="120" t="str">
        <f>VLOOKUP(A70,'Classement Général'!$B$2:$B$146,1,0)</f>
        <v>#N/A</v>
      </c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</row>
    <row r="71" ht="14.25" customHeight="1">
      <c r="A71" s="160"/>
      <c r="B71" s="161">
        <v>70.0</v>
      </c>
      <c r="C71" s="157">
        <f t="shared" si="1"/>
        <v>-360.5354985</v>
      </c>
      <c r="D71" s="158" t="str">
        <f>VLOOKUP(A71,'Classement RoC'!$B$2:$C$149,1,0)</f>
        <v>#N/A</v>
      </c>
      <c r="E71" s="163" t="str">
        <f t="shared" si="2"/>
        <v>#N/A</v>
      </c>
      <c r="F71" s="120" t="str">
        <f>VLOOKUP(A71,'Classement Général'!$B$2:$B$146,1,0)</f>
        <v>#N/A</v>
      </c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</row>
    <row r="72" ht="14.25" customHeight="1">
      <c r="A72" s="160"/>
      <c r="B72" s="156">
        <v>71.0</v>
      </c>
      <c r="C72" s="157">
        <f t="shared" si="1"/>
        <v>-370.8482545</v>
      </c>
      <c r="D72" s="158" t="str">
        <f>VLOOKUP(A72,'Classement RoC'!$B$2:$C$149,1,0)</f>
        <v>#N/A</v>
      </c>
      <c r="E72" s="163" t="str">
        <f t="shared" si="2"/>
        <v>#N/A</v>
      </c>
      <c r="F72" s="120" t="str">
        <f>VLOOKUP(A72,'Classement Général'!$B$2:$B$146,1,0)</f>
        <v>#N/A</v>
      </c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</row>
    <row r="73" ht="14.25" customHeight="1">
      <c r="A73" s="160"/>
      <c r="B73" s="161">
        <v>72.0</v>
      </c>
      <c r="C73" s="157">
        <f t="shared" si="1"/>
        <v>-381.1023826</v>
      </c>
      <c r="D73" s="158" t="str">
        <f>VLOOKUP(A73,'Classement RoC'!$B$2:$C$149,1,0)</f>
        <v>#N/A</v>
      </c>
      <c r="E73" s="163" t="str">
        <f t="shared" si="2"/>
        <v>#N/A</v>
      </c>
      <c r="F73" s="120" t="str">
        <f>VLOOKUP(A73,'Classement Général'!$B$2:$B$146,1,0)</f>
        <v>#N/A</v>
      </c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</row>
    <row r="74" ht="14.25" customHeight="1">
      <c r="A74" s="160"/>
      <c r="B74" s="156">
        <v>73.0</v>
      </c>
      <c r="C74" s="157">
        <f t="shared" si="1"/>
        <v>-391.2992812</v>
      </c>
      <c r="D74" s="158" t="str">
        <f>VLOOKUP(A74,'Classement RoC'!$B$2:$C$149,1,0)</f>
        <v>#N/A</v>
      </c>
      <c r="E74" s="163" t="str">
        <f t="shared" si="2"/>
        <v>#N/A</v>
      </c>
      <c r="F74" s="120" t="str">
        <f>VLOOKUP(A74,'Classement Général'!$B$2:$B$146,1,0)</f>
        <v>#N/A</v>
      </c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</row>
    <row r="75" ht="14.25" customHeight="1">
      <c r="A75" s="160"/>
      <c r="B75" s="161">
        <v>74.0</v>
      </c>
      <c r="C75" s="157">
        <f t="shared" si="1"/>
        <v>-401.4402945</v>
      </c>
      <c r="D75" s="158" t="str">
        <f>VLOOKUP(A75,'Classement RoC'!$B$2:$C$149,1,0)</f>
        <v>#N/A</v>
      </c>
      <c r="E75" s="163" t="str">
        <f t="shared" si="2"/>
        <v>#N/A</v>
      </c>
      <c r="F75" s="120" t="str">
        <f>VLOOKUP(A75,'Classement Général'!$B$2:$B$146,1,0)</f>
        <v>#N/A</v>
      </c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</row>
    <row r="76" ht="14.25" customHeight="1">
      <c r="A76" s="160"/>
      <c r="B76" s="156">
        <v>75.0</v>
      </c>
      <c r="C76" s="157">
        <f t="shared" si="1"/>
        <v>-411.5267146</v>
      </c>
      <c r="D76" s="158" t="str">
        <f>VLOOKUP(A76,'Classement RoC'!$B$2:$C$149,1,0)</f>
        <v>#N/A</v>
      </c>
      <c r="E76" s="163" t="str">
        <f t="shared" si="2"/>
        <v>#N/A</v>
      </c>
      <c r="F76" s="120" t="str">
        <f>VLOOKUP(A76,'Classement Général'!$B$2:$B$146,1,0)</f>
        <v>#N/A</v>
      </c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</row>
    <row r="77" ht="14.25" customHeight="1">
      <c r="A77" s="160"/>
      <c r="B77" s="161">
        <v>76.0</v>
      </c>
      <c r="C77" s="157">
        <f t="shared" si="1"/>
        <v>-421.5597848</v>
      </c>
      <c r="D77" s="158" t="str">
        <f>VLOOKUP(A77,'Classement RoC'!$B$2:$C$149,1,0)</f>
        <v>#N/A</v>
      </c>
      <c r="E77" s="163" t="str">
        <f t="shared" si="2"/>
        <v>#N/A</v>
      </c>
      <c r="F77" s="120" t="str">
        <f>VLOOKUP(A77,'Classement Général'!$B$2:$B$146,1,0)</f>
        <v>#N/A</v>
      </c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</row>
    <row r="78" ht="14.25" customHeight="1">
      <c r="A78" s="160"/>
      <c r="B78" s="156">
        <v>77.0</v>
      </c>
      <c r="C78" s="157">
        <f t="shared" si="1"/>
        <v>-431.5407017</v>
      </c>
      <c r="D78" s="158" t="str">
        <f>VLOOKUP(A78,'Classement RoC'!$B$2:$C$149,1,0)</f>
        <v>#N/A</v>
      </c>
      <c r="E78" s="163" t="str">
        <f t="shared" si="2"/>
        <v>#N/A</v>
      </c>
      <c r="F78" s="120" t="str">
        <f>VLOOKUP(A78,'Classement Général'!$B$2:$B$146,1,0)</f>
        <v>#N/A</v>
      </c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</row>
    <row r="79" ht="14.25" customHeight="1">
      <c r="A79" s="160"/>
      <c r="B79" s="161">
        <v>78.0</v>
      </c>
      <c r="C79" s="157">
        <f t="shared" si="1"/>
        <v>-441.470618</v>
      </c>
      <c r="D79" s="158" t="str">
        <f>VLOOKUP(A79,'Classement RoC'!$B$2:$C$149,1,0)</f>
        <v>#N/A</v>
      </c>
      <c r="E79" s="163" t="str">
        <f t="shared" si="2"/>
        <v>#N/A</v>
      </c>
      <c r="F79" s="120" t="str">
        <f>VLOOKUP(A79,'Classement Général'!$B$2:$B$146,1,0)</f>
        <v>#N/A</v>
      </c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</row>
    <row r="80" ht="14.25" customHeight="1">
      <c r="A80" s="160"/>
      <c r="B80" s="156">
        <v>79.0</v>
      </c>
      <c r="C80" s="157">
        <f t="shared" si="1"/>
        <v>-451.3506442</v>
      </c>
      <c r="D80" s="158" t="str">
        <f>VLOOKUP(A80,'Classement RoC'!$B$2:$C$149,1,0)</f>
        <v>#N/A</v>
      </c>
      <c r="E80" s="163" t="str">
        <f t="shared" si="2"/>
        <v>#N/A</v>
      </c>
      <c r="F80" s="120" t="str">
        <f>VLOOKUP(A80,'Classement Général'!$B$2:$B$146,1,0)</f>
        <v>#N/A</v>
      </c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</row>
    <row r="81" ht="14.25" customHeight="1">
      <c r="A81" s="160"/>
      <c r="B81" s="161">
        <v>80.0</v>
      </c>
      <c r="C81" s="157">
        <f t="shared" si="1"/>
        <v>-461.181851</v>
      </c>
      <c r="D81" s="158" t="str">
        <f>VLOOKUP(A81,'Classement RoC'!$B$2:$C$149,1,0)</f>
        <v>#N/A</v>
      </c>
      <c r="E81" s="163" t="str">
        <f t="shared" si="2"/>
        <v>#N/A</v>
      </c>
      <c r="F81" s="120" t="str">
        <f>VLOOKUP(A81,'Classement Général'!$B$2:$B$146,1,0)</f>
        <v>#N/A</v>
      </c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</row>
    <row r="82" ht="14.25" customHeight="1">
      <c r="A82" s="160"/>
      <c r="B82" s="156">
        <v>81.0</v>
      </c>
      <c r="C82" s="157">
        <f t="shared" si="1"/>
        <v>-470.9652714</v>
      </c>
      <c r="D82" s="158" t="str">
        <f>VLOOKUP(A82,'Classement RoC'!$B$2:$C$149,1,0)</f>
        <v>#N/A</v>
      </c>
      <c r="E82" s="163" t="str">
        <f t="shared" si="2"/>
        <v>#N/A</v>
      </c>
      <c r="F82" s="120" t="str">
        <f>VLOOKUP(A82,'Classement Général'!$B$2:$B$146,1,0)</f>
        <v>#N/A</v>
      </c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</row>
    <row r="83" ht="14.25" customHeight="1">
      <c r="A83" s="160"/>
      <c r="B83" s="161">
        <v>82.0</v>
      </c>
      <c r="C83" s="157">
        <f t="shared" si="1"/>
        <v>-480.7019021</v>
      </c>
      <c r="D83" s="158" t="str">
        <f>VLOOKUP(A83,'Classement RoC'!$B$2:$C$149,1,0)</f>
        <v>#N/A</v>
      </c>
      <c r="E83" s="163" t="str">
        <f t="shared" si="2"/>
        <v>#N/A</v>
      </c>
      <c r="F83" s="120" t="str">
        <f>VLOOKUP(A83,'Classement Général'!$B$2:$B$146,1,0)</f>
        <v>#N/A</v>
      </c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</row>
    <row r="84" ht="14.25" customHeight="1">
      <c r="A84" s="160"/>
      <c r="B84" s="156">
        <v>83.0</v>
      </c>
      <c r="C84" s="157">
        <f t="shared" si="1"/>
        <v>-490.3927055</v>
      </c>
      <c r="D84" s="158" t="str">
        <f>VLOOKUP(A84,'Classement RoC'!$B$2:$C$149,1,0)</f>
        <v>#N/A</v>
      </c>
      <c r="E84" s="163" t="str">
        <f t="shared" si="2"/>
        <v>#N/A</v>
      </c>
      <c r="F84" s="120" t="str">
        <f>VLOOKUP(A84,'Classement Général'!$B$2:$B$146,1,0)</f>
        <v>#N/A</v>
      </c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</row>
    <row r="85" ht="14.25" customHeight="1">
      <c r="A85" s="160"/>
      <c r="B85" s="161">
        <v>84.0</v>
      </c>
      <c r="C85" s="157">
        <f t="shared" si="1"/>
        <v>-500.0386113</v>
      </c>
      <c r="D85" s="158" t="str">
        <f>VLOOKUP(A85,'Classement RoC'!$B$2:$C$149,1,0)</f>
        <v>#N/A</v>
      </c>
      <c r="E85" s="163" t="str">
        <f t="shared" si="2"/>
        <v>#N/A</v>
      </c>
      <c r="F85" s="120" t="str">
        <f>VLOOKUP(A85,'Classement Général'!$B$2:$B$146,1,0)</f>
        <v>#N/A</v>
      </c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</row>
    <row r="86" ht="14.25" customHeight="1">
      <c r="A86" s="160"/>
      <c r="B86" s="156">
        <v>85.0</v>
      </c>
      <c r="C86" s="157">
        <f t="shared" si="1"/>
        <v>-509.6405179</v>
      </c>
      <c r="D86" s="158" t="str">
        <f>VLOOKUP(A86,'Classement RoC'!$B$2:$C$149,1,0)</f>
        <v>#N/A</v>
      </c>
      <c r="E86" s="163" t="str">
        <f t="shared" si="2"/>
        <v>#N/A</v>
      </c>
      <c r="F86" s="120" t="str">
        <f>VLOOKUP(A86,'Classement Général'!$B$2:$B$146,1,0)</f>
        <v>#N/A</v>
      </c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</row>
    <row r="87" ht="14.25" customHeight="1">
      <c r="A87" s="160"/>
      <c r="B87" s="161">
        <v>86.0</v>
      </c>
      <c r="C87" s="157">
        <f t="shared" si="1"/>
        <v>-519.199294</v>
      </c>
      <c r="D87" s="158" t="str">
        <f>VLOOKUP(A87,'Classement RoC'!$B$2:$C$149,1,0)</f>
        <v>#N/A</v>
      </c>
      <c r="E87" s="163" t="str">
        <f t="shared" si="2"/>
        <v>#N/A</v>
      </c>
      <c r="F87" s="120" t="str">
        <f>VLOOKUP(A87,'Classement Général'!$B$2:$B$146,1,0)</f>
        <v>#N/A</v>
      </c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</row>
    <row r="88" ht="14.25" customHeight="1">
      <c r="A88" s="160"/>
      <c r="B88" s="156">
        <v>87.0</v>
      </c>
      <c r="C88" s="157">
        <f t="shared" si="1"/>
        <v>-528.7157798</v>
      </c>
      <c r="D88" s="158" t="str">
        <f>VLOOKUP(A88,'Classement RoC'!$B$2:$C$149,1,0)</f>
        <v>#N/A</v>
      </c>
      <c r="E88" s="163" t="str">
        <f t="shared" si="2"/>
        <v>#N/A</v>
      </c>
      <c r="F88" s="120" t="str">
        <f>VLOOKUP(A88,'Classement Général'!$B$2:$B$146,1,0)</f>
        <v>#N/A</v>
      </c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</row>
    <row r="89" ht="14.25" customHeight="1">
      <c r="A89" s="160"/>
      <c r="B89" s="161">
        <v>88.0</v>
      </c>
      <c r="C89" s="157">
        <f t="shared" si="1"/>
        <v>-538.1907884</v>
      </c>
      <c r="D89" s="158" t="str">
        <f>VLOOKUP(A89,'Classement RoC'!$B$2:$C$149,1,0)</f>
        <v>#N/A</v>
      </c>
      <c r="E89" s="163" t="str">
        <f t="shared" si="2"/>
        <v>#N/A</v>
      </c>
      <c r="F89" s="120" t="str">
        <f>VLOOKUP(A89,'Classement Général'!$B$2:$B$146,1,0)</f>
        <v>#N/A</v>
      </c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</row>
    <row r="90" ht="14.25" customHeight="1">
      <c r="A90" s="160"/>
      <c r="B90" s="156">
        <v>89.0</v>
      </c>
      <c r="C90" s="157">
        <f t="shared" si="1"/>
        <v>-547.6251067</v>
      </c>
      <c r="D90" s="158" t="str">
        <f>VLOOKUP(A90,'Classement RoC'!$B$2:$C$149,1,0)</f>
        <v>#N/A</v>
      </c>
      <c r="E90" s="163" t="str">
        <f t="shared" si="2"/>
        <v>#N/A</v>
      </c>
      <c r="F90" s="120" t="str">
        <f>VLOOKUP(A90,'Classement Général'!$B$2:$B$146,1,0)</f>
        <v>#N/A</v>
      </c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</row>
    <row r="91" ht="14.25" customHeight="1">
      <c r="A91" s="160"/>
      <c r="B91" s="161">
        <v>90.0</v>
      </c>
      <c r="C91" s="157">
        <f t="shared" si="1"/>
        <v>-557.0194971</v>
      </c>
      <c r="D91" s="158" t="str">
        <f>VLOOKUP(A91,'Classement RoC'!$B$2:$C$149,1,0)</f>
        <v>#N/A</v>
      </c>
      <c r="E91" s="163" t="str">
        <f t="shared" si="2"/>
        <v>#N/A</v>
      </c>
      <c r="F91" s="120" t="str">
        <f>VLOOKUP(A91,'Classement Général'!$B$2:$B$146,1,0)</f>
        <v>#N/A</v>
      </c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</row>
    <row r="92" ht="14.25" customHeight="1">
      <c r="A92" s="160"/>
      <c r="B92" s="156">
        <v>91.0</v>
      </c>
      <c r="C92" s="157">
        <f t="shared" si="1"/>
        <v>-566.3746981</v>
      </c>
      <c r="D92" s="158" t="str">
        <f>VLOOKUP(A92,'Classement RoC'!$B$2:$C$149,1,0)</f>
        <v>#N/A</v>
      </c>
      <c r="E92" s="163" t="str">
        <f t="shared" si="2"/>
        <v>#N/A</v>
      </c>
      <c r="F92" s="120" t="str">
        <f>VLOOKUP(A92,'Classement Général'!$B$2:$B$146,1,0)</f>
        <v>#N/A</v>
      </c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</row>
    <row r="93" ht="14.25" customHeight="1">
      <c r="A93" s="160"/>
      <c r="B93" s="161">
        <v>92.0</v>
      </c>
      <c r="C93" s="157">
        <f t="shared" si="1"/>
        <v>-575.6914254</v>
      </c>
      <c r="D93" s="158" t="str">
        <f>VLOOKUP(A93,'Classement RoC'!$B$2:$C$149,1,0)</f>
        <v>#N/A</v>
      </c>
      <c r="E93" s="163" t="str">
        <f t="shared" si="2"/>
        <v>#N/A</v>
      </c>
      <c r="F93" s="120" t="str">
        <f>VLOOKUP(A93,'Classement Général'!$B$2:$B$146,1,0)</f>
        <v>#N/A</v>
      </c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</row>
    <row r="94" ht="14.25" customHeight="1">
      <c r="A94" s="160"/>
      <c r="B94" s="156">
        <v>93.0</v>
      </c>
      <c r="C94" s="157">
        <f t="shared" si="1"/>
        <v>-584.9703729</v>
      </c>
      <c r="D94" s="158" t="str">
        <f>VLOOKUP(A94,'Classement RoC'!$B$2:$C$149,1,0)</f>
        <v>#N/A</v>
      </c>
      <c r="E94" s="163" t="str">
        <f t="shared" si="2"/>
        <v>#N/A</v>
      </c>
      <c r="F94" s="120" t="str">
        <f>VLOOKUP(A94,'Classement Général'!$B$2:$B$146,1,0)</f>
        <v>#N/A</v>
      </c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</row>
    <row r="95" ht="14.25" customHeight="1">
      <c r="A95" s="160"/>
      <c r="B95" s="161">
        <v>94.0</v>
      </c>
      <c r="C95" s="157">
        <f t="shared" si="1"/>
        <v>-594.2122137</v>
      </c>
      <c r="D95" s="158" t="str">
        <f>VLOOKUP(A95,'Classement RoC'!$B$2:$C$149,1,0)</f>
        <v>#N/A</v>
      </c>
      <c r="E95" s="163" t="str">
        <f t="shared" si="2"/>
        <v>#N/A</v>
      </c>
      <c r="F95" s="120" t="str">
        <f>VLOOKUP(A95,'Classement Général'!$B$2:$B$146,1,0)</f>
        <v>#N/A</v>
      </c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</row>
    <row r="96" ht="14.25" customHeight="1">
      <c r="A96" s="160"/>
      <c r="B96" s="156">
        <v>95.0</v>
      </c>
      <c r="C96" s="157">
        <f t="shared" si="1"/>
        <v>-603.4176009</v>
      </c>
      <c r="D96" s="158" t="str">
        <f>VLOOKUP(A96,'Classement RoC'!$B$2:$C$149,1,0)</f>
        <v>#N/A</v>
      </c>
      <c r="E96" s="163" t="str">
        <f t="shared" si="2"/>
        <v>#N/A</v>
      </c>
      <c r="F96" s="120" t="str">
        <f>VLOOKUP(A96,'Classement Général'!$B$2:$B$146,1,0)</f>
        <v>#N/A</v>
      </c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</row>
    <row r="97" ht="14.25" customHeight="1">
      <c r="A97" s="160"/>
      <c r="B97" s="161">
        <v>96.0</v>
      </c>
      <c r="C97" s="157">
        <f t="shared" si="1"/>
        <v>-612.5871683</v>
      </c>
      <c r="D97" s="158" t="str">
        <f>VLOOKUP(A97,'Classement RoC'!$B$2:$C$149,1,0)</f>
        <v>#N/A</v>
      </c>
      <c r="E97" s="163" t="str">
        <f t="shared" si="2"/>
        <v>#N/A</v>
      </c>
      <c r="F97" s="120" t="str">
        <f>VLOOKUP(A97,'Classement Général'!$B$2:$B$146,1,0)</f>
        <v>#N/A</v>
      </c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</row>
    <row r="98" ht="14.25" customHeight="1">
      <c r="A98" s="160"/>
      <c r="B98" s="156">
        <v>97.0</v>
      </c>
      <c r="C98" s="157">
        <f t="shared" si="1"/>
        <v>-621.7215315</v>
      </c>
      <c r="D98" s="158" t="str">
        <f>VLOOKUP(A98,'Classement RoC'!$B$2:$C$149,1,0)</f>
        <v>#N/A</v>
      </c>
      <c r="E98" s="163" t="str">
        <f t="shared" si="2"/>
        <v>#N/A</v>
      </c>
      <c r="F98" s="120" t="str">
        <f>VLOOKUP(A98,'Classement Général'!$B$2:$B$146,1,0)</f>
        <v>#N/A</v>
      </c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</row>
    <row r="99" ht="14.25" customHeight="1">
      <c r="A99" s="160"/>
      <c r="B99" s="161">
        <v>98.0</v>
      </c>
      <c r="C99" s="157">
        <f t="shared" si="1"/>
        <v>-630.8212881</v>
      </c>
      <c r="D99" s="158" t="str">
        <f>VLOOKUP(A99,'Classement RoC'!$B$2:$C$149,1,0)</f>
        <v>#N/A</v>
      </c>
      <c r="E99" s="163" t="str">
        <f t="shared" si="2"/>
        <v>#N/A</v>
      </c>
      <c r="F99" s="120" t="str">
        <f>VLOOKUP(A99,'Classement Général'!$B$2:$B$146,1,0)</f>
        <v>#N/A</v>
      </c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</row>
    <row r="100" ht="14.25" customHeight="1">
      <c r="A100" s="160"/>
      <c r="B100" s="156">
        <v>99.0</v>
      </c>
      <c r="C100" s="157">
        <f t="shared" si="1"/>
        <v>-639.8870188</v>
      </c>
      <c r="D100" s="158" t="str">
        <f>VLOOKUP(A100,'Classement RoC'!$B$2:$C$149,1,0)</f>
        <v>#N/A</v>
      </c>
      <c r="E100" s="163" t="str">
        <f t="shared" si="2"/>
        <v>#N/A</v>
      </c>
      <c r="F100" s="120" t="str">
        <f>VLOOKUP(A100,'Classement Général'!$B$2:$B$146,1,0)</f>
        <v>#N/A</v>
      </c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</row>
    <row r="101" ht="14.25" customHeight="1">
      <c r="A101" s="160"/>
      <c r="B101" s="161">
        <v>100.0</v>
      </c>
      <c r="C101" s="157">
        <f t="shared" si="1"/>
        <v>-648.9192882</v>
      </c>
      <c r="D101" s="158" t="str">
        <f>VLOOKUP(A101,'Classement RoC'!$B$2:$C$149,1,0)</f>
        <v>#N/A</v>
      </c>
      <c r="E101" s="163" t="str">
        <f t="shared" si="2"/>
        <v>#N/A</v>
      </c>
      <c r="F101" s="120" t="str">
        <f>VLOOKUP(A101,'Classement Général'!$B$2:$B$146,1,0)</f>
        <v>#N/A</v>
      </c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</row>
    <row r="102" ht="14.25" customHeight="1">
      <c r="A102" s="160"/>
      <c r="B102" s="156">
        <v>101.0</v>
      </c>
      <c r="C102" s="157">
        <f t="shared" si="1"/>
        <v>-657.918645</v>
      </c>
      <c r="D102" s="158" t="str">
        <f>VLOOKUP(A102,'Classement RoC'!$B$2:$C$149,1,0)</f>
        <v>#N/A</v>
      </c>
      <c r="E102" s="163" t="str">
        <f t="shared" si="2"/>
        <v>#N/A</v>
      </c>
      <c r="F102" s="120" t="str">
        <f>VLOOKUP(A102,'Classement Général'!$B$2:$B$146,1,0)</f>
        <v>#N/A</v>
      </c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</row>
    <row r="103" ht="14.25" customHeight="1">
      <c r="A103" s="160"/>
      <c r="B103" s="161">
        <v>102.0</v>
      </c>
      <c r="C103" s="157">
        <f t="shared" si="1"/>
        <v>-666.8856227</v>
      </c>
      <c r="D103" s="158" t="str">
        <f>VLOOKUP(A103,'Classement RoC'!$B$2:$C$149,1,0)</f>
        <v>#N/A</v>
      </c>
      <c r="E103" s="163" t="str">
        <f t="shared" si="2"/>
        <v>#N/A</v>
      </c>
      <c r="F103" s="120" t="str">
        <f>VLOOKUP(A103,'Classement Général'!$B$2:$B$146,1,0)</f>
        <v>#N/A</v>
      </c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</row>
    <row r="104" ht="14.25" customHeight="1">
      <c r="A104" s="160"/>
      <c r="B104" s="156">
        <v>103.0</v>
      </c>
      <c r="C104" s="157">
        <f t="shared" si="1"/>
        <v>-675.8207406</v>
      </c>
      <c r="D104" s="158" t="str">
        <f>VLOOKUP(A104,'Classement RoC'!$B$2:$C$149,1,0)</f>
        <v>#N/A</v>
      </c>
      <c r="E104" s="163" t="str">
        <f t="shared" si="2"/>
        <v>#N/A</v>
      </c>
      <c r="F104" s="120" t="str">
        <f>VLOOKUP(A104,'Classement Général'!$B$2:$B$146,1,0)</f>
        <v>#N/A</v>
      </c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</row>
    <row r="105" ht="14.25" customHeight="1">
      <c r="A105" s="160"/>
      <c r="B105" s="161">
        <v>104.0</v>
      </c>
      <c r="C105" s="157">
        <f t="shared" si="1"/>
        <v>-684.7245038</v>
      </c>
      <c r="D105" s="158" t="str">
        <f>VLOOKUP(A105,'Classement RoC'!$B$2:$C$149,1,0)</f>
        <v>#N/A</v>
      </c>
      <c r="E105" s="163" t="str">
        <f t="shared" si="2"/>
        <v>#N/A</v>
      </c>
      <c r="F105" s="120" t="str">
        <f>VLOOKUP(A105,'Classement Général'!$B$2:$B$146,1,0)</f>
        <v>#N/A</v>
      </c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</row>
    <row r="106" ht="14.25" customHeight="1">
      <c r="A106" s="160"/>
      <c r="B106" s="156">
        <v>105.0</v>
      </c>
      <c r="C106" s="157">
        <f t="shared" si="1"/>
        <v>-693.5974039</v>
      </c>
      <c r="D106" s="158" t="str">
        <f>VLOOKUP(A106,'Classement RoC'!$B$2:$C$149,1,0)</f>
        <v>#N/A</v>
      </c>
      <c r="E106" s="163" t="str">
        <f t="shared" si="2"/>
        <v>#N/A</v>
      </c>
      <c r="F106" s="120" t="str">
        <f>VLOOKUP(A106,'Classement Général'!$B$2:$B$146,1,0)</f>
        <v>#N/A</v>
      </c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</row>
    <row r="107" ht="14.25" customHeight="1">
      <c r="A107" s="160"/>
      <c r="B107" s="161">
        <v>106.0</v>
      </c>
      <c r="C107" s="157">
        <f t="shared" si="1"/>
        <v>-702.4399196</v>
      </c>
      <c r="D107" s="158" t="str">
        <f>VLOOKUP(A107,'Classement RoC'!$B$2:$C$149,1,0)</f>
        <v>#N/A</v>
      </c>
      <c r="E107" s="163" t="str">
        <f t="shared" si="2"/>
        <v>#N/A</v>
      </c>
      <c r="F107" s="120" t="str">
        <f>VLOOKUP(A107,'Classement Général'!$B$2:$B$146,1,0)</f>
        <v>#N/A</v>
      </c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</row>
    <row r="108" ht="14.25" customHeight="1">
      <c r="A108" s="160"/>
      <c r="B108" s="156">
        <v>107.0</v>
      </c>
      <c r="C108" s="157">
        <f t="shared" si="1"/>
        <v>-711.2525172</v>
      </c>
      <c r="D108" s="158" t="str">
        <f>VLOOKUP(A108,'Classement RoC'!$B$2:$C$149,1,0)</f>
        <v>#N/A</v>
      </c>
      <c r="E108" s="163" t="str">
        <f t="shared" si="2"/>
        <v>#N/A</v>
      </c>
      <c r="F108" s="120" t="str">
        <f>VLOOKUP(A108,'Classement Général'!$B$2:$B$146,1,0)</f>
        <v>#N/A</v>
      </c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</row>
    <row r="109" ht="14.25" customHeight="1">
      <c r="A109" s="160"/>
      <c r="B109" s="161">
        <v>108.0</v>
      </c>
      <c r="C109" s="157">
        <f t="shared" si="1"/>
        <v>-720.0356508</v>
      </c>
      <c r="D109" s="158" t="str">
        <f>VLOOKUP(A109,'Classement RoC'!$B$2:$C$149,1,0)</f>
        <v>#N/A</v>
      </c>
      <c r="E109" s="163" t="str">
        <f t="shared" si="2"/>
        <v>#N/A</v>
      </c>
      <c r="F109" s="120" t="str">
        <f>VLOOKUP(A109,'Classement Général'!$B$2:$B$146,1,0)</f>
        <v>#N/A</v>
      </c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</row>
    <row r="110" ht="14.25" customHeight="1">
      <c r="A110" s="160"/>
      <c r="B110" s="156">
        <v>109.0</v>
      </c>
      <c r="C110" s="157">
        <f t="shared" si="1"/>
        <v>-728.789763</v>
      </c>
      <c r="D110" s="158" t="str">
        <f>VLOOKUP(A110,'Classement RoC'!$B$2:$C$149,1,0)</f>
        <v>#N/A</v>
      </c>
      <c r="E110" s="163" t="str">
        <f t="shared" si="2"/>
        <v>#N/A</v>
      </c>
      <c r="F110" s="120" t="str">
        <f>VLOOKUP(A110,'Classement Général'!$B$2:$B$146,1,0)</f>
        <v>#N/A</v>
      </c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</row>
    <row r="111" ht="14.25" customHeight="1">
      <c r="A111" s="160"/>
      <c r="B111" s="161">
        <v>110.0</v>
      </c>
      <c r="C111" s="157">
        <f t="shared" si="1"/>
        <v>-737.5152851</v>
      </c>
      <c r="D111" s="158" t="str">
        <f>VLOOKUP(A111,'Classement RoC'!$B$2:$C$149,1,0)</f>
        <v>#N/A</v>
      </c>
      <c r="E111" s="163" t="str">
        <f t="shared" si="2"/>
        <v>#N/A</v>
      </c>
      <c r="F111" s="120" t="str">
        <f>VLOOKUP(A111,'Classement Général'!$B$2:$B$146,1,0)</f>
        <v>#N/A</v>
      </c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</row>
    <row r="112" ht="14.25" customHeight="1">
      <c r="A112" s="160"/>
      <c r="B112" s="156">
        <v>111.0</v>
      </c>
      <c r="C112" s="157">
        <f t="shared" si="1"/>
        <v>-746.2126377</v>
      </c>
      <c r="D112" s="158" t="str">
        <f>VLOOKUP(A112,'Classement RoC'!$B$2:$C$149,1,0)</f>
        <v>#N/A</v>
      </c>
      <c r="E112" s="163" t="str">
        <f t="shared" si="2"/>
        <v>#N/A</v>
      </c>
      <c r="F112" s="120" t="str">
        <f>VLOOKUP(A112,'Classement Général'!$B$2:$B$146,1,0)</f>
        <v>#N/A</v>
      </c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</row>
    <row r="113" ht="14.25" customHeight="1">
      <c r="A113" s="160"/>
      <c r="B113" s="161">
        <v>112.0</v>
      </c>
      <c r="C113" s="157">
        <f t="shared" si="1"/>
        <v>-754.8822307</v>
      </c>
      <c r="D113" s="158" t="str">
        <f>VLOOKUP(A113,'Classement RoC'!$B$2:$C$149,1,0)</f>
        <v>#N/A</v>
      </c>
      <c r="E113" s="163" t="str">
        <f t="shared" si="2"/>
        <v>#N/A</v>
      </c>
      <c r="F113" s="120" t="str">
        <f>VLOOKUP(A113,'Classement Général'!$B$2:$B$146,1,0)</f>
        <v>#N/A</v>
      </c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</row>
    <row r="114" ht="14.25" customHeight="1">
      <c r="A114" s="160"/>
      <c r="B114" s="156">
        <v>113.0</v>
      </c>
      <c r="C114" s="157">
        <f t="shared" si="1"/>
        <v>-763.5244644</v>
      </c>
      <c r="D114" s="158" t="str">
        <f>VLOOKUP(A114,'Classement RoC'!$B$2:$C$149,1,0)</f>
        <v>#N/A</v>
      </c>
      <c r="E114" s="163" t="str">
        <f t="shared" si="2"/>
        <v>#N/A</v>
      </c>
      <c r="F114" s="120" t="str">
        <f>VLOOKUP(A114,'Classement Général'!$B$2:$B$146,1,0)</f>
        <v>#N/A</v>
      </c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</row>
    <row r="115" ht="14.25" customHeight="1">
      <c r="A115" s="160"/>
      <c r="B115" s="161">
        <v>114.0</v>
      </c>
      <c r="C115" s="157">
        <f t="shared" si="1"/>
        <v>-772.1397287</v>
      </c>
      <c r="D115" s="158" t="str">
        <f>VLOOKUP(A115,'Classement RoC'!$B$2:$C$149,1,0)</f>
        <v>#N/A</v>
      </c>
      <c r="E115" s="163" t="str">
        <f t="shared" si="2"/>
        <v>#N/A</v>
      </c>
      <c r="F115" s="120" t="str">
        <f>VLOOKUP(A115,'Classement Général'!$B$2:$B$146,1,0)</f>
        <v>#N/A</v>
      </c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</row>
    <row r="116" ht="14.25" customHeight="1">
      <c r="A116" s="160"/>
      <c r="B116" s="156">
        <v>115.0</v>
      </c>
      <c r="C116" s="157">
        <f t="shared" si="1"/>
        <v>-780.7284048</v>
      </c>
      <c r="D116" s="158" t="str">
        <f>VLOOKUP(A116,'Classement RoC'!$B$2:$C$149,1,0)</f>
        <v>#N/A</v>
      </c>
      <c r="E116" s="163" t="str">
        <f t="shared" si="2"/>
        <v>#N/A</v>
      </c>
      <c r="F116" s="120" t="str">
        <f>VLOOKUP(A116,'Classement Général'!$B$2:$B$146,1,0)</f>
        <v>#N/A</v>
      </c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</row>
    <row r="117" ht="14.25" customHeight="1">
      <c r="A117" s="160"/>
      <c r="B117" s="161">
        <v>116.0</v>
      </c>
      <c r="C117" s="157">
        <f t="shared" si="1"/>
        <v>-789.2908642</v>
      </c>
      <c r="D117" s="158" t="str">
        <f>VLOOKUP(A117,'Classement RoC'!$B$2:$C$149,1,0)</f>
        <v>#N/A</v>
      </c>
      <c r="E117" s="163" t="str">
        <f t="shared" si="2"/>
        <v>#N/A</v>
      </c>
      <c r="F117" s="120" t="str">
        <f>VLOOKUP(A117,'Classement Général'!$B$2:$B$146,1,0)</f>
        <v>#N/A</v>
      </c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</row>
    <row r="118" ht="14.25" customHeight="1">
      <c r="A118" s="160"/>
      <c r="B118" s="156">
        <v>117.0</v>
      </c>
      <c r="C118" s="157">
        <f t="shared" si="1"/>
        <v>-797.8274699</v>
      </c>
      <c r="D118" s="158" t="str">
        <f>VLOOKUP(A118,'Classement RoC'!$B$2:$C$149,1,0)</f>
        <v>#N/A</v>
      </c>
      <c r="E118" s="163" t="str">
        <f t="shared" si="2"/>
        <v>#N/A</v>
      </c>
      <c r="F118" s="120" t="str">
        <f>VLOOKUP(A118,'Classement Général'!$B$2:$B$146,1,0)</f>
        <v>#N/A</v>
      </c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</row>
    <row r="119" ht="14.25" customHeight="1">
      <c r="A119" s="160"/>
      <c r="B119" s="161">
        <v>118.0</v>
      </c>
      <c r="C119" s="157">
        <f t="shared" si="1"/>
        <v>-806.3385765</v>
      </c>
      <c r="D119" s="158" t="str">
        <f>VLOOKUP(A119,'Classement RoC'!$B$2:$C$149,1,0)</f>
        <v>#N/A</v>
      </c>
      <c r="E119" s="163" t="str">
        <f t="shared" si="2"/>
        <v>#N/A</v>
      </c>
      <c r="F119" s="120" t="str">
        <f>VLOOKUP(A119,'Classement Général'!$B$2:$B$146,1,0)</f>
        <v>#N/A</v>
      </c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</row>
    <row r="120" ht="14.25" customHeight="1">
      <c r="A120" s="160"/>
      <c r="B120" s="156">
        <v>119.0</v>
      </c>
      <c r="C120" s="157">
        <f t="shared" si="1"/>
        <v>-814.82453</v>
      </c>
      <c r="D120" s="158" t="str">
        <f>VLOOKUP(A120,'Classement RoC'!$B$2:$C$149,1,0)</f>
        <v>#N/A</v>
      </c>
      <c r="E120" s="163" t="str">
        <f t="shared" si="2"/>
        <v>#N/A</v>
      </c>
      <c r="F120" s="120" t="str">
        <f>VLOOKUP(A120,'Classement Général'!$B$2:$B$146,1,0)</f>
        <v>#N/A</v>
      </c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</row>
    <row r="121" ht="14.25" customHeight="1">
      <c r="A121" s="160"/>
      <c r="B121" s="161">
        <v>120.0</v>
      </c>
      <c r="C121" s="157">
        <f t="shared" si="1"/>
        <v>-823.2856687</v>
      </c>
      <c r="D121" s="158" t="str">
        <f>VLOOKUP(A121,'Classement RoC'!$B$2:$C$149,1,0)</f>
        <v>#N/A</v>
      </c>
      <c r="E121" s="163" t="str">
        <f t="shared" si="2"/>
        <v>#N/A</v>
      </c>
      <c r="F121" s="120" t="str">
        <f>VLOOKUP(A121,'Classement Général'!$B$2:$B$146,1,0)</f>
        <v>#N/A</v>
      </c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</row>
    <row r="122" ht="14.25" customHeight="1">
      <c r="A122" s="160"/>
      <c r="B122" s="156">
        <v>121.0</v>
      </c>
      <c r="C122" s="157">
        <f t="shared" si="1"/>
        <v>-831.7223231</v>
      </c>
      <c r="D122" s="158" t="str">
        <f>VLOOKUP(A122,'Classement RoC'!$B$2:$C$149,1,0)</f>
        <v>#N/A</v>
      </c>
      <c r="E122" s="163" t="str">
        <f t="shared" si="2"/>
        <v>#N/A</v>
      </c>
      <c r="F122" s="120" t="str">
        <f>VLOOKUP(A122,'Classement Général'!$B$2:$B$146,1,0)</f>
        <v>#N/A</v>
      </c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</row>
    <row r="123" ht="14.25" customHeight="1">
      <c r="A123" s="160"/>
      <c r="B123" s="161">
        <v>122.0</v>
      </c>
      <c r="C123" s="157">
        <f t="shared" si="1"/>
        <v>-840.1348163</v>
      </c>
      <c r="D123" s="158" t="str">
        <f>VLOOKUP(A123,'Classement RoC'!$B$2:$C$149,1,0)</f>
        <v>#N/A</v>
      </c>
      <c r="E123" s="163" t="str">
        <f t="shared" si="2"/>
        <v>#N/A</v>
      </c>
      <c r="F123" s="120" t="str">
        <f>VLOOKUP(A123,'Classement Général'!$B$2:$B$146,1,0)</f>
        <v>#N/A</v>
      </c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</row>
    <row r="124" ht="14.25" customHeight="1">
      <c r="A124" s="160"/>
      <c r="B124" s="156">
        <v>123.0</v>
      </c>
      <c r="C124" s="157">
        <f t="shared" si="1"/>
        <v>-848.5234642</v>
      </c>
      <c r="D124" s="158" t="str">
        <f>VLOOKUP(A124,'Classement RoC'!$B$2:$C$149,1,0)</f>
        <v>#N/A</v>
      </c>
      <c r="E124" s="163" t="str">
        <f t="shared" si="2"/>
        <v>#N/A</v>
      </c>
      <c r="F124" s="120" t="str">
        <f>VLOOKUP(A124,'Classement Général'!$B$2:$B$146,1,0)</f>
        <v>#N/A</v>
      </c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</row>
    <row r="125" ht="14.25" customHeight="1">
      <c r="A125" s="160"/>
      <c r="B125" s="161">
        <v>124.0</v>
      </c>
      <c r="C125" s="157">
        <f t="shared" si="1"/>
        <v>-856.8885754</v>
      </c>
      <c r="D125" s="158" t="str">
        <f>VLOOKUP(A125,'Classement RoC'!$B$2:$C$149,1,0)</f>
        <v>#N/A</v>
      </c>
      <c r="E125" s="163" t="str">
        <f t="shared" si="2"/>
        <v>#N/A</v>
      </c>
      <c r="F125" s="120" t="str">
        <f>VLOOKUP(A125,'Classement Général'!$B$2:$B$146,1,0)</f>
        <v>#N/A</v>
      </c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</row>
    <row r="126" ht="14.25" customHeight="1">
      <c r="A126" s="160"/>
      <c r="B126" s="156">
        <v>125.0</v>
      </c>
      <c r="C126" s="157">
        <f t="shared" si="1"/>
        <v>-865.230452</v>
      </c>
      <c r="D126" s="158" t="str">
        <f>VLOOKUP(A126,'Classement RoC'!$B$2:$C$149,1,0)</f>
        <v>#N/A</v>
      </c>
      <c r="E126" s="163" t="str">
        <f t="shared" si="2"/>
        <v>#N/A</v>
      </c>
      <c r="F126" s="120" t="str">
        <f>VLOOKUP(A126,'Classement Général'!$B$2:$B$146,1,0)</f>
        <v>#N/A</v>
      </c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</row>
    <row r="127" ht="14.25" customHeight="1">
      <c r="A127" s="160"/>
      <c r="B127" s="161">
        <v>126.0</v>
      </c>
      <c r="C127" s="157">
        <f t="shared" si="1"/>
        <v>-873.5493894</v>
      </c>
      <c r="D127" s="158" t="str">
        <f>VLOOKUP(A127,'Classement RoC'!$B$2:$C$149,1,0)</f>
        <v>#N/A</v>
      </c>
      <c r="E127" s="163" t="str">
        <f t="shared" si="2"/>
        <v>#N/A</v>
      </c>
      <c r="F127" s="120" t="str">
        <f>VLOOKUP(A127,'Classement Général'!$B$2:$B$146,1,0)</f>
        <v>#N/A</v>
      </c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</row>
    <row r="128" ht="14.25" customHeight="1">
      <c r="A128" s="160"/>
      <c r="B128" s="156">
        <v>127.0</v>
      </c>
      <c r="C128" s="157">
        <f t="shared" si="1"/>
        <v>-881.8456766</v>
      </c>
      <c r="D128" s="158" t="str">
        <f>VLOOKUP(A128,'Classement RoC'!$B$2:$C$149,1,0)</f>
        <v>#N/A</v>
      </c>
      <c r="E128" s="163" t="str">
        <f t="shared" si="2"/>
        <v>#N/A</v>
      </c>
      <c r="F128" s="120" t="str">
        <f>VLOOKUP(A128,'Classement Général'!$B$2:$B$146,1,0)</f>
        <v>#N/A</v>
      </c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</row>
    <row r="129" ht="14.25" customHeight="1">
      <c r="A129" s="160"/>
      <c r="B129" s="161">
        <v>128.0</v>
      </c>
      <c r="C129" s="157">
        <f t="shared" si="1"/>
        <v>-890.1195965</v>
      </c>
      <c r="D129" s="158" t="str">
        <f>VLOOKUP(A129,'Classement RoC'!$B$2:$C$149,1,0)</f>
        <v>#N/A</v>
      </c>
      <c r="E129" s="163" t="str">
        <f t="shared" si="2"/>
        <v>#N/A</v>
      </c>
      <c r="F129" s="120" t="str">
        <f>VLOOKUP(A129,'Classement Général'!$B$2:$B$146,1,0)</f>
        <v>#N/A</v>
      </c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</row>
    <row r="130" ht="14.25" customHeight="1">
      <c r="A130" s="160"/>
      <c r="B130" s="156">
        <v>129.0</v>
      </c>
      <c r="C130" s="157">
        <f t="shared" si="1"/>
        <v>-898.3714258</v>
      </c>
      <c r="D130" s="158" t="str">
        <f>VLOOKUP(A130,'Classement RoC'!$B$2:$C$149,1,0)</f>
        <v>#N/A</v>
      </c>
      <c r="E130" s="163" t="str">
        <f t="shared" si="2"/>
        <v>#N/A</v>
      </c>
      <c r="F130" s="120" t="str">
        <f>VLOOKUP(A130,'Classement Général'!$B$2:$B$146,1,0)</f>
        <v>#N/A</v>
      </c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</row>
    <row r="131" ht="14.25" customHeight="1">
      <c r="A131" s="160"/>
      <c r="B131" s="161">
        <v>130.0</v>
      </c>
      <c r="C131" s="157">
        <f t="shared" si="1"/>
        <v>-906.6014355</v>
      </c>
      <c r="D131" s="158" t="str">
        <f>VLOOKUP(A131,'Classement RoC'!$B$2:$C$149,1,0)</f>
        <v>#N/A</v>
      </c>
      <c r="E131" s="163" t="str">
        <f t="shared" si="2"/>
        <v>#N/A</v>
      </c>
      <c r="F131" s="120" t="str">
        <f>VLOOKUP(A131,'Classement Général'!$B$2:$B$146,1,0)</f>
        <v>#N/A</v>
      </c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</row>
    <row r="132" ht="14.25" customHeight="1">
      <c r="A132" s="160"/>
      <c r="B132" s="156">
        <v>131.0</v>
      </c>
      <c r="C132" s="157">
        <f t="shared" si="1"/>
        <v>-914.809891</v>
      </c>
      <c r="D132" s="158" t="str">
        <f>VLOOKUP(A132,'Classement RoC'!$B$2:$C$149,1,0)</f>
        <v>#N/A</v>
      </c>
      <c r="E132" s="163" t="str">
        <f t="shared" si="2"/>
        <v>#N/A</v>
      </c>
      <c r="F132" s="120" t="str">
        <f>VLOOKUP(A132,'Classement Général'!$B$2:$B$146,1,0)</f>
        <v>#N/A</v>
      </c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</row>
    <row r="133" ht="14.25" customHeight="1">
      <c r="A133" s="160"/>
      <c r="B133" s="161">
        <v>132.0</v>
      </c>
      <c r="C133" s="157">
        <f t="shared" si="1"/>
        <v>-922.9970519</v>
      </c>
      <c r="D133" s="158" t="str">
        <f>VLOOKUP(A133,'Classement RoC'!$B$2:$C$149,1,0)</f>
        <v>#N/A</v>
      </c>
      <c r="E133" s="163" t="str">
        <f t="shared" si="2"/>
        <v>#N/A</v>
      </c>
      <c r="F133" s="120" t="str">
        <f>VLOOKUP(A133,'Classement Général'!$B$2:$B$146,1,0)</f>
        <v>#N/A</v>
      </c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</row>
    <row r="134" ht="14.25" customHeight="1">
      <c r="A134" s="160"/>
      <c r="B134" s="156">
        <v>133.0</v>
      </c>
      <c r="C134" s="157">
        <f t="shared" si="1"/>
        <v>-931.1631729</v>
      </c>
      <c r="D134" s="158" t="str">
        <f>VLOOKUP(A134,'Classement RoC'!$B$2:$C$149,1,0)</f>
        <v>#N/A</v>
      </c>
      <c r="E134" s="163" t="str">
        <f t="shared" si="2"/>
        <v>#N/A</v>
      </c>
      <c r="F134" s="120" t="str">
        <f>VLOOKUP(A134,'Classement Général'!$B$2:$B$146,1,0)</f>
        <v>#N/A</v>
      </c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</row>
    <row r="135" ht="14.25" customHeight="1">
      <c r="A135" s="160"/>
      <c r="B135" s="161">
        <v>134.0</v>
      </c>
      <c r="C135" s="157">
        <f t="shared" si="1"/>
        <v>-939.3085032</v>
      </c>
      <c r="D135" s="158" t="str">
        <f>VLOOKUP(A135,'Classement RoC'!$B$2:$C$149,1,0)</f>
        <v>#N/A</v>
      </c>
      <c r="E135" s="163" t="str">
        <f t="shared" si="2"/>
        <v>#N/A</v>
      </c>
      <c r="F135" s="120" t="str">
        <f>VLOOKUP(A135,'Classement Général'!$B$2:$B$146,1,0)</f>
        <v>#N/A</v>
      </c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</row>
    <row r="136" ht="14.25" customHeight="1">
      <c r="A136" s="160"/>
      <c r="B136" s="156">
        <v>135.0</v>
      </c>
      <c r="C136" s="157">
        <f t="shared" si="1"/>
        <v>-947.4332869</v>
      </c>
      <c r="D136" s="158" t="str">
        <f>VLOOKUP(A136,'Classement RoC'!$B$2:$C$149,1,0)</f>
        <v>#N/A</v>
      </c>
      <c r="E136" s="163" t="str">
        <f t="shared" si="2"/>
        <v>#N/A</v>
      </c>
      <c r="F136" s="120" t="str">
        <f>VLOOKUP(A136,'Classement Général'!$B$2:$B$146,1,0)</f>
        <v>#N/A</v>
      </c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</row>
    <row r="137" ht="14.25" customHeight="1">
      <c r="A137" s="160"/>
      <c r="B137" s="161">
        <v>136.0</v>
      </c>
      <c r="C137" s="157">
        <f t="shared" si="1"/>
        <v>-955.5377634</v>
      </c>
      <c r="D137" s="158" t="str">
        <f>VLOOKUP(A137,'Classement RoC'!$B$2:$C$149,1,0)</f>
        <v>#N/A</v>
      </c>
      <c r="E137" s="163" t="str">
        <f t="shared" si="2"/>
        <v>#N/A</v>
      </c>
      <c r="F137" s="120" t="str">
        <f>VLOOKUP(A137,'Classement Général'!$B$2:$B$146,1,0)</f>
        <v>#N/A</v>
      </c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</row>
    <row r="138" ht="14.25" customHeight="1">
      <c r="A138" s="160"/>
      <c r="B138" s="156">
        <v>137.0</v>
      </c>
      <c r="C138" s="157">
        <f t="shared" si="1"/>
        <v>-963.6221674</v>
      </c>
      <c r="D138" s="158" t="str">
        <f>VLOOKUP(A138,'Classement RoC'!$B$2:$C$149,1,0)</f>
        <v>#N/A</v>
      </c>
      <c r="E138" s="163" t="str">
        <f t="shared" si="2"/>
        <v>#N/A</v>
      </c>
      <c r="F138" s="120" t="str">
        <f>VLOOKUP(A138,'Classement Général'!$B$2:$B$146,1,0)</f>
        <v>#N/A</v>
      </c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</row>
    <row r="139" ht="14.25" customHeight="1">
      <c r="A139" s="160"/>
      <c r="B139" s="161">
        <v>138.0</v>
      </c>
      <c r="C139" s="157">
        <f t="shared" si="1"/>
        <v>-971.6867286</v>
      </c>
      <c r="D139" s="158" t="str">
        <f>VLOOKUP(A139,'Classement RoC'!$B$2:$C$149,1,0)</f>
        <v>#N/A</v>
      </c>
      <c r="E139" s="163" t="str">
        <f t="shared" si="2"/>
        <v>#N/A</v>
      </c>
      <c r="F139" s="120" t="str">
        <f>VLOOKUP(A139,'Classement Général'!$B$2:$B$146,1,0)</f>
        <v>#N/A</v>
      </c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</row>
    <row r="140" ht="14.25" customHeight="1">
      <c r="A140" s="160"/>
      <c r="B140" s="156">
        <v>139.0</v>
      </c>
      <c r="C140" s="157">
        <f t="shared" si="1"/>
        <v>-979.7316726</v>
      </c>
      <c r="D140" s="158" t="str">
        <f>VLOOKUP(A140,'Classement RoC'!$B$2:$C$149,1,0)</f>
        <v>#N/A</v>
      </c>
      <c r="E140" s="163" t="str">
        <f t="shared" si="2"/>
        <v>#N/A</v>
      </c>
      <c r="F140" s="120" t="str">
        <f>VLOOKUP(A140,'Classement Général'!$B$2:$B$146,1,0)</f>
        <v>#N/A</v>
      </c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</row>
    <row r="141" ht="14.25" customHeight="1">
      <c r="A141" s="160"/>
      <c r="B141" s="161">
        <v>140.0</v>
      </c>
      <c r="C141" s="157">
        <f t="shared" si="1"/>
        <v>-987.7572204</v>
      </c>
      <c r="D141" s="158" t="str">
        <f>VLOOKUP(A141,'Classement RoC'!$B$2:$C$149,1,0)</f>
        <v>#N/A</v>
      </c>
      <c r="E141" s="163" t="str">
        <f t="shared" si="2"/>
        <v>#N/A</v>
      </c>
      <c r="F141" s="120" t="str">
        <f>VLOOKUP(A141,'Classement Général'!$B$2:$B$146,1,0)</f>
        <v>#N/A</v>
      </c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</row>
    <row r="142" ht="14.25" customHeight="1">
      <c r="A142" s="160"/>
      <c r="B142" s="156">
        <v>141.0</v>
      </c>
      <c r="C142" s="157">
        <f t="shared" si="1"/>
        <v>-995.7635887</v>
      </c>
      <c r="D142" s="158" t="str">
        <f>VLOOKUP(A142,'Classement RoC'!$B$2:$C$149,1,0)</f>
        <v>#N/A</v>
      </c>
      <c r="E142" s="163" t="str">
        <f t="shared" si="2"/>
        <v>#N/A</v>
      </c>
      <c r="F142" s="120" t="str">
        <f>VLOOKUP(A142,'Classement Général'!$B$2:$B$146,1,0)</f>
        <v>#N/A</v>
      </c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</row>
    <row r="143" ht="14.25" customHeight="1">
      <c r="A143" s="160"/>
      <c r="B143" s="161">
        <v>142.0</v>
      </c>
      <c r="C143" s="157">
        <f t="shared" si="1"/>
        <v>-1003.75099</v>
      </c>
      <c r="D143" s="158" t="str">
        <f>VLOOKUP(A143,'Classement RoC'!$B$2:$C$149,1,0)</f>
        <v>#N/A</v>
      </c>
      <c r="E143" s="163" t="str">
        <f t="shared" si="2"/>
        <v>#N/A</v>
      </c>
      <c r="F143" s="120" t="str">
        <f>VLOOKUP(A143,'Classement Général'!$B$2:$B$146,1,0)</f>
        <v>#N/A</v>
      </c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</row>
    <row r="144" ht="14.25" customHeight="1">
      <c r="A144" s="160"/>
      <c r="B144" s="156">
        <v>143.0</v>
      </c>
      <c r="C144" s="157">
        <f t="shared" si="1"/>
        <v>-1011.719634</v>
      </c>
      <c r="D144" s="158" t="str">
        <f>VLOOKUP(A144,'Classement RoC'!$B$2:$C$149,1,0)</f>
        <v>#N/A</v>
      </c>
      <c r="E144" s="163" t="str">
        <f t="shared" si="2"/>
        <v>#N/A</v>
      </c>
      <c r="F144" s="120" t="str">
        <f>VLOOKUP(A144,'Classement Général'!$B$2:$B$146,1,0)</f>
        <v>#N/A</v>
      </c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</row>
    <row r="145" ht="14.25" customHeight="1">
      <c r="A145" s="160"/>
      <c r="B145" s="161">
        <v>144.0</v>
      </c>
      <c r="C145" s="157">
        <f t="shared" si="1"/>
        <v>-1019.669723</v>
      </c>
      <c r="D145" s="158" t="str">
        <f>VLOOKUP(A145,'Classement RoC'!$B$2:$C$149,1,0)</f>
        <v>#N/A</v>
      </c>
      <c r="E145" s="163" t="str">
        <f t="shared" si="2"/>
        <v>#N/A</v>
      </c>
      <c r="F145" s="120" t="str">
        <f>VLOOKUP(A145,'Classement Général'!$B$2:$B$146,1,0)</f>
        <v>#N/A</v>
      </c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</row>
    <row r="146" ht="14.25" customHeight="1">
      <c r="A146" s="160"/>
      <c r="B146" s="156">
        <v>145.0</v>
      </c>
      <c r="C146" s="157">
        <f t="shared" si="1"/>
        <v>-1027.60146</v>
      </c>
      <c r="D146" s="158" t="str">
        <f>VLOOKUP(A146,'Classement RoC'!$B$2:$C$149,1,0)</f>
        <v>#N/A</v>
      </c>
      <c r="E146" s="163" t="str">
        <f t="shared" si="2"/>
        <v>#N/A</v>
      </c>
      <c r="F146" s="120" t="str">
        <f>VLOOKUP(A146,'Classement Général'!$B$2:$B$146,1,0)</f>
        <v>#N/A</v>
      </c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</row>
    <row r="147" ht="14.25" customHeight="1">
      <c r="A147" s="160"/>
      <c r="B147" s="161">
        <v>146.0</v>
      </c>
      <c r="C147" s="157">
        <f t="shared" si="1"/>
        <v>-1035.515042</v>
      </c>
      <c r="D147" s="158" t="str">
        <f>VLOOKUP(A147,'Classement RoC'!$B$2:$C$149,1,0)</f>
        <v>#N/A</v>
      </c>
      <c r="E147" s="163" t="str">
        <f t="shared" si="2"/>
        <v>#N/A</v>
      </c>
      <c r="F147" s="120" t="str">
        <f>VLOOKUP(A147,'Classement Général'!$B$2:$B$146,1,0)</f>
        <v>#N/A</v>
      </c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</row>
    <row r="148" ht="14.25" customHeight="1">
      <c r="A148" s="160"/>
      <c r="B148" s="156">
        <v>147.0</v>
      </c>
      <c r="C148" s="157">
        <f t="shared" si="1"/>
        <v>-1043.410661</v>
      </c>
      <c r="D148" s="158" t="str">
        <f>VLOOKUP(A148,'Classement RoC'!$B$2:$C$149,1,0)</f>
        <v>#N/A</v>
      </c>
      <c r="E148" s="163" t="str">
        <f t="shared" si="2"/>
        <v>#N/A</v>
      </c>
      <c r="F148" s="120" t="str">
        <f>VLOOKUP(A148,'Classement Général'!$B$2:$B$146,1,0)</f>
        <v>#N/A</v>
      </c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</row>
    <row r="149" ht="14.25" customHeight="1">
      <c r="A149" s="160"/>
      <c r="B149" s="161">
        <v>148.0</v>
      </c>
      <c r="C149" s="157">
        <f t="shared" si="1"/>
        <v>-1051.288509</v>
      </c>
      <c r="D149" s="158" t="str">
        <f>VLOOKUP(A149,'Classement RoC'!$B$2:$C$149,1,0)</f>
        <v>#N/A</v>
      </c>
      <c r="E149" s="163" t="str">
        <f t="shared" si="2"/>
        <v>#N/A</v>
      </c>
      <c r="F149" s="120" t="str">
        <f>VLOOKUP(A149,'Classement Général'!$B$2:$B$146,1,0)</f>
        <v>#N/A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</row>
    <row r="150" ht="14.25" customHeight="1">
      <c r="A150" s="160"/>
      <c r="B150" s="156">
        <v>149.0</v>
      </c>
      <c r="C150" s="157">
        <f t="shared" si="1"/>
        <v>-1059.14877</v>
      </c>
      <c r="D150" s="158" t="str">
        <f>VLOOKUP(A150,'Classement RoC'!$B$2:$C$149,1,0)</f>
        <v>#N/A</v>
      </c>
      <c r="E150" s="163" t="str">
        <f t="shared" si="2"/>
        <v>#N/A</v>
      </c>
      <c r="F150" s="120" t="str">
        <f>VLOOKUP(A150,'Classement Général'!$B$2:$B$146,1,0)</f>
        <v>#N/A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</row>
    <row r="151" ht="14.25" customHeight="1">
      <c r="A151" s="160"/>
      <c r="B151" s="161">
        <v>150.0</v>
      </c>
      <c r="C151" s="157">
        <f t="shared" si="1"/>
        <v>-1066.991629</v>
      </c>
      <c r="D151" s="158" t="str">
        <f>VLOOKUP(A151,'Classement RoC'!$B$2:$C$149,1,0)</f>
        <v>#N/A</v>
      </c>
      <c r="E151" s="163" t="str">
        <f t="shared" si="2"/>
        <v>#N/A</v>
      </c>
      <c r="F151" s="120" t="str">
        <f>VLOOKUP(A151,'Classement Général'!$B$2:$B$146,1,0)</f>
        <v>#N/A</v>
      </c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</row>
    <row r="152" ht="14.25" customHeight="1">
      <c r="A152" s="160"/>
      <c r="B152" s="156">
        <v>151.0</v>
      </c>
      <c r="C152" s="157">
        <f t="shared" si="1"/>
        <v>-1074.817265</v>
      </c>
      <c r="D152" s="158" t="str">
        <f>VLOOKUP(A152,'Classement RoC'!$B$2:$C$149,1,0)</f>
        <v>#N/A</v>
      </c>
      <c r="E152" s="163" t="str">
        <f t="shared" si="2"/>
        <v>#N/A</v>
      </c>
      <c r="F152" s="120" t="str">
        <f>VLOOKUP(A152,'Classement Général'!$B$2:$B$146,1,0)</f>
        <v>#N/A</v>
      </c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</row>
    <row r="153" ht="14.25" customHeight="1">
      <c r="A153" s="160"/>
      <c r="B153" s="161">
        <v>152.0</v>
      </c>
      <c r="C153" s="157">
        <f t="shared" si="1"/>
        <v>-1082.625855</v>
      </c>
      <c r="D153" s="158" t="str">
        <f>VLOOKUP(A153,'Classement RoC'!$B$2:$C$149,1,0)</f>
        <v>#N/A</v>
      </c>
      <c r="E153" s="163" t="str">
        <f t="shared" si="2"/>
        <v>#N/A</v>
      </c>
      <c r="F153" s="120" t="str">
        <f>VLOOKUP(A153,'Classement Général'!$B$2:$B$146,1,0)</f>
        <v>#N/A</v>
      </c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</row>
    <row r="154" ht="14.25" customHeight="1">
      <c r="A154" s="160"/>
      <c r="B154" s="156">
        <v>153.0</v>
      </c>
      <c r="C154" s="157">
        <f t="shared" si="1"/>
        <v>-1090.417573</v>
      </c>
      <c r="D154" s="158" t="str">
        <f>VLOOKUP(A154,'Classement RoC'!$B$2:$C$149,1,0)</f>
        <v>#N/A</v>
      </c>
      <c r="E154" s="163" t="str">
        <f t="shared" si="2"/>
        <v>#N/A</v>
      </c>
      <c r="F154" s="120" t="str">
        <f>VLOOKUP(A154,'Classement Général'!$B$2:$B$146,1,0)</f>
        <v>#N/A</v>
      </c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</row>
    <row r="155" ht="14.25" customHeight="1">
      <c r="A155" s="160"/>
      <c r="B155" s="161">
        <v>154.0</v>
      </c>
      <c r="C155" s="157">
        <f t="shared" si="1"/>
        <v>-1098.192588</v>
      </c>
      <c r="D155" s="158" t="str">
        <f>VLOOKUP(A155,'Classement RoC'!$B$2:$C$149,1,0)</f>
        <v>#N/A</v>
      </c>
      <c r="E155" s="163" t="str">
        <f t="shared" si="2"/>
        <v>#N/A</v>
      </c>
      <c r="F155" s="120" t="str">
        <f>VLOOKUP(A155,'Classement Général'!$B$2:$B$146,1,0)</f>
        <v>#N/A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</row>
    <row r="156" ht="14.25" customHeight="1">
      <c r="A156" s="160"/>
      <c r="B156" s="156">
        <v>155.0</v>
      </c>
      <c r="C156" s="157">
        <f t="shared" si="1"/>
        <v>-1105.951069</v>
      </c>
      <c r="D156" s="158" t="str">
        <f>VLOOKUP(A156,'Classement RoC'!$B$2:$C$149,1,0)</f>
        <v>#N/A</v>
      </c>
      <c r="E156" s="163" t="str">
        <f t="shared" si="2"/>
        <v>#N/A</v>
      </c>
      <c r="F156" s="120" t="str">
        <f>VLOOKUP(A156,'Classement Général'!$B$2:$B$146,1,0)</f>
        <v>#N/A</v>
      </c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</row>
    <row r="157" ht="14.25" customHeight="1">
      <c r="A157" s="160"/>
      <c r="B157" s="161">
        <v>156.0</v>
      </c>
      <c r="C157" s="157">
        <f t="shared" si="1"/>
        <v>-1113.69318</v>
      </c>
      <c r="D157" s="158" t="str">
        <f>VLOOKUP(A157,'Classement RoC'!$B$2:$C$149,1,0)</f>
        <v>#N/A</v>
      </c>
      <c r="E157" s="163" t="str">
        <f t="shared" si="2"/>
        <v>#N/A</v>
      </c>
      <c r="F157" s="120" t="str">
        <f>VLOOKUP(A157,'Classement Général'!$B$2:$B$146,1,0)</f>
        <v>#N/A</v>
      </c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</row>
    <row r="158" ht="14.25" customHeight="1">
      <c r="A158" s="160"/>
      <c r="B158" s="156">
        <v>157.0</v>
      </c>
      <c r="C158" s="157">
        <f t="shared" si="1"/>
        <v>-1121.419084</v>
      </c>
      <c r="D158" s="158" t="str">
        <f>VLOOKUP(A158,'Classement RoC'!$B$2:$C$149,1,0)</f>
        <v>#N/A</v>
      </c>
      <c r="E158" s="163" t="str">
        <f t="shared" si="2"/>
        <v>#N/A</v>
      </c>
      <c r="F158" s="120" t="str">
        <f>VLOOKUP(A158,'Classement Général'!$B$2:$B$146,1,0)</f>
        <v>#N/A</v>
      </c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</row>
    <row r="159" ht="14.25" customHeight="1">
      <c r="A159" s="160"/>
      <c r="B159" s="161">
        <v>158.0</v>
      </c>
      <c r="C159" s="157">
        <f t="shared" si="1"/>
        <v>-1129.128938</v>
      </c>
      <c r="D159" s="158" t="str">
        <f>VLOOKUP(A159,'Classement RoC'!$B$2:$C$149,1,0)</f>
        <v>#N/A</v>
      </c>
      <c r="E159" s="163" t="str">
        <f t="shared" si="2"/>
        <v>#N/A</v>
      </c>
      <c r="F159" s="120" t="str">
        <f>VLOOKUP(A159,'Classement Général'!$B$2:$B$146,1,0)</f>
        <v>#N/A</v>
      </c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</row>
    <row r="160" ht="14.25" customHeight="1">
      <c r="A160" s="160"/>
      <c r="B160" s="156">
        <v>159.0</v>
      </c>
      <c r="C160" s="157">
        <f t="shared" si="1"/>
        <v>-1136.822899</v>
      </c>
      <c r="D160" s="158" t="str">
        <f>VLOOKUP(A160,'Classement RoC'!$B$2:$C$149,1,0)</f>
        <v>#N/A</v>
      </c>
      <c r="E160" s="163" t="str">
        <f t="shared" si="2"/>
        <v>#N/A</v>
      </c>
      <c r="F160" s="120" t="str">
        <f>VLOOKUP(A160,'Classement Général'!$B$2:$B$146,1,0)</f>
        <v>#N/A</v>
      </c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</row>
    <row r="161" ht="14.25" customHeight="1">
      <c r="A161" s="164"/>
      <c r="B161" s="165"/>
      <c r="C161" s="166"/>
      <c r="D161" s="167"/>
      <c r="E161" s="168"/>
      <c r="F161" s="120" t="str">
        <f>VLOOKUP(A161,'Classement Général'!$B$2:$B$146,1,0)</f>
        <v>#N/A</v>
      </c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</row>
    <row r="162" ht="14.25" customHeight="1">
      <c r="A162" s="164"/>
      <c r="B162" s="165"/>
      <c r="C162" s="166"/>
      <c r="D162" s="167"/>
      <c r="E162" s="168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4"/>
    </row>
    <row r="163" ht="14.25" customHeight="1">
      <c r="A163" s="164"/>
      <c r="B163" s="165"/>
      <c r="C163" s="166"/>
      <c r="D163" s="167"/>
      <c r="E163" s="168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</row>
    <row r="164" ht="14.25" customHeight="1">
      <c r="A164" s="164"/>
      <c r="B164" s="165"/>
      <c r="C164" s="166"/>
      <c r="D164" s="167"/>
      <c r="E164" s="168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</row>
    <row r="165" ht="14.25" customHeight="1">
      <c r="A165" s="164"/>
      <c r="B165" s="165"/>
      <c r="C165" s="166"/>
      <c r="D165" s="167"/>
      <c r="E165" s="168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</row>
    <row r="166" ht="14.25" customHeight="1">
      <c r="A166" s="164"/>
      <c r="B166" s="165"/>
      <c r="C166" s="166"/>
      <c r="D166" s="167"/>
      <c r="E166" s="168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</row>
    <row r="167" ht="14.25" customHeight="1">
      <c r="A167" s="164"/>
      <c r="B167" s="165"/>
      <c r="C167" s="166"/>
      <c r="D167" s="167"/>
      <c r="E167" s="168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</row>
    <row r="168" ht="14.25" customHeight="1">
      <c r="A168" s="164"/>
      <c r="B168" s="165"/>
      <c r="C168" s="166"/>
      <c r="D168" s="167"/>
      <c r="E168" s="168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</row>
    <row r="169" ht="14.25" customHeight="1">
      <c r="A169" s="164"/>
      <c r="B169" s="165"/>
      <c r="C169" s="166"/>
      <c r="D169" s="167"/>
      <c r="E169" s="168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</row>
    <row r="170" ht="14.25" customHeight="1">
      <c r="A170" s="164"/>
      <c r="B170" s="165"/>
      <c r="C170" s="166"/>
      <c r="D170" s="167"/>
      <c r="E170" s="168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</row>
    <row r="171" ht="14.25" customHeight="1">
      <c r="A171" s="164"/>
      <c r="B171" s="165"/>
      <c r="C171" s="166"/>
      <c r="D171" s="167"/>
      <c r="E171" s="168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</row>
    <row r="172" ht="14.25" customHeight="1">
      <c r="A172" s="164"/>
      <c r="B172" s="165"/>
      <c r="C172" s="166"/>
      <c r="D172" s="167"/>
      <c r="E172" s="168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</row>
    <row r="173" ht="14.25" customHeight="1">
      <c r="A173" s="164"/>
      <c r="B173" s="165"/>
      <c r="C173" s="166"/>
      <c r="D173" s="167"/>
      <c r="E173" s="168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</row>
    <row r="174" ht="14.25" customHeight="1">
      <c r="A174" s="164"/>
      <c r="B174" s="165"/>
      <c r="C174" s="166"/>
      <c r="D174" s="167"/>
      <c r="E174" s="168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</row>
    <row r="175" ht="14.25" customHeight="1">
      <c r="A175" s="164"/>
      <c r="B175" s="165"/>
      <c r="C175" s="166"/>
      <c r="D175" s="167"/>
      <c r="E175" s="168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</row>
    <row r="176" ht="14.25" customHeight="1">
      <c r="A176" s="164"/>
      <c r="B176" s="165"/>
      <c r="C176" s="166"/>
      <c r="D176" s="167"/>
      <c r="E176" s="168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</row>
    <row r="177" ht="14.25" customHeight="1">
      <c r="A177" s="164"/>
      <c r="B177" s="165"/>
      <c r="C177" s="166"/>
      <c r="D177" s="167"/>
      <c r="E177" s="168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4"/>
    </row>
    <row r="178" ht="14.25" customHeight="1">
      <c r="A178" s="164"/>
      <c r="B178" s="165"/>
      <c r="C178" s="166"/>
      <c r="D178" s="167"/>
      <c r="E178" s="168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</row>
    <row r="179" ht="14.25" customHeight="1">
      <c r="A179" s="164"/>
      <c r="B179" s="165"/>
      <c r="C179" s="166"/>
      <c r="D179" s="167"/>
      <c r="E179" s="168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4"/>
    </row>
    <row r="180" ht="14.25" customHeight="1">
      <c r="A180" s="164"/>
      <c r="B180" s="165"/>
      <c r="C180" s="166"/>
      <c r="D180" s="167"/>
      <c r="E180" s="168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</row>
    <row r="181" ht="14.25" customHeight="1">
      <c r="A181" s="164"/>
      <c r="B181" s="165"/>
      <c r="C181" s="166"/>
      <c r="D181" s="167"/>
      <c r="E181" s="168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</row>
    <row r="182" ht="14.25" customHeight="1">
      <c r="A182" s="164"/>
      <c r="B182" s="165"/>
      <c r="C182" s="166"/>
      <c r="D182" s="167"/>
      <c r="E182" s="168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154"/>
    </row>
    <row r="183" ht="14.25" customHeight="1">
      <c r="A183" s="164"/>
      <c r="B183" s="165"/>
      <c r="C183" s="166"/>
      <c r="D183" s="167"/>
      <c r="E183" s="168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4"/>
    </row>
    <row r="184" ht="14.25" customHeight="1">
      <c r="A184" s="164"/>
      <c r="B184" s="165"/>
      <c r="C184" s="166"/>
      <c r="D184" s="167"/>
      <c r="E184" s="168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</row>
    <row r="185" ht="14.25" customHeight="1">
      <c r="A185" s="164"/>
      <c r="B185" s="165"/>
      <c r="C185" s="166"/>
      <c r="D185" s="167"/>
      <c r="E185" s="168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</row>
    <row r="186" ht="14.25" customHeight="1">
      <c r="A186" s="164"/>
      <c r="B186" s="165"/>
      <c r="C186" s="166"/>
      <c r="D186" s="167"/>
      <c r="E186" s="168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</row>
    <row r="187" ht="14.25" customHeight="1">
      <c r="A187" s="164"/>
      <c r="B187" s="165"/>
      <c r="C187" s="166"/>
      <c r="D187" s="167"/>
      <c r="E187" s="168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</row>
    <row r="188" ht="14.25" customHeight="1">
      <c r="A188" s="164"/>
      <c r="B188" s="165"/>
      <c r="C188" s="166"/>
      <c r="D188" s="167"/>
      <c r="E188" s="168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</row>
    <row r="189" ht="14.25" customHeight="1">
      <c r="A189" s="164"/>
      <c r="B189" s="165"/>
      <c r="C189" s="166"/>
      <c r="D189" s="167"/>
      <c r="E189" s="168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</row>
    <row r="190" ht="14.25" customHeight="1">
      <c r="A190" s="164"/>
      <c r="B190" s="165"/>
      <c r="C190" s="166"/>
      <c r="D190" s="167"/>
      <c r="E190" s="168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</row>
    <row r="191" ht="14.25" customHeight="1">
      <c r="A191" s="164"/>
      <c r="B191" s="165"/>
      <c r="C191" s="166"/>
      <c r="D191" s="167"/>
      <c r="E191" s="168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</row>
    <row r="192" ht="14.25" customHeight="1">
      <c r="A192" s="164"/>
      <c r="B192" s="165"/>
      <c r="C192" s="166"/>
      <c r="D192" s="167"/>
      <c r="E192" s="168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</row>
    <row r="193" ht="14.25" customHeight="1">
      <c r="A193" s="164"/>
      <c r="B193" s="165"/>
      <c r="C193" s="166"/>
      <c r="D193" s="167"/>
      <c r="E193" s="168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</row>
    <row r="194" ht="14.25" customHeight="1">
      <c r="A194" s="164"/>
      <c r="B194" s="165"/>
      <c r="C194" s="166"/>
      <c r="D194" s="167"/>
      <c r="E194" s="168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</row>
    <row r="195" ht="14.25" customHeight="1">
      <c r="A195" s="164"/>
      <c r="B195" s="165"/>
      <c r="C195" s="166"/>
      <c r="D195" s="167"/>
      <c r="E195" s="168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</row>
    <row r="196" ht="14.25" customHeight="1">
      <c r="A196" s="164"/>
      <c r="B196" s="165"/>
      <c r="C196" s="166"/>
      <c r="D196" s="167"/>
      <c r="E196" s="168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</row>
    <row r="197" ht="14.25" customHeight="1">
      <c r="A197" s="164"/>
      <c r="B197" s="165"/>
      <c r="C197" s="166"/>
      <c r="D197" s="167"/>
      <c r="E197" s="168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</row>
    <row r="198" ht="14.25" customHeight="1">
      <c r="A198" s="164"/>
      <c r="B198" s="165"/>
      <c r="C198" s="166"/>
      <c r="D198" s="167"/>
      <c r="E198" s="168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</row>
    <row r="199" ht="14.25" customHeight="1">
      <c r="A199" s="164"/>
      <c r="B199" s="165"/>
      <c r="C199" s="166"/>
      <c r="D199" s="167"/>
      <c r="E199" s="168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154"/>
    </row>
    <row r="200" ht="14.25" customHeight="1">
      <c r="A200" s="164"/>
      <c r="B200" s="165"/>
      <c r="C200" s="166"/>
      <c r="D200" s="167"/>
      <c r="E200" s="168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4"/>
    </row>
    <row r="201" ht="14.25" customHeight="1">
      <c r="A201" s="164"/>
      <c r="B201" s="165"/>
      <c r="C201" s="166"/>
      <c r="D201" s="167"/>
      <c r="E201" s="168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</row>
    <row r="202" ht="14.25" customHeight="1">
      <c r="A202" s="164"/>
      <c r="B202" s="165"/>
      <c r="C202" s="166"/>
      <c r="D202" s="167"/>
      <c r="E202" s="168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4"/>
    </row>
    <row r="203" ht="14.25" customHeight="1">
      <c r="A203" s="164"/>
      <c r="B203" s="165"/>
      <c r="C203" s="166"/>
      <c r="D203" s="167"/>
      <c r="E203" s="168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</row>
    <row r="204" ht="14.25" customHeight="1">
      <c r="A204" s="164"/>
      <c r="B204" s="165"/>
      <c r="C204" s="166"/>
      <c r="D204" s="167"/>
      <c r="E204" s="168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</row>
    <row r="205" ht="14.25" customHeight="1">
      <c r="A205" s="164"/>
      <c r="B205" s="165"/>
      <c r="C205" s="166"/>
      <c r="D205" s="167"/>
      <c r="E205" s="168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</row>
    <row r="206" ht="14.25" customHeight="1">
      <c r="A206" s="164"/>
      <c r="B206" s="165"/>
      <c r="C206" s="166"/>
      <c r="D206" s="167"/>
      <c r="E206" s="168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</row>
    <row r="207" ht="14.25" customHeight="1">
      <c r="A207" s="164"/>
      <c r="B207" s="165"/>
      <c r="C207" s="166"/>
      <c r="D207" s="167"/>
      <c r="E207" s="168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</row>
    <row r="208" ht="14.25" customHeight="1">
      <c r="A208" s="164"/>
      <c r="B208" s="165"/>
      <c r="C208" s="166"/>
      <c r="D208" s="167"/>
      <c r="E208" s="168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</row>
    <row r="209" ht="14.25" customHeight="1">
      <c r="A209" s="164"/>
      <c r="B209" s="165"/>
      <c r="C209" s="166"/>
      <c r="D209" s="167"/>
      <c r="E209" s="168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</row>
    <row r="210" ht="14.25" customHeight="1">
      <c r="A210" s="164"/>
      <c r="B210" s="165"/>
      <c r="C210" s="166"/>
      <c r="D210" s="167"/>
      <c r="E210" s="168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</row>
    <row r="211" ht="14.25" customHeight="1">
      <c r="A211" s="164"/>
      <c r="B211" s="165"/>
      <c r="C211" s="166"/>
      <c r="D211" s="167"/>
      <c r="E211" s="168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</row>
    <row r="212" ht="14.25" customHeight="1">
      <c r="A212" s="164"/>
      <c r="B212" s="165"/>
      <c r="C212" s="166"/>
      <c r="D212" s="167"/>
      <c r="E212" s="168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</row>
    <row r="213" ht="14.25" customHeight="1">
      <c r="A213" s="164"/>
      <c r="B213" s="165"/>
      <c r="C213" s="166"/>
      <c r="D213" s="167"/>
      <c r="E213" s="168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</row>
    <row r="214" ht="14.25" customHeight="1">
      <c r="A214" s="164"/>
      <c r="B214" s="165"/>
      <c r="C214" s="166"/>
      <c r="D214" s="167"/>
      <c r="E214" s="168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</row>
    <row r="215" ht="14.25" customHeight="1">
      <c r="A215" s="164"/>
      <c r="B215" s="165"/>
      <c r="C215" s="166"/>
      <c r="D215" s="167"/>
      <c r="E215" s="168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4"/>
    </row>
    <row r="216" ht="14.25" customHeight="1">
      <c r="A216" s="164"/>
      <c r="B216" s="165"/>
      <c r="C216" s="166"/>
      <c r="D216" s="167"/>
      <c r="E216" s="168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</row>
    <row r="217" ht="14.25" customHeight="1">
      <c r="A217" s="164"/>
      <c r="B217" s="165"/>
      <c r="C217" s="166"/>
      <c r="D217" s="167"/>
      <c r="E217" s="168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</row>
    <row r="218" ht="14.25" customHeight="1">
      <c r="A218" s="164"/>
      <c r="B218" s="165"/>
      <c r="C218" s="166"/>
      <c r="D218" s="167"/>
      <c r="E218" s="168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</row>
    <row r="219" ht="14.25" customHeight="1">
      <c r="A219" s="164"/>
      <c r="B219" s="165"/>
      <c r="C219" s="166"/>
      <c r="D219" s="167"/>
      <c r="E219" s="168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</row>
    <row r="220" ht="14.25" customHeight="1">
      <c r="A220" s="164"/>
      <c r="B220" s="165"/>
      <c r="C220" s="166"/>
      <c r="D220" s="167"/>
      <c r="E220" s="168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</row>
    <row r="221" ht="14.25" customHeight="1">
      <c r="A221" s="164"/>
      <c r="B221" s="165"/>
      <c r="C221" s="166"/>
      <c r="D221" s="167"/>
      <c r="E221" s="168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</row>
    <row r="222" ht="14.25" customHeight="1">
      <c r="A222" s="164"/>
      <c r="B222" s="165"/>
      <c r="C222" s="166"/>
      <c r="D222" s="167"/>
      <c r="E222" s="168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</row>
    <row r="223" ht="14.25" customHeight="1">
      <c r="A223" s="164"/>
      <c r="B223" s="165"/>
      <c r="C223" s="166"/>
      <c r="D223" s="167"/>
      <c r="E223" s="168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</row>
    <row r="224" ht="14.25" customHeight="1">
      <c r="A224" s="164"/>
      <c r="B224" s="165"/>
      <c r="C224" s="166"/>
      <c r="D224" s="167"/>
      <c r="E224" s="168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</row>
    <row r="225" ht="14.25" customHeight="1">
      <c r="A225" s="164"/>
      <c r="B225" s="165"/>
      <c r="C225" s="166"/>
      <c r="D225" s="167"/>
      <c r="E225" s="168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</row>
    <row r="226" ht="14.25" customHeight="1">
      <c r="A226" s="164"/>
      <c r="B226" s="165"/>
      <c r="C226" s="166"/>
      <c r="D226" s="167"/>
      <c r="E226" s="168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</row>
    <row r="227" ht="14.25" customHeight="1">
      <c r="A227" s="164"/>
      <c r="B227" s="165"/>
      <c r="C227" s="166"/>
      <c r="D227" s="167"/>
      <c r="E227" s="168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</row>
    <row r="228" ht="14.25" customHeight="1">
      <c r="A228" s="164"/>
      <c r="B228" s="165"/>
      <c r="C228" s="166"/>
      <c r="D228" s="167"/>
      <c r="E228" s="168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</row>
    <row r="229" ht="14.25" customHeight="1">
      <c r="A229" s="164"/>
      <c r="B229" s="165"/>
      <c r="C229" s="166"/>
      <c r="D229" s="167"/>
      <c r="E229" s="168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</row>
    <row r="230" ht="14.25" customHeight="1">
      <c r="A230" s="164"/>
      <c r="B230" s="165"/>
      <c r="C230" s="166"/>
      <c r="D230" s="167"/>
      <c r="E230" s="168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</row>
    <row r="231" ht="14.25" customHeight="1">
      <c r="A231" s="164"/>
      <c r="B231" s="165"/>
      <c r="C231" s="166"/>
      <c r="D231" s="167"/>
      <c r="E231" s="168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154"/>
    </row>
    <row r="232" ht="14.25" customHeight="1">
      <c r="A232" s="164"/>
      <c r="B232" s="165"/>
      <c r="C232" s="166"/>
      <c r="D232" s="167"/>
      <c r="E232" s="168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154"/>
    </row>
    <row r="233" ht="14.25" customHeight="1">
      <c r="A233" s="164"/>
      <c r="B233" s="165"/>
      <c r="C233" s="166"/>
      <c r="D233" s="167"/>
      <c r="E233" s="168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  <c r="Z233" s="154"/>
    </row>
    <row r="234" ht="14.25" customHeight="1">
      <c r="A234" s="164"/>
      <c r="B234" s="165"/>
      <c r="C234" s="166"/>
      <c r="D234" s="167"/>
      <c r="E234" s="168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</row>
    <row r="235" ht="14.25" customHeight="1">
      <c r="A235" s="164"/>
      <c r="B235" s="165"/>
      <c r="C235" s="166"/>
      <c r="D235" s="167"/>
      <c r="E235" s="168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</row>
    <row r="236" ht="14.25" customHeight="1">
      <c r="A236" s="164"/>
      <c r="B236" s="165"/>
      <c r="C236" s="166"/>
      <c r="D236" s="167"/>
      <c r="E236" s="168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</row>
    <row r="237" ht="14.25" customHeight="1">
      <c r="A237" s="164"/>
      <c r="B237" s="165"/>
      <c r="C237" s="166"/>
      <c r="D237" s="167"/>
      <c r="E237" s="168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</row>
    <row r="238" ht="14.25" customHeight="1">
      <c r="A238" s="164"/>
      <c r="B238" s="165"/>
      <c r="C238" s="166"/>
      <c r="D238" s="167"/>
      <c r="E238" s="168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</row>
    <row r="239" ht="14.25" customHeight="1">
      <c r="A239" s="164"/>
      <c r="B239" s="165"/>
      <c r="C239" s="166"/>
      <c r="D239" s="167"/>
      <c r="E239" s="168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</row>
    <row r="240" ht="14.25" customHeight="1">
      <c r="A240" s="164"/>
      <c r="B240" s="165"/>
      <c r="C240" s="166"/>
      <c r="D240" s="167"/>
      <c r="E240" s="168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</row>
    <row r="241" ht="14.25" customHeight="1">
      <c r="A241" s="164"/>
      <c r="B241" s="165"/>
      <c r="C241" s="166"/>
      <c r="D241" s="167"/>
      <c r="E241" s="168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</row>
    <row r="242" ht="14.25" customHeight="1">
      <c r="A242" s="164"/>
      <c r="B242" s="165"/>
      <c r="C242" s="166"/>
      <c r="D242" s="167"/>
      <c r="E242" s="168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</row>
    <row r="243" ht="14.25" customHeight="1">
      <c r="A243" s="164"/>
      <c r="B243" s="165"/>
      <c r="C243" s="166"/>
      <c r="D243" s="167"/>
      <c r="E243" s="168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</row>
    <row r="244" ht="14.25" customHeight="1">
      <c r="A244" s="164"/>
      <c r="B244" s="165"/>
      <c r="C244" s="166"/>
      <c r="D244" s="167"/>
      <c r="E244" s="168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</row>
    <row r="245" ht="14.25" customHeight="1">
      <c r="A245" s="164"/>
      <c r="B245" s="165"/>
      <c r="C245" s="166"/>
      <c r="D245" s="167"/>
      <c r="E245" s="168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</row>
    <row r="246" ht="14.25" customHeight="1">
      <c r="A246" s="164"/>
      <c r="B246" s="165"/>
      <c r="C246" s="166"/>
      <c r="D246" s="167"/>
      <c r="E246" s="168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</row>
    <row r="247" ht="14.25" customHeight="1">
      <c r="A247" s="164"/>
      <c r="B247" s="165"/>
      <c r="C247" s="166"/>
      <c r="D247" s="167"/>
      <c r="E247" s="168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</row>
    <row r="248" ht="14.25" customHeight="1">
      <c r="A248" s="164"/>
      <c r="B248" s="165"/>
      <c r="C248" s="166"/>
      <c r="D248" s="167"/>
      <c r="E248" s="168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</row>
    <row r="249" ht="14.25" customHeight="1">
      <c r="A249" s="164"/>
      <c r="B249" s="165"/>
      <c r="C249" s="166"/>
      <c r="D249" s="167"/>
      <c r="E249" s="168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154"/>
    </row>
    <row r="250" ht="14.25" customHeight="1">
      <c r="A250" s="164"/>
      <c r="B250" s="165"/>
      <c r="C250" s="166"/>
      <c r="D250" s="167"/>
      <c r="E250" s="168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4"/>
    </row>
    <row r="251" ht="14.25" customHeight="1">
      <c r="A251" s="164"/>
      <c r="B251" s="165"/>
      <c r="C251" s="166"/>
      <c r="D251" s="167"/>
      <c r="E251" s="168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</row>
    <row r="252" ht="14.25" customHeight="1">
      <c r="A252" s="164"/>
      <c r="B252" s="165"/>
      <c r="C252" s="166"/>
      <c r="D252" s="167"/>
      <c r="E252" s="168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4"/>
    </row>
    <row r="253" ht="14.25" customHeight="1">
      <c r="A253" s="164"/>
      <c r="B253" s="165"/>
      <c r="C253" s="166"/>
      <c r="D253" s="167"/>
      <c r="E253" s="168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</row>
    <row r="254" ht="14.25" customHeight="1">
      <c r="A254" s="164"/>
      <c r="B254" s="165"/>
      <c r="C254" s="166"/>
      <c r="D254" s="167"/>
      <c r="E254" s="168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</row>
    <row r="255" ht="14.25" customHeight="1">
      <c r="A255" s="164"/>
      <c r="B255" s="165"/>
      <c r="C255" s="166"/>
      <c r="D255" s="167"/>
      <c r="E255" s="168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54"/>
    </row>
    <row r="256" ht="14.25" customHeight="1">
      <c r="A256" s="164"/>
      <c r="B256" s="165"/>
      <c r="C256" s="166"/>
      <c r="D256" s="167"/>
      <c r="E256" s="168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</row>
    <row r="257" ht="14.25" customHeight="1">
      <c r="A257" s="164"/>
      <c r="B257" s="165"/>
      <c r="C257" s="166"/>
      <c r="D257" s="167"/>
      <c r="E257" s="168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</row>
    <row r="258" ht="14.25" customHeight="1">
      <c r="A258" s="164"/>
      <c r="B258" s="165"/>
      <c r="C258" s="166"/>
      <c r="D258" s="167"/>
      <c r="E258" s="168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</row>
    <row r="259" ht="14.25" customHeight="1">
      <c r="A259" s="164"/>
      <c r="B259" s="165"/>
      <c r="C259" s="166"/>
      <c r="D259" s="167"/>
      <c r="E259" s="168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</row>
    <row r="260" ht="14.25" customHeight="1">
      <c r="A260" s="164"/>
      <c r="B260" s="165"/>
      <c r="C260" s="166"/>
      <c r="D260" s="167"/>
      <c r="E260" s="168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</row>
    <row r="261" ht="14.25" customHeight="1">
      <c r="A261" s="164"/>
      <c r="B261" s="165"/>
      <c r="C261" s="166"/>
      <c r="D261" s="167"/>
      <c r="E261" s="168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</row>
    <row r="262" ht="14.25" customHeight="1">
      <c r="A262" s="164"/>
      <c r="B262" s="165"/>
      <c r="C262" s="166"/>
      <c r="D262" s="167"/>
      <c r="E262" s="168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</row>
    <row r="263" ht="14.25" customHeight="1">
      <c r="A263" s="164"/>
      <c r="B263" s="165"/>
      <c r="C263" s="166"/>
      <c r="D263" s="167"/>
      <c r="E263" s="168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54"/>
    </row>
    <row r="264" ht="14.25" customHeight="1">
      <c r="A264" s="164"/>
      <c r="B264" s="165"/>
      <c r="C264" s="166"/>
      <c r="D264" s="167"/>
      <c r="E264" s="168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</row>
    <row r="265" ht="14.25" customHeight="1">
      <c r="A265" s="164"/>
      <c r="B265" s="165"/>
      <c r="C265" s="166"/>
      <c r="D265" s="167"/>
      <c r="E265" s="168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  <c r="Z265" s="154"/>
    </row>
    <row r="266" ht="14.25" customHeight="1">
      <c r="A266" s="164"/>
      <c r="B266" s="165"/>
      <c r="C266" s="166"/>
      <c r="D266" s="167"/>
      <c r="E266" s="168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  <c r="X266" s="154"/>
      <c r="Y266" s="154"/>
      <c r="Z266" s="154"/>
    </row>
    <row r="267" ht="14.25" customHeight="1">
      <c r="A267" s="164"/>
      <c r="B267" s="165"/>
      <c r="C267" s="166"/>
      <c r="D267" s="167"/>
      <c r="E267" s="168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4"/>
    </row>
    <row r="268" ht="14.25" customHeight="1">
      <c r="A268" s="164"/>
      <c r="B268" s="165"/>
      <c r="C268" s="166"/>
      <c r="D268" s="167"/>
      <c r="E268" s="168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4"/>
    </row>
    <row r="269" ht="14.25" customHeight="1">
      <c r="A269" s="164"/>
      <c r="B269" s="165"/>
      <c r="C269" s="166"/>
      <c r="D269" s="167"/>
      <c r="E269" s="168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4"/>
    </row>
    <row r="270" ht="14.25" customHeight="1">
      <c r="A270" s="164"/>
      <c r="B270" s="165"/>
      <c r="C270" s="166"/>
      <c r="D270" s="167"/>
      <c r="E270" s="168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4"/>
    </row>
    <row r="271" ht="14.25" customHeight="1">
      <c r="A271" s="164"/>
      <c r="B271" s="165"/>
      <c r="C271" s="166"/>
      <c r="D271" s="167"/>
      <c r="E271" s="168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4"/>
    </row>
    <row r="272" ht="14.25" customHeight="1">
      <c r="A272" s="164"/>
      <c r="B272" s="165"/>
      <c r="C272" s="166"/>
      <c r="D272" s="167"/>
      <c r="E272" s="168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154"/>
    </row>
    <row r="273" ht="14.25" customHeight="1">
      <c r="A273" s="164"/>
      <c r="B273" s="165"/>
      <c r="C273" s="166"/>
      <c r="D273" s="167"/>
      <c r="E273" s="168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4"/>
    </row>
    <row r="274" ht="14.25" customHeight="1">
      <c r="A274" s="164"/>
      <c r="B274" s="165"/>
      <c r="C274" s="166"/>
      <c r="D274" s="167"/>
      <c r="E274" s="168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4"/>
    </row>
    <row r="275" ht="14.25" customHeight="1">
      <c r="A275" s="164"/>
      <c r="B275" s="165"/>
      <c r="C275" s="166"/>
      <c r="D275" s="167"/>
      <c r="E275" s="168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4"/>
    </row>
    <row r="276" ht="14.25" customHeight="1">
      <c r="A276" s="164"/>
      <c r="B276" s="165"/>
      <c r="C276" s="166"/>
      <c r="D276" s="167"/>
      <c r="E276" s="168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</row>
    <row r="277" ht="14.25" customHeight="1">
      <c r="A277" s="164"/>
      <c r="B277" s="165"/>
      <c r="C277" s="166"/>
      <c r="D277" s="167"/>
      <c r="E277" s="168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</row>
    <row r="278" ht="14.25" customHeight="1">
      <c r="A278" s="164"/>
      <c r="B278" s="165"/>
      <c r="C278" s="166"/>
      <c r="D278" s="167"/>
      <c r="E278" s="168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</row>
    <row r="279" ht="14.25" customHeight="1">
      <c r="A279" s="164"/>
      <c r="B279" s="165"/>
      <c r="C279" s="166"/>
      <c r="D279" s="167"/>
      <c r="E279" s="168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4"/>
    </row>
    <row r="280" ht="14.25" customHeight="1">
      <c r="A280" s="164"/>
      <c r="B280" s="165"/>
      <c r="C280" s="166"/>
      <c r="D280" s="167"/>
      <c r="E280" s="168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</row>
    <row r="281" ht="14.25" customHeight="1">
      <c r="A281" s="164"/>
      <c r="B281" s="165"/>
      <c r="C281" s="166"/>
      <c r="D281" s="167"/>
      <c r="E281" s="168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</row>
    <row r="282" ht="14.25" customHeight="1">
      <c r="A282" s="164"/>
      <c r="B282" s="165"/>
      <c r="C282" s="166"/>
      <c r="D282" s="167"/>
      <c r="E282" s="168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</row>
    <row r="283" ht="14.25" customHeight="1">
      <c r="A283" s="164"/>
      <c r="B283" s="165"/>
      <c r="C283" s="166"/>
      <c r="D283" s="167"/>
      <c r="E283" s="168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</row>
    <row r="284" ht="14.25" customHeight="1">
      <c r="A284" s="164"/>
      <c r="B284" s="165"/>
      <c r="C284" s="166"/>
      <c r="D284" s="167"/>
      <c r="E284" s="168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</row>
    <row r="285" ht="14.25" customHeight="1">
      <c r="A285" s="164"/>
      <c r="B285" s="165"/>
      <c r="C285" s="166"/>
      <c r="D285" s="167"/>
      <c r="E285" s="168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154"/>
    </row>
    <row r="286" ht="14.25" customHeight="1">
      <c r="A286" s="164"/>
      <c r="B286" s="165"/>
      <c r="C286" s="166"/>
      <c r="D286" s="167"/>
      <c r="E286" s="168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4"/>
    </row>
    <row r="287" ht="14.25" customHeight="1">
      <c r="A287" s="164"/>
      <c r="B287" s="165"/>
      <c r="C287" s="166"/>
      <c r="D287" s="167"/>
      <c r="E287" s="168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</row>
    <row r="288" ht="14.25" customHeight="1">
      <c r="A288" s="164"/>
      <c r="B288" s="165"/>
      <c r="C288" s="166"/>
      <c r="D288" s="167"/>
      <c r="E288" s="168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</row>
    <row r="289" ht="14.25" customHeight="1">
      <c r="A289" s="164"/>
      <c r="B289" s="165"/>
      <c r="C289" s="166"/>
      <c r="D289" s="167"/>
      <c r="E289" s="168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</row>
    <row r="290" ht="14.25" customHeight="1">
      <c r="A290" s="164"/>
      <c r="B290" s="165"/>
      <c r="C290" s="166"/>
      <c r="D290" s="167"/>
      <c r="E290" s="168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4"/>
    </row>
    <row r="291" ht="14.25" customHeight="1">
      <c r="A291" s="164"/>
      <c r="B291" s="165"/>
      <c r="C291" s="166"/>
      <c r="D291" s="167"/>
      <c r="E291" s="168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154"/>
    </row>
    <row r="292" ht="14.25" customHeight="1">
      <c r="A292" s="164"/>
      <c r="B292" s="165"/>
      <c r="C292" s="166"/>
      <c r="D292" s="167"/>
      <c r="E292" s="168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154"/>
    </row>
    <row r="293" ht="14.25" customHeight="1">
      <c r="A293" s="164"/>
      <c r="B293" s="165"/>
      <c r="C293" s="166"/>
      <c r="D293" s="167"/>
      <c r="E293" s="168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154"/>
    </row>
    <row r="294" ht="14.25" customHeight="1">
      <c r="A294" s="164"/>
      <c r="B294" s="165"/>
      <c r="C294" s="166"/>
      <c r="D294" s="167"/>
      <c r="E294" s="168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</row>
    <row r="295" ht="14.25" customHeight="1">
      <c r="A295" s="164"/>
      <c r="B295" s="165"/>
      <c r="C295" s="166"/>
      <c r="D295" s="167"/>
      <c r="E295" s="168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</row>
    <row r="296" ht="14.25" customHeight="1">
      <c r="A296" s="164"/>
      <c r="B296" s="165"/>
      <c r="C296" s="166"/>
      <c r="D296" s="167"/>
      <c r="E296" s="168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</row>
    <row r="297" ht="14.25" customHeight="1">
      <c r="A297" s="164"/>
      <c r="B297" s="165"/>
      <c r="C297" s="166"/>
      <c r="D297" s="167"/>
      <c r="E297" s="168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</row>
    <row r="298" ht="14.25" customHeight="1">
      <c r="A298" s="164"/>
      <c r="B298" s="165"/>
      <c r="C298" s="166"/>
      <c r="D298" s="167"/>
      <c r="E298" s="168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</row>
    <row r="299" ht="14.25" customHeight="1">
      <c r="A299" s="164"/>
      <c r="B299" s="165"/>
      <c r="C299" s="166"/>
      <c r="D299" s="167"/>
      <c r="E299" s="168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</row>
    <row r="300" ht="14.25" customHeight="1">
      <c r="A300" s="164"/>
      <c r="B300" s="165"/>
      <c r="C300" s="166"/>
      <c r="D300" s="167"/>
      <c r="E300" s="168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</row>
    <row r="301" ht="14.25" customHeight="1">
      <c r="A301" s="164"/>
      <c r="B301" s="165"/>
      <c r="C301" s="166"/>
      <c r="D301" s="167"/>
      <c r="E301" s="168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</row>
    <row r="302" ht="14.25" customHeight="1">
      <c r="A302" s="164"/>
      <c r="B302" s="165"/>
      <c r="C302" s="166"/>
      <c r="D302" s="167"/>
      <c r="E302" s="168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</row>
    <row r="303" ht="14.25" customHeight="1">
      <c r="A303" s="164"/>
      <c r="B303" s="165"/>
      <c r="C303" s="166"/>
      <c r="D303" s="167"/>
      <c r="E303" s="168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4"/>
    </row>
    <row r="304" ht="14.25" customHeight="1">
      <c r="A304" s="164"/>
      <c r="B304" s="165"/>
      <c r="C304" s="166"/>
      <c r="D304" s="167"/>
      <c r="E304" s="168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</row>
    <row r="305" ht="14.25" customHeight="1">
      <c r="A305" s="164"/>
      <c r="B305" s="165"/>
      <c r="C305" s="166"/>
      <c r="D305" s="167"/>
      <c r="E305" s="168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</row>
    <row r="306" ht="14.25" customHeight="1">
      <c r="A306" s="164"/>
      <c r="B306" s="165"/>
      <c r="C306" s="166"/>
      <c r="D306" s="167"/>
      <c r="E306" s="168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</row>
    <row r="307" ht="14.25" customHeight="1">
      <c r="A307" s="164"/>
      <c r="B307" s="165"/>
      <c r="C307" s="166"/>
      <c r="D307" s="167"/>
      <c r="E307" s="168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154"/>
    </row>
    <row r="308" ht="14.25" customHeight="1">
      <c r="A308" s="164"/>
      <c r="B308" s="165"/>
      <c r="C308" s="166"/>
      <c r="D308" s="167"/>
      <c r="E308" s="168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4"/>
    </row>
    <row r="309" ht="14.25" customHeight="1">
      <c r="A309" s="164"/>
      <c r="B309" s="165"/>
      <c r="C309" s="166"/>
      <c r="D309" s="167"/>
      <c r="E309" s="168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</row>
    <row r="310" ht="14.25" customHeight="1">
      <c r="A310" s="164"/>
      <c r="B310" s="165"/>
      <c r="C310" s="166"/>
      <c r="D310" s="167"/>
      <c r="E310" s="168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</row>
    <row r="311" ht="14.25" customHeight="1">
      <c r="A311" s="164"/>
      <c r="B311" s="165"/>
      <c r="C311" s="166"/>
      <c r="D311" s="167"/>
      <c r="E311" s="168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</row>
    <row r="312" ht="14.25" customHeight="1">
      <c r="A312" s="164"/>
      <c r="B312" s="165"/>
      <c r="C312" s="166"/>
      <c r="D312" s="167"/>
      <c r="E312" s="168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</row>
    <row r="313" ht="14.25" customHeight="1">
      <c r="A313" s="164"/>
      <c r="B313" s="165"/>
      <c r="C313" s="166"/>
      <c r="D313" s="167"/>
      <c r="E313" s="168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</row>
    <row r="314" ht="14.25" customHeight="1">
      <c r="A314" s="164"/>
      <c r="B314" s="165"/>
      <c r="C314" s="166"/>
      <c r="D314" s="167"/>
      <c r="E314" s="168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</row>
    <row r="315" ht="14.25" customHeight="1">
      <c r="A315" s="164"/>
      <c r="B315" s="165"/>
      <c r="C315" s="166"/>
      <c r="D315" s="167"/>
      <c r="E315" s="168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</row>
    <row r="316" ht="14.25" customHeight="1">
      <c r="A316" s="164"/>
      <c r="B316" s="165"/>
      <c r="C316" s="166"/>
      <c r="D316" s="167"/>
      <c r="E316" s="168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</row>
    <row r="317" ht="14.25" customHeight="1">
      <c r="A317" s="164"/>
      <c r="B317" s="165"/>
      <c r="C317" s="166"/>
      <c r="D317" s="167"/>
      <c r="E317" s="168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</row>
    <row r="318" ht="14.25" customHeight="1">
      <c r="A318" s="164"/>
      <c r="B318" s="165"/>
      <c r="C318" s="166"/>
      <c r="D318" s="167"/>
      <c r="E318" s="168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</row>
    <row r="319" ht="14.25" customHeight="1">
      <c r="A319" s="164"/>
      <c r="B319" s="165"/>
      <c r="C319" s="166"/>
      <c r="D319" s="167"/>
      <c r="E319" s="168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</row>
    <row r="320" ht="14.25" customHeight="1">
      <c r="A320" s="164"/>
      <c r="B320" s="165"/>
      <c r="C320" s="166"/>
      <c r="D320" s="167"/>
      <c r="E320" s="168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</row>
    <row r="321" ht="14.25" customHeight="1">
      <c r="A321" s="164"/>
      <c r="B321" s="165"/>
      <c r="C321" s="166"/>
      <c r="D321" s="167"/>
      <c r="E321" s="168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</row>
    <row r="322" ht="14.25" customHeight="1">
      <c r="A322" s="164"/>
      <c r="B322" s="165"/>
      <c r="C322" s="166"/>
      <c r="D322" s="167"/>
      <c r="E322" s="168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154"/>
    </row>
    <row r="323" ht="14.25" customHeight="1">
      <c r="A323" s="164"/>
      <c r="B323" s="165"/>
      <c r="C323" s="166"/>
      <c r="D323" s="167"/>
      <c r="E323" s="168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</row>
    <row r="324" ht="14.25" customHeight="1">
      <c r="A324" s="164"/>
      <c r="B324" s="165"/>
      <c r="C324" s="166"/>
      <c r="D324" s="167"/>
      <c r="E324" s="168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</row>
    <row r="325" ht="14.25" customHeight="1">
      <c r="A325" s="164"/>
      <c r="B325" s="165"/>
      <c r="C325" s="166"/>
      <c r="D325" s="167"/>
      <c r="E325" s="168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</row>
    <row r="326" ht="14.25" customHeight="1">
      <c r="A326" s="164"/>
      <c r="B326" s="165"/>
      <c r="C326" s="166"/>
      <c r="D326" s="167"/>
      <c r="E326" s="168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</row>
    <row r="327" ht="14.25" customHeight="1">
      <c r="A327" s="164"/>
      <c r="B327" s="165"/>
      <c r="C327" s="166"/>
      <c r="D327" s="167"/>
      <c r="E327" s="168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</row>
    <row r="328" ht="14.25" customHeight="1">
      <c r="A328" s="164"/>
      <c r="B328" s="165"/>
      <c r="C328" s="166"/>
      <c r="D328" s="167"/>
      <c r="E328" s="168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</row>
    <row r="329" ht="14.25" customHeight="1">
      <c r="A329" s="164"/>
      <c r="B329" s="165"/>
      <c r="C329" s="166"/>
      <c r="D329" s="167"/>
      <c r="E329" s="168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154"/>
    </row>
    <row r="330" ht="14.25" customHeight="1">
      <c r="A330" s="164"/>
      <c r="B330" s="165"/>
      <c r="C330" s="166"/>
      <c r="D330" s="167"/>
      <c r="E330" s="168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</row>
    <row r="331" ht="14.25" customHeight="1">
      <c r="A331" s="164"/>
      <c r="B331" s="165"/>
      <c r="C331" s="166"/>
      <c r="D331" s="167"/>
      <c r="E331" s="168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</row>
    <row r="332" ht="14.25" customHeight="1">
      <c r="A332" s="164"/>
      <c r="B332" s="165"/>
      <c r="C332" s="166"/>
      <c r="D332" s="167"/>
      <c r="E332" s="168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</row>
    <row r="333" ht="14.25" customHeight="1">
      <c r="A333" s="164"/>
      <c r="B333" s="165"/>
      <c r="C333" s="166"/>
      <c r="D333" s="167"/>
      <c r="E333" s="168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</row>
    <row r="334" ht="14.25" customHeight="1">
      <c r="A334" s="164"/>
      <c r="B334" s="165"/>
      <c r="C334" s="166"/>
      <c r="D334" s="167"/>
      <c r="E334" s="168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</row>
    <row r="335" ht="14.25" customHeight="1">
      <c r="A335" s="164"/>
      <c r="B335" s="165"/>
      <c r="C335" s="166"/>
      <c r="D335" s="167"/>
      <c r="E335" s="168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</row>
    <row r="336" ht="14.25" customHeight="1">
      <c r="A336" s="164"/>
      <c r="B336" s="165"/>
      <c r="C336" s="166"/>
      <c r="D336" s="167"/>
      <c r="E336" s="168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</row>
    <row r="337" ht="14.25" customHeight="1">
      <c r="A337" s="164"/>
      <c r="B337" s="165"/>
      <c r="C337" s="166"/>
      <c r="D337" s="167"/>
      <c r="E337" s="168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</row>
    <row r="338" ht="14.25" customHeight="1">
      <c r="A338" s="164"/>
      <c r="B338" s="165"/>
      <c r="C338" s="166"/>
      <c r="D338" s="167"/>
      <c r="E338" s="168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</row>
    <row r="339" ht="14.25" customHeight="1">
      <c r="A339" s="164"/>
      <c r="B339" s="165"/>
      <c r="C339" s="166"/>
      <c r="D339" s="167"/>
      <c r="E339" s="168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154"/>
    </row>
    <row r="340" ht="14.25" customHeight="1">
      <c r="A340" s="164"/>
      <c r="B340" s="165"/>
      <c r="C340" s="166"/>
      <c r="D340" s="167"/>
      <c r="E340" s="168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</row>
    <row r="341" ht="14.25" customHeight="1">
      <c r="A341" s="164"/>
      <c r="B341" s="165"/>
      <c r="C341" s="166"/>
      <c r="D341" s="167"/>
      <c r="E341" s="168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</row>
    <row r="342" ht="14.25" customHeight="1">
      <c r="A342" s="164"/>
      <c r="B342" s="165"/>
      <c r="C342" s="166"/>
      <c r="D342" s="167"/>
      <c r="E342" s="168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</row>
    <row r="343" ht="14.25" customHeight="1">
      <c r="A343" s="164"/>
      <c r="B343" s="165"/>
      <c r="C343" s="166"/>
      <c r="D343" s="167"/>
      <c r="E343" s="168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</row>
    <row r="344" ht="14.25" customHeight="1">
      <c r="A344" s="164"/>
      <c r="B344" s="165"/>
      <c r="C344" s="166"/>
      <c r="D344" s="167"/>
      <c r="E344" s="168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154"/>
    </row>
    <row r="345" ht="14.25" customHeight="1">
      <c r="A345" s="164"/>
      <c r="B345" s="165"/>
      <c r="C345" s="166"/>
      <c r="D345" s="167"/>
      <c r="E345" s="168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154"/>
    </row>
    <row r="346" ht="14.25" customHeight="1">
      <c r="A346" s="164"/>
      <c r="B346" s="165"/>
      <c r="C346" s="166"/>
      <c r="D346" s="167"/>
      <c r="E346" s="168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154"/>
    </row>
    <row r="347" ht="14.25" customHeight="1">
      <c r="A347" s="164"/>
      <c r="B347" s="165"/>
      <c r="C347" s="166"/>
      <c r="D347" s="167"/>
      <c r="E347" s="168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</row>
    <row r="348" ht="14.25" customHeight="1">
      <c r="A348" s="164"/>
      <c r="B348" s="165"/>
      <c r="C348" s="166"/>
      <c r="D348" s="167"/>
      <c r="E348" s="168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</row>
    <row r="349" ht="14.25" customHeight="1">
      <c r="A349" s="164"/>
      <c r="B349" s="165"/>
      <c r="C349" s="166"/>
      <c r="D349" s="167"/>
      <c r="E349" s="168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</row>
    <row r="350" ht="14.25" customHeight="1">
      <c r="A350" s="164"/>
      <c r="B350" s="165"/>
      <c r="C350" s="166"/>
      <c r="D350" s="167"/>
      <c r="E350" s="168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</row>
    <row r="351" ht="14.25" customHeight="1">
      <c r="A351" s="164"/>
      <c r="B351" s="165"/>
      <c r="C351" s="166"/>
      <c r="D351" s="167"/>
      <c r="E351" s="168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</row>
    <row r="352" ht="14.25" customHeight="1">
      <c r="A352" s="164"/>
      <c r="B352" s="165"/>
      <c r="C352" s="166"/>
      <c r="D352" s="167"/>
      <c r="E352" s="168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</row>
    <row r="353" ht="14.25" customHeight="1">
      <c r="A353" s="164"/>
      <c r="B353" s="165"/>
      <c r="C353" s="166"/>
      <c r="D353" s="167"/>
      <c r="E353" s="168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</row>
    <row r="354" ht="14.25" customHeight="1">
      <c r="A354" s="164"/>
      <c r="B354" s="165"/>
      <c r="C354" s="166"/>
      <c r="D354" s="167"/>
      <c r="E354" s="168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</row>
    <row r="355" ht="14.25" customHeight="1">
      <c r="A355" s="164"/>
      <c r="B355" s="165"/>
      <c r="C355" s="166"/>
      <c r="D355" s="167"/>
      <c r="E355" s="168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</row>
    <row r="356" ht="14.25" customHeight="1">
      <c r="A356" s="164"/>
      <c r="B356" s="165"/>
      <c r="C356" s="166"/>
      <c r="D356" s="167"/>
      <c r="E356" s="168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</row>
    <row r="357" ht="14.25" customHeight="1">
      <c r="A357" s="164"/>
      <c r="B357" s="165"/>
      <c r="C357" s="166"/>
      <c r="D357" s="167"/>
      <c r="E357" s="168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</row>
    <row r="358" ht="14.25" customHeight="1">
      <c r="A358" s="164"/>
      <c r="B358" s="165"/>
      <c r="C358" s="166"/>
      <c r="D358" s="167"/>
      <c r="E358" s="168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4"/>
    </row>
    <row r="359" ht="14.25" customHeight="1">
      <c r="A359" s="164"/>
      <c r="B359" s="165"/>
      <c r="C359" s="166"/>
      <c r="D359" s="167"/>
      <c r="E359" s="168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</row>
    <row r="360" ht="14.25" customHeight="1">
      <c r="A360" s="164"/>
      <c r="B360" s="165"/>
      <c r="C360" s="166"/>
      <c r="D360" s="167"/>
      <c r="E360" s="168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4"/>
    </row>
    <row r="361" ht="14.25" customHeight="1">
      <c r="A361" s="164"/>
      <c r="B361" s="165"/>
      <c r="C361" s="166"/>
      <c r="D361" s="167"/>
      <c r="E361" s="168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26" width="10.71"/>
  </cols>
  <sheetData>
    <row r="1" ht="14.25" customHeight="1">
      <c r="A1" s="148" t="s">
        <v>168</v>
      </c>
      <c r="B1" s="149" t="s">
        <v>197</v>
      </c>
      <c r="C1" s="150" t="s">
        <v>169</v>
      </c>
      <c r="D1" s="151" t="s">
        <v>198</v>
      </c>
      <c r="E1" s="152" t="s">
        <v>199</v>
      </c>
      <c r="G1" s="153" t="s">
        <v>200</v>
      </c>
      <c r="H1" s="121">
        <f>MATCH("",A2:A1001,-1)</f>
        <v>36</v>
      </c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</row>
    <row r="2" ht="14.25" customHeight="1">
      <c r="A2" s="155" t="str">
        <f>IFERROR(__xludf.DUMMYFUNCTION(" IMPORTRANGE(""https://docs.google.com/spreadsheets/d/1vR7IZuYIODbHu8abyfUj22FSsWLwU0q-M3XebV4RSzI/edit#gid=695545632"",""Roller Coaster!A2:A161"")"),"Cataleya86")</f>
        <v>Cataleya86</v>
      </c>
      <c r="B2" s="156">
        <v>1.0</v>
      </c>
      <c r="C2" s="157">
        <f t="shared" ref="C2:C160" si="1">525*(1-(B2/($H$1+1)))*POWER((SQRT(($H$1+1)/B2)),1/2)</f>
        <v>1259.825838</v>
      </c>
      <c r="D2" s="158" t="str">
        <f>VLOOKUP(A2,'Classement RoC'!$B$2:$C$149,1,0)</f>
        <v>Cataleya86</v>
      </c>
      <c r="E2" s="159" t="str">
        <f t="shared" ref="E2:E160" si="2">IF(D2=A2,"","erreur")</f>
        <v/>
      </c>
      <c r="F2" s="120" t="str">
        <f>VLOOKUP(A2,'Classement Général'!$B$2:$B$146,1,0)</f>
        <v>Cataleya86</v>
      </c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4"/>
      <c r="S2" s="154"/>
      <c r="T2" s="154"/>
      <c r="U2" s="154"/>
      <c r="V2" s="154"/>
      <c r="W2" s="154"/>
      <c r="X2" s="154"/>
      <c r="Y2" s="154"/>
      <c r="Z2" s="154"/>
    </row>
    <row r="3" ht="14.25" customHeight="1">
      <c r="A3" s="160" t="str">
        <f>IFERROR(__xludf.DUMMYFUNCTION("""COMPUTED_VALUE"""),"kleinseb")</f>
        <v>kleinseb</v>
      </c>
      <c r="B3" s="161">
        <v>2.0</v>
      </c>
      <c r="C3" s="157">
        <f t="shared" si="1"/>
        <v>1029.955725</v>
      </c>
      <c r="D3" s="158" t="str">
        <f>VLOOKUP(A3,'Classement RoC'!$B$2:$C$149,1,0)</f>
        <v>kleinseb</v>
      </c>
      <c r="E3" s="159" t="str">
        <f t="shared" si="2"/>
        <v/>
      </c>
      <c r="F3" s="120" t="str">
        <f>VLOOKUP(A3,'Classement Général'!$B$2:$B$146,1,0)</f>
        <v>kleinseb</v>
      </c>
      <c r="G3" s="162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</row>
    <row r="4" ht="14.25" customHeight="1">
      <c r="A4" s="160" t="str">
        <f>IFERROR(__xludf.DUMMYFUNCTION("""COMPUTED_VALUE"""),"Fistipanda")</f>
        <v>Fistipanda</v>
      </c>
      <c r="B4" s="156">
        <v>3.0</v>
      </c>
      <c r="C4" s="157">
        <f t="shared" si="1"/>
        <v>904.0794833</v>
      </c>
      <c r="D4" s="158" t="str">
        <f>VLOOKUP(A4,'Classement RoC'!$B$2:$C$149,1,0)</f>
        <v>Fistipanda</v>
      </c>
      <c r="E4" s="159" t="str">
        <f t="shared" si="2"/>
        <v/>
      </c>
      <c r="F4" s="120" t="str">
        <f>VLOOKUP(A4,'Classement Général'!$B$2:$B$146,1,0)</f>
        <v>Fistipanda</v>
      </c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ht="14.25" customHeight="1">
      <c r="A5" s="160" t="str">
        <f>IFERROR(__xludf.DUMMYFUNCTION("""COMPUTED_VALUE"""),"8kinder6")</f>
        <v>8kinder6</v>
      </c>
      <c r="B5" s="161">
        <v>4.0</v>
      </c>
      <c r="C5" s="157">
        <f t="shared" si="1"/>
        <v>816.5954437</v>
      </c>
      <c r="D5" s="158" t="str">
        <f>VLOOKUP(A5,'Classement RoC'!$B$2:$C$149,1,0)</f>
        <v>8kinder6</v>
      </c>
      <c r="E5" s="163" t="str">
        <f t="shared" si="2"/>
        <v/>
      </c>
      <c r="F5" s="120" t="str">
        <f>VLOOKUP(A5,'Classement Général'!$B$2:$B$146,1,0)</f>
        <v>8kinder6</v>
      </c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</row>
    <row r="6" ht="14.25" customHeight="1">
      <c r="A6" s="160" t="str">
        <f>IFERROR(__xludf.DUMMYFUNCTION("""COMPUTED_VALUE"""),"jejehehe")</f>
        <v>jejehehe</v>
      </c>
      <c r="B6" s="156">
        <v>5.0</v>
      </c>
      <c r="C6" s="157">
        <f t="shared" si="1"/>
        <v>748.8856134</v>
      </c>
      <c r="D6" s="158" t="str">
        <f>VLOOKUP(A6,'Classement RoC'!$B$2:$C$149,1,0)</f>
        <v>jejehehe</v>
      </c>
      <c r="E6" s="163" t="str">
        <f t="shared" si="2"/>
        <v/>
      </c>
      <c r="F6" s="120" t="str">
        <f>VLOOKUP(A6,'Classement Général'!$B$2:$B$146,1,0)</f>
        <v>jejehehe</v>
      </c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</row>
    <row r="7" ht="14.25" customHeight="1">
      <c r="A7" s="160" t="str">
        <f>IFERROR(__xludf.DUMMYFUNCTION("""COMPUTED_VALUE"""),"BRUNOWINNER")</f>
        <v>BRUNOWINNER</v>
      </c>
      <c r="B7" s="161">
        <v>6.0</v>
      </c>
      <c r="C7" s="157">
        <f t="shared" si="1"/>
        <v>693.157444</v>
      </c>
      <c r="D7" s="158" t="str">
        <f>VLOOKUP(A7,'Classement RoC'!$B$2:$C$149,1,0)</f>
        <v>BRUNOWINNER</v>
      </c>
      <c r="E7" s="163" t="str">
        <f t="shared" si="2"/>
        <v/>
      </c>
      <c r="F7" s="120" t="str">
        <f>VLOOKUP(A7,'Classement Général'!$B$2:$B$146,1,0)</f>
        <v>BRUNOWINNER</v>
      </c>
      <c r="G7" s="154"/>
      <c r="H7" s="154"/>
      <c r="I7" s="154"/>
      <c r="J7" s="130" t="s">
        <v>99</v>
      </c>
      <c r="K7" s="154"/>
      <c r="L7" s="154"/>
      <c r="M7" s="154"/>
      <c r="N7" s="154"/>
      <c r="O7" s="154"/>
      <c r="P7" s="154"/>
      <c r="Q7" s="154"/>
      <c r="R7" s="154"/>
      <c r="S7" s="154"/>
      <c r="T7" s="154"/>
      <c r="U7" s="154"/>
      <c r="V7" s="154"/>
      <c r="W7" s="154"/>
      <c r="X7" s="154"/>
      <c r="Y7" s="154"/>
      <c r="Z7" s="154"/>
    </row>
    <row r="8" ht="14.25" customHeight="1">
      <c r="A8" s="160" t="str">
        <f>IFERROR(__xludf.DUMMYFUNCTION("""COMPUTED_VALUE"""),"Kevfurious")</f>
        <v>Kevfurious</v>
      </c>
      <c r="B8" s="156">
        <v>7.0</v>
      </c>
      <c r="C8" s="157">
        <f t="shared" si="1"/>
        <v>645.4383333</v>
      </c>
      <c r="D8" s="158" t="str">
        <f>VLOOKUP(A8,'Classement RoC'!$B$2:$C$149,1,0)</f>
        <v>Kevfurious</v>
      </c>
      <c r="E8" s="163" t="str">
        <f t="shared" si="2"/>
        <v/>
      </c>
      <c r="F8" s="120" t="str">
        <f>VLOOKUP(A8,'Classement Général'!$B$2:$B$146,1,0)</f>
        <v>Kevfurious</v>
      </c>
      <c r="G8" s="154"/>
      <c r="H8" s="154"/>
      <c r="I8" s="154"/>
      <c r="J8" s="130" t="s">
        <v>215</v>
      </c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</row>
    <row r="9" ht="14.25" customHeight="1">
      <c r="A9" s="160" t="str">
        <f>IFERROR(__xludf.DUMMYFUNCTION("""COMPUTED_VALUE"""),". BARBAPAPA66")</f>
        <v>. BARBAPAPA66</v>
      </c>
      <c r="B9" s="161">
        <v>8.0</v>
      </c>
      <c r="C9" s="157">
        <f t="shared" si="1"/>
        <v>603.4391897</v>
      </c>
      <c r="D9" s="158" t="str">
        <f>VLOOKUP(A9,'Classement RoC'!$B$2:$C$149,1,0)</f>
        <v>. BARBAPAPA66</v>
      </c>
      <c r="E9" s="163" t="str">
        <f t="shared" si="2"/>
        <v/>
      </c>
      <c r="F9" s="120" t="str">
        <f>VLOOKUP(A9,'Classement Général'!$B$2:$B$146,1,0)</f>
        <v>. BARBAPAPA66</v>
      </c>
      <c r="G9" s="154"/>
      <c r="H9" s="154"/>
      <c r="I9" s="154"/>
      <c r="J9" s="130" t="s">
        <v>125</v>
      </c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</row>
    <row r="10" ht="14.25" customHeight="1">
      <c r="A10" s="160" t="str">
        <f>IFERROR(__xludf.DUMMYFUNCTION("""COMPUTED_VALUE"""),".choco")</f>
        <v>.choco</v>
      </c>
      <c r="B10" s="156">
        <v>9.0</v>
      </c>
      <c r="C10" s="157">
        <f t="shared" si="1"/>
        <v>565.7250563</v>
      </c>
      <c r="D10" s="158" t="str">
        <f>VLOOKUP(A10,'Classement RoC'!$B$2:$C$149,1,0)</f>
        <v>.choco</v>
      </c>
      <c r="E10" s="163" t="str">
        <f t="shared" si="2"/>
        <v/>
      </c>
      <c r="F10" s="120" t="str">
        <f>VLOOKUP(A10,'Classement Général'!$B$2:$B$146,1,0)</f>
        <v>.choco</v>
      </c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ht="14.25" customHeight="1">
      <c r="A11" s="160" t="str">
        <f>IFERROR(__xludf.DUMMYFUNCTION("""COMPUTED_VALUE"""),"gregmoore")</f>
        <v>gregmoore</v>
      </c>
      <c r="B11" s="161">
        <v>10.0</v>
      </c>
      <c r="C11" s="157">
        <f t="shared" si="1"/>
        <v>531.3390984</v>
      </c>
      <c r="D11" s="158" t="str">
        <f>VLOOKUP(A11,'Classement RoC'!$B$2:$C$149,1,0)</f>
        <v>gregmoore</v>
      </c>
      <c r="E11" s="163" t="str">
        <f t="shared" si="2"/>
        <v/>
      </c>
      <c r="F11" s="120" t="str">
        <f>VLOOKUP(A11,'Classement Général'!$B$2:$B$146,1,0)</f>
        <v>gregmoore</v>
      </c>
      <c r="G11" s="154"/>
      <c r="H11" s="154"/>
      <c r="I11" s="154"/>
      <c r="J11" s="154"/>
      <c r="K11" s="154"/>
      <c r="L11" s="154"/>
      <c r="M11" s="154"/>
      <c r="N11" s="154"/>
      <c r="O11" s="154"/>
      <c r="P11" s="154"/>
      <c r="Q11" s="154"/>
      <c r="R11" s="154"/>
      <c r="S11" s="154"/>
      <c r="T11" s="154"/>
      <c r="U11" s="154"/>
      <c r="V11" s="154"/>
      <c r="W11" s="154"/>
      <c r="X11" s="154"/>
      <c r="Y11" s="154"/>
      <c r="Z11" s="154"/>
    </row>
    <row r="12" ht="14.25" customHeight="1">
      <c r="A12" s="160" t="str">
        <f>IFERROR(__xludf.DUMMYFUNCTION("""COMPUTED_VALUE"""),"Legabodu86")</f>
        <v>Legabodu86</v>
      </c>
      <c r="B12" s="156">
        <v>11.0</v>
      </c>
      <c r="C12" s="157">
        <f t="shared" si="1"/>
        <v>499.6123751</v>
      </c>
      <c r="D12" s="158" t="str">
        <f>VLOOKUP(A12,'Classement RoC'!$B$2:$C$149,1,0)</f>
        <v>Legabodu86</v>
      </c>
      <c r="E12" s="163" t="str">
        <f t="shared" si="2"/>
        <v/>
      </c>
      <c r="F12" s="120" t="str">
        <f>VLOOKUP(A12,'Classement Général'!$B$2:$B$146,1,0)</f>
        <v>Legabodu86</v>
      </c>
      <c r="G12" s="154"/>
      <c r="H12" s="154"/>
      <c r="I12" s="154"/>
      <c r="J12" s="154"/>
      <c r="K12" s="154"/>
      <c r="L12" s="154"/>
      <c r="M12" s="154"/>
      <c r="N12" s="154"/>
      <c r="O12" s="154"/>
      <c r="P12" s="154"/>
      <c r="Q12" s="154"/>
      <c r="R12" s="154"/>
      <c r="S12" s="154"/>
      <c r="T12" s="154"/>
      <c r="U12" s="154"/>
      <c r="V12" s="154"/>
      <c r="W12" s="154"/>
      <c r="X12" s="154"/>
      <c r="Y12" s="154"/>
      <c r="Z12" s="154"/>
    </row>
    <row r="13" ht="14.25" customHeight="1">
      <c r="A13" s="160" t="str">
        <f>IFERROR(__xludf.DUMMYFUNCTION("""COMPUTED_VALUE"""),"Phil1308")</f>
        <v>Phil1308</v>
      </c>
      <c r="B13" s="161">
        <v>12.0</v>
      </c>
      <c r="C13" s="157">
        <f t="shared" si="1"/>
        <v>470.0593628</v>
      </c>
      <c r="D13" s="158" t="str">
        <f>VLOOKUP(A13,'Classement RoC'!$B$2:$C$149,1,0)</f>
        <v>Phil1308</v>
      </c>
      <c r="E13" s="163" t="str">
        <f t="shared" si="2"/>
        <v/>
      </c>
      <c r="F13" s="120" t="str">
        <f>VLOOKUP(A13,'Classement Général'!$B$2:$B$146,1,0)</f>
        <v>Phil1308</v>
      </c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</row>
    <row r="14" ht="14.25" customHeight="1">
      <c r="A14" s="160" t="str">
        <f>IFERROR(__xludf.DUMMYFUNCTION("""COMPUTED_VALUE"""),"StephBoss05")</f>
        <v>StephBoss05</v>
      </c>
      <c r="B14" s="156">
        <v>13.0</v>
      </c>
      <c r="C14" s="157">
        <f t="shared" si="1"/>
        <v>442.3167786</v>
      </c>
      <c r="D14" s="158" t="str">
        <f>VLOOKUP(A14,'Classement RoC'!$B$2:$C$149,1,0)</f>
        <v>StephBoss05</v>
      </c>
      <c r="E14" s="163" t="str">
        <f t="shared" si="2"/>
        <v/>
      </c>
      <c r="F14" s="120" t="str">
        <f>VLOOKUP(A14,'Classement Général'!$B$2:$B$146,1,0)</f>
        <v>StephBoss05</v>
      </c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</row>
    <row r="15" ht="14.25" customHeight="1">
      <c r="A15" s="160" t="str">
        <f>IFERROR(__xludf.DUMMYFUNCTION("""COMPUTED_VALUE"""),"fiodor86")</f>
        <v>fiodor86</v>
      </c>
      <c r="B15" s="161">
        <v>14.0</v>
      </c>
      <c r="C15" s="157">
        <f t="shared" si="1"/>
        <v>416.1058652</v>
      </c>
      <c r="D15" s="158" t="str">
        <f>VLOOKUP(A15,'Classement RoC'!$B$2:$C$149,1,0)</f>
        <v>fiodor86</v>
      </c>
      <c r="E15" s="163" t="str">
        <f t="shared" si="2"/>
        <v/>
      </c>
      <c r="F15" s="120" t="str">
        <f>VLOOKUP(A15,'Classement Général'!$B$2:$B$146,1,0)</f>
        <v>fiodor86</v>
      </c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  <c r="X15" s="154"/>
      <c r="Y15" s="154"/>
      <c r="Z15" s="154"/>
    </row>
    <row r="16" ht="14.25" customHeight="1">
      <c r="A16" s="160" t="str">
        <f>IFERROR(__xludf.DUMMYFUNCTION("""COMPUTED_VALUE"""),"rastamokett")</f>
        <v>rastamokett</v>
      </c>
      <c r="B16" s="156">
        <v>15.0</v>
      </c>
      <c r="C16" s="157">
        <f t="shared" si="1"/>
        <v>391.2081343</v>
      </c>
      <c r="D16" s="158" t="str">
        <f>VLOOKUP(A16,'Classement RoC'!$B$2:$C$149,1,0)</f>
        <v>rastamokett</v>
      </c>
      <c r="E16" s="163" t="str">
        <f t="shared" si="2"/>
        <v/>
      </c>
      <c r="F16" s="120" t="str">
        <f>VLOOKUP(A16,'Classement Général'!$B$2:$B$146,1,0)</f>
        <v>rastamokett</v>
      </c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  <c r="X16" s="154"/>
      <c r="Y16" s="154"/>
      <c r="Z16" s="154"/>
    </row>
    <row r="17" ht="14.25" customHeight="1">
      <c r="A17" s="160" t="str">
        <f>IFERROR(__xludf.DUMMYFUNCTION("""COMPUTED_VALUE"""),"Mako Lemore")</f>
        <v>Mako Lemore</v>
      </c>
      <c r="B17" s="161">
        <v>16.0</v>
      </c>
      <c r="C17" s="157">
        <f t="shared" si="1"/>
        <v>367.4492027</v>
      </c>
      <c r="D17" s="158" t="str">
        <f>VLOOKUP(A17,'Classement RoC'!$B$2:$C$149,1,0)</f>
        <v>Mako Lemore</v>
      </c>
      <c r="E17" s="163" t="str">
        <f t="shared" si="2"/>
        <v/>
      </c>
      <c r="F17" s="120" t="str">
        <f>VLOOKUP(A17,'Classement Général'!$B$2:$B$146,1,0)</f>
        <v>Mako Lemore</v>
      </c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</row>
    <row r="18" ht="14.25" customHeight="1">
      <c r="A18" s="160" t="str">
        <f>IFERROR(__xludf.DUMMYFUNCTION("""COMPUTED_VALUE"""),"KamehamehAS")</f>
        <v>KamehamehAS</v>
      </c>
      <c r="B18" s="156">
        <v>17.0</v>
      </c>
      <c r="C18" s="157">
        <f t="shared" si="1"/>
        <v>344.6876917</v>
      </c>
      <c r="D18" s="158" t="str">
        <f>VLOOKUP(A18,'Classement RoC'!$B$2:$C$149,1,0)</f>
        <v>KamehamehAS</v>
      </c>
      <c r="E18" s="163" t="str">
        <f t="shared" si="2"/>
        <v/>
      </c>
      <c r="F18" s="120" t="str">
        <f>VLOOKUP(A18,'Classement Général'!$B$2:$B$146,1,0)</f>
        <v>KamehamehAS</v>
      </c>
      <c r="G18" s="154"/>
      <c r="H18" s="154"/>
      <c r="I18" s="154"/>
      <c r="J18" s="154"/>
      <c r="K18" s="154"/>
      <c r="L18" s="154"/>
      <c r="M18" s="154"/>
      <c r="N18" s="154"/>
      <c r="O18" s="154"/>
      <c r="P18" s="154"/>
      <c r="Q18" s="154"/>
      <c r="R18" s="154"/>
      <c r="S18" s="154"/>
      <c r="T18" s="154"/>
      <c r="U18" s="154"/>
      <c r="V18" s="154"/>
      <c r="W18" s="154"/>
      <c r="X18" s="154"/>
      <c r="Y18" s="154"/>
      <c r="Z18" s="154"/>
    </row>
    <row r="19" ht="14.25" customHeight="1">
      <c r="A19" s="160" t="str">
        <f>IFERROR(__xludf.DUMMYFUNCTION("""COMPUTED_VALUE"""),"discobar2")</f>
        <v>discobar2</v>
      </c>
      <c r="B19" s="161">
        <v>18.0</v>
      </c>
      <c r="C19" s="157">
        <f t="shared" si="1"/>
        <v>322.8074023</v>
      </c>
      <c r="D19" s="158" t="str">
        <f>VLOOKUP(A19,'Classement RoC'!$B$2:$C$149,1,0)</f>
        <v>discobar2</v>
      </c>
      <c r="E19" s="163" t="str">
        <f t="shared" si="2"/>
        <v/>
      </c>
      <c r="F19" s="120" t="str">
        <f>VLOOKUP(A19,'Classement Général'!$B$2:$B$146,1,0)</f>
        <v>#N/A</v>
      </c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</row>
    <row r="20" ht="14.25" customHeight="1">
      <c r="A20" s="160" t="str">
        <f>IFERROR(__xludf.DUMMYFUNCTION("""COMPUTED_VALUE"""),"immond")</f>
        <v>immond</v>
      </c>
      <c r="B20" s="156">
        <v>19.0</v>
      </c>
      <c r="C20" s="157">
        <f t="shared" si="1"/>
        <v>301.7116745</v>
      </c>
      <c r="D20" s="158" t="str">
        <f>VLOOKUP(A20,'Classement RoC'!$B$2:$C$149,1,0)</f>
        <v>immond</v>
      </c>
      <c r="E20" s="163" t="str">
        <f t="shared" si="2"/>
        <v/>
      </c>
      <c r="F20" s="120" t="str">
        <f>VLOOKUP(A20,'Classement Général'!$B$2:$B$146,1,0)</f>
        <v>immond</v>
      </c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4"/>
      <c r="V20" s="154"/>
      <c r="W20" s="154"/>
      <c r="X20" s="154"/>
      <c r="Y20" s="154"/>
      <c r="Z20" s="154"/>
    </row>
    <row r="21" ht="14.25" customHeight="1">
      <c r="A21" s="160" t="str">
        <f>IFERROR(__xludf.DUMMYFUNCTION("""COMPUTED_VALUE"""),"Redblood92")</f>
        <v>Redblood92</v>
      </c>
      <c r="B21" s="161">
        <v>20.0</v>
      </c>
      <c r="C21" s="157">
        <f t="shared" si="1"/>
        <v>281.3192383</v>
      </c>
      <c r="D21" s="158" t="str">
        <f>VLOOKUP(A21,'Classement RoC'!$B$2:$C$149,1,0)</f>
        <v>Redblood92</v>
      </c>
      <c r="E21" s="163" t="str">
        <f t="shared" si="2"/>
        <v/>
      </c>
      <c r="F21" s="120" t="str">
        <f>VLOOKUP(A21,'Classement Général'!$B$2:$B$146,1,0)</f>
        <v>Redblood92</v>
      </c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</row>
    <row r="22" ht="14.25" customHeight="1">
      <c r="A22" s="160" t="str">
        <f>IFERROR(__xludf.DUMMYFUNCTION("""COMPUTED_VALUE"""),"Discobar")</f>
        <v>Discobar</v>
      </c>
      <c r="B22" s="156">
        <v>21.0</v>
      </c>
      <c r="C22" s="157">
        <f t="shared" si="1"/>
        <v>261.5611086</v>
      </c>
      <c r="D22" s="158" t="str">
        <f>VLOOKUP(A22,'Classement RoC'!$B$2:$C$149,1,0)</f>
        <v>Discobar</v>
      </c>
      <c r="E22" s="163" t="str">
        <f t="shared" si="2"/>
        <v/>
      </c>
      <c r="F22" s="120" t="str">
        <f>VLOOKUP(A22,'Classement Général'!$B$2:$B$146,1,0)</f>
        <v>Discobar</v>
      </c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</row>
    <row r="23" ht="14.25" customHeight="1">
      <c r="A23" s="160" t="str">
        <f>IFERROR(__xludf.DUMMYFUNCTION("""COMPUTED_VALUE"""),"UnPetitJaune")</f>
        <v>UnPetitJaune</v>
      </c>
      <c r="B23" s="161">
        <v>22.0</v>
      </c>
      <c r="C23" s="157">
        <f t="shared" si="1"/>
        <v>242.3782242</v>
      </c>
      <c r="D23" s="158" t="str">
        <f>VLOOKUP(A23,'Classement RoC'!$B$2:$C$149,1,0)</f>
        <v>UnPetitJaune</v>
      </c>
      <c r="E23" s="163" t="str">
        <f t="shared" si="2"/>
        <v/>
      </c>
      <c r="F23" s="120" t="str">
        <f>VLOOKUP(A23,'Classement Général'!$B$2:$B$146,1,0)</f>
        <v>UnPetitJaune</v>
      </c>
      <c r="G23" s="154"/>
      <c r="H23" s="154"/>
      <c r="I23" s="154"/>
      <c r="J23" s="154"/>
      <c r="K23" s="154"/>
      <c r="L23" s="154"/>
      <c r="M23" s="154"/>
      <c r="N23" s="154"/>
      <c r="O23" s="154"/>
      <c r="P23" s="154"/>
      <c r="Q23" s="154"/>
      <c r="R23" s="154"/>
      <c r="S23" s="154"/>
      <c r="T23" s="154"/>
      <c r="U23" s="154"/>
      <c r="V23" s="154"/>
      <c r="W23" s="154"/>
      <c r="X23" s="154"/>
      <c r="Y23" s="154"/>
      <c r="Z23" s="154"/>
    </row>
    <row r="24" ht="14.25" customHeight="1">
      <c r="A24" s="160" t="str">
        <f>IFERROR(__xludf.DUMMYFUNCTION("""COMPUTED_VALUE"""),"NezuKO-demon")</f>
        <v>NezuKO-demon</v>
      </c>
      <c r="B24" s="156">
        <v>23.0</v>
      </c>
      <c r="C24" s="157">
        <f t="shared" si="1"/>
        <v>223.7196272</v>
      </c>
      <c r="D24" s="158" t="str">
        <f>VLOOKUP(A24,'Classement RoC'!$B$2:$C$149,1,0)</f>
        <v>NezuKO-demon</v>
      </c>
      <c r="E24" s="163" t="str">
        <f t="shared" si="2"/>
        <v/>
      </c>
      <c r="F24" s="120" t="str">
        <f>VLOOKUP(A24,'Classement Général'!$B$2:$B$146,1,0)</f>
        <v>NezuKO-demon</v>
      </c>
      <c r="G24" s="154"/>
      <c r="H24" s="154"/>
      <c r="I24" s="154"/>
      <c r="J24" s="154"/>
      <c r="K24" s="154"/>
      <c r="L24" s="154"/>
      <c r="M24" s="154"/>
      <c r="N24" s="154"/>
      <c r="O24" s="154"/>
      <c r="P24" s="154"/>
      <c r="Q24" s="154"/>
      <c r="R24" s="154"/>
      <c r="S24" s="154"/>
      <c r="T24" s="154"/>
      <c r="U24" s="154"/>
      <c r="V24" s="154"/>
      <c r="W24" s="154"/>
      <c r="X24" s="154"/>
      <c r="Y24" s="154"/>
      <c r="Z24" s="154"/>
    </row>
    <row r="25" ht="14.25" customHeight="1">
      <c r="A25" s="160" t="str">
        <f>IFERROR(__xludf.DUMMYFUNCTION("""COMPUTED_VALUE"""),"kiki86 x")</f>
        <v>kiki86 x</v>
      </c>
      <c r="B25" s="161">
        <v>24.0</v>
      </c>
      <c r="C25" s="157">
        <f t="shared" si="1"/>
        <v>205.5410412</v>
      </c>
      <c r="D25" s="158" t="str">
        <f>VLOOKUP(A25,'Classement RoC'!$B$2:$C$149,1,0)</f>
        <v>kiki86 x</v>
      </c>
      <c r="E25" s="163" t="str">
        <f t="shared" si="2"/>
        <v/>
      </c>
      <c r="F25" s="120" t="str">
        <f>VLOOKUP(A25,'Classement Général'!$B$2:$B$146,1,0)</f>
        <v>kiki86 x</v>
      </c>
      <c r="G25" s="154"/>
      <c r="H25" s="154"/>
      <c r="I25" s="154"/>
      <c r="J25" s="154"/>
      <c r="K25" s="154"/>
      <c r="L25" s="154"/>
      <c r="M25" s="154"/>
      <c r="N25" s="154"/>
      <c r="O25" s="154"/>
      <c r="P25" s="154"/>
      <c r="Q25" s="154"/>
      <c r="R25" s="154"/>
      <c r="S25" s="154"/>
      <c r="T25" s="154"/>
      <c r="U25" s="154"/>
      <c r="V25" s="154"/>
      <c r="W25" s="154"/>
      <c r="X25" s="154"/>
      <c r="Y25" s="154"/>
      <c r="Z25" s="154"/>
    </row>
    <row r="26" ht="14.25" customHeight="1">
      <c r="A26" s="160" t="str">
        <f>IFERROR(__xludf.DUMMYFUNCTION("""COMPUTED_VALUE"""),"sonic86")</f>
        <v>sonic86</v>
      </c>
      <c r="B26" s="156">
        <v>25.0</v>
      </c>
      <c r="C26" s="157">
        <f t="shared" si="1"/>
        <v>187.8037476</v>
      </c>
      <c r="D26" s="158" t="str">
        <f>VLOOKUP(A26,'Classement RoC'!$B$2:$C$149,1,0)</f>
        <v>sonic86</v>
      </c>
      <c r="E26" s="163" t="str">
        <f t="shared" si="2"/>
        <v/>
      </c>
      <c r="F26" s="120" t="str">
        <f>VLOOKUP(A26,'Classement Général'!$B$2:$B$146,1,0)</f>
        <v>sonic86</v>
      </c>
      <c r="G26" s="154"/>
      <c r="H26" s="154"/>
      <c r="I26" s="154"/>
      <c r="J26" s="154"/>
      <c r="K26" s="154"/>
      <c r="L26" s="154"/>
      <c r="M26" s="154"/>
      <c r="N26" s="154"/>
      <c r="O26" s="154"/>
      <c r="P26" s="154"/>
      <c r="Q26" s="154"/>
      <c r="R26" s="154"/>
      <c r="S26" s="154"/>
      <c r="T26" s="154"/>
      <c r="U26" s="154"/>
      <c r="V26" s="154"/>
      <c r="W26" s="154"/>
      <c r="X26" s="154"/>
      <c r="Y26" s="154"/>
      <c r="Z26" s="154"/>
    </row>
    <row r="27" ht="14.25" customHeight="1">
      <c r="A27" s="160" t="str">
        <f>IFERROR(__xludf.DUMMYFUNCTION("""COMPUTED_VALUE"""),"FridAKahlo")</f>
        <v>FridAKahlo</v>
      </c>
      <c r="B27" s="161">
        <v>26.0</v>
      </c>
      <c r="C27" s="157">
        <f t="shared" si="1"/>
        <v>170.4736887</v>
      </c>
      <c r="D27" s="158" t="str">
        <f>VLOOKUP(A27,'Classement RoC'!$B$2:$C$149,1,0)</f>
        <v>FridAKahlo</v>
      </c>
      <c r="E27" s="163" t="str">
        <f t="shared" si="2"/>
        <v/>
      </c>
      <c r="F27" s="120" t="str">
        <f>VLOOKUP(A27,'Classement Général'!$B$2:$B$146,1,0)</f>
        <v>FridAKahlo</v>
      </c>
      <c r="G27" s="154"/>
      <c r="H27" s="154"/>
      <c r="I27" s="154"/>
      <c r="J27" s="154"/>
      <c r="K27" s="154"/>
      <c r="L27" s="154"/>
      <c r="M27" s="154"/>
      <c r="N27" s="154"/>
      <c r="O27" s="154"/>
      <c r="P27" s="154"/>
      <c r="Q27" s="154"/>
      <c r="R27" s="154"/>
      <c r="S27" s="154"/>
      <c r="T27" s="154"/>
      <c r="U27" s="154"/>
      <c r="V27" s="154"/>
      <c r="W27" s="154"/>
      <c r="X27" s="154"/>
      <c r="Y27" s="154"/>
      <c r="Z27" s="154"/>
    </row>
    <row r="28" ht="14.25" customHeight="1">
      <c r="A28" s="160" t="str">
        <f>IFERROR(__xludf.DUMMYFUNCTION("""COMPUTED_VALUE"""),"Vaillant 86")</f>
        <v>Vaillant 86</v>
      </c>
      <c r="B28" s="156">
        <v>27.0</v>
      </c>
      <c r="C28" s="157">
        <f t="shared" si="1"/>
        <v>153.520745</v>
      </c>
      <c r="D28" s="158" t="str">
        <f>VLOOKUP(A28,'Classement RoC'!$B$2:$C$149,1,0)</f>
        <v>Vaillant 86</v>
      </c>
      <c r="E28" s="163" t="str">
        <f t="shared" si="2"/>
        <v/>
      </c>
      <c r="F28" s="120" t="str">
        <f>VLOOKUP(A28,'Classement Général'!$B$2:$B$146,1,0)</f>
        <v>Vaillant 86</v>
      </c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</row>
    <row r="29" ht="14.25" customHeight="1">
      <c r="A29" s="160" t="str">
        <f>IFERROR(__xludf.DUMMYFUNCTION("""COMPUTED_VALUE"""),"M2TH")</f>
        <v>M2TH</v>
      </c>
      <c r="B29" s="161">
        <v>28.0</v>
      </c>
      <c r="C29" s="157">
        <f t="shared" si="1"/>
        <v>136.9181467</v>
      </c>
      <c r="D29" s="158" t="str">
        <f>VLOOKUP(A29,'Classement RoC'!$B$2:$C$149,1,0)</f>
        <v>#N/A</v>
      </c>
      <c r="E29" s="163" t="str">
        <f t="shared" si="2"/>
        <v>#N/A</v>
      </c>
      <c r="F29" s="120" t="str">
        <f>VLOOKUP(A29,'Classement Général'!$B$2:$B$146,1,0)</f>
        <v>#N/A</v>
      </c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</row>
    <row r="30" ht="14.25" customHeight="1">
      <c r="A30" s="160" t="str">
        <f>IFERROR(__xludf.DUMMYFUNCTION("""COMPUTED_VALUE"""),"ariba")</f>
        <v>ariba</v>
      </c>
      <c r="B30" s="156">
        <v>29.0</v>
      </c>
      <c r="C30" s="157">
        <f t="shared" si="1"/>
        <v>120.6419915</v>
      </c>
      <c r="D30" s="158" t="str">
        <f>VLOOKUP(A30,'Classement RoC'!$B$2:$C$149,1,0)</f>
        <v>ariba</v>
      </c>
      <c r="E30" s="163" t="str">
        <f t="shared" si="2"/>
        <v/>
      </c>
      <c r="F30" s="120" t="str">
        <f>VLOOKUP(A30,'Classement Général'!$B$2:$B$146,1,0)</f>
        <v>ariba</v>
      </c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</row>
    <row r="31" ht="14.25" customHeight="1">
      <c r="A31" s="160" t="str">
        <f>IFERROR(__xludf.DUMMYFUNCTION("""COMPUTED_VALUE"""),"Mitch")</f>
        <v>Mitch</v>
      </c>
      <c r="B31" s="161">
        <v>30.0</v>
      </c>
      <c r="C31" s="157">
        <f t="shared" si="1"/>
        <v>104.6708466</v>
      </c>
      <c r="D31" s="158" t="str">
        <f>VLOOKUP(A31,'Classement RoC'!$B$2:$C$149,1,0)</f>
        <v>Mitch</v>
      </c>
      <c r="E31" s="163" t="str">
        <f t="shared" si="2"/>
        <v/>
      </c>
      <c r="F31" s="120" t="str">
        <f>VLOOKUP(A31,'Classement Général'!$B$2:$B$146,1,0)</f>
        <v>Mitch</v>
      </c>
      <c r="G31" s="154"/>
      <c r="H31" s="154"/>
      <c r="I31" s="154"/>
      <c r="J31" s="154"/>
      <c r="K31" s="154"/>
      <c r="L31" s="154"/>
      <c r="M31" s="15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</row>
    <row r="32" ht="14.25" customHeight="1">
      <c r="A32" s="160" t="str">
        <f>IFERROR(__xludf.DUMMYFUNCTION("""COMPUTED_VALUE"""),"SINGE7")</f>
        <v>SINGE7</v>
      </c>
      <c r="B32" s="156">
        <v>31.0</v>
      </c>
      <c r="C32" s="157">
        <f t="shared" si="1"/>
        <v>88.98541645</v>
      </c>
      <c r="D32" s="158" t="str">
        <f>VLOOKUP(A32,'Classement RoC'!$B$2:$C$149,1,0)</f>
        <v>SINGE7</v>
      </c>
      <c r="E32" s="163" t="str">
        <f t="shared" si="2"/>
        <v/>
      </c>
      <c r="F32" s="120" t="str">
        <f>VLOOKUP(A32,'Classement Général'!$B$2:$B$146,1,0)</f>
        <v>SINGE7</v>
      </c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R32" s="154"/>
      <c r="S32" s="154"/>
      <c r="T32" s="154"/>
      <c r="U32" s="154"/>
      <c r="V32" s="154"/>
      <c r="W32" s="154"/>
      <c r="X32" s="154"/>
      <c r="Y32" s="154"/>
      <c r="Z32" s="154"/>
    </row>
    <row r="33" ht="14.25" customHeight="1">
      <c r="A33" s="160" t="str">
        <f>IFERROR(__xludf.DUMMYFUNCTION("""COMPUTED_VALUE"""),"A_iniesta")</f>
        <v>A_iniesta</v>
      </c>
      <c r="B33" s="161">
        <v>32.0</v>
      </c>
      <c r="C33" s="157">
        <f t="shared" si="1"/>
        <v>73.56826604</v>
      </c>
      <c r="D33" s="158" t="str">
        <f>VLOOKUP(A33,'Classement RoC'!$B$2:$C$149,1,0)</f>
        <v>A_iniesta</v>
      </c>
      <c r="E33" s="163" t="str">
        <f t="shared" si="2"/>
        <v/>
      </c>
      <c r="F33" s="120" t="str">
        <f>VLOOKUP(A33,'Classement Général'!$B$2:$B$146,1,0)</f>
        <v>A_iniesta</v>
      </c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54"/>
      <c r="R33" s="154"/>
      <c r="S33" s="154"/>
      <c r="T33" s="154"/>
      <c r="U33" s="154"/>
      <c r="V33" s="154"/>
      <c r="W33" s="154"/>
      <c r="X33" s="154"/>
      <c r="Y33" s="154"/>
      <c r="Z33" s="154"/>
    </row>
    <row r="34" ht="14.25" customHeight="1">
      <c r="A34" s="160" t="str">
        <f>IFERROR(__xludf.DUMMYFUNCTION("""COMPUTED_VALUE"""),"PSGJM")</f>
        <v>PSGJM</v>
      </c>
      <c r="B34" s="156">
        <v>33.0</v>
      </c>
      <c r="C34" s="157">
        <f t="shared" si="1"/>
        <v>58.4035864</v>
      </c>
      <c r="D34" s="158" t="str">
        <f>VLOOKUP(A34,'Classement RoC'!$B$2:$C$149,1,0)</f>
        <v>PSGJM</v>
      </c>
      <c r="E34" s="163" t="str">
        <f t="shared" si="2"/>
        <v/>
      </c>
      <c r="F34" s="120" t="str">
        <f>VLOOKUP(A34,'Classement Général'!$B$2:$B$146,1,0)</f>
        <v>PSGJM</v>
      </c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</row>
    <row r="35" ht="14.25" customHeight="1">
      <c r="A35" s="160" t="str">
        <f>IFERROR(__xludf.DUMMYFUNCTION("""COMPUTED_VALUE"""),"christ86000")</f>
        <v>christ86000</v>
      </c>
      <c r="B35" s="161">
        <v>34.0</v>
      </c>
      <c r="C35" s="157">
        <f t="shared" si="1"/>
        <v>43.47699665</v>
      </c>
      <c r="D35" s="158" t="str">
        <f>VLOOKUP(A35,'Classement RoC'!$B$2:$C$149,1,0)</f>
        <v>christ86000</v>
      </c>
      <c r="E35" s="163" t="str">
        <f t="shared" si="2"/>
        <v/>
      </c>
      <c r="F35" s="120" t="str">
        <f>VLOOKUP(A35,'Classement Général'!$B$2:$B$146,1,0)</f>
        <v>christ86000</v>
      </c>
      <c r="G35" s="154"/>
      <c r="H35" s="154"/>
      <c r="I35" s="154"/>
      <c r="J35" s="154"/>
      <c r="K35" s="154"/>
      <c r="L35" s="154"/>
      <c r="M35" s="154"/>
      <c r="N35" s="154"/>
      <c r="O35" s="154"/>
      <c r="P35" s="154"/>
      <c r="Q35" s="154"/>
      <c r="R35" s="154"/>
      <c r="S35" s="154"/>
      <c r="T35" s="154"/>
      <c r="U35" s="154"/>
      <c r="V35" s="154"/>
      <c r="W35" s="154"/>
      <c r="X35" s="154"/>
      <c r="Y35" s="154"/>
      <c r="Z35" s="154"/>
    </row>
    <row r="36" ht="14.25" customHeight="1">
      <c r="A36" s="160" t="str">
        <f>IFERROR(__xludf.DUMMYFUNCTION("""COMPUTED_VALUE"""),"DonnesTchips")</f>
        <v>DonnesTchips</v>
      </c>
      <c r="B36" s="156">
        <v>35.0</v>
      </c>
      <c r="C36" s="157">
        <f t="shared" si="1"/>
        <v>28.77537519</v>
      </c>
      <c r="D36" s="158" t="str">
        <f>VLOOKUP(A36,'Classement RoC'!$B$2:$C$149,1,0)</f>
        <v>DonnesTchips</v>
      </c>
      <c r="E36" s="163" t="str">
        <f t="shared" si="2"/>
        <v/>
      </c>
      <c r="F36" s="120" t="str">
        <f>VLOOKUP(A36,'Classement Général'!$B$2:$B$146,1,0)</f>
        <v>DonnesTchips</v>
      </c>
      <c r="G36" s="154"/>
      <c r="H36" s="154"/>
      <c r="I36" s="154"/>
      <c r="J36" s="154"/>
      <c r="K36" s="154"/>
      <c r="L36" s="154"/>
      <c r="M36" s="154"/>
      <c r="N36" s="154"/>
      <c r="O36" s="154"/>
      <c r="P36" s="154"/>
      <c r="Q36" s="154"/>
      <c r="R36" s="154"/>
      <c r="S36" s="154"/>
      <c r="T36" s="154"/>
      <c r="U36" s="154"/>
      <c r="V36" s="154"/>
      <c r="W36" s="154"/>
      <c r="X36" s="154"/>
      <c r="Y36" s="154"/>
      <c r="Z36" s="154"/>
    </row>
    <row r="37" ht="14.25" customHeight="1">
      <c r="A37" s="160" t="str">
        <f>IFERROR(__xludf.DUMMYFUNCTION("""COMPUTED_VALUE"""),"pablo")</f>
        <v>pablo</v>
      </c>
      <c r="B37" s="161">
        <v>36.0</v>
      </c>
      <c r="C37" s="157">
        <f t="shared" si="1"/>
        <v>14.28671513</v>
      </c>
      <c r="D37" s="158" t="str">
        <f>VLOOKUP(A37,'Classement RoC'!$B$2:$C$149,1,0)</f>
        <v>pablo</v>
      </c>
      <c r="E37" s="163" t="str">
        <f t="shared" si="2"/>
        <v/>
      </c>
      <c r="F37" s="120" t="str">
        <f>VLOOKUP(A37,'Classement Général'!$B$2:$B$146,1,0)</f>
        <v>pablo</v>
      </c>
      <c r="G37" s="154"/>
      <c r="H37" s="154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</row>
    <row r="38" ht="14.25" customHeight="1">
      <c r="A38" s="160"/>
      <c r="B38" s="156">
        <v>37.0</v>
      </c>
      <c r="C38" s="157">
        <f t="shared" si="1"/>
        <v>0</v>
      </c>
      <c r="D38" s="158" t="str">
        <f>VLOOKUP(A38,'Classement RoC'!$B$2:$C$149,1,0)</f>
        <v>#N/A</v>
      </c>
      <c r="E38" s="163" t="str">
        <f t="shared" si="2"/>
        <v>#N/A</v>
      </c>
      <c r="F38" s="120" t="str">
        <f>VLOOKUP(A38,'Classement Général'!$B$2:$B$146,1,0)</f>
        <v>#N/A</v>
      </c>
      <c r="G38" s="154"/>
      <c r="H38" s="154"/>
      <c r="I38" s="154"/>
      <c r="J38" s="154"/>
      <c r="K38" s="154"/>
      <c r="L38" s="154"/>
      <c r="M38" s="15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</row>
    <row r="39" ht="14.25" customHeight="1">
      <c r="A39" s="160"/>
      <c r="B39" s="161">
        <v>38.0</v>
      </c>
      <c r="C39" s="157">
        <f t="shared" si="1"/>
        <v>-14.09490364</v>
      </c>
      <c r="D39" s="158" t="str">
        <f>VLOOKUP(A39,'Classement RoC'!$B$2:$C$149,1,0)</f>
        <v>#N/A</v>
      </c>
      <c r="E39" s="163" t="str">
        <f t="shared" si="2"/>
        <v>#N/A</v>
      </c>
      <c r="F39" s="120" t="str">
        <f>VLOOKUP(A39,'Classement Général'!$B$2:$B$146,1,0)</f>
        <v>#N/A</v>
      </c>
      <c r="G39" s="154"/>
      <c r="H39" s="154"/>
      <c r="I39" s="154"/>
      <c r="J39" s="154"/>
      <c r="K39" s="154"/>
      <c r="L39" s="154"/>
      <c r="M39" s="154"/>
      <c r="N39" s="154"/>
      <c r="O39" s="154"/>
      <c r="P39" s="154"/>
      <c r="Q39" s="154"/>
      <c r="R39" s="154"/>
      <c r="S39" s="154"/>
      <c r="T39" s="154"/>
      <c r="U39" s="154"/>
      <c r="V39" s="154"/>
      <c r="W39" s="154"/>
      <c r="X39" s="154"/>
      <c r="Y39" s="154"/>
      <c r="Z39" s="154"/>
    </row>
    <row r="40" ht="14.25" customHeight="1">
      <c r="A40" s="160"/>
      <c r="B40" s="156">
        <v>39.0</v>
      </c>
      <c r="C40" s="157">
        <f t="shared" si="1"/>
        <v>-28.0073394</v>
      </c>
      <c r="D40" s="158" t="str">
        <f>VLOOKUP(A40,'Classement RoC'!$B$2:$C$149,1,0)</f>
        <v>#N/A</v>
      </c>
      <c r="E40" s="163" t="str">
        <f t="shared" si="2"/>
        <v>#N/A</v>
      </c>
      <c r="F40" s="120" t="str">
        <f>VLOOKUP(A40,'Classement Général'!$B$2:$B$146,1,0)</f>
        <v>#N/A</v>
      </c>
      <c r="G40" s="154"/>
      <c r="H40" s="154"/>
      <c r="I40" s="154"/>
      <c r="J40" s="154"/>
      <c r="K40" s="154"/>
      <c r="L40" s="154"/>
      <c r="M40" s="154"/>
      <c r="N40" s="154"/>
      <c r="O40" s="154"/>
      <c r="P40" s="154"/>
      <c r="Q40" s="154"/>
      <c r="R40" s="154"/>
      <c r="S40" s="154"/>
      <c r="T40" s="154"/>
      <c r="U40" s="154"/>
      <c r="V40" s="154"/>
      <c r="W40" s="154"/>
      <c r="X40" s="154"/>
      <c r="Y40" s="154"/>
      <c r="Z40" s="154"/>
    </row>
    <row r="41" ht="14.25" customHeight="1">
      <c r="A41" s="160"/>
      <c r="B41" s="161">
        <v>40.0</v>
      </c>
      <c r="C41" s="157">
        <f t="shared" si="1"/>
        <v>-41.74594218</v>
      </c>
      <c r="D41" s="158" t="str">
        <f>VLOOKUP(A41,'Classement RoC'!$B$2:$C$149,1,0)</f>
        <v>#N/A</v>
      </c>
      <c r="E41" s="163" t="str">
        <f t="shared" si="2"/>
        <v>#N/A</v>
      </c>
      <c r="F41" s="120" t="str">
        <f>VLOOKUP(A41,'Classement Général'!$B$2:$B$146,1,0)</f>
        <v>#N/A</v>
      </c>
      <c r="G41" s="154"/>
      <c r="H41" s="154"/>
      <c r="I41" s="154"/>
      <c r="J41" s="154"/>
      <c r="K41" s="154"/>
      <c r="L41" s="154"/>
      <c r="M41" s="154"/>
      <c r="N41" s="154"/>
      <c r="O41" s="154"/>
      <c r="P41" s="154"/>
      <c r="Q41" s="154"/>
      <c r="R41" s="154"/>
      <c r="S41" s="154"/>
      <c r="T41" s="154"/>
      <c r="U41" s="154"/>
      <c r="V41" s="154"/>
      <c r="W41" s="154"/>
      <c r="X41" s="154"/>
      <c r="Y41" s="154"/>
      <c r="Z41" s="154"/>
    </row>
    <row r="42" ht="14.25" customHeight="1">
      <c r="A42" s="160"/>
      <c r="B42" s="156">
        <v>41.0</v>
      </c>
      <c r="C42" s="157">
        <f t="shared" si="1"/>
        <v>-55.31870916</v>
      </c>
      <c r="D42" s="158" t="str">
        <f>VLOOKUP(A42,'Classement RoC'!$B$2:$C$149,1,0)</f>
        <v>#N/A</v>
      </c>
      <c r="E42" s="163" t="str">
        <f t="shared" si="2"/>
        <v>#N/A</v>
      </c>
      <c r="F42" s="120" t="str">
        <f>VLOOKUP(A42,'Classement Général'!$B$2:$B$146,1,0)</f>
        <v>#N/A</v>
      </c>
      <c r="G42" s="154"/>
      <c r="H42" s="154"/>
      <c r="I42" s="154"/>
      <c r="J42" s="154"/>
      <c r="K42" s="154"/>
      <c r="L42" s="154"/>
      <c r="M42" s="154"/>
      <c r="N42" s="154"/>
      <c r="O42" s="154"/>
      <c r="P42" s="154"/>
      <c r="Q42" s="154"/>
      <c r="R42" s="154"/>
      <c r="S42" s="154"/>
      <c r="T42" s="154"/>
      <c r="U42" s="154"/>
      <c r="V42" s="154"/>
      <c r="W42" s="154"/>
      <c r="X42" s="154"/>
      <c r="Y42" s="154"/>
      <c r="Z42" s="154"/>
    </row>
    <row r="43" ht="14.25" customHeight="1">
      <c r="A43" s="160"/>
      <c r="B43" s="161">
        <v>42.0</v>
      </c>
      <c r="C43" s="157">
        <f t="shared" si="1"/>
        <v>-68.73306205</v>
      </c>
      <c r="D43" s="158" t="str">
        <f>VLOOKUP(A43,'Classement RoC'!$B$2:$C$149,1,0)</f>
        <v>#N/A</v>
      </c>
      <c r="E43" s="163" t="str">
        <f t="shared" si="2"/>
        <v>#N/A</v>
      </c>
      <c r="F43" s="120" t="str">
        <f>VLOOKUP(A43,'Classement Général'!$B$2:$B$146,1,0)</f>
        <v>#N/A</v>
      </c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</row>
    <row r="44" ht="14.25" customHeight="1">
      <c r="A44" s="160"/>
      <c r="B44" s="156">
        <v>43.0</v>
      </c>
      <c r="C44" s="157">
        <f t="shared" si="1"/>
        <v>-81.99590184</v>
      </c>
      <c r="D44" s="158" t="str">
        <f>VLOOKUP(A44,'Classement RoC'!$B$2:$C$149,1,0)</f>
        <v>#N/A</v>
      </c>
      <c r="E44" s="163" t="str">
        <f t="shared" si="2"/>
        <v>#N/A</v>
      </c>
      <c r="F44" s="120" t="str">
        <f>VLOOKUP(A44,'Classement Général'!$B$2:$B$146,1,0)</f>
        <v>#N/A</v>
      </c>
      <c r="G44" s="154"/>
      <c r="H44" s="154"/>
      <c r="I44" s="154"/>
      <c r="J44" s="154"/>
      <c r="K44" s="154"/>
      <c r="L44" s="154"/>
      <c r="M44" s="154"/>
      <c r="N44" s="154"/>
      <c r="O44" s="154"/>
      <c r="P44" s="154"/>
      <c r="Q44" s="154"/>
      <c r="R44" s="154"/>
      <c r="S44" s="154"/>
      <c r="T44" s="154"/>
      <c r="U44" s="154"/>
      <c r="V44" s="154"/>
      <c r="W44" s="154"/>
      <c r="X44" s="154"/>
      <c r="Y44" s="154"/>
      <c r="Z44" s="154"/>
    </row>
    <row r="45" ht="14.25" customHeight="1">
      <c r="A45" s="160"/>
      <c r="B45" s="161">
        <v>44.0</v>
      </c>
      <c r="C45" s="157">
        <f t="shared" si="1"/>
        <v>-95.11365726</v>
      </c>
      <c r="D45" s="158" t="str">
        <f>VLOOKUP(A45,'Classement RoC'!$B$2:$C$149,1,0)</f>
        <v>#N/A</v>
      </c>
      <c r="E45" s="163" t="str">
        <f t="shared" si="2"/>
        <v>#N/A</v>
      </c>
      <c r="F45" s="120" t="str">
        <f>VLOOKUP(A45,'Classement Général'!$B$2:$B$146,1,0)</f>
        <v>#N/A</v>
      </c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</row>
    <row r="46" ht="14.25" customHeight="1">
      <c r="A46" s="160"/>
      <c r="B46" s="156">
        <v>45.0</v>
      </c>
      <c r="C46" s="157">
        <f t="shared" si="1"/>
        <v>-108.0923276</v>
      </c>
      <c r="D46" s="158" t="str">
        <f>VLOOKUP(A46,'Classement RoC'!$B$2:$C$149,1,0)</f>
        <v>#N/A</v>
      </c>
      <c r="E46" s="163" t="str">
        <f t="shared" si="2"/>
        <v>#N/A</v>
      </c>
      <c r="F46" s="120" t="str">
        <f>VLOOKUP(A46,'Classement Général'!$B$2:$B$146,1,0)</f>
        <v>#N/A</v>
      </c>
      <c r="G46" s="154"/>
      <c r="H46" s="154"/>
      <c r="I46" s="154"/>
      <c r="J46" s="154"/>
      <c r="K46" s="154"/>
      <c r="L46" s="154"/>
      <c r="M46" s="154"/>
      <c r="N46" s="154"/>
      <c r="O46" s="154"/>
      <c r="P46" s="154"/>
      <c r="Q46" s="154"/>
      <c r="R46" s="154"/>
      <c r="S46" s="154"/>
      <c r="T46" s="154"/>
      <c r="U46" s="154"/>
      <c r="V46" s="154"/>
      <c r="W46" s="154"/>
      <c r="X46" s="154"/>
      <c r="Y46" s="154"/>
      <c r="Z46" s="154"/>
    </row>
    <row r="47" ht="14.25" customHeight="1">
      <c r="A47" s="160"/>
      <c r="B47" s="161">
        <v>46.0</v>
      </c>
      <c r="C47" s="157">
        <f t="shared" si="1"/>
        <v>-120.9375209</v>
      </c>
      <c r="D47" s="158" t="str">
        <f>VLOOKUP(A47,'Classement RoC'!$B$2:$C$149,1,0)</f>
        <v>#N/A</v>
      </c>
      <c r="E47" s="163" t="str">
        <f t="shared" si="2"/>
        <v>#N/A</v>
      </c>
      <c r="F47" s="120" t="str">
        <f>VLOOKUP(A47,'Classement Général'!$B$2:$B$146,1,0)</f>
        <v>#N/A</v>
      </c>
      <c r="G47" s="154"/>
      <c r="H47" s="154"/>
      <c r="I47" s="154"/>
      <c r="J47" s="154"/>
      <c r="K47" s="154"/>
      <c r="L47" s="154"/>
      <c r="M47" s="154"/>
      <c r="N47" s="154"/>
      <c r="O47" s="154"/>
      <c r="P47" s="154"/>
      <c r="Q47" s="154"/>
      <c r="R47" s="154"/>
      <c r="S47" s="154"/>
      <c r="T47" s="154"/>
      <c r="U47" s="154"/>
      <c r="V47" s="154"/>
      <c r="W47" s="154"/>
      <c r="X47" s="154"/>
      <c r="Y47" s="154"/>
      <c r="Z47" s="154"/>
    </row>
    <row r="48" ht="14.25" customHeight="1">
      <c r="A48" s="160"/>
      <c r="B48" s="156">
        <v>47.0</v>
      </c>
      <c r="C48" s="157">
        <f t="shared" si="1"/>
        <v>-133.6544878</v>
      </c>
      <c r="D48" s="158" t="str">
        <f>VLOOKUP(A48,'Classement RoC'!$B$2:$C$149,1,0)</f>
        <v>#N/A</v>
      </c>
      <c r="E48" s="163" t="str">
        <f t="shared" si="2"/>
        <v>#N/A</v>
      </c>
      <c r="F48" s="120" t="str">
        <f>VLOOKUP(A48,'Classement Général'!$B$2:$B$146,1,0)</f>
        <v>#N/A</v>
      </c>
      <c r="G48" s="154"/>
      <c r="H48" s="154"/>
      <c r="I48" s="154"/>
      <c r="J48" s="154"/>
      <c r="K48" s="154"/>
      <c r="L48" s="154"/>
      <c r="M48" s="154"/>
      <c r="N48" s="154"/>
      <c r="O48" s="154"/>
      <c r="P48" s="154"/>
      <c r="Q48" s="154"/>
      <c r="R48" s="154"/>
      <c r="S48" s="154"/>
      <c r="T48" s="154"/>
      <c r="U48" s="154"/>
      <c r="V48" s="154"/>
      <c r="W48" s="154"/>
      <c r="X48" s="154"/>
      <c r="Y48" s="154"/>
      <c r="Z48" s="154"/>
    </row>
    <row r="49" ht="14.25" customHeight="1">
      <c r="A49" s="160"/>
      <c r="B49" s="161">
        <v>48.0</v>
      </c>
      <c r="C49" s="157">
        <f t="shared" si="1"/>
        <v>-146.2481517</v>
      </c>
      <c r="D49" s="158" t="str">
        <f>VLOOKUP(A49,'Classement RoC'!$B$2:$C$149,1,0)</f>
        <v>#N/A</v>
      </c>
      <c r="E49" s="163" t="str">
        <f t="shared" si="2"/>
        <v>#N/A</v>
      </c>
      <c r="F49" s="120" t="str">
        <f>VLOOKUP(A49,'Classement Général'!$B$2:$B$146,1,0)</f>
        <v>#N/A</v>
      </c>
      <c r="G49" s="154"/>
      <c r="H49" s="154"/>
      <c r="I49" s="154"/>
      <c r="J49" s="154"/>
      <c r="K49" s="154"/>
      <c r="L49" s="154"/>
      <c r="M49" s="154"/>
      <c r="N49" s="154"/>
      <c r="O49" s="154"/>
      <c r="P49" s="154"/>
      <c r="Q49" s="154"/>
      <c r="R49" s="154"/>
      <c r="S49" s="154"/>
      <c r="T49" s="154"/>
      <c r="U49" s="154"/>
      <c r="V49" s="154"/>
      <c r="W49" s="154"/>
      <c r="X49" s="154"/>
      <c r="Y49" s="154"/>
      <c r="Z49" s="154"/>
    </row>
    <row r="50" ht="14.25" customHeight="1">
      <c r="A50" s="160"/>
      <c r="B50" s="156">
        <v>49.0</v>
      </c>
      <c r="C50" s="157">
        <f t="shared" si="1"/>
        <v>-158.7231363</v>
      </c>
      <c r="D50" s="158" t="str">
        <f>VLOOKUP(A50,'Classement RoC'!$B$2:$C$149,1,0)</f>
        <v>#N/A</v>
      </c>
      <c r="E50" s="163" t="str">
        <f t="shared" si="2"/>
        <v>#N/A</v>
      </c>
      <c r="F50" s="120" t="str">
        <f>VLOOKUP(A50,'Classement Général'!$B$2:$B$146,1,0)</f>
        <v>#N/A</v>
      </c>
      <c r="G50" s="154"/>
      <c r="H50" s="154"/>
      <c r="I50" s="154"/>
      <c r="J50" s="154"/>
      <c r="K50" s="154"/>
      <c r="L50" s="154"/>
      <c r="M50" s="154"/>
      <c r="N50" s="154"/>
      <c r="O50" s="154"/>
      <c r="P50" s="154"/>
      <c r="Q50" s="154"/>
      <c r="R50" s="154"/>
      <c r="S50" s="154"/>
      <c r="T50" s="154"/>
      <c r="U50" s="154"/>
      <c r="V50" s="154"/>
      <c r="W50" s="154"/>
      <c r="X50" s="154"/>
      <c r="Y50" s="154"/>
      <c r="Z50" s="154"/>
    </row>
    <row r="51" ht="14.25" customHeight="1">
      <c r="A51" s="160"/>
      <c r="B51" s="161">
        <v>50.0</v>
      </c>
      <c r="C51" s="157">
        <f t="shared" si="1"/>
        <v>-171.0837896</v>
      </c>
      <c r="D51" s="158" t="str">
        <f>VLOOKUP(A51,'Classement RoC'!$B$2:$C$149,1,0)</f>
        <v>#N/A</v>
      </c>
      <c r="E51" s="163" t="str">
        <f t="shared" si="2"/>
        <v>#N/A</v>
      </c>
      <c r="F51" s="120" t="str">
        <f>VLOOKUP(A51,'Classement Général'!$B$2:$B$146,1,0)</f>
        <v>#N/A</v>
      </c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</row>
    <row r="52" ht="14.25" customHeight="1">
      <c r="A52" s="160"/>
      <c r="B52" s="156">
        <v>51.0</v>
      </c>
      <c r="C52" s="157">
        <f t="shared" si="1"/>
        <v>-183.334206</v>
      </c>
      <c r="D52" s="158" t="str">
        <f>VLOOKUP(A52,'Classement RoC'!$B$2:$C$149,1,0)</f>
        <v>#N/A</v>
      </c>
      <c r="E52" s="163" t="str">
        <f t="shared" si="2"/>
        <v>#N/A</v>
      </c>
      <c r="F52" s="120" t="str">
        <f>VLOOKUP(A52,'Classement Général'!$B$2:$B$146,1,0)</f>
        <v>#N/A</v>
      </c>
      <c r="G52" s="154"/>
      <c r="H52" s="154"/>
      <c r="I52" s="154"/>
      <c r="J52" s="154"/>
      <c r="K52" s="154"/>
      <c r="L52" s="154"/>
      <c r="M52" s="154"/>
      <c r="N52" s="154"/>
      <c r="O52" s="154"/>
      <c r="P52" s="154"/>
      <c r="Q52" s="154"/>
      <c r="R52" s="154"/>
      <c r="S52" s="154"/>
      <c r="T52" s="154"/>
      <c r="U52" s="154"/>
      <c r="V52" s="154"/>
      <c r="W52" s="154"/>
      <c r="X52" s="154"/>
      <c r="Y52" s="154"/>
      <c r="Z52" s="154"/>
    </row>
    <row r="53" ht="14.25" customHeight="1">
      <c r="A53" s="160"/>
      <c r="B53" s="161">
        <v>52.0</v>
      </c>
      <c r="C53" s="157">
        <f t="shared" si="1"/>
        <v>-195.478246</v>
      </c>
      <c r="D53" s="158" t="str">
        <f>VLOOKUP(A53,'Classement RoC'!$B$2:$C$149,1,0)</f>
        <v>#N/A</v>
      </c>
      <c r="E53" s="163" t="str">
        <f t="shared" si="2"/>
        <v>#N/A</v>
      </c>
      <c r="F53" s="120" t="str">
        <f>VLOOKUP(A53,'Classement Général'!$B$2:$B$146,1,0)</f>
        <v>#N/A</v>
      </c>
      <c r="G53" s="154"/>
      <c r="H53" s="154"/>
      <c r="I53" s="154"/>
      <c r="J53" s="154"/>
      <c r="K53" s="154"/>
      <c r="L53" s="154"/>
      <c r="M53" s="154"/>
      <c r="N53" s="154"/>
      <c r="O53" s="154"/>
      <c r="P53" s="154"/>
      <c r="Q53" s="154"/>
      <c r="R53" s="154"/>
      <c r="S53" s="154"/>
      <c r="T53" s="154"/>
      <c r="U53" s="154"/>
      <c r="V53" s="154"/>
      <c r="W53" s="154"/>
      <c r="X53" s="154"/>
      <c r="Y53" s="154"/>
      <c r="Z53" s="154"/>
    </row>
    <row r="54" ht="14.25" customHeight="1">
      <c r="A54" s="160"/>
      <c r="B54" s="156">
        <v>53.0</v>
      </c>
      <c r="C54" s="157">
        <f t="shared" si="1"/>
        <v>-207.5195541</v>
      </c>
      <c r="D54" s="158" t="str">
        <f>VLOOKUP(A54,'Classement RoC'!$B$2:$C$149,1,0)</f>
        <v>#N/A</v>
      </c>
      <c r="E54" s="163" t="str">
        <f t="shared" si="2"/>
        <v>#N/A</v>
      </c>
      <c r="F54" s="120" t="str">
        <f>VLOOKUP(A54,'Classement Général'!$B$2:$B$146,1,0)</f>
        <v>#N/A</v>
      </c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</row>
    <row r="55" ht="14.25" customHeight="1">
      <c r="A55" s="160"/>
      <c r="B55" s="161">
        <v>54.0</v>
      </c>
      <c r="C55" s="157">
        <f t="shared" si="1"/>
        <v>-219.4615751</v>
      </c>
      <c r="D55" s="158" t="str">
        <f>VLOOKUP(A55,'Classement RoC'!$B$2:$C$149,1,0)</f>
        <v>#N/A</v>
      </c>
      <c r="E55" s="163" t="str">
        <f t="shared" si="2"/>
        <v>#N/A</v>
      </c>
      <c r="F55" s="120" t="str">
        <f>VLOOKUP(A55,'Classement Général'!$B$2:$B$146,1,0)</f>
        <v>#N/A</v>
      </c>
      <c r="G55" s="154"/>
      <c r="H55" s="154"/>
      <c r="I55" s="154"/>
      <c r="J55" s="154"/>
      <c r="K55" s="154"/>
      <c r="L55" s="154"/>
      <c r="M55" s="154"/>
      <c r="N55" s="154"/>
      <c r="O55" s="154"/>
      <c r="P55" s="154"/>
      <c r="Q55" s="154"/>
      <c r="R55" s="154"/>
      <c r="S55" s="154"/>
      <c r="T55" s="154"/>
      <c r="U55" s="154"/>
      <c r="V55" s="154"/>
      <c r="W55" s="154"/>
      <c r="X55" s="154"/>
      <c r="Y55" s="154"/>
      <c r="Z55" s="154"/>
    </row>
    <row r="56" ht="14.25" customHeight="1">
      <c r="A56" s="160"/>
      <c r="B56" s="156">
        <v>55.0</v>
      </c>
      <c r="C56" s="157">
        <f t="shared" si="1"/>
        <v>-231.3075684</v>
      </c>
      <c r="D56" s="158" t="str">
        <f>VLOOKUP(A56,'Classement RoC'!$B$2:$C$149,1,0)</f>
        <v>#N/A</v>
      </c>
      <c r="E56" s="163" t="str">
        <f t="shared" si="2"/>
        <v>#N/A</v>
      </c>
      <c r="F56" s="120" t="str">
        <f>VLOOKUP(A56,'Classement Général'!$B$2:$B$146,1,0)</f>
        <v>#N/A</v>
      </c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</row>
    <row r="57" ht="14.25" customHeight="1">
      <c r="A57" s="160"/>
      <c r="B57" s="161">
        <v>56.0</v>
      </c>
      <c r="C57" s="157">
        <f t="shared" si="1"/>
        <v>-243.0606218</v>
      </c>
      <c r="D57" s="158" t="str">
        <f>VLOOKUP(A57,'Classement RoC'!$B$2:$C$149,1,0)</f>
        <v>#N/A</v>
      </c>
      <c r="E57" s="163" t="str">
        <f t="shared" si="2"/>
        <v>#N/A</v>
      </c>
      <c r="F57" s="120" t="str">
        <f>VLOOKUP(A57,'Classement Général'!$B$2:$B$146,1,0)</f>
        <v>#N/A</v>
      </c>
      <c r="G57" s="154"/>
      <c r="H57" s="154"/>
      <c r="I57" s="154"/>
      <c r="J57" s="154"/>
      <c r="K57" s="154"/>
      <c r="L57" s="154"/>
      <c r="M57" s="154"/>
      <c r="N57" s="154"/>
      <c r="O57" s="154"/>
      <c r="P57" s="154"/>
      <c r="Q57" s="154"/>
      <c r="R57" s="154"/>
      <c r="S57" s="154"/>
      <c r="T57" s="154"/>
      <c r="U57" s="154"/>
      <c r="V57" s="154"/>
      <c r="W57" s="154"/>
      <c r="X57" s="154"/>
      <c r="Y57" s="154"/>
      <c r="Z57" s="154"/>
    </row>
    <row r="58" ht="14.25" customHeight="1">
      <c r="A58" s="160"/>
      <c r="B58" s="156">
        <v>57.0</v>
      </c>
      <c r="C58" s="157">
        <f t="shared" si="1"/>
        <v>-254.7236634</v>
      </c>
      <c r="D58" s="158" t="str">
        <f>VLOOKUP(A58,'Classement RoC'!$B$2:$C$149,1,0)</f>
        <v>#N/A</v>
      </c>
      <c r="E58" s="163" t="str">
        <f t="shared" si="2"/>
        <v>#N/A</v>
      </c>
      <c r="F58" s="120" t="str">
        <f>VLOOKUP(A58,'Classement Général'!$B$2:$B$146,1,0)</f>
        <v>#N/A</v>
      </c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</row>
    <row r="59" ht="14.25" customHeight="1">
      <c r="A59" s="160"/>
      <c r="B59" s="161">
        <v>58.0</v>
      </c>
      <c r="C59" s="157">
        <f t="shared" si="1"/>
        <v>-266.2994728</v>
      </c>
      <c r="D59" s="158" t="str">
        <f>VLOOKUP(A59,'Classement RoC'!$B$2:$C$149,1,0)</f>
        <v>#N/A</v>
      </c>
      <c r="E59" s="163" t="str">
        <f t="shared" si="2"/>
        <v>#N/A</v>
      </c>
      <c r="F59" s="120" t="str">
        <f>VLOOKUP(A59,'Classement Général'!$B$2:$B$146,1,0)</f>
        <v>#N/A</v>
      </c>
      <c r="G59" s="154"/>
      <c r="H59" s="154"/>
      <c r="I59" s="154"/>
      <c r="J59" s="154"/>
      <c r="K59" s="154"/>
      <c r="L59" s="154"/>
      <c r="M59" s="154"/>
      <c r="N59" s="154"/>
      <c r="O59" s="154"/>
      <c r="P59" s="154"/>
      <c r="Q59" s="154"/>
      <c r="R59" s="154"/>
      <c r="S59" s="154"/>
      <c r="T59" s="154"/>
      <c r="U59" s="154"/>
      <c r="V59" s="154"/>
      <c r="W59" s="154"/>
      <c r="X59" s="154"/>
      <c r="Y59" s="154"/>
      <c r="Z59" s="154"/>
    </row>
    <row r="60" ht="14.25" customHeight="1">
      <c r="A60" s="160"/>
      <c r="B60" s="156">
        <v>59.0</v>
      </c>
      <c r="C60" s="157">
        <f t="shared" si="1"/>
        <v>-277.7906911</v>
      </c>
      <c r="D60" s="158" t="str">
        <f>VLOOKUP(A60,'Classement RoC'!$B$2:$C$149,1,0)</f>
        <v>#N/A</v>
      </c>
      <c r="E60" s="163" t="str">
        <f t="shared" si="2"/>
        <v>#N/A</v>
      </c>
      <c r="F60" s="120" t="str">
        <f>VLOOKUP(A60,'Classement Général'!$B$2:$B$146,1,0)</f>
        <v>#N/A</v>
      </c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</row>
    <row r="61" ht="14.25" customHeight="1">
      <c r="A61" s="160"/>
      <c r="B61" s="161">
        <v>60.0</v>
      </c>
      <c r="C61" s="157">
        <f t="shared" si="1"/>
        <v>-289.1998303</v>
      </c>
      <c r="D61" s="158" t="str">
        <f>VLOOKUP(A61,'Classement RoC'!$B$2:$C$149,1,0)</f>
        <v>#N/A</v>
      </c>
      <c r="E61" s="163" t="str">
        <f t="shared" si="2"/>
        <v>#N/A</v>
      </c>
      <c r="F61" s="120" t="str">
        <f>VLOOKUP(A61,'Classement Général'!$B$2:$B$146,1,0)</f>
        <v>#N/A</v>
      </c>
      <c r="G61" s="154"/>
      <c r="H61" s="154"/>
      <c r="I61" s="154"/>
      <c r="J61" s="154"/>
      <c r="K61" s="154"/>
      <c r="L61" s="154"/>
      <c r="M61" s="154"/>
      <c r="N61" s="154"/>
      <c r="O61" s="154"/>
      <c r="P61" s="154"/>
      <c r="Q61" s="154"/>
      <c r="R61" s="154"/>
      <c r="S61" s="154"/>
      <c r="T61" s="154"/>
      <c r="U61" s="154"/>
      <c r="V61" s="154"/>
      <c r="W61" s="154"/>
      <c r="X61" s="154"/>
      <c r="Y61" s="154"/>
      <c r="Z61" s="154"/>
    </row>
    <row r="62" ht="14.25" customHeight="1">
      <c r="A62" s="160"/>
      <c r="B62" s="156">
        <v>61.0</v>
      </c>
      <c r="C62" s="157">
        <f t="shared" si="1"/>
        <v>-300.5292817</v>
      </c>
      <c r="D62" s="158" t="str">
        <f>VLOOKUP(A62,'Classement RoC'!$B$2:$C$149,1,0)</f>
        <v>#N/A</v>
      </c>
      <c r="E62" s="163" t="str">
        <f t="shared" si="2"/>
        <v>#N/A</v>
      </c>
      <c r="F62" s="120" t="str">
        <f>VLOOKUP(A62,'Classement Général'!$B$2:$B$146,1,0)</f>
        <v>#N/A</v>
      </c>
      <c r="G62" s="154"/>
      <c r="H62" s="154"/>
      <c r="I62" s="154"/>
      <c r="J62" s="154"/>
      <c r="K62" s="154"/>
      <c r="L62" s="154"/>
      <c r="M62" s="154"/>
      <c r="N62" s="154"/>
      <c r="O62" s="154"/>
      <c r="P62" s="154"/>
      <c r="Q62" s="154"/>
      <c r="R62" s="154"/>
      <c r="S62" s="154"/>
      <c r="T62" s="154"/>
      <c r="U62" s="154"/>
      <c r="V62" s="154"/>
      <c r="W62" s="154"/>
      <c r="X62" s="154"/>
      <c r="Y62" s="154"/>
      <c r="Z62" s="154"/>
    </row>
    <row r="63" ht="14.25" customHeight="1">
      <c r="A63" s="160"/>
      <c r="B63" s="161">
        <v>62.0</v>
      </c>
      <c r="C63" s="157">
        <f t="shared" si="1"/>
        <v>-311.7813238</v>
      </c>
      <c r="D63" s="158" t="str">
        <f>VLOOKUP(A63,'Classement RoC'!$B$2:$C$149,1,0)</f>
        <v>#N/A</v>
      </c>
      <c r="E63" s="163" t="str">
        <f t="shared" si="2"/>
        <v>#N/A</v>
      </c>
      <c r="F63" s="120" t="str">
        <f>VLOOKUP(A63,'Classement Général'!$B$2:$B$146,1,0)</f>
        <v>#N/A</v>
      </c>
      <c r="G63" s="154"/>
      <c r="H63" s="154"/>
      <c r="I63" s="154"/>
      <c r="J63" s="154"/>
      <c r="K63" s="154"/>
      <c r="L63" s="154"/>
      <c r="M63" s="154"/>
      <c r="N63" s="154"/>
      <c r="O63" s="154"/>
      <c r="P63" s="154"/>
      <c r="Q63" s="154"/>
      <c r="R63" s="154"/>
      <c r="S63" s="154"/>
      <c r="T63" s="154"/>
      <c r="U63" s="154"/>
      <c r="V63" s="154"/>
      <c r="W63" s="154"/>
      <c r="X63" s="154"/>
      <c r="Y63" s="154"/>
      <c r="Z63" s="154"/>
    </row>
    <row r="64" ht="14.25" customHeight="1">
      <c r="A64" s="160"/>
      <c r="B64" s="156">
        <v>63.0</v>
      </c>
      <c r="C64" s="157">
        <f t="shared" si="1"/>
        <v>-322.9581294</v>
      </c>
      <c r="D64" s="158" t="str">
        <f>VLOOKUP(A64,'Classement RoC'!$B$2:$C$149,1,0)</f>
        <v>#N/A</v>
      </c>
      <c r="E64" s="163" t="str">
        <f t="shared" si="2"/>
        <v>#N/A</v>
      </c>
      <c r="F64" s="120" t="str">
        <f>VLOOKUP(A64,'Classement Général'!$B$2:$B$146,1,0)</f>
        <v>#N/A</v>
      </c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154"/>
    </row>
    <row r="65" ht="14.25" customHeight="1">
      <c r="A65" s="160"/>
      <c r="B65" s="161">
        <v>64.0</v>
      </c>
      <c r="C65" s="157">
        <f t="shared" si="1"/>
        <v>-334.0617724</v>
      </c>
      <c r="D65" s="158" t="str">
        <f>VLOOKUP(A65,'Classement RoC'!$B$2:$C$149,1,0)</f>
        <v>#N/A</v>
      </c>
      <c r="E65" s="163" t="str">
        <f t="shared" si="2"/>
        <v>#N/A</v>
      </c>
      <c r="F65" s="120" t="str">
        <f>VLOOKUP(A65,'Classement Général'!$B$2:$B$146,1,0)</f>
        <v>#N/A</v>
      </c>
      <c r="G65" s="154"/>
      <c r="H65" s="154"/>
      <c r="I65" s="154"/>
      <c r="J65" s="154"/>
      <c r="K65" s="154"/>
      <c r="L65" s="154"/>
      <c r="M65" s="154"/>
      <c r="N65" s="154"/>
      <c r="O65" s="154"/>
      <c r="P65" s="154"/>
      <c r="Q65" s="154"/>
      <c r="R65" s="154"/>
      <c r="S65" s="154"/>
      <c r="T65" s="154"/>
      <c r="U65" s="154"/>
      <c r="V65" s="154"/>
      <c r="W65" s="154"/>
      <c r="X65" s="154"/>
      <c r="Y65" s="154"/>
      <c r="Z65" s="154"/>
    </row>
    <row r="66" ht="14.25" customHeight="1">
      <c r="A66" s="160"/>
      <c r="B66" s="156">
        <v>65.0</v>
      </c>
      <c r="C66" s="157">
        <f t="shared" si="1"/>
        <v>-345.0942337</v>
      </c>
      <c r="D66" s="158" t="str">
        <f>VLOOKUP(A66,'Classement RoC'!$B$2:$C$149,1,0)</f>
        <v>#N/A</v>
      </c>
      <c r="E66" s="163" t="str">
        <f t="shared" si="2"/>
        <v>#N/A</v>
      </c>
      <c r="F66" s="120" t="str">
        <f>VLOOKUP(A66,'Classement Général'!$B$2:$B$146,1,0)</f>
        <v>#N/A</v>
      </c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154"/>
    </row>
    <row r="67" ht="14.25" customHeight="1">
      <c r="A67" s="160"/>
      <c r="B67" s="161">
        <v>66.0</v>
      </c>
      <c r="C67" s="157">
        <f t="shared" si="1"/>
        <v>-356.0574067</v>
      </c>
      <c r="D67" s="158" t="str">
        <f>VLOOKUP(A67,'Classement RoC'!$B$2:$C$149,1,0)</f>
        <v>#N/A</v>
      </c>
      <c r="E67" s="163" t="str">
        <f t="shared" si="2"/>
        <v>#N/A</v>
      </c>
      <c r="F67" s="120" t="str">
        <f>VLOOKUP(A67,'Classement Général'!$B$2:$B$146,1,0)</f>
        <v>#N/A</v>
      </c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154"/>
    </row>
    <row r="68" ht="14.25" customHeight="1">
      <c r="A68" s="160"/>
      <c r="B68" s="156">
        <v>67.0</v>
      </c>
      <c r="C68" s="157">
        <f t="shared" si="1"/>
        <v>-366.9531029</v>
      </c>
      <c r="D68" s="158" t="str">
        <f>VLOOKUP(A68,'Classement RoC'!$B$2:$C$149,1,0)</f>
        <v>#N/A</v>
      </c>
      <c r="E68" s="163" t="str">
        <f t="shared" si="2"/>
        <v>#N/A</v>
      </c>
      <c r="F68" s="120" t="str">
        <f>VLOOKUP(A68,'Classement Général'!$B$2:$B$146,1,0)</f>
        <v>#N/A</v>
      </c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154"/>
    </row>
    <row r="69" ht="14.25" customHeight="1">
      <c r="A69" s="160"/>
      <c r="B69" s="161">
        <v>68.0</v>
      </c>
      <c r="C69" s="157">
        <f t="shared" si="1"/>
        <v>-377.7830565</v>
      </c>
      <c r="D69" s="158" t="str">
        <f>VLOOKUP(A69,'Classement RoC'!$B$2:$C$149,1,0)</f>
        <v>#N/A</v>
      </c>
      <c r="E69" s="163" t="str">
        <f t="shared" si="2"/>
        <v>#N/A</v>
      </c>
      <c r="F69" s="120" t="str">
        <f>VLOOKUP(A69,'Classement Général'!$B$2:$B$146,1,0)</f>
        <v>#N/A</v>
      </c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154"/>
    </row>
    <row r="70" ht="14.25" customHeight="1">
      <c r="A70" s="160"/>
      <c r="B70" s="156">
        <v>69.0</v>
      </c>
      <c r="C70" s="157">
        <f t="shared" si="1"/>
        <v>-388.5489288</v>
      </c>
      <c r="D70" s="158" t="str">
        <f>VLOOKUP(A70,'Classement RoC'!$B$2:$C$149,1,0)</f>
        <v>#N/A</v>
      </c>
      <c r="E70" s="163" t="str">
        <f t="shared" si="2"/>
        <v>#N/A</v>
      </c>
      <c r="F70" s="120" t="str">
        <f>VLOOKUP(A70,'Classement Général'!$B$2:$B$146,1,0)</f>
        <v>#N/A</v>
      </c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154"/>
    </row>
    <row r="71" ht="14.25" customHeight="1">
      <c r="A71" s="160"/>
      <c r="B71" s="161">
        <v>70.0</v>
      </c>
      <c r="C71" s="157">
        <f t="shared" si="1"/>
        <v>-399.2523124</v>
      </c>
      <c r="D71" s="158" t="str">
        <f>VLOOKUP(A71,'Classement RoC'!$B$2:$C$149,1,0)</f>
        <v>#N/A</v>
      </c>
      <c r="E71" s="163" t="str">
        <f t="shared" si="2"/>
        <v>#N/A</v>
      </c>
      <c r="F71" s="120" t="str">
        <f>VLOOKUP(A71,'Classement Général'!$B$2:$B$146,1,0)</f>
        <v>#N/A</v>
      </c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154"/>
    </row>
    <row r="72" ht="14.25" customHeight="1">
      <c r="A72" s="160"/>
      <c r="B72" s="156">
        <v>71.0</v>
      </c>
      <c r="C72" s="157">
        <f t="shared" si="1"/>
        <v>-409.8947353</v>
      </c>
      <c r="D72" s="158" t="str">
        <f>VLOOKUP(A72,'Classement RoC'!$B$2:$C$149,1,0)</f>
        <v>#N/A</v>
      </c>
      <c r="E72" s="163" t="str">
        <f t="shared" si="2"/>
        <v>#N/A</v>
      </c>
      <c r="F72" s="120" t="str">
        <f>VLOOKUP(A72,'Classement Général'!$B$2:$B$146,1,0)</f>
        <v>#N/A</v>
      </c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154"/>
    </row>
    <row r="73" ht="14.25" customHeight="1">
      <c r="A73" s="160"/>
      <c r="B73" s="161">
        <v>72.0</v>
      </c>
      <c r="C73" s="157">
        <f t="shared" si="1"/>
        <v>-420.4776638</v>
      </c>
      <c r="D73" s="158" t="str">
        <f>VLOOKUP(A73,'Classement RoC'!$B$2:$C$149,1,0)</f>
        <v>#N/A</v>
      </c>
      <c r="E73" s="163" t="str">
        <f t="shared" si="2"/>
        <v>#N/A</v>
      </c>
      <c r="F73" s="120" t="str">
        <f>VLOOKUP(A73,'Classement Général'!$B$2:$B$146,1,0)</f>
        <v>#N/A</v>
      </c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</row>
    <row r="74" ht="14.25" customHeight="1">
      <c r="A74" s="160"/>
      <c r="B74" s="156">
        <v>73.0</v>
      </c>
      <c r="C74" s="157">
        <f t="shared" si="1"/>
        <v>-431.0025068</v>
      </c>
      <c r="D74" s="158" t="str">
        <f>VLOOKUP(A74,'Classement RoC'!$B$2:$C$149,1,0)</f>
        <v>#N/A</v>
      </c>
      <c r="E74" s="163" t="str">
        <f t="shared" si="2"/>
        <v>#N/A</v>
      </c>
      <c r="F74" s="120" t="str">
        <f>VLOOKUP(A74,'Classement Général'!$B$2:$B$146,1,0)</f>
        <v>#N/A</v>
      </c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</row>
    <row r="75" ht="14.25" customHeight="1">
      <c r="A75" s="160"/>
      <c r="B75" s="161">
        <v>74.0</v>
      </c>
      <c r="C75" s="157">
        <f t="shared" si="1"/>
        <v>-441.470618</v>
      </c>
      <c r="D75" s="158" t="str">
        <f>VLOOKUP(A75,'Classement RoC'!$B$2:$C$149,1,0)</f>
        <v>#N/A</v>
      </c>
      <c r="E75" s="163" t="str">
        <f t="shared" si="2"/>
        <v>#N/A</v>
      </c>
      <c r="F75" s="120" t="str">
        <f>VLOOKUP(A75,'Classement Général'!$B$2:$B$146,1,0)</f>
        <v>#N/A</v>
      </c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4"/>
      <c r="R75" s="154"/>
      <c r="S75" s="154"/>
      <c r="T75" s="154"/>
      <c r="U75" s="154"/>
      <c r="V75" s="154"/>
      <c r="W75" s="154"/>
      <c r="X75" s="154"/>
      <c r="Y75" s="154"/>
      <c r="Z75" s="154"/>
    </row>
    <row r="76" ht="14.25" customHeight="1">
      <c r="A76" s="160"/>
      <c r="B76" s="156">
        <v>75.0</v>
      </c>
      <c r="C76" s="157">
        <f t="shared" si="1"/>
        <v>-451.8832995</v>
      </c>
      <c r="D76" s="158" t="str">
        <f>VLOOKUP(A76,'Classement RoC'!$B$2:$C$149,1,0)</f>
        <v>#N/A</v>
      </c>
      <c r="E76" s="163" t="str">
        <f t="shared" si="2"/>
        <v>#N/A</v>
      </c>
      <c r="F76" s="120" t="str">
        <f>VLOOKUP(A76,'Classement Général'!$B$2:$B$146,1,0)</f>
        <v>#N/A</v>
      </c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4"/>
      <c r="R76" s="154"/>
      <c r="S76" s="154"/>
      <c r="T76" s="154"/>
      <c r="U76" s="154"/>
      <c r="V76" s="154"/>
      <c r="W76" s="154"/>
      <c r="X76" s="154"/>
      <c r="Y76" s="154"/>
      <c r="Z76" s="154"/>
    </row>
    <row r="77" ht="14.25" customHeight="1">
      <c r="A77" s="160"/>
      <c r="B77" s="161">
        <v>76.0</v>
      </c>
      <c r="C77" s="157">
        <f t="shared" si="1"/>
        <v>-462.2418039</v>
      </c>
      <c r="D77" s="158" t="str">
        <f>VLOOKUP(A77,'Classement RoC'!$B$2:$C$149,1,0)</f>
        <v>#N/A</v>
      </c>
      <c r="E77" s="163" t="str">
        <f t="shared" si="2"/>
        <v>#N/A</v>
      </c>
      <c r="F77" s="120" t="str">
        <f>VLOOKUP(A77,'Classement Général'!$B$2:$B$146,1,0)</f>
        <v>#N/A</v>
      </c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4"/>
      <c r="R77" s="154"/>
      <c r="S77" s="154"/>
      <c r="T77" s="154"/>
      <c r="U77" s="154"/>
      <c r="V77" s="154"/>
      <c r="W77" s="154"/>
      <c r="X77" s="154"/>
      <c r="Y77" s="154"/>
      <c r="Z77" s="154"/>
    </row>
    <row r="78" ht="14.25" customHeight="1">
      <c r="A78" s="160"/>
      <c r="B78" s="156">
        <v>77.0</v>
      </c>
      <c r="C78" s="157">
        <f t="shared" si="1"/>
        <v>-472.5473373</v>
      </c>
      <c r="D78" s="158" t="str">
        <f>VLOOKUP(A78,'Classement RoC'!$B$2:$C$149,1,0)</f>
        <v>#N/A</v>
      </c>
      <c r="E78" s="163" t="str">
        <f t="shared" si="2"/>
        <v>#N/A</v>
      </c>
      <c r="F78" s="120" t="str">
        <f>VLOOKUP(A78,'Classement Général'!$B$2:$B$146,1,0)</f>
        <v>#N/A</v>
      </c>
      <c r="G78" s="154"/>
      <c r="H78" s="154"/>
      <c r="I78" s="154"/>
      <c r="J78" s="154"/>
      <c r="K78" s="154"/>
      <c r="L78" s="154"/>
      <c r="M78" s="154"/>
      <c r="N78" s="154"/>
      <c r="O78" s="154"/>
      <c r="P78" s="154"/>
      <c r="Q78" s="154"/>
      <c r="R78" s="154"/>
      <c r="S78" s="154"/>
      <c r="T78" s="154"/>
      <c r="U78" s="154"/>
      <c r="V78" s="154"/>
      <c r="W78" s="154"/>
      <c r="X78" s="154"/>
      <c r="Y78" s="154"/>
      <c r="Z78" s="154"/>
    </row>
    <row r="79" ht="14.25" customHeight="1">
      <c r="A79" s="160"/>
      <c r="B79" s="161">
        <v>78.0</v>
      </c>
      <c r="C79" s="157">
        <f t="shared" si="1"/>
        <v>-482.8010616</v>
      </c>
      <c r="D79" s="158" t="str">
        <f>VLOOKUP(A79,'Classement RoC'!$B$2:$C$149,1,0)</f>
        <v>#N/A</v>
      </c>
      <c r="E79" s="163" t="str">
        <f t="shared" si="2"/>
        <v>#N/A</v>
      </c>
      <c r="F79" s="120" t="str">
        <f>VLOOKUP(A79,'Classement Général'!$B$2:$B$146,1,0)</f>
        <v>#N/A</v>
      </c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54"/>
      <c r="S79" s="154"/>
      <c r="T79" s="154"/>
      <c r="U79" s="154"/>
      <c r="V79" s="154"/>
      <c r="W79" s="154"/>
      <c r="X79" s="154"/>
      <c r="Y79" s="154"/>
      <c r="Z79" s="154"/>
    </row>
    <row r="80" ht="14.25" customHeight="1">
      <c r="A80" s="160"/>
      <c r="B80" s="156">
        <v>79.0</v>
      </c>
      <c r="C80" s="157">
        <f t="shared" si="1"/>
        <v>-493.0040965</v>
      </c>
      <c r="D80" s="158" t="str">
        <f>VLOOKUP(A80,'Classement RoC'!$B$2:$C$149,1,0)</f>
        <v>#N/A</v>
      </c>
      <c r="E80" s="163" t="str">
        <f t="shared" si="2"/>
        <v>#N/A</v>
      </c>
      <c r="F80" s="120" t="str">
        <f>VLOOKUP(A80,'Classement Général'!$B$2:$B$146,1,0)</f>
        <v>#N/A</v>
      </c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154"/>
      <c r="S80" s="154"/>
      <c r="T80" s="154"/>
      <c r="U80" s="154"/>
      <c r="V80" s="154"/>
      <c r="W80" s="154"/>
      <c r="X80" s="154"/>
      <c r="Y80" s="154"/>
      <c r="Z80" s="154"/>
    </row>
    <row r="81" ht="14.25" customHeight="1">
      <c r="A81" s="160"/>
      <c r="B81" s="161">
        <v>80.0</v>
      </c>
      <c r="C81" s="157">
        <f t="shared" si="1"/>
        <v>-503.1575215</v>
      </c>
      <c r="D81" s="158" t="str">
        <f>VLOOKUP(A81,'Classement RoC'!$B$2:$C$149,1,0)</f>
        <v>#N/A</v>
      </c>
      <c r="E81" s="163" t="str">
        <f t="shared" si="2"/>
        <v>#N/A</v>
      </c>
      <c r="F81" s="120" t="str">
        <f>VLOOKUP(A81,'Classement Général'!$B$2:$B$146,1,0)</f>
        <v>#N/A</v>
      </c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154"/>
      <c r="S81" s="154"/>
      <c r="T81" s="154"/>
      <c r="U81" s="154"/>
      <c r="V81" s="154"/>
      <c r="W81" s="154"/>
      <c r="X81" s="154"/>
      <c r="Y81" s="154"/>
      <c r="Z81" s="154"/>
    </row>
    <row r="82" ht="14.25" customHeight="1">
      <c r="A82" s="160"/>
      <c r="B82" s="156">
        <v>81.0</v>
      </c>
      <c r="C82" s="157">
        <f t="shared" si="1"/>
        <v>-513.2623784</v>
      </c>
      <c r="D82" s="158" t="str">
        <f>VLOOKUP(A82,'Classement RoC'!$B$2:$C$149,1,0)</f>
        <v>#N/A</v>
      </c>
      <c r="E82" s="163" t="str">
        <f t="shared" si="2"/>
        <v>#N/A</v>
      </c>
      <c r="F82" s="120" t="str">
        <f>VLOOKUP(A82,'Classement Général'!$B$2:$B$146,1,0)</f>
        <v>#N/A</v>
      </c>
      <c r="G82" s="154"/>
      <c r="H82" s="154"/>
      <c r="I82" s="154"/>
      <c r="J82" s="154"/>
      <c r="K82" s="154"/>
      <c r="L82" s="154"/>
      <c r="M82" s="154"/>
      <c r="N82" s="154"/>
      <c r="O82" s="154"/>
      <c r="P82" s="154"/>
      <c r="Q82" s="154"/>
      <c r="R82" s="154"/>
      <c r="S82" s="154"/>
      <c r="T82" s="154"/>
      <c r="U82" s="154"/>
      <c r="V82" s="154"/>
      <c r="W82" s="154"/>
      <c r="X82" s="154"/>
      <c r="Y82" s="154"/>
      <c r="Z82" s="154"/>
    </row>
    <row r="83" ht="14.25" customHeight="1">
      <c r="A83" s="160"/>
      <c r="B83" s="161">
        <v>82.0</v>
      </c>
      <c r="C83" s="157">
        <f t="shared" si="1"/>
        <v>-523.3196726</v>
      </c>
      <c r="D83" s="158" t="str">
        <f>VLOOKUP(A83,'Classement RoC'!$B$2:$C$149,1,0)</f>
        <v>#N/A</v>
      </c>
      <c r="E83" s="163" t="str">
        <f t="shared" si="2"/>
        <v>#N/A</v>
      </c>
      <c r="F83" s="120" t="str">
        <f>VLOOKUP(A83,'Classement Général'!$B$2:$B$146,1,0)</f>
        <v>#N/A</v>
      </c>
      <c r="G83" s="154"/>
      <c r="H83" s="154"/>
      <c r="I83" s="154"/>
      <c r="J83" s="154"/>
      <c r="K83" s="154"/>
      <c r="L83" s="154"/>
      <c r="M83" s="154"/>
      <c r="N83" s="154"/>
      <c r="O83" s="154"/>
      <c r="P83" s="154"/>
      <c r="Q83" s="154"/>
      <c r="R83" s="154"/>
      <c r="S83" s="154"/>
      <c r="T83" s="154"/>
      <c r="U83" s="154"/>
      <c r="V83" s="154"/>
      <c r="W83" s="154"/>
      <c r="X83" s="154"/>
      <c r="Y83" s="154"/>
      <c r="Z83" s="154"/>
    </row>
    <row r="84" ht="14.25" customHeight="1">
      <c r="A84" s="160"/>
      <c r="B84" s="156">
        <v>83.0</v>
      </c>
      <c r="C84" s="157">
        <f t="shared" si="1"/>
        <v>-533.330375</v>
      </c>
      <c r="D84" s="158" t="str">
        <f>VLOOKUP(A84,'Classement RoC'!$B$2:$C$149,1,0)</f>
        <v>#N/A</v>
      </c>
      <c r="E84" s="163" t="str">
        <f t="shared" si="2"/>
        <v>#N/A</v>
      </c>
      <c r="F84" s="120" t="str">
        <f>VLOOKUP(A84,'Classement Général'!$B$2:$B$146,1,0)</f>
        <v>#N/A</v>
      </c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</row>
    <row r="85" ht="14.25" customHeight="1">
      <c r="A85" s="160"/>
      <c r="B85" s="161">
        <v>84.0</v>
      </c>
      <c r="C85" s="157">
        <f t="shared" si="1"/>
        <v>-543.2954236</v>
      </c>
      <c r="D85" s="158" t="str">
        <f>VLOOKUP(A85,'Classement RoC'!$B$2:$C$149,1,0)</f>
        <v>#N/A</v>
      </c>
      <c r="E85" s="163" t="str">
        <f t="shared" si="2"/>
        <v>#N/A</v>
      </c>
      <c r="F85" s="120" t="str">
        <f>VLOOKUP(A85,'Classement Général'!$B$2:$B$146,1,0)</f>
        <v>#N/A</v>
      </c>
      <c r="G85" s="154"/>
      <c r="H85" s="154"/>
      <c r="I85" s="154"/>
      <c r="J85" s="154"/>
      <c r="K85" s="154"/>
      <c r="L85" s="154"/>
      <c r="M85" s="154"/>
      <c r="N85" s="154"/>
      <c r="O85" s="154"/>
      <c r="P85" s="154"/>
      <c r="Q85" s="154"/>
      <c r="R85" s="154"/>
      <c r="S85" s="154"/>
      <c r="T85" s="154"/>
      <c r="U85" s="154"/>
      <c r="V85" s="154"/>
      <c r="W85" s="154"/>
      <c r="X85" s="154"/>
      <c r="Y85" s="154"/>
      <c r="Z85" s="154"/>
    </row>
    <row r="86" ht="14.25" customHeight="1">
      <c r="A86" s="160"/>
      <c r="B86" s="156">
        <v>85.0</v>
      </c>
      <c r="C86" s="157">
        <f t="shared" si="1"/>
        <v>-553.215725</v>
      </c>
      <c r="D86" s="158" t="str">
        <f>VLOOKUP(A86,'Classement RoC'!$B$2:$C$149,1,0)</f>
        <v>#N/A</v>
      </c>
      <c r="E86" s="163" t="str">
        <f t="shared" si="2"/>
        <v>#N/A</v>
      </c>
      <c r="F86" s="120" t="str">
        <f>VLOOKUP(A86,'Classement Général'!$B$2:$B$146,1,0)</f>
        <v>#N/A</v>
      </c>
      <c r="G86" s="154"/>
      <c r="H86" s="154"/>
      <c r="I86" s="154"/>
      <c r="J86" s="154"/>
      <c r="K86" s="154"/>
      <c r="L86" s="154"/>
      <c r="M86" s="154"/>
      <c r="N86" s="154"/>
      <c r="O86" s="154"/>
      <c r="P86" s="154"/>
      <c r="Q86" s="154"/>
      <c r="R86" s="154"/>
      <c r="S86" s="154"/>
      <c r="T86" s="154"/>
      <c r="U86" s="154"/>
      <c r="V86" s="154"/>
      <c r="W86" s="154"/>
      <c r="X86" s="154"/>
      <c r="Y86" s="154"/>
      <c r="Z86" s="154"/>
    </row>
    <row r="87" ht="14.25" customHeight="1">
      <c r="A87" s="160"/>
      <c r="B87" s="161">
        <v>86.0</v>
      </c>
      <c r="C87" s="157">
        <f t="shared" si="1"/>
        <v>-563.092156</v>
      </c>
      <c r="D87" s="158" t="str">
        <f>VLOOKUP(A87,'Classement RoC'!$B$2:$C$149,1,0)</f>
        <v>#N/A</v>
      </c>
      <c r="E87" s="163" t="str">
        <f t="shared" si="2"/>
        <v>#N/A</v>
      </c>
      <c r="F87" s="120" t="str">
        <f>VLOOKUP(A87,'Classement Général'!$B$2:$B$146,1,0)</f>
        <v>#N/A</v>
      </c>
      <c r="G87" s="154"/>
      <c r="H87" s="154"/>
      <c r="I87" s="154"/>
      <c r="J87" s="154"/>
      <c r="K87" s="154"/>
      <c r="L87" s="154"/>
      <c r="M87" s="154"/>
      <c r="N87" s="154"/>
      <c r="O87" s="154"/>
      <c r="P87" s="154"/>
      <c r="Q87" s="154"/>
      <c r="R87" s="154"/>
      <c r="S87" s="154"/>
      <c r="T87" s="154"/>
      <c r="U87" s="154"/>
      <c r="V87" s="154"/>
      <c r="W87" s="154"/>
      <c r="X87" s="154"/>
      <c r="Y87" s="154"/>
      <c r="Z87" s="154"/>
    </row>
    <row r="88" ht="14.25" customHeight="1">
      <c r="A88" s="160"/>
      <c r="B88" s="156">
        <v>87.0</v>
      </c>
      <c r="C88" s="157">
        <f t="shared" si="1"/>
        <v>-572.9255648</v>
      </c>
      <c r="D88" s="158" t="str">
        <f>VLOOKUP(A88,'Classement RoC'!$B$2:$C$149,1,0)</f>
        <v>#N/A</v>
      </c>
      <c r="E88" s="163" t="str">
        <f t="shared" si="2"/>
        <v>#N/A</v>
      </c>
      <c r="F88" s="120" t="str">
        <f>VLOOKUP(A88,'Classement Général'!$B$2:$B$146,1,0)</f>
        <v>#N/A</v>
      </c>
      <c r="G88" s="154"/>
      <c r="H88" s="154"/>
      <c r="I88" s="154"/>
      <c r="J88" s="154"/>
      <c r="K88" s="154"/>
      <c r="L88" s="154"/>
      <c r="M88" s="154"/>
      <c r="N88" s="154"/>
      <c r="O88" s="154"/>
      <c r="P88" s="154"/>
      <c r="Q88" s="154"/>
      <c r="R88" s="154"/>
      <c r="S88" s="154"/>
      <c r="T88" s="154"/>
      <c r="U88" s="154"/>
      <c r="V88" s="154"/>
      <c r="W88" s="154"/>
      <c r="X88" s="154"/>
      <c r="Y88" s="154"/>
      <c r="Z88" s="154"/>
    </row>
    <row r="89" ht="14.25" customHeight="1">
      <c r="A89" s="160"/>
      <c r="B89" s="161">
        <v>88.0</v>
      </c>
      <c r="C89" s="157">
        <f t="shared" si="1"/>
        <v>-582.7167721</v>
      </c>
      <c r="D89" s="158" t="str">
        <f>VLOOKUP(A89,'Classement RoC'!$B$2:$C$149,1,0)</f>
        <v>#N/A</v>
      </c>
      <c r="E89" s="163" t="str">
        <f t="shared" si="2"/>
        <v>#N/A</v>
      </c>
      <c r="F89" s="120" t="str">
        <f>VLOOKUP(A89,'Classement Général'!$B$2:$B$146,1,0)</f>
        <v>#N/A</v>
      </c>
      <c r="G89" s="154"/>
      <c r="H89" s="154"/>
      <c r="I89" s="154"/>
      <c r="J89" s="154"/>
      <c r="K89" s="154"/>
      <c r="L89" s="154"/>
      <c r="M89" s="154"/>
      <c r="N89" s="154"/>
      <c r="O89" s="154"/>
      <c r="P89" s="154"/>
      <c r="Q89" s="154"/>
      <c r="R89" s="154"/>
      <c r="S89" s="154"/>
      <c r="T89" s="154"/>
      <c r="U89" s="154"/>
      <c r="V89" s="154"/>
      <c r="W89" s="154"/>
      <c r="X89" s="154"/>
      <c r="Y89" s="154"/>
      <c r="Z89" s="154"/>
    </row>
    <row r="90" ht="14.25" customHeight="1">
      <c r="A90" s="160"/>
      <c r="B90" s="156">
        <v>89.0</v>
      </c>
      <c r="C90" s="157">
        <f t="shared" si="1"/>
        <v>-592.4665728</v>
      </c>
      <c r="D90" s="158" t="str">
        <f>VLOOKUP(A90,'Classement RoC'!$B$2:$C$149,1,0)</f>
        <v>#N/A</v>
      </c>
      <c r="E90" s="163" t="str">
        <f t="shared" si="2"/>
        <v>#N/A</v>
      </c>
      <c r="F90" s="120" t="str">
        <f>VLOOKUP(A90,'Classement Général'!$B$2:$B$146,1,0)</f>
        <v>#N/A</v>
      </c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154"/>
      <c r="X90" s="154"/>
      <c r="Y90" s="154"/>
      <c r="Z90" s="154"/>
    </row>
    <row r="91" ht="14.25" customHeight="1">
      <c r="A91" s="160"/>
      <c r="B91" s="161">
        <v>90.0</v>
      </c>
      <c r="C91" s="157">
        <f t="shared" si="1"/>
        <v>-602.1757367</v>
      </c>
      <c r="D91" s="158" t="str">
        <f>VLOOKUP(A91,'Classement RoC'!$B$2:$C$149,1,0)</f>
        <v>#N/A</v>
      </c>
      <c r="E91" s="163" t="str">
        <f t="shared" si="2"/>
        <v>#N/A</v>
      </c>
      <c r="F91" s="120" t="str">
        <f>VLOOKUP(A91,'Classement Général'!$B$2:$B$146,1,0)</f>
        <v>#N/A</v>
      </c>
      <c r="G91" s="154"/>
      <c r="H91" s="154"/>
      <c r="I91" s="154"/>
      <c r="J91" s="154"/>
      <c r="K91" s="154"/>
      <c r="L91" s="154"/>
      <c r="M91" s="154"/>
      <c r="N91" s="154"/>
      <c r="O91" s="154"/>
      <c r="P91" s="154"/>
      <c r="Q91" s="154"/>
      <c r="R91" s="154"/>
      <c r="S91" s="154"/>
      <c r="T91" s="154"/>
      <c r="U91" s="154"/>
      <c r="V91" s="154"/>
      <c r="W91" s="154"/>
      <c r="X91" s="154"/>
      <c r="Y91" s="154"/>
      <c r="Z91" s="154"/>
    </row>
    <row r="92" ht="14.25" customHeight="1">
      <c r="A92" s="160"/>
      <c r="B92" s="156">
        <v>91.0</v>
      </c>
      <c r="C92" s="157">
        <f t="shared" si="1"/>
        <v>-611.8450095</v>
      </c>
      <c r="D92" s="158" t="str">
        <f>VLOOKUP(A92,'Classement RoC'!$B$2:$C$149,1,0)</f>
        <v>#N/A</v>
      </c>
      <c r="E92" s="163" t="str">
        <f t="shared" si="2"/>
        <v>#N/A</v>
      </c>
      <c r="F92" s="120" t="str">
        <f>VLOOKUP(A92,'Classement Général'!$B$2:$B$146,1,0)</f>
        <v>#N/A</v>
      </c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54"/>
      <c r="X92" s="154"/>
      <c r="Y92" s="154"/>
      <c r="Z92" s="154"/>
    </row>
    <row r="93" ht="14.25" customHeight="1">
      <c r="A93" s="160"/>
      <c r="B93" s="161">
        <v>92.0</v>
      </c>
      <c r="C93" s="157">
        <f t="shared" si="1"/>
        <v>-621.4751145</v>
      </c>
      <c r="D93" s="158" t="str">
        <f>VLOOKUP(A93,'Classement RoC'!$B$2:$C$149,1,0)</f>
        <v>#N/A</v>
      </c>
      <c r="E93" s="163" t="str">
        <f t="shared" si="2"/>
        <v>#N/A</v>
      </c>
      <c r="F93" s="120" t="str">
        <f>VLOOKUP(A93,'Classement Général'!$B$2:$B$146,1,0)</f>
        <v>#N/A</v>
      </c>
      <c r="G93" s="154"/>
      <c r="H93" s="154"/>
      <c r="I93" s="154"/>
      <c r="J93" s="154"/>
      <c r="K93" s="154"/>
      <c r="L93" s="154"/>
      <c r="M93" s="154"/>
      <c r="N93" s="154"/>
      <c r="O93" s="154"/>
      <c r="P93" s="154"/>
      <c r="Q93" s="154"/>
      <c r="R93" s="154"/>
      <c r="S93" s="154"/>
      <c r="T93" s="154"/>
      <c r="U93" s="154"/>
      <c r="V93" s="154"/>
      <c r="W93" s="154"/>
      <c r="X93" s="154"/>
      <c r="Y93" s="154"/>
      <c r="Z93" s="154"/>
    </row>
    <row r="94" ht="14.25" customHeight="1">
      <c r="A94" s="160"/>
      <c r="B94" s="156">
        <v>93.0</v>
      </c>
      <c r="C94" s="157">
        <f t="shared" si="1"/>
        <v>-631.0667526</v>
      </c>
      <c r="D94" s="158" t="str">
        <f>VLOOKUP(A94,'Classement RoC'!$B$2:$C$149,1,0)</f>
        <v>#N/A</v>
      </c>
      <c r="E94" s="163" t="str">
        <f t="shared" si="2"/>
        <v>#N/A</v>
      </c>
      <c r="F94" s="120" t="str">
        <f>VLOOKUP(A94,'Classement Général'!$B$2:$B$146,1,0)</f>
        <v>#N/A</v>
      </c>
      <c r="G94" s="154"/>
      <c r="H94" s="154"/>
      <c r="I94" s="154"/>
      <c r="J94" s="154"/>
      <c r="K94" s="154"/>
      <c r="L94" s="154"/>
      <c r="M94" s="154"/>
      <c r="N94" s="154"/>
      <c r="O94" s="154"/>
      <c r="P94" s="154"/>
      <c r="Q94" s="154"/>
      <c r="R94" s="154"/>
      <c r="S94" s="154"/>
      <c r="T94" s="154"/>
      <c r="U94" s="154"/>
      <c r="V94" s="154"/>
      <c r="W94" s="154"/>
      <c r="X94" s="154"/>
      <c r="Y94" s="154"/>
      <c r="Z94" s="154"/>
    </row>
    <row r="95" ht="14.25" customHeight="1">
      <c r="A95" s="160"/>
      <c r="B95" s="161">
        <v>94.0</v>
      </c>
      <c r="C95" s="157">
        <f t="shared" si="1"/>
        <v>-640.6206041</v>
      </c>
      <c r="D95" s="158" t="str">
        <f>VLOOKUP(A95,'Classement RoC'!$B$2:$C$149,1,0)</f>
        <v>#N/A</v>
      </c>
      <c r="E95" s="163" t="str">
        <f t="shared" si="2"/>
        <v>#N/A</v>
      </c>
      <c r="F95" s="120" t="str">
        <f>VLOOKUP(A95,'Classement Général'!$B$2:$B$146,1,0)</f>
        <v>#N/A</v>
      </c>
      <c r="G95" s="154"/>
      <c r="H95" s="154"/>
      <c r="I95" s="154"/>
      <c r="J95" s="154"/>
      <c r="K95" s="154"/>
      <c r="L95" s="154"/>
      <c r="M95" s="154"/>
      <c r="N95" s="154"/>
      <c r="O95" s="154"/>
      <c r="P95" s="154"/>
      <c r="Q95" s="154"/>
      <c r="R95" s="154"/>
      <c r="S95" s="154"/>
      <c r="T95" s="154"/>
      <c r="U95" s="154"/>
      <c r="V95" s="154"/>
      <c r="W95" s="154"/>
      <c r="X95" s="154"/>
      <c r="Y95" s="154"/>
      <c r="Z95" s="154"/>
    </row>
    <row r="96" ht="14.25" customHeight="1">
      <c r="A96" s="160"/>
      <c r="B96" s="156">
        <v>95.0</v>
      </c>
      <c r="C96" s="157">
        <f t="shared" si="1"/>
        <v>-650.1373289</v>
      </c>
      <c r="D96" s="158" t="str">
        <f>VLOOKUP(A96,'Classement RoC'!$B$2:$C$149,1,0)</f>
        <v>#N/A</v>
      </c>
      <c r="E96" s="163" t="str">
        <f t="shared" si="2"/>
        <v>#N/A</v>
      </c>
      <c r="F96" s="120" t="str">
        <f>VLOOKUP(A96,'Classement Général'!$B$2:$B$146,1,0)</f>
        <v>#N/A</v>
      </c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4"/>
      <c r="R96" s="154"/>
      <c r="S96" s="154"/>
      <c r="T96" s="154"/>
      <c r="U96" s="154"/>
      <c r="V96" s="154"/>
      <c r="W96" s="154"/>
      <c r="X96" s="154"/>
      <c r="Y96" s="154"/>
      <c r="Z96" s="154"/>
    </row>
    <row r="97" ht="14.25" customHeight="1">
      <c r="A97" s="160"/>
      <c r="B97" s="161">
        <v>96.0</v>
      </c>
      <c r="C97" s="157">
        <f t="shared" si="1"/>
        <v>-659.6175677</v>
      </c>
      <c r="D97" s="158" t="str">
        <f>VLOOKUP(A97,'Classement RoC'!$B$2:$C$149,1,0)</f>
        <v>#N/A</v>
      </c>
      <c r="E97" s="163" t="str">
        <f t="shared" si="2"/>
        <v>#N/A</v>
      </c>
      <c r="F97" s="120" t="str">
        <f>VLOOKUP(A97,'Classement Général'!$B$2:$B$146,1,0)</f>
        <v>#N/A</v>
      </c>
      <c r="G97" s="154"/>
      <c r="H97" s="154"/>
      <c r="I97" s="154"/>
      <c r="J97" s="154"/>
      <c r="K97" s="154"/>
      <c r="L97" s="154"/>
      <c r="M97" s="154"/>
      <c r="N97" s="154"/>
      <c r="O97" s="154"/>
      <c r="P97" s="154"/>
      <c r="Q97" s="154"/>
      <c r="R97" s="154"/>
      <c r="S97" s="154"/>
      <c r="T97" s="154"/>
      <c r="U97" s="154"/>
      <c r="V97" s="154"/>
      <c r="W97" s="154"/>
      <c r="X97" s="154"/>
      <c r="Y97" s="154"/>
      <c r="Z97" s="154"/>
    </row>
    <row r="98" ht="14.25" customHeight="1">
      <c r="A98" s="160"/>
      <c r="B98" s="156">
        <v>97.0</v>
      </c>
      <c r="C98" s="157">
        <f t="shared" si="1"/>
        <v>-669.0619426</v>
      </c>
      <c r="D98" s="158" t="str">
        <f>VLOOKUP(A98,'Classement RoC'!$B$2:$C$149,1,0)</f>
        <v>#N/A</v>
      </c>
      <c r="E98" s="163" t="str">
        <f t="shared" si="2"/>
        <v>#N/A</v>
      </c>
      <c r="F98" s="120" t="str">
        <f>VLOOKUP(A98,'Classement Général'!$B$2:$B$146,1,0)</f>
        <v>#N/A</v>
      </c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54"/>
      <c r="S98" s="154"/>
      <c r="T98" s="154"/>
      <c r="U98" s="154"/>
      <c r="V98" s="154"/>
      <c r="W98" s="154"/>
      <c r="X98" s="154"/>
      <c r="Y98" s="154"/>
      <c r="Z98" s="154"/>
    </row>
    <row r="99" ht="14.25" customHeight="1">
      <c r="A99" s="160"/>
      <c r="B99" s="161">
        <v>98.0</v>
      </c>
      <c r="C99" s="157">
        <f t="shared" si="1"/>
        <v>-678.4710581</v>
      </c>
      <c r="D99" s="158" t="str">
        <f>VLOOKUP(A99,'Classement RoC'!$B$2:$C$149,1,0)</f>
        <v>#N/A</v>
      </c>
      <c r="E99" s="163" t="str">
        <f t="shared" si="2"/>
        <v>#N/A</v>
      </c>
      <c r="F99" s="120" t="str">
        <f>VLOOKUP(A99,'Classement Général'!$B$2:$B$146,1,0)</f>
        <v>#N/A</v>
      </c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54"/>
      <c r="S99" s="154"/>
      <c r="T99" s="154"/>
      <c r="U99" s="154"/>
      <c r="V99" s="154"/>
      <c r="W99" s="154"/>
      <c r="X99" s="154"/>
      <c r="Y99" s="154"/>
      <c r="Z99" s="154"/>
    </row>
    <row r="100" ht="14.25" customHeight="1">
      <c r="A100" s="160"/>
      <c r="B100" s="156">
        <v>99.0</v>
      </c>
      <c r="C100" s="157">
        <f t="shared" si="1"/>
        <v>-687.8455013</v>
      </c>
      <c r="D100" s="158" t="str">
        <f>VLOOKUP(A100,'Classement RoC'!$B$2:$C$149,1,0)</f>
        <v>#N/A</v>
      </c>
      <c r="E100" s="163" t="str">
        <f t="shared" si="2"/>
        <v>#N/A</v>
      </c>
      <c r="F100" s="120" t="str">
        <f>VLOOKUP(A100,'Classement Général'!$B$2:$B$146,1,0)</f>
        <v>#N/A</v>
      </c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154"/>
      <c r="S100" s="154"/>
      <c r="T100" s="154"/>
      <c r="U100" s="154"/>
      <c r="V100" s="154"/>
      <c r="W100" s="154"/>
      <c r="X100" s="154"/>
      <c r="Y100" s="154"/>
      <c r="Z100" s="154"/>
    </row>
    <row r="101" ht="14.25" customHeight="1">
      <c r="A101" s="160"/>
      <c r="B101" s="161">
        <v>100.0</v>
      </c>
      <c r="C101" s="157">
        <f t="shared" si="1"/>
        <v>-697.185843</v>
      </c>
      <c r="D101" s="158" t="str">
        <f>VLOOKUP(A101,'Classement RoC'!$B$2:$C$149,1,0)</f>
        <v>#N/A</v>
      </c>
      <c r="E101" s="163" t="str">
        <f t="shared" si="2"/>
        <v>#N/A</v>
      </c>
      <c r="F101" s="120" t="str">
        <f>VLOOKUP(A101,'Classement Général'!$B$2:$B$146,1,0)</f>
        <v>#N/A</v>
      </c>
      <c r="G101" s="154"/>
      <c r="H101" s="154"/>
      <c r="I101" s="154"/>
      <c r="J101" s="154"/>
      <c r="K101" s="154"/>
      <c r="L101" s="154"/>
      <c r="M101" s="154"/>
      <c r="N101" s="154"/>
      <c r="O101" s="154"/>
      <c r="P101" s="154"/>
      <c r="Q101" s="154"/>
      <c r="R101" s="154"/>
      <c r="S101" s="154"/>
      <c r="T101" s="154"/>
      <c r="U101" s="154"/>
      <c r="V101" s="154"/>
      <c r="W101" s="154"/>
      <c r="X101" s="154"/>
      <c r="Y101" s="154"/>
      <c r="Z101" s="154"/>
    </row>
    <row r="102" ht="14.25" customHeight="1">
      <c r="A102" s="160"/>
      <c r="B102" s="156">
        <v>101.0</v>
      </c>
      <c r="C102" s="157">
        <f t="shared" si="1"/>
        <v>-706.4926384</v>
      </c>
      <c r="D102" s="158" t="str">
        <f>VLOOKUP(A102,'Classement RoC'!$B$2:$C$149,1,0)</f>
        <v>#N/A</v>
      </c>
      <c r="E102" s="163" t="str">
        <f t="shared" si="2"/>
        <v>#N/A</v>
      </c>
      <c r="F102" s="120" t="str">
        <f>VLOOKUP(A102,'Classement Général'!$B$2:$B$146,1,0)</f>
        <v>#N/A</v>
      </c>
      <c r="G102" s="154"/>
      <c r="H102" s="154"/>
      <c r="I102" s="154"/>
      <c r="J102" s="154"/>
      <c r="K102" s="154"/>
      <c r="L102" s="154"/>
      <c r="M102" s="154"/>
      <c r="N102" s="154"/>
      <c r="O102" s="154"/>
      <c r="P102" s="154"/>
      <c r="Q102" s="154"/>
      <c r="R102" s="154"/>
      <c r="S102" s="154"/>
      <c r="T102" s="154"/>
      <c r="U102" s="154"/>
      <c r="V102" s="154"/>
      <c r="W102" s="154"/>
      <c r="X102" s="154"/>
      <c r="Y102" s="154"/>
      <c r="Z102" s="154"/>
    </row>
    <row r="103" ht="14.25" customHeight="1">
      <c r="A103" s="160"/>
      <c r="B103" s="161">
        <v>102.0</v>
      </c>
      <c r="C103" s="157">
        <f t="shared" si="1"/>
        <v>-715.7664272</v>
      </c>
      <c r="D103" s="158" t="str">
        <f>VLOOKUP(A103,'Classement RoC'!$B$2:$C$149,1,0)</f>
        <v>#N/A</v>
      </c>
      <c r="E103" s="163" t="str">
        <f t="shared" si="2"/>
        <v>#N/A</v>
      </c>
      <c r="F103" s="120" t="str">
        <f>VLOOKUP(A103,'Classement Général'!$B$2:$B$146,1,0)</f>
        <v>#N/A</v>
      </c>
      <c r="G103" s="154"/>
      <c r="H103" s="154"/>
      <c r="I103" s="154"/>
      <c r="J103" s="154"/>
      <c r="K103" s="154"/>
      <c r="L103" s="154"/>
      <c r="M103" s="154"/>
      <c r="N103" s="154"/>
      <c r="O103" s="154"/>
      <c r="P103" s="154"/>
      <c r="Q103" s="154"/>
      <c r="R103" s="154"/>
      <c r="S103" s="154"/>
      <c r="T103" s="154"/>
      <c r="U103" s="154"/>
      <c r="V103" s="154"/>
      <c r="W103" s="154"/>
      <c r="X103" s="154"/>
      <c r="Y103" s="154"/>
      <c r="Z103" s="154"/>
    </row>
    <row r="104" ht="14.25" customHeight="1">
      <c r="A104" s="160"/>
      <c r="B104" s="156">
        <v>103.0</v>
      </c>
      <c r="C104" s="157">
        <f t="shared" si="1"/>
        <v>-725.0077345</v>
      </c>
      <c r="D104" s="158" t="str">
        <f>VLOOKUP(A104,'Classement RoC'!$B$2:$C$149,1,0)</f>
        <v>#N/A</v>
      </c>
      <c r="E104" s="163" t="str">
        <f t="shared" si="2"/>
        <v>#N/A</v>
      </c>
      <c r="F104" s="120" t="str">
        <f>VLOOKUP(A104,'Classement Général'!$B$2:$B$146,1,0)</f>
        <v>#N/A</v>
      </c>
      <c r="G104" s="154"/>
      <c r="H104" s="154"/>
      <c r="I104" s="154"/>
      <c r="J104" s="154"/>
      <c r="K104" s="154"/>
      <c r="L104" s="154"/>
      <c r="M104" s="154"/>
      <c r="N104" s="154"/>
      <c r="O104" s="154"/>
      <c r="P104" s="154"/>
      <c r="Q104" s="154"/>
      <c r="R104" s="154"/>
      <c r="S104" s="154"/>
      <c r="T104" s="154"/>
      <c r="U104" s="154"/>
      <c r="V104" s="154"/>
      <c r="W104" s="154"/>
      <c r="X104" s="154"/>
      <c r="Y104" s="154"/>
      <c r="Z104" s="154"/>
    </row>
    <row r="105" ht="14.25" customHeight="1">
      <c r="A105" s="160"/>
      <c r="B105" s="161">
        <v>104.0</v>
      </c>
      <c r="C105" s="157">
        <f t="shared" si="1"/>
        <v>-734.2170716</v>
      </c>
      <c r="D105" s="158" t="str">
        <f>VLOOKUP(A105,'Classement RoC'!$B$2:$C$149,1,0)</f>
        <v>#N/A</v>
      </c>
      <c r="E105" s="163" t="str">
        <f t="shared" si="2"/>
        <v>#N/A</v>
      </c>
      <c r="F105" s="120" t="str">
        <f>VLOOKUP(A105,'Classement Général'!$B$2:$B$146,1,0)</f>
        <v>#N/A</v>
      </c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154"/>
      <c r="S105" s="154"/>
      <c r="T105" s="154"/>
      <c r="U105" s="154"/>
      <c r="V105" s="154"/>
      <c r="W105" s="154"/>
      <c r="X105" s="154"/>
      <c r="Y105" s="154"/>
      <c r="Z105" s="154"/>
    </row>
    <row r="106" ht="14.25" customHeight="1">
      <c r="A106" s="160"/>
      <c r="B106" s="156">
        <v>105.0</v>
      </c>
      <c r="C106" s="157">
        <f t="shared" si="1"/>
        <v>-743.3949359</v>
      </c>
      <c r="D106" s="158" t="str">
        <f>VLOOKUP(A106,'Classement RoC'!$B$2:$C$149,1,0)</f>
        <v>#N/A</v>
      </c>
      <c r="E106" s="163" t="str">
        <f t="shared" si="2"/>
        <v>#N/A</v>
      </c>
      <c r="F106" s="120" t="str">
        <f>VLOOKUP(A106,'Classement Général'!$B$2:$B$146,1,0)</f>
        <v>#N/A</v>
      </c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154"/>
      <c r="S106" s="154"/>
      <c r="T106" s="154"/>
      <c r="U106" s="154"/>
      <c r="V106" s="154"/>
      <c r="W106" s="154"/>
      <c r="X106" s="154"/>
      <c r="Y106" s="154"/>
      <c r="Z106" s="154"/>
    </row>
    <row r="107" ht="14.25" customHeight="1">
      <c r="A107" s="160"/>
      <c r="B107" s="161">
        <v>106.0</v>
      </c>
      <c r="C107" s="157">
        <f t="shared" si="1"/>
        <v>-752.541812</v>
      </c>
      <c r="D107" s="158" t="str">
        <f>VLOOKUP(A107,'Classement RoC'!$B$2:$C$149,1,0)</f>
        <v>#N/A</v>
      </c>
      <c r="E107" s="163" t="str">
        <f t="shared" si="2"/>
        <v>#N/A</v>
      </c>
      <c r="F107" s="120" t="str">
        <f>VLOOKUP(A107,'Classement Général'!$B$2:$B$146,1,0)</f>
        <v>#N/A</v>
      </c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54"/>
      <c r="S107" s="154"/>
      <c r="T107" s="154"/>
      <c r="U107" s="154"/>
      <c r="V107" s="154"/>
      <c r="W107" s="154"/>
      <c r="X107" s="154"/>
      <c r="Y107" s="154"/>
      <c r="Z107" s="154"/>
    </row>
    <row r="108" ht="14.25" customHeight="1">
      <c r="A108" s="160"/>
      <c r="B108" s="156">
        <v>107.0</v>
      </c>
      <c r="C108" s="157">
        <f t="shared" si="1"/>
        <v>-761.6581718</v>
      </c>
      <c r="D108" s="158" t="str">
        <f>VLOOKUP(A108,'Classement RoC'!$B$2:$C$149,1,0)</f>
        <v>#N/A</v>
      </c>
      <c r="E108" s="163" t="str">
        <f t="shared" si="2"/>
        <v>#N/A</v>
      </c>
      <c r="F108" s="120" t="str">
        <f>VLOOKUP(A108,'Classement Général'!$B$2:$B$146,1,0)</f>
        <v>#N/A</v>
      </c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54"/>
      <c r="S108" s="154"/>
      <c r="T108" s="154"/>
      <c r="U108" s="154"/>
      <c r="V108" s="154"/>
      <c r="W108" s="154"/>
      <c r="X108" s="154"/>
      <c r="Y108" s="154"/>
      <c r="Z108" s="154"/>
    </row>
    <row r="109" ht="14.25" customHeight="1">
      <c r="A109" s="160"/>
      <c r="B109" s="161">
        <v>108.0</v>
      </c>
      <c r="C109" s="157">
        <f t="shared" si="1"/>
        <v>-770.744475</v>
      </c>
      <c r="D109" s="158" t="str">
        <f>VLOOKUP(A109,'Classement RoC'!$B$2:$C$149,1,0)</f>
        <v>#N/A</v>
      </c>
      <c r="E109" s="163" t="str">
        <f t="shared" si="2"/>
        <v>#N/A</v>
      </c>
      <c r="F109" s="120" t="str">
        <f>VLOOKUP(A109,'Classement Général'!$B$2:$B$146,1,0)</f>
        <v>#N/A</v>
      </c>
      <c r="G109" s="154"/>
      <c r="H109" s="154"/>
      <c r="I109" s="154"/>
      <c r="J109" s="154"/>
      <c r="K109" s="154"/>
      <c r="L109" s="154"/>
      <c r="M109" s="154"/>
      <c r="N109" s="154"/>
      <c r="O109" s="154"/>
      <c r="P109" s="154"/>
      <c r="Q109" s="154"/>
      <c r="R109" s="154"/>
      <c r="S109" s="154"/>
      <c r="T109" s="154"/>
      <c r="U109" s="154"/>
      <c r="V109" s="154"/>
      <c r="W109" s="154"/>
      <c r="X109" s="154"/>
      <c r="Y109" s="154"/>
      <c r="Z109" s="154"/>
    </row>
    <row r="110" ht="14.25" customHeight="1">
      <c r="A110" s="160"/>
      <c r="B110" s="156">
        <v>109.0</v>
      </c>
      <c r="C110" s="157">
        <f t="shared" si="1"/>
        <v>-779.8011697</v>
      </c>
      <c r="D110" s="158" t="str">
        <f>VLOOKUP(A110,'Classement RoC'!$B$2:$C$149,1,0)</f>
        <v>#N/A</v>
      </c>
      <c r="E110" s="163" t="str">
        <f t="shared" si="2"/>
        <v>#N/A</v>
      </c>
      <c r="F110" s="120" t="str">
        <f>VLOOKUP(A110,'Classement Général'!$B$2:$B$146,1,0)</f>
        <v>#N/A</v>
      </c>
      <c r="G110" s="154"/>
      <c r="H110" s="154"/>
      <c r="I110" s="154"/>
      <c r="J110" s="154"/>
      <c r="K110" s="154"/>
      <c r="L110" s="154"/>
      <c r="M110" s="154"/>
      <c r="N110" s="154"/>
      <c r="O110" s="154"/>
      <c r="P110" s="154"/>
      <c r="Q110" s="154"/>
      <c r="R110" s="154"/>
      <c r="S110" s="154"/>
      <c r="T110" s="154"/>
      <c r="U110" s="154"/>
      <c r="V110" s="154"/>
      <c r="W110" s="154"/>
      <c r="X110" s="154"/>
      <c r="Y110" s="154"/>
      <c r="Z110" s="154"/>
    </row>
    <row r="111" ht="14.25" customHeight="1">
      <c r="A111" s="160"/>
      <c r="B111" s="161">
        <v>110.0</v>
      </c>
      <c r="C111" s="157">
        <f t="shared" si="1"/>
        <v>-788.8286927</v>
      </c>
      <c r="D111" s="158" t="str">
        <f>VLOOKUP(A111,'Classement RoC'!$B$2:$C$149,1,0)</f>
        <v>#N/A</v>
      </c>
      <c r="E111" s="163" t="str">
        <f t="shared" si="2"/>
        <v>#N/A</v>
      </c>
      <c r="F111" s="120" t="str">
        <f>VLOOKUP(A111,'Classement Général'!$B$2:$B$146,1,0)</f>
        <v>#N/A</v>
      </c>
      <c r="G111" s="154"/>
      <c r="H111" s="154"/>
      <c r="I111" s="154"/>
      <c r="J111" s="154"/>
      <c r="K111" s="154"/>
      <c r="L111" s="154"/>
      <c r="M111" s="154"/>
      <c r="N111" s="154"/>
      <c r="O111" s="154"/>
      <c r="P111" s="154"/>
      <c r="Q111" s="154"/>
      <c r="R111" s="154"/>
      <c r="S111" s="154"/>
      <c r="T111" s="154"/>
      <c r="U111" s="154"/>
      <c r="V111" s="154"/>
      <c r="W111" s="154"/>
      <c r="X111" s="154"/>
      <c r="Y111" s="154"/>
      <c r="Z111" s="154"/>
    </row>
    <row r="112" ht="14.25" customHeight="1">
      <c r="A112" s="160"/>
      <c r="B112" s="156">
        <v>111.0</v>
      </c>
      <c r="C112" s="157">
        <f t="shared" si="1"/>
        <v>-797.8274699</v>
      </c>
      <c r="D112" s="158" t="str">
        <f>VLOOKUP(A112,'Classement RoC'!$B$2:$C$149,1,0)</f>
        <v>#N/A</v>
      </c>
      <c r="E112" s="163" t="str">
        <f t="shared" si="2"/>
        <v>#N/A</v>
      </c>
      <c r="F112" s="120" t="str">
        <f>VLOOKUP(A112,'Classement Général'!$B$2:$B$146,1,0)</f>
        <v>#N/A</v>
      </c>
      <c r="G112" s="154"/>
      <c r="H112" s="154"/>
      <c r="I112" s="154"/>
      <c r="J112" s="154"/>
      <c r="K112" s="154"/>
      <c r="L112" s="154"/>
      <c r="M112" s="154"/>
      <c r="N112" s="154"/>
      <c r="O112" s="154"/>
      <c r="P112" s="154"/>
      <c r="Q112" s="154"/>
      <c r="R112" s="154"/>
      <c r="S112" s="154"/>
      <c r="T112" s="154"/>
      <c r="U112" s="154"/>
      <c r="V112" s="154"/>
      <c r="W112" s="154"/>
      <c r="X112" s="154"/>
      <c r="Y112" s="154"/>
      <c r="Z112" s="154"/>
    </row>
    <row r="113" ht="14.25" customHeight="1">
      <c r="A113" s="160"/>
      <c r="B113" s="161">
        <v>112.0</v>
      </c>
      <c r="C113" s="157">
        <f t="shared" si="1"/>
        <v>-806.7979166</v>
      </c>
      <c r="D113" s="158" t="str">
        <f>VLOOKUP(A113,'Classement RoC'!$B$2:$C$149,1,0)</f>
        <v>#N/A</v>
      </c>
      <c r="E113" s="163" t="str">
        <f t="shared" si="2"/>
        <v>#N/A</v>
      </c>
      <c r="F113" s="120" t="str">
        <f>VLOOKUP(A113,'Classement Général'!$B$2:$B$146,1,0)</f>
        <v>#N/A</v>
      </c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154"/>
      <c r="S113" s="154"/>
      <c r="T113" s="154"/>
      <c r="U113" s="154"/>
      <c r="V113" s="154"/>
      <c r="W113" s="154"/>
      <c r="X113" s="154"/>
      <c r="Y113" s="154"/>
      <c r="Z113" s="154"/>
    </row>
    <row r="114" ht="14.25" customHeight="1">
      <c r="A114" s="160"/>
      <c r="B114" s="156">
        <v>113.0</v>
      </c>
      <c r="C114" s="157">
        <f t="shared" si="1"/>
        <v>-815.740438</v>
      </c>
      <c r="D114" s="158" t="str">
        <f>VLOOKUP(A114,'Classement RoC'!$B$2:$C$149,1,0)</f>
        <v>#N/A</v>
      </c>
      <c r="E114" s="163" t="str">
        <f t="shared" si="2"/>
        <v>#N/A</v>
      </c>
      <c r="F114" s="120" t="str">
        <f>VLOOKUP(A114,'Classement Général'!$B$2:$B$146,1,0)</f>
        <v>#N/A</v>
      </c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154"/>
      <c r="S114" s="154"/>
      <c r="T114" s="154"/>
      <c r="U114" s="154"/>
      <c r="V114" s="154"/>
      <c r="W114" s="154"/>
      <c r="X114" s="154"/>
      <c r="Y114" s="154"/>
      <c r="Z114" s="154"/>
    </row>
    <row r="115" ht="14.25" customHeight="1">
      <c r="A115" s="160"/>
      <c r="B115" s="161">
        <v>114.0</v>
      </c>
      <c r="C115" s="157">
        <f t="shared" si="1"/>
        <v>-824.6554295</v>
      </c>
      <c r="D115" s="158" t="str">
        <f>VLOOKUP(A115,'Classement RoC'!$B$2:$C$149,1,0)</f>
        <v>#N/A</v>
      </c>
      <c r="E115" s="163" t="str">
        <f t="shared" si="2"/>
        <v>#N/A</v>
      </c>
      <c r="F115" s="120" t="str">
        <f>VLOOKUP(A115,'Classement Général'!$B$2:$B$146,1,0)</f>
        <v>#N/A</v>
      </c>
      <c r="G115" s="154"/>
      <c r="H115" s="154"/>
      <c r="I115" s="154"/>
      <c r="J115" s="154"/>
      <c r="K115" s="154"/>
      <c r="L115" s="154"/>
      <c r="M115" s="154"/>
      <c r="N115" s="154"/>
      <c r="O115" s="154"/>
      <c r="P115" s="154"/>
      <c r="Q115" s="154"/>
      <c r="R115" s="154"/>
      <c r="S115" s="154"/>
      <c r="T115" s="154"/>
      <c r="U115" s="154"/>
      <c r="V115" s="154"/>
      <c r="W115" s="154"/>
      <c r="X115" s="154"/>
      <c r="Y115" s="154"/>
      <c r="Z115" s="154"/>
    </row>
    <row r="116" ht="14.25" customHeight="1">
      <c r="A116" s="160"/>
      <c r="B116" s="156">
        <v>115.0</v>
      </c>
      <c r="C116" s="157">
        <f t="shared" si="1"/>
        <v>-833.5432769</v>
      </c>
      <c r="D116" s="158" t="str">
        <f>VLOOKUP(A116,'Classement RoC'!$B$2:$C$149,1,0)</f>
        <v>#N/A</v>
      </c>
      <c r="E116" s="163" t="str">
        <f t="shared" si="2"/>
        <v>#N/A</v>
      </c>
      <c r="F116" s="120" t="str">
        <f>VLOOKUP(A116,'Classement Général'!$B$2:$B$146,1,0)</f>
        <v>#N/A</v>
      </c>
      <c r="G116" s="154"/>
      <c r="H116" s="154"/>
      <c r="I116" s="154"/>
      <c r="J116" s="154"/>
      <c r="K116" s="154"/>
      <c r="L116" s="154"/>
      <c r="M116" s="154"/>
      <c r="N116" s="154"/>
      <c r="O116" s="154"/>
      <c r="P116" s="154"/>
      <c r="Q116" s="154"/>
      <c r="R116" s="154"/>
      <c r="S116" s="154"/>
      <c r="T116" s="154"/>
      <c r="U116" s="154"/>
      <c r="V116" s="154"/>
      <c r="W116" s="154"/>
      <c r="X116" s="154"/>
      <c r="Y116" s="154"/>
      <c r="Z116" s="154"/>
    </row>
    <row r="117" ht="14.25" customHeight="1">
      <c r="A117" s="160"/>
      <c r="B117" s="161">
        <v>116.0</v>
      </c>
      <c r="C117" s="157">
        <f t="shared" si="1"/>
        <v>-842.4043569</v>
      </c>
      <c r="D117" s="158" t="str">
        <f>VLOOKUP(A117,'Classement RoC'!$B$2:$C$149,1,0)</f>
        <v>#N/A</v>
      </c>
      <c r="E117" s="163" t="str">
        <f t="shared" si="2"/>
        <v>#N/A</v>
      </c>
      <c r="F117" s="120" t="str">
        <f>VLOOKUP(A117,'Classement Général'!$B$2:$B$146,1,0)</f>
        <v>#N/A</v>
      </c>
      <c r="G117" s="154"/>
      <c r="H117" s="154"/>
      <c r="I117" s="154"/>
      <c r="J117" s="154"/>
      <c r="K117" s="154"/>
      <c r="L117" s="154"/>
      <c r="M117" s="154"/>
      <c r="N117" s="154"/>
      <c r="O117" s="154"/>
      <c r="P117" s="154"/>
      <c r="Q117" s="154"/>
      <c r="R117" s="154"/>
      <c r="S117" s="154"/>
      <c r="T117" s="154"/>
      <c r="U117" s="154"/>
      <c r="V117" s="154"/>
      <c r="W117" s="154"/>
      <c r="X117" s="154"/>
      <c r="Y117" s="154"/>
      <c r="Z117" s="154"/>
    </row>
    <row r="118" ht="14.25" customHeight="1">
      <c r="A118" s="160"/>
      <c r="B118" s="156">
        <v>117.0</v>
      </c>
      <c r="C118" s="157">
        <f t="shared" si="1"/>
        <v>-851.2390373</v>
      </c>
      <c r="D118" s="158" t="str">
        <f>VLOOKUP(A118,'Classement RoC'!$B$2:$C$149,1,0)</f>
        <v>#N/A</v>
      </c>
      <c r="E118" s="163" t="str">
        <f t="shared" si="2"/>
        <v>#N/A</v>
      </c>
      <c r="F118" s="120" t="str">
        <f>VLOOKUP(A118,'Classement Général'!$B$2:$B$146,1,0)</f>
        <v>#N/A</v>
      </c>
      <c r="G118" s="154"/>
      <c r="H118" s="154"/>
      <c r="I118" s="154"/>
      <c r="J118" s="154"/>
      <c r="K118" s="154"/>
      <c r="L118" s="154"/>
      <c r="M118" s="154"/>
      <c r="N118" s="154"/>
      <c r="O118" s="154"/>
      <c r="P118" s="154"/>
      <c r="Q118" s="154"/>
      <c r="R118" s="154"/>
      <c r="S118" s="154"/>
      <c r="T118" s="154"/>
      <c r="U118" s="154"/>
      <c r="V118" s="154"/>
      <c r="W118" s="154"/>
      <c r="X118" s="154"/>
      <c r="Y118" s="154"/>
      <c r="Z118" s="154"/>
    </row>
    <row r="119" ht="14.25" customHeight="1">
      <c r="A119" s="160"/>
      <c r="B119" s="161">
        <v>118.0</v>
      </c>
      <c r="C119" s="157">
        <f t="shared" si="1"/>
        <v>-860.0476775</v>
      </c>
      <c r="D119" s="158" t="str">
        <f>VLOOKUP(A119,'Classement RoC'!$B$2:$C$149,1,0)</f>
        <v>#N/A</v>
      </c>
      <c r="E119" s="163" t="str">
        <f t="shared" si="2"/>
        <v>#N/A</v>
      </c>
      <c r="F119" s="120" t="str">
        <f>VLOOKUP(A119,'Classement Général'!$B$2:$B$146,1,0)</f>
        <v>#N/A</v>
      </c>
      <c r="G119" s="154"/>
      <c r="H119" s="154"/>
      <c r="I119" s="154"/>
      <c r="J119" s="154"/>
      <c r="K119" s="154"/>
      <c r="L119" s="154"/>
      <c r="M119" s="154"/>
      <c r="N119" s="154"/>
      <c r="O119" s="154"/>
      <c r="P119" s="154"/>
      <c r="Q119" s="154"/>
      <c r="R119" s="154"/>
      <c r="S119" s="154"/>
      <c r="T119" s="154"/>
      <c r="U119" s="154"/>
      <c r="V119" s="154"/>
      <c r="W119" s="154"/>
      <c r="X119" s="154"/>
      <c r="Y119" s="154"/>
      <c r="Z119" s="154"/>
    </row>
    <row r="120" ht="14.25" customHeight="1">
      <c r="A120" s="160"/>
      <c r="B120" s="156">
        <v>119.0</v>
      </c>
      <c r="C120" s="157">
        <f t="shared" si="1"/>
        <v>-868.8306283</v>
      </c>
      <c r="D120" s="158" t="str">
        <f>VLOOKUP(A120,'Classement RoC'!$B$2:$C$149,1,0)</f>
        <v>#N/A</v>
      </c>
      <c r="E120" s="163" t="str">
        <f t="shared" si="2"/>
        <v>#N/A</v>
      </c>
      <c r="F120" s="120" t="str">
        <f>VLOOKUP(A120,'Classement Général'!$B$2:$B$146,1,0)</f>
        <v>#N/A</v>
      </c>
      <c r="G120" s="154"/>
      <c r="H120" s="154"/>
      <c r="I120" s="154"/>
      <c r="J120" s="154"/>
      <c r="K120" s="154"/>
      <c r="L120" s="154"/>
      <c r="M120" s="154"/>
      <c r="N120" s="154"/>
      <c r="O120" s="154"/>
      <c r="P120" s="154"/>
      <c r="Q120" s="154"/>
      <c r="R120" s="154"/>
      <c r="S120" s="154"/>
      <c r="T120" s="154"/>
      <c r="U120" s="154"/>
      <c r="V120" s="154"/>
      <c r="W120" s="154"/>
      <c r="X120" s="154"/>
      <c r="Y120" s="154"/>
      <c r="Z120" s="154"/>
    </row>
    <row r="121" ht="14.25" customHeight="1">
      <c r="A121" s="160"/>
      <c r="B121" s="161">
        <v>120.0</v>
      </c>
      <c r="C121" s="157">
        <f t="shared" si="1"/>
        <v>-877.5882326</v>
      </c>
      <c r="D121" s="158" t="str">
        <f>VLOOKUP(A121,'Classement RoC'!$B$2:$C$149,1,0)</f>
        <v>#N/A</v>
      </c>
      <c r="E121" s="163" t="str">
        <f t="shared" si="2"/>
        <v>#N/A</v>
      </c>
      <c r="F121" s="120" t="str">
        <f>VLOOKUP(A121,'Classement Général'!$B$2:$B$146,1,0)</f>
        <v>#N/A</v>
      </c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</row>
    <row r="122" ht="14.25" customHeight="1">
      <c r="A122" s="160"/>
      <c r="B122" s="156">
        <v>121.0</v>
      </c>
      <c r="C122" s="157">
        <f t="shared" si="1"/>
        <v>-886.3208255</v>
      </c>
      <c r="D122" s="158" t="str">
        <f>VLOOKUP(A122,'Classement RoC'!$B$2:$C$149,1,0)</f>
        <v>#N/A</v>
      </c>
      <c r="E122" s="163" t="str">
        <f t="shared" si="2"/>
        <v>#N/A</v>
      </c>
      <c r="F122" s="120" t="str">
        <f>VLOOKUP(A122,'Classement Général'!$B$2:$B$146,1,0)</f>
        <v>#N/A</v>
      </c>
      <c r="G122" s="154"/>
      <c r="H122" s="154"/>
      <c r="I122" s="154"/>
      <c r="J122" s="154"/>
      <c r="K122" s="154"/>
      <c r="L122" s="154"/>
      <c r="M122" s="154"/>
      <c r="N122" s="154"/>
      <c r="O122" s="154"/>
      <c r="P122" s="154"/>
      <c r="Q122" s="154"/>
      <c r="R122" s="154"/>
      <c r="S122" s="154"/>
      <c r="T122" s="154"/>
      <c r="U122" s="154"/>
      <c r="V122" s="154"/>
      <c r="W122" s="154"/>
      <c r="X122" s="154"/>
      <c r="Y122" s="154"/>
      <c r="Z122" s="154"/>
    </row>
    <row r="123" ht="14.25" customHeight="1">
      <c r="A123" s="160"/>
      <c r="B123" s="161">
        <v>122.0</v>
      </c>
      <c r="C123" s="157">
        <f t="shared" si="1"/>
        <v>-895.0287346</v>
      </c>
      <c r="D123" s="158" t="str">
        <f>VLOOKUP(A123,'Classement RoC'!$B$2:$C$149,1,0)</f>
        <v>#N/A</v>
      </c>
      <c r="E123" s="163" t="str">
        <f t="shared" si="2"/>
        <v>#N/A</v>
      </c>
      <c r="F123" s="120" t="str">
        <f>VLOOKUP(A123,'Classement Général'!$B$2:$B$146,1,0)</f>
        <v>#N/A</v>
      </c>
      <c r="G123" s="154"/>
      <c r="H123" s="154"/>
      <c r="I123" s="154"/>
      <c r="J123" s="154"/>
      <c r="K123" s="154"/>
      <c r="L123" s="154"/>
      <c r="M123" s="154"/>
      <c r="N123" s="154"/>
      <c r="O123" s="154"/>
      <c r="P123" s="154"/>
      <c r="Q123" s="154"/>
      <c r="R123" s="154"/>
      <c r="S123" s="154"/>
      <c r="T123" s="154"/>
      <c r="U123" s="154"/>
      <c r="V123" s="154"/>
      <c r="W123" s="154"/>
      <c r="X123" s="154"/>
      <c r="Y123" s="154"/>
      <c r="Z123" s="154"/>
    </row>
    <row r="124" ht="14.25" customHeight="1">
      <c r="A124" s="160"/>
      <c r="B124" s="156">
        <v>123.0</v>
      </c>
      <c r="C124" s="157">
        <f t="shared" si="1"/>
        <v>-903.7122801</v>
      </c>
      <c r="D124" s="158" t="str">
        <f>VLOOKUP(A124,'Classement RoC'!$B$2:$C$149,1,0)</f>
        <v>#N/A</v>
      </c>
      <c r="E124" s="163" t="str">
        <f t="shared" si="2"/>
        <v>#N/A</v>
      </c>
      <c r="F124" s="120" t="str">
        <f>VLOOKUP(A124,'Classement Général'!$B$2:$B$146,1,0)</f>
        <v>#N/A</v>
      </c>
      <c r="G124" s="154"/>
      <c r="H124" s="154"/>
      <c r="I124" s="154"/>
      <c r="J124" s="154"/>
      <c r="K124" s="154"/>
      <c r="L124" s="154"/>
      <c r="M124" s="154"/>
      <c r="N124" s="154"/>
      <c r="O124" s="154"/>
      <c r="P124" s="154"/>
      <c r="Q124" s="154"/>
      <c r="R124" s="154"/>
      <c r="S124" s="154"/>
      <c r="T124" s="154"/>
      <c r="U124" s="154"/>
      <c r="V124" s="154"/>
      <c r="W124" s="154"/>
      <c r="X124" s="154"/>
      <c r="Y124" s="154"/>
      <c r="Z124" s="154"/>
    </row>
    <row r="125" ht="14.25" customHeight="1">
      <c r="A125" s="160"/>
      <c r="B125" s="161">
        <v>124.0</v>
      </c>
      <c r="C125" s="157">
        <f t="shared" si="1"/>
        <v>-912.3717753</v>
      </c>
      <c r="D125" s="158" t="str">
        <f>VLOOKUP(A125,'Classement RoC'!$B$2:$C$149,1,0)</f>
        <v>#N/A</v>
      </c>
      <c r="E125" s="163" t="str">
        <f t="shared" si="2"/>
        <v>#N/A</v>
      </c>
      <c r="F125" s="120" t="str">
        <f>VLOOKUP(A125,'Classement Général'!$B$2:$B$146,1,0)</f>
        <v>#N/A</v>
      </c>
      <c r="G125" s="154"/>
      <c r="H125" s="154"/>
      <c r="I125" s="154"/>
      <c r="J125" s="154"/>
      <c r="K125" s="154"/>
      <c r="L125" s="154"/>
      <c r="M125" s="154"/>
      <c r="N125" s="154"/>
      <c r="O125" s="154"/>
      <c r="P125" s="154"/>
      <c r="Q125" s="154"/>
      <c r="R125" s="154"/>
      <c r="S125" s="154"/>
      <c r="T125" s="154"/>
      <c r="U125" s="154"/>
      <c r="V125" s="154"/>
      <c r="W125" s="154"/>
      <c r="X125" s="154"/>
      <c r="Y125" s="154"/>
      <c r="Z125" s="154"/>
    </row>
    <row r="126" ht="14.25" customHeight="1">
      <c r="A126" s="160"/>
      <c r="B126" s="156">
        <v>125.0</v>
      </c>
      <c r="C126" s="157">
        <f t="shared" si="1"/>
        <v>-921.0075264</v>
      </c>
      <c r="D126" s="158" t="str">
        <f>VLOOKUP(A126,'Classement RoC'!$B$2:$C$149,1,0)</f>
        <v>#N/A</v>
      </c>
      <c r="E126" s="163" t="str">
        <f t="shared" si="2"/>
        <v>#N/A</v>
      </c>
      <c r="F126" s="120" t="str">
        <f>VLOOKUP(A126,'Classement Général'!$B$2:$B$146,1,0)</f>
        <v>#N/A</v>
      </c>
      <c r="G126" s="154"/>
      <c r="H126" s="154"/>
      <c r="I126" s="154"/>
      <c r="J126" s="154"/>
      <c r="K126" s="154"/>
      <c r="L126" s="154"/>
      <c r="M126" s="154"/>
      <c r="N126" s="154"/>
      <c r="O126" s="154"/>
      <c r="P126" s="154"/>
      <c r="Q126" s="154"/>
      <c r="R126" s="154"/>
      <c r="S126" s="154"/>
      <c r="T126" s="154"/>
      <c r="U126" s="154"/>
      <c r="V126" s="154"/>
      <c r="W126" s="154"/>
      <c r="X126" s="154"/>
      <c r="Y126" s="154"/>
      <c r="Z126" s="154"/>
    </row>
    <row r="127" ht="14.25" customHeight="1">
      <c r="A127" s="160"/>
      <c r="B127" s="161">
        <v>126.0</v>
      </c>
      <c r="C127" s="157">
        <f t="shared" si="1"/>
        <v>-929.6198332</v>
      </c>
      <c r="D127" s="158" t="str">
        <f>VLOOKUP(A127,'Classement RoC'!$B$2:$C$149,1,0)</f>
        <v>#N/A</v>
      </c>
      <c r="E127" s="163" t="str">
        <f t="shared" si="2"/>
        <v>#N/A</v>
      </c>
      <c r="F127" s="120" t="str">
        <f>VLOOKUP(A127,'Classement Général'!$B$2:$B$146,1,0)</f>
        <v>#N/A</v>
      </c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4"/>
    </row>
    <row r="128" ht="14.25" customHeight="1">
      <c r="A128" s="160"/>
      <c r="B128" s="156">
        <v>127.0</v>
      </c>
      <c r="C128" s="157">
        <f t="shared" si="1"/>
        <v>-938.2089889</v>
      </c>
      <c r="D128" s="158" t="str">
        <f>VLOOKUP(A128,'Classement RoC'!$B$2:$C$149,1,0)</f>
        <v>#N/A</v>
      </c>
      <c r="E128" s="163" t="str">
        <f t="shared" si="2"/>
        <v>#N/A</v>
      </c>
      <c r="F128" s="120" t="str">
        <f>VLOOKUP(A128,'Classement Général'!$B$2:$B$146,1,0)</f>
        <v>#N/A</v>
      </c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</row>
    <row r="129" ht="14.25" customHeight="1">
      <c r="A129" s="160"/>
      <c r="B129" s="161">
        <v>128.0</v>
      </c>
      <c r="C129" s="157">
        <f t="shared" si="1"/>
        <v>-946.7752803</v>
      </c>
      <c r="D129" s="158" t="str">
        <f>VLOOKUP(A129,'Classement RoC'!$B$2:$C$149,1,0)</f>
        <v>#N/A</v>
      </c>
      <c r="E129" s="163" t="str">
        <f t="shared" si="2"/>
        <v>#N/A</v>
      </c>
      <c r="F129" s="120" t="str">
        <f>VLOOKUP(A129,'Classement Général'!$B$2:$B$146,1,0)</f>
        <v>#N/A</v>
      </c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4"/>
    </row>
    <row r="130" ht="14.25" customHeight="1">
      <c r="A130" s="160"/>
      <c r="B130" s="156">
        <v>129.0</v>
      </c>
      <c r="C130" s="157">
        <f t="shared" si="1"/>
        <v>-955.3189885</v>
      </c>
      <c r="D130" s="158" t="str">
        <f>VLOOKUP(A130,'Classement RoC'!$B$2:$C$149,1,0)</f>
        <v>#N/A</v>
      </c>
      <c r="E130" s="163" t="str">
        <f t="shared" si="2"/>
        <v>#N/A</v>
      </c>
      <c r="F130" s="120" t="str">
        <f>VLOOKUP(A130,'Classement Général'!$B$2:$B$146,1,0)</f>
        <v>#N/A</v>
      </c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</row>
    <row r="131" ht="14.25" customHeight="1">
      <c r="A131" s="160"/>
      <c r="B131" s="161">
        <v>130.0</v>
      </c>
      <c r="C131" s="157">
        <f t="shared" si="1"/>
        <v>-963.8403883</v>
      </c>
      <c r="D131" s="158" t="str">
        <f>VLOOKUP(A131,'Classement RoC'!$B$2:$C$149,1,0)</f>
        <v>#N/A</v>
      </c>
      <c r="E131" s="163" t="str">
        <f t="shared" si="2"/>
        <v>#N/A</v>
      </c>
      <c r="F131" s="120" t="str">
        <f>VLOOKUP(A131,'Classement Général'!$B$2:$B$146,1,0)</f>
        <v>#N/A</v>
      </c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</row>
    <row r="132" ht="14.25" customHeight="1">
      <c r="A132" s="160"/>
      <c r="B132" s="156">
        <v>131.0</v>
      </c>
      <c r="C132" s="157">
        <f t="shared" si="1"/>
        <v>-972.3397492</v>
      </c>
      <c r="D132" s="158" t="str">
        <f>VLOOKUP(A132,'Classement RoC'!$B$2:$C$149,1,0)</f>
        <v>#N/A</v>
      </c>
      <c r="E132" s="163" t="str">
        <f t="shared" si="2"/>
        <v>#N/A</v>
      </c>
      <c r="F132" s="120" t="str">
        <f>VLOOKUP(A132,'Classement Général'!$B$2:$B$146,1,0)</f>
        <v>#N/A</v>
      </c>
      <c r="G132" s="154"/>
      <c r="H132" s="154"/>
      <c r="I132" s="154"/>
      <c r="J132" s="154"/>
      <c r="K132" s="154"/>
      <c r="L132" s="154"/>
      <c r="M132" s="154"/>
      <c r="N132" s="154"/>
      <c r="O132" s="154"/>
      <c r="P132" s="154"/>
      <c r="Q132" s="154"/>
      <c r="R132" s="154"/>
      <c r="S132" s="154"/>
      <c r="T132" s="154"/>
      <c r="U132" s="154"/>
      <c r="V132" s="154"/>
      <c r="W132" s="154"/>
      <c r="X132" s="154"/>
      <c r="Y132" s="154"/>
      <c r="Z132" s="154"/>
    </row>
    <row r="133" ht="14.25" customHeight="1">
      <c r="A133" s="160"/>
      <c r="B133" s="161">
        <v>132.0</v>
      </c>
      <c r="C133" s="157">
        <f t="shared" si="1"/>
        <v>-980.8173347</v>
      </c>
      <c r="D133" s="158" t="str">
        <f>VLOOKUP(A133,'Classement RoC'!$B$2:$C$149,1,0)</f>
        <v>#N/A</v>
      </c>
      <c r="E133" s="163" t="str">
        <f t="shared" si="2"/>
        <v>#N/A</v>
      </c>
      <c r="F133" s="120" t="str">
        <f>VLOOKUP(A133,'Classement Général'!$B$2:$B$146,1,0)</f>
        <v>#N/A</v>
      </c>
      <c r="G133" s="154"/>
      <c r="H133" s="154"/>
      <c r="I133" s="154"/>
      <c r="J133" s="154"/>
      <c r="K133" s="154"/>
      <c r="L133" s="154"/>
      <c r="M133" s="154"/>
      <c r="N133" s="154"/>
      <c r="O133" s="154"/>
      <c r="P133" s="154"/>
      <c r="Q133" s="154"/>
      <c r="R133" s="154"/>
      <c r="S133" s="154"/>
      <c r="T133" s="154"/>
      <c r="U133" s="154"/>
      <c r="V133" s="154"/>
      <c r="W133" s="154"/>
      <c r="X133" s="154"/>
      <c r="Y133" s="154"/>
      <c r="Z133" s="154"/>
    </row>
    <row r="134" ht="14.25" customHeight="1">
      <c r="A134" s="160"/>
      <c r="B134" s="156">
        <v>133.0</v>
      </c>
      <c r="C134" s="157">
        <f t="shared" si="1"/>
        <v>-989.2734032</v>
      </c>
      <c r="D134" s="158" t="str">
        <f>VLOOKUP(A134,'Classement RoC'!$B$2:$C$149,1,0)</f>
        <v>#N/A</v>
      </c>
      <c r="E134" s="163" t="str">
        <f t="shared" si="2"/>
        <v>#N/A</v>
      </c>
      <c r="F134" s="120" t="str">
        <f>VLOOKUP(A134,'Classement Général'!$B$2:$B$146,1,0)</f>
        <v>#N/A</v>
      </c>
      <c r="G134" s="154"/>
      <c r="H134" s="154"/>
      <c r="I134" s="154"/>
      <c r="J134" s="154"/>
      <c r="K134" s="154"/>
      <c r="L134" s="154"/>
      <c r="M134" s="154"/>
      <c r="N134" s="154"/>
      <c r="O134" s="154"/>
      <c r="P134" s="154"/>
      <c r="Q134" s="154"/>
      <c r="R134" s="154"/>
      <c r="S134" s="154"/>
      <c r="T134" s="154"/>
      <c r="U134" s="154"/>
      <c r="V134" s="154"/>
      <c r="W134" s="154"/>
      <c r="X134" s="154"/>
      <c r="Y134" s="154"/>
      <c r="Z134" s="154"/>
    </row>
    <row r="135" ht="14.25" customHeight="1">
      <c r="A135" s="160"/>
      <c r="B135" s="161">
        <v>134.0</v>
      </c>
      <c r="C135" s="157">
        <f t="shared" si="1"/>
        <v>-997.7082078</v>
      </c>
      <c r="D135" s="158" t="str">
        <f>VLOOKUP(A135,'Classement RoC'!$B$2:$C$149,1,0)</f>
        <v>#N/A</v>
      </c>
      <c r="E135" s="163" t="str">
        <f t="shared" si="2"/>
        <v>#N/A</v>
      </c>
      <c r="F135" s="120" t="str">
        <f>VLOOKUP(A135,'Classement Général'!$B$2:$B$146,1,0)</f>
        <v>#N/A</v>
      </c>
      <c r="G135" s="154"/>
      <c r="H135" s="154"/>
      <c r="I135" s="154"/>
      <c r="J135" s="154"/>
      <c r="K135" s="154"/>
      <c r="L135" s="154"/>
      <c r="M135" s="154"/>
      <c r="N135" s="154"/>
      <c r="O135" s="154"/>
      <c r="P135" s="154"/>
      <c r="Q135" s="154"/>
      <c r="R135" s="154"/>
      <c r="S135" s="154"/>
      <c r="T135" s="154"/>
      <c r="U135" s="154"/>
      <c r="V135" s="154"/>
      <c r="W135" s="154"/>
      <c r="X135" s="154"/>
      <c r="Y135" s="154"/>
      <c r="Z135" s="154"/>
    </row>
    <row r="136" ht="14.25" customHeight="1">
      <c r="A136" s="160"/>
      <c r="B136" s="156">
        <v>135.0</v>
      </c>
      <c r="C136" s="157">
        <f t="shared" si="1"/>
        <v>-1006.121996</v>
      </c>
      <c r="D136" s="158" t="str">
        <f>VLOOKUP(A136,'Classement RoC'!$B$2:$C$149,1,0)</f>
        <v>#N/A</v>
      </c>
      <c r="E136" s="163" t="str">
        <f t="shared" si="2"/>
        <v>#N/A</v>
      </c>
      <c r="F136" s="120" t="str">
        <f>VLOOKUP(A136,'Classement Général'!$B$2:$B$146,1,0)</f>
        <v>#N/A</v>
      </c>
      <c r="G136" s="154"/>
      <c r="H136" s="154"/>
      <c r="I136" s="154"/>
      <c r="J136" s="154"/>
      <c r="K136" s="154"/>
      <c r="L136" s="154"/>
      <c r="M136" s="154"/>
      <c r="N136" s="154"/>
      <c r="O136" s="154"/>
      <c r="P136" s="154"/>
      <c r="Q136" s="154"/>
      <c r="R136" s="154"/>
      <c r="S136" s="154"/>
      <c r="T136" s="154"/>
      <c r="U136" s="154"/>
      <c r="V136" s="154"/>
      <c r="W136" s="154"/>
      <c r="X136" s="154"/>
      <c r="Y136" s="154"/>
      <c r="Z136" s="154"/>
    </row>
    <row r="137" ht="14.25" customHeight="1">
      <c r="A137" s="160"/>
      <c r="B137" s="161">
        <v>136.0</v>
      </c>
      <c r="C137" s="157">
        <f t="shared" si="1"/>
        <v>-1014.515012</v>
      </c>
      <c r="D137" s="158" t="str">
        <f>VLOOKUP(A137,'Classement RoC'!$B$2:$C$149,1,0)</f>
        <v>#N/A</v>
      </c>
      <c r="E137" s="163" t="str">
        <f t="shared" si="2"/>
        <v>#N/A</v>
      </c>
      <c r="F137" s="120" t="str">
        <f>VLOOKUP(A137,'Classement Général'!$B$2:$B$146,1,0)</f>
        <v>#N/A</v>
      </c>
      <c r="G137" s="154"/>
      <c r="H137" s="154"/>
      <c r="I137" s="154"/>
      <c r="J137" s="154"/>
      <c r="K137" s="154"/>
      <c r="L137" s="154"/>
      <c r="M137" s="154"/>
      <c r="N137" s="154"/>
      <c r="O137" s="154"/>
      <c r="P137" s="154"/>
      <c r="Q137" s="154"/>
      <c r="R137" s="154"/>
      <c r="S137" s="154"/>
      <c r="T137" s="154"/>
      <c r="U137" s="154"/>
      <c r="V137" s="154"/>
      <c r="W137" s="154"/>
      <c r="X137" s="154"/>
      <c r="Y137" s="154"/>
      <c r="Z137" s="154"/>
    </row>
    <row r="138" ht="14.25" customHeight="1">
      <c r="A138" s="160"/>
      <c r="B138" s="156">
        <v>137.0</v>
      </c>
      <c r="C138" s="157">
        <f t="shared" si="1"/>
        <v>-1022.887493</v>
      </c>
      <c r="D138" s="158" t="str">
        <f>VLOOKUP(A138,'Classement RoC'!$B$2:$C$149,1,0)</f>
        <v>#N/A</v>
      </c>
      <c r="E138" s="163" t="str">
        <f t="shared" si="2"/>
        <v>#N/A</v>
      </c>
      <c r="F138" s="120" t="str">
        <f>VLOOKUP(A138,'Classement Général'!$B$2:$B$146,1,0)</f>
        <v>#N/A</v>
      </c>
      <c r="G138" s="154"/>
      <c r="H138" s="154"/>
      <c r="I138" s="154"/>
      <c r="J138" s="154"/>
      <c r="K138" s="154"/>
      <c r="L138" s="154"/>
      <c r="M138" s="154"/>
      <c r="N138" s="154"/>
      <c r="O138" s="154"/>
      <c r="P138" s="154"/>
      <c r="Q138" s="154"/>
      <c r="R138" s="154"/>
      <c r="S138" s="154"/>
      <c r="T138" s="154"/>
      <c r="U138" s="154"/>
      <c r="V138" s="154"/>
      <c r="W138" s="154"/>
      <c r="X138" s="154"/>
      <c r="Y138" s="154"/>
      <c r="Z138" s="154"/>
    </row>
    <row r="139" ht="14.25" customHeight="1">
      <c r="A139" s="160"/>
      <c r="B139" s="161">
        <v>138.0</v>
      </c>
      <c r="C139" s="157">
        <f t="shared" si="1"/>
        <v>-1031.239673</v>
      </c>
      <c r="D139" s="158" t="str">
        <f>VLOOKUP(A139,'Classement RoC'!$B$2:$C$149,1,0)</f>
        <v>#N/A</v>
      </c>
      <c r="E139" s="163" t="str">
        <f t="shared" si="2"/>
        <v>#N/A</v>
      </c>
      <c r="F139" s="120" t="str">
        <f>VLOOKUP(A139,'Classement Général'!$B$2:$B$146,1,0)</f>
        <v>#N/A</v>
      </c>
      <c r="G139" s="154"/>
      <c r="H139" s="154"/>
      <c r="I139" s="154"/>
      <c r="J139" s="154"/>
      <c r="K139" s="154"/>
      <c r="L139" s="154"/>
      <c r="M139" s="154"/>
      <c r="N139" s="154"/>
      <c r="O139" s="154"/>
      <c r="P139" s="154"/>
      <c r="Q139" s="154"/>
      <c r="R139" s="154"/>
      <c r="S139" s="154"/>
      <c r="T139" s="154"/>
      <c r="U139" s="154"/>
      <c r="V139" s="154"/>
      <c r="W139" s="154"/>
      <c r="X139" s="154"/>
      <c r="Y139" s="154"/>
      <c r="Z139" s="154"/>
    </row>
    <row r="140" ht="14.25" customHeight="1">
      <c r="A140" s="160"/>
      <c r="B140" s="156">
        <v>139.0</v>
      </c>
      <c r="C140" s="157">
        <f t="shared" si="1"/>
        <v>-1039.571781</v>
      </c>
      <c r="D140" s="158" t="str">
        <f>VLOOKUP(A140,'Classement RoC'!$B$2:$C$149,1,0)</f>
        <v>#N/A</v>
      </c>
      <c r="E140" s="163" t="str">
        <f t="shared" si="2"/>
        <v>#N/A</v>
      </c>
      <c r="F140" s="120" t="str">
        <f>VLOOKUP(A140,'Classement Général'!$B$2:$B$146,1,0)</f>
        <v>#N/A</v>
      </c>
      <c r="G140" s="154"/>
      <c r="H140" s="154"/>
      <c r="I140" s="154"/>
      <c r="J140" s="154"/>
      <c r="K140" s="154"/>
      <c r="L140" s="154"/>
      <c r="M140" s="154"/>
      <c r="N140" s="154"/>
      <c r="O140" s="154"/>
      <c r="P140" s="154"/>
      <c r="Q140" s="154"/>
      <c r="R140" s="154"/>
      <c r="S140" s="154"/>
      <c r="T140" s="154"/>
      <c r="U140" s="154"/>
      <c r="V140" s="154"/>
      <c r="W140" s="154"/>
      <c r="X140" s="154"/>
      <c r="Y140" s="154"/>
      <c r="Z140" s="154"/>
    </row>
    <row r="141" ht="14.25" customHeight="1">
      <c r="A141" s="160"/>
      <c r="B141" s="161">
        <v>140.0</v>
      </c>
      <c r="C141" s="157">
        <f t="shared" si="1"/>
        <v>-1047.884041</v>
      </c>
      <c r="D141" s="158" t="str">
        <f>VLOOKUP(A141,'Classement RoC'!$B$2:$C$149,1,0)</f>
        <v>#N/A</v>
      </c>
      <c r="E141" s="163" t="str">
        <f t="shared" si="2"/>
        <v>#N/A</v>
      </c>
      <c r="F141" s="120" t="str">
        <f>VLOOKUP(A141,'Classement Général'!$B$2:$B$146,1,0)</f>
        <v>#N/A</v>
      </c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4"/>
      <c r="R141" s="154"/>
      <c r="S141" s="154"/>
      <c r="T141" s="154"/>
      <c r="U141" s="154"/>
      <c r="V141" s="154"/>
      <c r="W141" s="154"/>
      <c r="X141" s="154"/>
      <c r="Y141" s="154"/>
      <c r="Z141" s="154"/>
    </row>
    <row r="142" ht="14.25" customHeight="1">
      <c r="A142" s="160"/>
      <c r="B142" s="156">
        <v>141.0</v>
      </c>
      <c r="C142" s="157">
        <f t="shared" si="1"/>
        <v>-1056.176673</v>
      </c>
      <c r="D142" s="158" t="str">
        <f>VLOOKUP(A142,'Classement RoC'!$B$2:$C$149,1,0)</f>
        <v>#N/A</v>
      </c>
      <c r="E142" s="163" t="str">
        <f t="shared" si="2"/>
        <v>#N/A</v>
      </c>
      <c r="F142" s="120" t="str">
        <f>VLOOKUP(A142,'Classement Général'!$B$2:$B$146,1,0)</f>
        <v>#N/A</v>
      </c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154"/>
      <c r="S142" s="154"/>
      <c r="T142" s="154"/>
      <c r="U142" s="154"/>
      <c r="V142" s="154"/>
      <c r="W142" s="154"/>
      <c r="X142" s="154"/>
      <c r="Y142" s="154"/>
      <c r="Z142" s="154"/>
    </row>
    <row r="143" ht="14.25" customHeight="1">
      <c r="A143" s="160"/>
      <c r="B143" s="161">
        <v>142.0</v>
      </c>
      <c r="C143" s="157">
        <f t="shared" si="1"/>
        <v>-1064.449895</v>
      </c>
      <c r="D143" s="158" t="str">
        <f>VLOOKUP(A143,'Classement RoC'!$B$2:$C$149,1,0)</f>
        <v>#N/A</v>
      </c>
      <c r="E143" s="163" t="str">
        <f t="shared" si="2"/>
        <v>#N/A</v>
      </c>
      <c r="F143" s="120" t="str">
        <f>VLOOKUP(A143,'Classement Général'!$B$2:$B$146,1,0)</f>
        <v>#N/A</v>
      </c>
      <c r="G143" s="154"/>
      <c r="H143" s="154"/>
      <c r="I143" s="154"/>
      <c r="J143" s="154"/>
      <c r="K143" s="154"/>
      <c r="L143" s="154"/>
      <c r="M143" s="154"/>
      <c r="N143" s="154"/>
      <c r="O143" s="154"/>
      <c r="P143" s="154"/>
      <c r="Q143" s="154"/>
      <c r="R143" s="154"/>
      <c r="S143" s="154"/>
      <c r="T143" s="154"/>
      <c r="U143" s="154"/>
      <c r="V143" s="154"/>
      <c r="W143" s="154"/>
      <c r="X143" s="154"/>
      <c r="Y143" s="154"/>
      <c r="Z143" s="154"/>
    </row>
    <row r="144" ht="14.25" customHeight="1">
      <c r="A144" s="160"/>
      <c r="B144" s="156">
        <v>143.0</v>
      </c>
      <c r="C144" s="157">
        <f t="shared" si="1"/>
        <v>-1072.703916</v>
      </c>
      <c r="D144" s="158" t="str">
        <f>VLOOKUP(A144,'Classement RoC'!$B$2:$C$149,1,0)</f>
        <v>#N/A</v>
      </c>
      <c r="E144" s="163" t="str">
        <f t="shared" si="2"/>
        <v>#N/A</v>
      </c>
      <c r="F144" s="120" t="str">
        <f>VLOOKUP(A144,'Classement Général'!$B$2:$B$146,1,0)</f>
        <v>#N/A</v>
      </c>
      <c r="G144" s="154"/>
      <c r="H144" s="154"/>
      <c r="I144" s="154"/>
      <c r="J144" s="154"/>
      <c r="K144" s="154"/>
      <c r="L144" s="154"/>
      <c r="M144" s="154"/>
      <c r="N144" s="154"/>
      <c r="O144" s="154"/>
      <c r="P144" s="154"/>
      <c r="Q144" s="154"/>
      <c r="R144" s="154"/>
      <c r="S144" s="154"/>
      <c r="T144" s="154"/>
      <c r="U144" s="154"/>
      <c r="V144" s="154"/>
      <c r="W144" s="154"/>
      <c r="X144" s="154"/>
      <c r="Y144" s="154"/>
      <c r="Z144" s="154"/>
    </row>
    <row r="145" ht="14.25" customHeight="1">
      <c r="A145" s="160"/>
      <c r="B145" s="161">
        <v>144.0</v>
      </c>
      <c r="C145" s="157">
        <f t="shared" si="1"/>
        <v>-1080.938947</v>
      </c>
      <c r="D145" s="158" t="str">
        <f>VLOOKUP(A145,'Classement RoC'!$B$2:$C$149,1,0)</f>
        <v>#N/A</v>
      </c>
      <c r="E145" s="163" t="str">
        <f t="shared" si="2"/>
        <v>#N/A</v>
      </c>
      <c r="F145" s="120" t="str">
        <f>VLOOKUP(A145,'Classement Général'!$B$2:$B$146,1,0)</f>
        <v>#N/A</v>
      </c>
      <c r="G145" s="154"/>
      <c r="H145" s="154"/>
      <c r="I145" s="154"/>
      <c r="J145" s="154"/>
      <c r="K145" s="154"/>
      <c r="L145" s="154"/>
      <c r="M145" s="154"/>
      <c r="N145" s="154"/>
      <c r="O145" s="154"/>
      <c r="P145" s="154"/>
      <c r="Q145" s="154"/>
      <c r="R145" s="154"/>
      <c r="S145" s="154"/>
      <c r="T145" s="154"/>
      <c r="U145" s="154"/>
      <c r="V145" s="154"/>
      <c r="W145" s="154"/>
      <c r="X145" s="154"/>
      <c r="Y145" s="154"/>
      <c r="Z145" s="154"/>
    </row>
    <row r="146" ht="14.25" customHeight="1">
      <c r="A146" s="160"/>
      <c r="B146" s="156">
        <v>145.0</v>
      </c>
      <c r="C146" s="157">
        <f t="shared" si="1"/>
        <v>-1089.15519</v>
      </c>
      <c r="D146" s="158" t="str">
        <f>VLOOKUP(A146,'Classement RoC'!$B$2:$C$149,1,0)</f>
        <v>#N/A</v>
      </c>
      <c r="E146" s="163" t="str">
        <f t="shared" si="2"/>
        <v>#N/A</v>
      </c>
      <c r="F146" s="120" t="str">
        <f>VLOOKUP(A146,'Classement Général'!$B$2:$B$146,1,0)</f>
        <v>#N/A</v>
      </c>
      <c r="G146" s="154"/>
      <c r="H146" s="154"/>
      <c r="I146" s="154"/>
      <c r="J146" s="154"/>
      <c r="K146" s="154"/>
      <c r="L146" s="154"/>
      <c r="M146" s="154"/>
      <c r="N146" s="154"/>
      <c r="O146" s="154"/>
      <c r="P146" s="154"/>
      <c r="Q146" s="154"/>
      <c r="R146" s="154"/>
      <c r="S146" s="154"/>
      <c r="T146" s="154"/>
      <c r="U146" s="154"/>
      <c r="V146" s="154"/>
      <c r="W146" s="154"/>
      <c r="X146" s="154"/>
      <c r="Y146" s="154"/>
      <c r="Z146" s="154"/>
    </row>
    <row r="147" ht="14.25" customHeight="1">
      <c r="A147" s="160"/>
      <c r="B147" s="161">
        <v>146.0</v>
      </c>
      <c r="C147" s="157">
        <f t="shared" si="1"/>
        <v>-1097.352846</v>
      </c>
      <c r="D147" s="158" t="str">
        <f>VLOOKUP(A147,'Classement RoC'!$B$2:$C$149,1,0)</f>
        <v>#N/A</v>
      </c>
      <c r="E147" s="163" t="str">
        <f t="shared" si="2"/>
        <v>#N/A</v>
      </c>
      <c r="F147" s="120" t="str">
        <f>VLOOKUP(A147,'Classement Général'!$B$2:$B$146,1,0)</f>
        <v>#N/A</v>
      </c>
      <c r="G147" s="154"/>
      <c r="H147" s="154"/>
      <c r="I147" s="154"/>
      <c r="J147" s="154"/>
      <c r="K147" s="154"/>
      <c r="L147" s="154"/>
      <c r="M147" s="154"/>
      <c r="N147" s="154"/>
      <c r="O147" s="154"/>
      <c r="P147" s="154"/>
      <c r="Q147" s="154"/>
      <c r="R147" s="154"/>
      <c r="S147" s="154"/>
      <c r="T147" s="154"/>
      <c r="U147" s="154"/>
      <c r="V147" s="154"/>
      <c r="W147" s="154"/>
      <c r="X147" s="154"/>
      <c r="Y147" s="154"/>
      <c r="Z147" s="154"/>
    </row>
    <row r="148" ht="14.25" customHeight="1">
      <c r="A148" s="160"/>
      <c r="B148" s="156">
        <v>147.0</v>
      </c>
      <c r="C148" s="157">
        <f t="shared" si="1"/>
        <v>-1105.532112</v>
      </c>
      <c r="D148" s="158" t="str">
        <f>VLOOKUP(A148,'Classement RoC'!$B$2:$C$149,1,0)</f>
        <v>#N/A</v>
      </c>
      <c r="E148" s="163" t="str">
        <f t="shared" si="2"/>
        <v>#N/A</v>
      </c>
      <c r="F148" s="120" t="str">
        <f>VLOOKUP(A148,'Classement Général'!$B$2:$B$146,1,0)</f>
        <v>#N/A</v>
      </c>
      <c r="G148" s="154"/>
      <c r="H148" s="154"/>
      <c r="I148" s="154"/>
      <c r="J148" s="154"/>
      <c r="K148" s="154"/>
      <c r="L148" s="154"/>
      <c r="M148" s="154"/>
      <c r="N148" s="154"/>
      <c r="O148" s="154"/>
      <c r="P148" s="154"/>
      <c r="Q148" s="154"/>
      <c r="R148" s="154"/>
      <c r="S148" s="154"/>
      <c r="T148" s="154"/>
      <c r="U148" s="154"/>
      <c r="V148" s="154"/>
      <c r="W148" s="154"/>
      <c r="X148" s="154"/>
      <c r="Y148" s="154"/>
      <c r="Z148" s="154"/>
    </row>
    <row r="149" ht="14.25" customHeight="1">
      <c r="A149" s="160"/>
      <c r="B149" s="161">
        <v>148.0</v>
      </c>
      <c r="C149" s="157">
        <f t="shared" si="1"/>
        <v>-1113.69318</v>
      </c>
      <c r="D149" s="158" t="str">
        <f>VLOOKUP(A149,'Classement RoC'!$B$2:$C$149,1,0)</f>
        <v>#N/A</v>
      </c>
      <c r="E149" s="163" t="str">
        <f t="shared" si="2"/>
        <v>#N/A</v>
      </c>
      <c r="F149" s="120" t="str">
        <f>VLOOKUP(A149,'Classement Général'!$B$2:$B$146,1,0)</f>
        <v>#N/A</v>
      </c>
      <c r="G149" s="154"/>
      <c r="H149" s="154"/>
      <c r="I149" s="154"/>
      <c r="J149" s="154"/>
      <c r="K149" s="154"/>
      <c r="L149" s="154"/>
      <c r="M149" s="154"/>
      <c r="N149" s="154"/>
      <c r="O149" s="154"/>
      <c r="P149" s="154"/>
      <c r="Q149" s="154"/>
      <c r="R149" s="154"/>
      <c r="S149" s="154"/>
      <c r="T149" s="154"/>
      <c r="U149" s="154"/>
      <c r="V149" s="154"/>
      <c r="W149" s="154"/>
      <c r="X149" s="154"/>
      <c r="Y149" s="154"/>
      <c r="Z149" s="154"/>
    </row>
    <row r="150" ht="14.25" customHeight="1">
      <c r="A150" s="160"/>
      <c r="B150" s="156">
        <v>149.0</v>
      </c>
      <c r="C150" s="157">
        <f t="shared" si="1"/>
        <v>-1121.836241</v>
      </c>
      <c r="D150" s="158" t="str">
        <f>VLOOKUP(A150,'Classement RoC'!$B$2:$C$149,1,0)</f>
        <v>#N/A</v>
      </c>
      <c r="E150" s="163" t="str">
        <f t="shared" si="2"/>
        <v>#N/A</v>
      </c>
      <c r="F150" s="120" t="str">
        <f>VLOOKUP(A150,'Classement Général'!$B$2:$B$146,1,0)</f>
        <v>#N/A</v>
      </c>
      <c r="G150" s="154"/>
      <c r="H150" s="154"/>
      <c r="I150" s="154"/>
      <c r="J150" s="154"/>
      <c r="K150" s="154"/>
      <c r="L150" s="154"/>
      <c r="M150" s="154"/>
      <c r="N150" s="154"/>
      <c r="O150" s="154"/>
      <c r="P150" s="154"/>
      <c r="Q150" s="154"/>
      <c r="R150" s="154"/>
      <c r="S150" s="154"/>
      <c r="T150" s="154"/>
      <c r="U150" s="154"/>
      <c r="V150" s="154"/>
      <c r="W150" s="154"/>
      <c r="X150" s="154"/>
      <c r="Y150" s="154"/>
      <c r="Z150" s="154"/>
    </row>
    <row r="151" ht="14.25" customHeight="1">
      <c r="A151" s="160"/>
      <c r="B151" s="161">
        <v>150.0</v>
      </c>
      <c r="C151" s="157">
        <f t="shared" si="1"/>
        <v>-1129.961481</v>
      </c>
      <c r="D151" s="158" t="str">
        <f>VLOOKUP(A151,'Classement RoC'!$B$2:$C$149,1,0)</f>
        <v>#N/A</v>
      </c>
      <c r="E151" s="163" t="str">
        <f t="shared" si="2"/>
        <v>#N/A</v>
      </c>
      <c r="F151" s="120" t="str">
        <f>VLOOKUP(A151,'Classement Général'!$B$2:$B$146,1,0)</f>
        <v>#N/A</v>
      </c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4"/>
      <c r="R151" s="154"/>
      <c r="S151" s="154"/>
      <c r="T151" s="154"/>
      <c r="U151" s="154"/>
      <c r="V151" s="154"/>
      <c r="W151" s="154"/>
      <c r="X151" s="154"/>
      <c r="Y151" s="154"/>
      <c r="Z151" s="154"/>
    </row>
    <row r="152" ht="14.25" customHeight="1">
      <c r="A152" s="160"/>
      <c r="B152" s="156">
        <v>151.0</v>
      </c>
      <c r="C152" s="157">
        <f t="shared" si="1"/>
        <v>-1138.069082</v>
      </c>
      <c r="D152" s="158" t="str">
        <f>VLOOKUP(A152,'Classement RoC'!$B$2:$C$149,1,0)</f>
        <v>#N/A</v>
      </c>
      <c r="E152" s="163" t="str">
        <f t="shared" si="2"/>
        <v>#N/A</v>
      </c>
      <c r="F152" s="120" t="str">
        <f>VLOOKUP(A152,'Classement Général'!$B$2:$B$146,1,0)</f>
        <v>#N/A</v>
      </c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154"/>
      <c r="S152" s="154"/>
      <c r="T152" s="154"/>
      <c r="U152" s="154"/>
      <c r="V152" s="154"/>
      <c r="W152" s="154"/>
      <c r="X152" s="154"/>
      <c r="Y152" s="154"/>
      <c r="Z152" s="154"/>
    </row>
    <row r="153" ht="14.25" customHeight="1">
      <c r="A153" s="160"/>
      <c r="B153" s="161">
        <v>152.0</v>
      </c>
      <c r="C153" s="157">
        <f t="shared" si="1"/>
        <v>-1146.159224</v>
      </c>
      <c r="D153" s="158" t="str">
        <f>VLOOKUP(A153,'Classement RoC'!$B$2:$C$149,1,0)</f>
        <v>#N/A</v>
      </c>
      <c r="E153" s="163" t="str">
        <f t="shared" si="2"/>
        <v>#N/A</v>
      </c>
      <c r="F153" s="120" t="str">
        <f>VLOOKUP(A153,'Classement Général'!$B$2:$B$146,1,0)</f>
        <v>#N/A</v>
      </c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4"/>
      <c r="R153" s="154"/>
      <c r="S153" s="154"/>
      <c r="T153" s="154"/>
      <c r="U153" s="154"/>
      <c r="V153" s="154"/>
      <c r="W153" s="154"/>
      <c r="X153" s="154"/>
      <c r="Y153" s="154"/>
      <c r="Z153" s="154"/>
    </row>
    <row r="154" ht="14.25" customHeight="1">
      <c r="A154" s="160"/>
      <c r="B154" s="156">
        <v>153.0</v>
      </c>
      <c r="C154" s="157">
        <f t="shared" si="1"/>
        <v>-1154.232083</v>
      </c>
      <c r="D154" s="158" t="str">
        <f>VLOOKUP(A154,'Classement RoC'!$B$2:$C$149,1,0)</f>
        <v>#N/A</v>
      </c>
      <c r="E154" s="163" t="str">
        <f t="shared" si="2"/>
        <v>#N/A</v>
      </c>
      <c r="F154" s="120" t="str">
        <f>VLOOKUP(A154,'Classement Général'!$B$2:$B$146,1,0)</f>
        <v>#N/A</v>
      </c>
      <c r="G154" s="154"/>
      <c r="H154" s="154"/>
      <c r="I154" s="154"/>
      <c r="J154" s="154"/>
      <c r="K154" s="154"/>
      <c r="L154" s="154"/>
      <c r="M154" s="154"/>
      <c r="N154" s="154"/>
      <c r="O154" s="154"/>
      <c r="P154" s="154"/>
      <c r="Q154" s="154"/>
      <c r="R154" s="154"/>
      <c r="S154" s="154"/>
      <c r="T154" s="154"/>
      <c r="U154" s="154"/>
      <c r="V154" s="154"/>
      <c r="W154" s="154"/>
      <c r="X154" s="154"/>
      <c r="Y154" s="154"/>
      <c r="Z154" s="154"/>
    </row>
    <row r="155" ht="14.25" customHeight="1">
      <c r="A155" s="160"/>
      <c r="B155" s="161">
        <v>154.0</v>
      </c>
      <c r="C155" s="157">
        <f t="shared" si="1"/>
        <v>-1162.287834</v>
      </c>
      <c r="D155" s="158" t="str">
        <f>VLOOKUP(A155,'Classement RoC'!$B$2:$C$149,1,0)</f>
        <v>#N/A</v>
      </c>
      <c r="E155" s="163" t="str">
        <f t="shared" si="2"/>
        <v>#N/A</v>
      </c>
      <c r="F155" s="120" t="str">
        <f>VLOOKUP(A155,'Classement Général'!$B$2:$B$146,1,0)</f>
        <v>#N/A</v>
      </c>
      <c r="G155" s="154"/>
      <c r="H155" s="154"/>
      <c r="I155" s="154"/>
      <c r="J155" s="154"/>
      <c r="K155" s="154"/>
      <c r="L155" s="154"/>
      <c r="M155" s="154"/>
      <c r="N155" s="154"/>
      <c r="O155" s="154"/>
      <c r="P155" s="154"/>
      <c r="Q155" s="154"/>
      <c r="R155" s="154"/>
      <c r="S155" s="154"/>
      <c r="T155" s="154"/>
      <c r="U155" s="154"/>
      <c r="V155" s="154"/>
      <c r="W155" s="154"/>
      <c r="X155" s="154"/>
      <c r="Y155" s="154"/>
      <c r="Z155" s="154"/>
    </row>
    <row r="156" ht="14.25" customHeight="1">
      <c r="A156" s="160"/>
      <c r="B156" s="156">
        <v>155.0</v>
      </c>
      <c r="C156" s="157">
        <f t="shared" si="1"/>
        <v>-1170.326646</v>
      </c>
      <c r="D156" s="158" t="str">
        <f>VLOOKUP(A156,'Classement RoC'!$B$2:$C$149,1,0)</f>
        <v>#N/A</v>
      </c>
      <c r="E156" s="163" t="str">
        <f t="shared" si="2"/>
        <v>#N/A</v>
      </c>
      <c r="F156" s="120" t="str">
        <f>VLOOKUP(A156,'Classement Général'!$B$2:$B$146,1,0)</f>
        <v>#N/A</v>
      </c>
      <c r="G156" s="154"/>
      <c r="H156" s="154"/>
      <c r="I156" s="154"/>
      <c r="J156" s="154"/>
      <c r="K156" s="154"/>
      <c r="L156" s="154"/>
      <c r="M156" s="154"/>
      <c r="N156" s="154"/>
      <c r="O156" s="154"/>
      <c r="P156" s="154"/>
      <c r="Q156" s="154"/>
      <c r="R156" s="154"/>
      <c r="S156" s="154"/>
      <c r="T156" s="154"/>
      <c r="U156" s="154"/>
      <c r="V156" s="154"/>
      <c r="W156" s="154"/>
      <c r="X156" s="154"/>
      <c r="Y156" s="154"/>
      <c r="Z156" s="154"/>
    </row>
    <row r="157" ht="14.25" customHeight="1">
      <c r="A157" s="160"/>
      <c r="B157" s="161">
        <v>156.0</v>
      </c>
      <c r="C157" s="157">
        <f t="shared" si="1"/>
        <v>-1178.348687</v>
      </c>
      <c r="D157" s="158" t="str">
        <f>VLOOKUP(A157,'Classement RoC'!$B$2:$C$149,1,0)</f>
        <v>#N/A</v>
      </c>
      <c r="E157" s="163" t="str">
        <f t="shared" si="2"/>
        <v>#N/A</v>
      </c>
      <c r="F157" s="120" t="str">
        <f>VLOOKUP(A157,'Classement Général'!$B$2:$B$146,1,0)</f>
        <v>#N/A</v>
      </c>
      <c r="G157" s="154"/>
      <c r="H157" s="154"/>
      <c r="I157" s="154"/>
      <c r="J157" s="154"/>
      <c r="K157" s="154"/>
      <c r="L157" s="154"/>
      <c r="M157" s="154"/>
      <c r="N157" s="154"/>
      <c r="O157" s="154"/>
      <c r="P157" s="154"/>
      <c r="Q157" s="154"/>
      <c r="R157" s="154"/>
      <c r="S157" s="154"/>
      <c r="T157" s="154"/>
      <c r="U157" s="154"/>
      <c r="V157" s="154"/>
      <c r="W157" s="154"/>
      <c r="X157" s="154"/>
      <c r="Y157" s="154"/>
      <c r="Z157" s="154"/>
    </row>
    <row r="158" ht="14.25" customHeight="1">
      <c r="A158" s="160"/>
      <c r="B158" s="156">
        <v>157.0</v>
      </c>
      <c r="C158" s="157">
        <f t="shared" si="1"/>
        <v>-1186.354121</v>
      </c>
      <c r="D158" s="158" t="str">
        <f>VLOOKUP(A158,'Classement RoC'!$B$2:$C$149,1,0)</f>
        <v>#N/A</v>
      </c>
      <c r="E158" s="163" t="str">
        <f t="shared" si="2"/>
        <v>#N/A</v>
      </c>
      <c r="F158" s="120" t="str">
        <f>VLOOKUP(A158,'Classement Général'!$B$2:$B$146,1,0)</f>
        <v>#N/A</v>
      </c>
      <c r="G158" s="154"/>
      <c r="H158" s="154"/>
      <c r="I158" s="154"/>
      <c r="J158" s="154"/>
      <c r="K158" s="154"/>
      <c r="L158" s="154"/>
      <c r="M158" s="154"/>
      <c r="N158" s="154"/>
      <c r="O158" s="154"/>
      <c r="P158" s="154"/>
      <c r="Q158" s="154"/>
      <c r="R158" s="154"/>
      <c r="S158" s="154"/>
      <c r="T158" s="154"/>
      <c r="U158" s="154"/>
      <c r="V158" s="154"/>
      <c r="W158" s="154"/>
      <c r="X158" s="154"/>
      <c r="Y158" s="154"/>
      <c r="Z158" s="154"/>
    </row>
    <row r="159" ht="14.25" customHeight="1">
      <c r="A159" s="160"/>
      <c r="B159" s="161">
        <v>158.0</v>
      </c>
      <c r="C159" s="157">
        <f t="shared" si="1"/>
        <v>-1194.343111</v>
      </c>
      <c r="D159" s="158" t="str">
        <f>VLOOKUP(A159,'Classement RoC'!$B$2:$C$149,1,0)</f>
        <v>#N/A</v>
      </c>
      <c r="E159" s="163" t="str">
        <f t="shared" si="2"/>
        <v>#N/A</v>
      </c>
      <c r="F159" s="120" t="str">
        <f>VLOOKUP(A159,'Classement Général'!$B$2:$B$146,1,0)</f>
        <v>#N/A</v>
      </c>
      <c r="G159" s="154"/>
      <c r="H159" s="154"/>
      <c r="I159" s="154"/>
      <c r="J159" s="154"/>
      <c r="K159" s="154"/>
      <c r="L159" s="154"/>
      <c r="M159" s="154"/>
      <c r="N159" s="154"/>
      <c r="O159" s="154"/>
      <c r="P159" s="154"/>
      <c r="Q159" s="154"/>
      <c r="R159" s="154"/>
      <c r="S159" s="154"/>
      <c r="T159" s="154"/>
      <c r="U159" s="154"/>
      <c r="V159" s="154"/>
      <c r="W159" s="154"/>
      <c r="X159" s="154"/>
      <c r="Y159" s="154"/>
      <c r="Z159" s="154"/>
    </row>
    <row r="160" ht="14.25" customHeight="1">
      <c r="A160" s="160"/>
      <c r="B160" s="156">
        <v>159.0</v>
      </c>
      <c r="C160" s="157">
        <f t="shared" si="1"/>
        <v>-1202.315816</v>
      </c>
      <c r="D160" s="158" t="str">
        <f>VLOOKUP(A160,'Classement RoC'!$B$2:$C$149,1,0)</f>
        <v>#N/A</v>
      </c>
      <c r="E160" s="163" t="str">
        <f t="shared" si="2"/>
        <v>#N/A</v>
      </c>
      <c r="F160" s="120" t="str">
        <f>VLOOKUP(A160,'Classement Général'!$B$2:$B$146,1,0)</f>
        <v>#N/A</v>
      </c>
      <c r="G160" s="154"/>
      <c r="H160" s="154"/>
      <c r="I160" s="154"/>
      <c r="J160" s="154"/>
      <c r="K160" s="154"/>
      <c r="L160" s="154"/>
      <c r="M160" s="154"/>
      <c r="N160" s="154"/>
      <c r="O160" s="154"/>
      <c r="P160" s="154"/>
      <c r="Q160" s="154"/>
      <c r="R160" s="154"/>
      <c r="S160" s="154"/>
      <c r="T160" s="154"/>
      <c r="U160" s="154"/>
      <c r="V160" s="154"/>
      <c r="W160" s="154"/>
      <c r="X160" s="154"/>
      <c r="Y160" s="154"/>
      <c r="Z160" s="154"/>
    </row>
    <row r="161" ht="14.25" customHeight="1">
      <c r="A161" s="164"/>
      <c r="B161" s="165"/>
      <c r="C161" s="166"/>
      <c r="D161" s="167"/>
      <c r="E161" s="168"/>
      <c r="F161" s="120" t="str">
        <f>VLOOKUP(A161,'Classement Général'!$B$2:$B$146,1,0)</f>
        <v>#N/A</v>
      </c>
      <c r="G161" s="154"/>
      <c r="H161" s="154"/>
      <c r="I161" s="154"/>
      <c r="J161" s="154"/>
      <c r="K161" s="154"/>
      <c r="L161" s="154"/>
      <c r="M161" s="154"/>
      <c r="N161" s="154"/>
      <c r="O161" s="154"/>
      <c r="P161" s="154"/>
      <c r="Q161" s="154"/>
      <c r="R161" s="154"/>
      <c r="S161" s="154"/>
      <c r="T161" s="154"/>
      <c r="U161" s="154"/>
      <c r="V161" s="154"/>
      <c r="W161" s="154"/>
      <c r="X161" s="154"/>
      <c r="Y161" s="154"/>
      <c r="Z161" s="154"/>
    </row>
    <row r="162" ht="14.25" customHeight="1">
      <c r="A162" s="164"/>
      <c r="B162" s="165"/>
      <c r="C162" s="166"/>
      <c r="D162" s="167"/>
      <c r="E162" s="168"/>
      <c r="G162" s="154"/>
      <c r="H162" s="154"/>
      <c r="I162" s="154"/>
      <c r="J162" s="154"/>
      <c r="K162" s="154"/>
      <c r="L162" s="154"/>
      <c r="M162" s="154"/>
      <c r="N162" s="154"/>
      <c r="O162" s="154"/>
      <c r="P162" s="154"/>
      <c r="Q162" s="154"/>
      <c r="R162" s="154"/>
      <c r="S162" s="154"/>
      <c r="T162" s="154"/>
      <c r="U162" s="154"/>
      <c r="V162" s="154"/>
      <c r="W162" s="154"/>
      <c r="X162" s="154"/>
      <c r="Y162" s="154"/>
      <c r="Z162" s="154"/>
    </row>
    <row r="163" ht="14.25" customHeight="1">
      <c r="A163" s="164"/>
      <c r="B163" s="165"/>
      <c r="C163" s="166"/>
      <c r="D163" s="167"/>
      <c r="E163" s="168"/>
      <c r="G163" s="154"/>
      <c r="H163" s="154"/>
      <c r="I163" s="154"/>
      <c r="J163" s="154"/>
      <c r="K163" s="154"/>
      <c r="L163" s="154"/>
      <c r="M163" s="154"/>
      <c r="N163" s="154"/>
      <c r="O163" s="154"/>
      <c r="P163" s="154"/>
      <c r="Q163" s="154"/>
      <c r="R163" s="154"/>
      <c r="S163" s="154"/>
      <c r="T163" s="154"/>
      <c r="U163" s="154"/>
      <c r="V163" s="154"/>
      <c r="W163" s="154"/>
      <c r="X163" s="154"/>
      <c r="Y163" s="154"/>
      <c r="Z163" s="154"/>
    </row>
    <row r="164" ht="14.25" customHeight="1">
      <c r="A164" s="164"/>
      <c r="B164" s="165"/>
      <c r="C164" s="166"/>
      <c r="D164" s="167"/>
      <c r="E164" s="168"/>
      <c r="G164" s="154"/>
      <c r="H164" s="154"/>
      <c r="I164" s="154"/>
      <c r="J164" s="154"/>
      <c r="K164" s="154"/>
      <c r="L164" s="154"/>
      <c r="M164" s="154"/>
      <c r="N164" s="154"/>
      <c r="O164" s="154"/>
      <c r="P164" s="154"/>
      <c r="Q164" s="154"/>
      <c r="R164" s="154"/>
      <c r="S164" s="154"/>
      <c r="T164" s="154"/>
      <c r="U164" s="154"/>
      <c r="V164" s="154"/>
      <c r="W164" s="154"/>
      <c r="X164" s="154"/>
      <c r="Y164" s="154"/>
      <c r="Z164" s="154"/>
    </row>
    <row r="165" ht="14.25" customHeight="1">
      <c r="A165" s="164"/>
      <c r="B165" s="165"/>
      <c r="C165" s="166"/>
      <c r="D165" s="167"/>
      <c r="E165" s="168"/>
      <c r="G165" s="154"/>
      <c r="H165" s="154"/>
      <c r="I165" s="154"/>
      <c r="J165" s="154"/>
      <c r="K165" s="154"/>
      <c r="L165" s="154"/>
      <c r="M165" s="154"/>
      <c r="N165" s="154"/>
      <c r="O165" s="154"/>
      <c r="P165" s="154"/>
      <c r="Q165" s="154"/>
      <c r="R165" s="154"/>
      <c r="S165" s="154"/>
      <c r="T165" s="154"/>
      <c r="U165" s="154"/>
      <c r="V165" s="154"/>
      <c r="W165" s="154"/>
      <c r="X165" s="154"/>
      <c r="Y165" s="154"/>
      <c r="Z165" s="154"/>
    </row>
    <row r="166" ht="14.25" customHeight="1">
      <c r="A166" s="164"/>
      <c r="B166" s="165"/>
      <c r="C166" s="166"/>
      <c r="D166" s="167"/>
      <c r="E166" s="168"/>
      <c r="G166" s="154"/>
      <c r="H166" s="154"/>
      <c r="I166" s="154"/>
      <c r="J166" s="154"/>
      <c r="K166" s="154"/>
      <c r="L166" s="154"/>
      <c r="M166" s="154"/>
      <c r="N166" s="154"/>
      <c r="O166" s="154"/>
      <c r="P166" s="154"/>
      <c r="Q166" s="154"/>
      <c r="R166" s="154"/>
      <c r="S166" s="154"/>
      <c r="T166" s="154"/>
      <c r="U166" s="154"/>
      <c r="V166" s="154"/>
      <c r="W166" s="154"/>
      <c r="X166" s="154"/>
      <c r="Y166" s="154"/>
      <c r="Z166" s="154"/>
    </row>
    <row r="167" ht="14.25" customHeight="1">
      <c r="A167" s="164"/>
      <c r="B167" s="165"/>
      <c r="C167" s="166"/>
      <c r="D167" s="167"/>
      <c r="E167" s="168"/>
      <c r="G167" s="154"/>
      <c r="H167" s="154"/>
      <c r="I167" s="154"/>
      <c r="J167" s="154"/>
      <c r="K167" s="154"/>
      <c r="L167" s="154"/>
      <c r="M167" s="154"/>
      <c r="N167" s="154"/>
      <c r="O167" s="154"/>
      <c r="P167" s="154"/>
      <c r="Q167" s="154"/>
      <c r="R167" s="154"/>
      <c r="S167" s="154"/>
      <c r="T167" s="154"/>
      <c r="U167" s="154"/>
      <c r="V167" s="154"/>
      <c r="W167" s="154"/>
      <c r="X167" s="154"/>
      <c r="Y167" s="154"/>
      <c r="Z167" s="154"/>
    </row>
    <row r="168" ht="14.25" customHeight="1">
      <c r="A168" s="164"/>
      <c r="B168" s="165"/>
      <c r="C168" s="166"/>
      <c r="D168" s="167"/>
      <c r="E168" s="168"/>
      <c r="G168" s="154"/>
      <c r="H168" s="154"/>
      <c r="I168" s="154"/>
      <c r="J168" s="154"/>
      <c r="K168" s="154"/>
      <c r="L168" s="154"/>
      <c r="M168" s="154"/>
      <c r="N168" s="154"/>
      <c r="O168" s="154"/>
      <c r="P168" s="154"/>
      <c r="Q168" s="154"/>
      <c r="R168" s="154"/>
      <c r="S168" s="154"/>
      <c r="T168" s="154"/>
      <c r="U168" s="154"/>
      <c r="V168" s="154"/>
      <c r="W168" s="154"/>
      <c r="X168" s="154"/>
      <c r="Y168" s="154"/>
      <c r="Z168" s="154"/>
    </row>
    <row r="169" ht="14.25" customHeight="1">
      <c r="A169" s="164"/>
      <c r="B169" s="165"/>
      <c r="C169" s="166"/>
      <c r="D169" s="167"/>
      <c r="E169" s="168"/>
      <c r="G169" s="154"/>
      <c r="H169" s="154"/>
      <c r="I169" s="154"/>
      <c r="J169" s="154"/>
      <c r="K169" s="154"/>
      <c r="L169" s="154"/>
      <c r="M169" s="154"/>
      <c r="N169" s="154"/>
      <c r="O169" s="154"/>
      <c r="P169" s="154"/>
      <c r="Q169" s="154"/>
      <c r="R169" s="154"/>
      <c r="S169" s="154"/>
      <c r="T169" s="154"/>
      <c r="U169" s="154"/>
      <c r="V169" s="154"/>
      <c r="W169" s="154"/>
      <c r="X169" s="154"/>
      <c r="Y169" s="154"/>
      <c r="Z169" s="154"/>
    </row>
    <row r="170" ht="14.25" customHeight="1">
      <c r="A170" s="164"/>
      <c r="B170" s="165"/>
      <c r="C170" s="166"/>
      <c r="D170" s="167"/>
      <c r="E170" s="168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4"/>
      <c r="Z170" s="154"/>
    </row>
    <row r="171" ht="14.25" customHeight="1">
      <c r="A171" s="164"/>
      <c r="B171" s="165"/>
      <c r="C171" s="166"/>
      <c r="D171" s="167"/>
      <c r="E171" s="168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154"/>
    </row>
    <row r="172" ht="14.25" customHeight="1">
      <c r="A172" s="164"/>
      <c r="B172" s="165"/>
      <c r="C172" s="166"/>
      <c r="D172" s="167"/>
      <c r="E172" s="168"/>
      <c r="G172" s="154"/>
      <c r="H172" s="154"/>
      <c r="I172" s="154"/>
      <c r="J172" s="154"/>
      <c r="K172" s="154"/>
      <c r="L172" s="154"/>
      <c r="M172" s="154"/>
      <c r="N172" s="154"/>
      <c r="O172" s="154"/>
      <c r="P172" s="154"/>
      <c r="Q172" s="154"/>
      <c r="R172" s="154"/>
      <c r="S172" s="154"/>
      <c r="T172" s="154"/>
      <c r="U172" s="154"/>
      <c r="V172" s="154"/>
      <c r="W172" s="154"/>
      <c r="X172" s="154"/>
      <c r="Y172" s="154"/>
      <c r="Z172" s="154"/>
    </row>
    <row r="173" ht="14.25" customHeight="1">
      <c r="A173" s="164"/>
      <c r="B173" s="165"/>
      <c r="C173" s="166"/>
      <c r="D173" s="167"/>
      <c r="E173" s="168"/>
      <c r="G173" s="154"/>
      <c r="H173" s="154"/>
      <c r="I173" s="154"/>
      <c r="J173" s="154"/>
      <c r="K173" s="154"/>
      <c r="L173" s="154"/>
      <c r="M173" s="154"/>
      <c r="N173" s="154"/>
      <c r="O173" s="154"/>
      <c r="P173" s="154"/>
      <c r="Q173" s="154"/>
      <c r="R173" s="154"/>
      <c r="S173" s="154"/>
      <c r="T173" s="154"/>
      <c r="U173" s="154"/>
      <c r="V173" s="154"/>
      <c r="W173" s="154"/>
      <c r="X173" s="154"/>
      <c r="Y173" s="154"/>
      <c r="Z173" s="154"/>
    </row>
    <row r="174" ht="14.25" customHeight="1">
      <c r="A174" s="164"/>
      <c r="B174" s="165"/>
      <c r="C174" s="166"/>
      <c r="D174" s="167"/>
      <c r="E174" s="168"/>
      <c r="G174" s="154"/>
      <c r="H174" s="154"/>
      <c r="I174" s="154"/>
      <c r="J174" s="154"/>
      <c r="K174" s="154"/>
      <c r="L174" s="154"/>
      <c r="M174" s="154"/>
      <c r="N174" s="154"/>
      <c r="O174" s="154"/>
      <c r="P174" s="154"/>
      <c r="Q174" s="154"/>
      <c r="R174" s="154"/>
      <c r="S174" s="154"/>
      <c r="T174" s="154"/>
      <c r="U174" s="154"/>
      <c r="V174" s="154"/>
      <c r="W174" s="154"/>
      <c r="X174" s="154"/>
      <c r="Y174" s="154"/>
      <c r="Z174" s="154"/>
    </row>
    <row r="175" ht="14.25" customHeight="1">
      <c r="A175" s="164"/>
      <c r="B175" s="165"/>
      <c r="C175" s="166"/>
      <c r="D175" s="167"/>
      <c r="E175" s="168"/>
      <c r="G175" s="154"/>
      <c r="H175" s="154"/>
      <c r="I175" s="154"/>
      <c r="J175" s="154"/>
      <c r="K175" s="154"/>
      <c r="L175" s="154"/>
      <c r="M175" s="154"/>
      <c r="N175" s="154"/>
      <c r="O175" s="154"/>
      <c r="P175" s="154"/>
      <c r="Q175" s="154"/>
      <c r="R175" s="154"/>
      <c r="S175" s="154"/>
      <c r="T175" s="154"/>
      <c r="U175" s="154"/>
      <c r="V175" s="154"/>
      <c r="W175" s="154"/>
      <c r="X175" s="154"/>
      <c r="Y175" s="154"/>
      <c r="Z175" s="154"/>
    </row>
    <row r="176" ht="14.25" customHeight="1">
      <c r="A176" s="164"/>
      <c r="B176" s="165"/>
      <c r="C176" s="166"/>
      <c r="D176" s="167"/>
      <c r="E176" s="168"/>
      <c r="G176" s="154"/>
      <c r="H176" s="154"/>
      <c r="I176" s="154"/>
      <c r="J176" s="154"/>
      <c r="K176" s="154"/>
      <c r="L176" s="154"/>
      <c r="M176" s="154"/>
      <c r="N176" s="154"/>
      <c r="O176" s="154"/>
      <c r="P176" s="154"/>
      <c r="Q176" s="154"/>
      <c r="R176" s="154"/>
      <c r="S176" s="154"/>
      <c r="T176" s="154"/>
      <c r="U176" s="154"/>
      <c r="V176" s="154"/>
      <c r="W176" s="154"/>
      <c r="X176" s="154"/>
      <c r="Y176" s="154"/>
      <c r="Z176" s="154"/>
    </row>
    <row r="177" ht="14.25" customHeight="1">
      <c r="A177" s="164"/>
      <c r="B177" s="165"/>
      <c r="C177" s="166"/>
      <c r="D177" s="167"/>
      <c r="E177" s="168"/>
      <c r="G177" s="154"/>
      <c r="H177" s="154"/>
      <c r="I177" s="154"/>
      <c r="J177" s="154"/>
      <c r="K177" s="154"/>
      <c r="L177" s="154"/>
      <c r="M177" s="154"/>
      <c r="N177" s="154"/>
      <c r="O177" s="154"/>
      <c r="P177" s="154"/>
      <c r="Q177" s="154"/>
      <c r="R177" s="154"/>
      <c r="S177" s="154"/>
      <c r="T177" s="154"/>
      <c r="U177" s="154"/>
      <c r="V177" s="154"/>
      <c r="W177" s="154"/>
      <c r="X177" s="154"/>
      <c r="Y177" s="154"/>
      <c r="Z177" s="154"/>
    </row>
    <row r="178" ht="14.25" customHeight="1">
      <c r="A178" s="164"/>
      <c r="B178" s="165"/>
      <c r="C178" s="166"/>
      <c r="D178" s="167"/>
      <c r="E178" s="168"/>
      <c r="G178" s="154"/>
      <c r="H178" s="154"/>
      <c r="I178" s="154"/>
      <c r="J178" s="154"/>
      <c r="K178" s="154"/>
      <c r="L178" s="154"/>
      <c r="M178" s="154"/>
      <c r="N178" s="154"/>
      <c r="O178" s="154"/>
      <c r="P178" s="154"/>
      <c r="Q178" s="154"/>
      <c r="R178" s="154"/>
      <c r="S178" s="154"/>
      <c r="T178" s="154"/>
      <c r="U178" s="154"/>
      <c r="V178" s="154"/>
      <c r="W178" s="154"/>
      <c r="X178" s="154"/>
      <c r="Y178" s="154"/>
      <c r="Z178" s="154"/>
    </row>
    <row r="179" ht="14.25" customHeight="1">
      <c r="A179" s="164"/>
      <c r="B179" s="165"/>
      <c r="C179" s="166"/>
      <c r="D179" s="167"/>
      <c r="E179" s="168"/>
      <c r="G179" s="154"/>
      <c r="H179" s="154"/>
      <c r="I179" s="154"/>
      <c r="J179" s="154"/>
      <c r="K179" s="154"/>
      <c r="L179" s="154"/>
      <c r="M179" s="154"/>
      <c r="N179" s="154"/>
      <c r="O179" s="154"/>
      <c r="P179" s="154"/>
      <c r="Q179" s="154"/>
      <c r="R179" s="154"/>
      <c r="S179" s="154"/>
      <c r="T179" s="154"/>
      <c r="U179" s="154"/>
      <c r="V179" s="154"/>
      <c r="W179" s="154"/>
      <c r="X179" s="154"/>
      <c r="Y179" s="154"/>
      <c r="Z179" s="154"/>
    </row>
    <row r="180" ht="14.25" customHeight="1">
      <c r="A180" s="164"/>
      <c r="B180" s="165"/>
      <c r="C180" s="166"/>
      <c r="D180" s="167"/>
      <c r="E180" s="168"/>
      <c r="G180" s="154"/>
      <c r="H180" s="154"/>
      <c r="I180" s="154"/>
      <c r="J180" s="154"/>
      <c r="K180" s="154"/>
      <c r="L180" s="154"/>
      <c r="M180" s="154"/>
      <c r="N180" s="154"/>
      <c r="O180" s="154"/>
      <c r="P180" s="154"/>
      <c r="Q180" s="154"/>
      <c r="R180" s="154"/>
      <c r="S180" s="154"/>
      <c r="T180" s="154"/>
      <c r="U180" s="154"/>
      <c r="V180" s="154"/>
      <c r="W180" s="154"/>
      <c r="X180" s="154"/>
      <c r="Y180" s="154"/>
      <c r="Z180" s="154"/>
    </row>
    <row r="181" ht="14.25" customHeight="1">
      <c r="A181" s="164"/>
      <c r="B181" s="165"/>
      <c r="C181" s="166"/>
      <c r="D181" s="167"/>
      <c r="E181" s="168"/>
      <c r="G181" s="154"/>
      <c r="H181" s="154"/>
      <c r="I181" s="154"/>
      <c r="J181" s="154"/>
      <c r="K181" s="154"/>
      <c r="L181" s="154"/>
      <c r="M181" s="154"/>
      <c r="N181" s="154"/>
      <c r="O181" s="154"/>
      <c r="P181" s="154"/>
      <c r="Q181" s="154"/>
      <c r="R181" s="154"/>
      <c r="S181" s="154"/>
      <c r="T181" s="154"/>
      <c r="U181" s="154"/>
      <c r="V181" s="154"/>
      <c r="W181" s="154"/>
      <c r="X181" s="154"/>
      <c r="Y181" s="154"/>
      <c r="Z181" s="154"/>
    </row>
    <row r="182" ht="14.25" customHeight="1">
      <c r="A182" s="164"/>
      <c r="B182" s="165"/>
      <c r="C182" s="166"/>
      <c r="D182" s="167"/>
      <c r="E182" s="168"/>
      <c r="G182" s="154"/>
      <c r="H182" s="154"/>
      <c r="I182" s="154"/>
      <c r="J182" s="154"/>
      <c r="K182" s="154"/>
      <c r="L182" s="154"/>
      <c r="M182" s="154"/>
      <c r="N182" s="154"/>
      <c r="O182" s="154"/>
      <c r="P182" s="154"/>
      <c r="Q182" s="154"/>
      <c r="R182" s="154"/>
      <c r="S182" s="154"/>
      <c r="T182" s="154"/>
      <c r="U182" s="154"/>
      <c r="V182" s="154"/>
      <c r="W182" s="154"/>
      <c r="X182" s="154"/>
      <c r="Y182" s="154"/>
      <c r="Z182" s="154"/>
    </row>
    <row r="183" ht="14.25" customHeight="1">
      <c r="A183" s="164"/>
      <c r="B183" s="165"/>
      <c r="C183" s="166"/>
      <c r="D183" s="167"/>
      <c r="E183" s="168"/>
      <c r="G183" s="154"/>
      <c r="H183" s="154"/>
      <c r="I183" s="154"/>
      <c r="J183" s="154"/>
      <c r="K183" s="154"/>
      <c r="L183" s="154"/>
      <c r="M183" s="154"/>
      <c r="N183" s="154"/>
      <c r="O183" s="154"/>
      <c r="P183" s="154"/>
      <c r="Q183" s="154"/>
      <c r="R183" s="154"/>
      <c r="S183" s="154"/>
      <c r="T183" s="154"/>
      <c r="U183" s="154"/>
      <c r="V183" s="154"/>
      <c r="W183" s="154"/>
      <c r="X183" s="154"/>
      <c r="Y183" s="154"/>
      <c r="Z183" s="154"/>
    </row>
    <row r="184" ht="14.25" customHeight="1">
      <c r="A184" s="164"/>
      <c r="B184" s="165"/>
      <c r="C184" s="166"/>
      <c r="D184" s="167"/>
      <c r="E184" s="168"/>
      <c r="G184" s="154"/>
      <c r="H184" s="154"/>
      <c r="I184" s="154"/>
      <c r="J184" s="154"/>
      <c r="K184" s="154"/>
      <c r="L184" s="154"/>
      <c r="M184" s="154"/>
      <c r="N184" s="154"/>
      <c r="O184" s="154"/>
      <c r="P184" s="154"/>
      <c r="Q184" s="154"/>
      <c r="R184" s="154"/>
      <c r="S184" s="154"/>
      <c r="T184" s="154"/>
      <c r="U184" s="154"/>
      <c r="V184" s="154"/>
      <c r="W184" s="154"/>
      <c r="X184" s="154"/>
      <c r="Y184" s="154"/>
      <c r="Z184" s="154"/>
    </row>
    <row r="185" ht="14.25" customHeight="1">
      <c r="A185" s="164"/>
      <c r="B185" s="165"/>
      <c r="C185" s="166"/>
      <c r="D185" s="167"/>
      <c r="E185" s="168"/>
      <c r="G185" s="154"/>
      <c r="H185" s="154"/>
      <c r="I185" s="154"/>
      <c r="J185" s="154"/>
      <c r="K185" s="154"/>
      <c r="L185" s="154"/>
      <c r="M185" s="154"/>
      <c r="N185" s="154"/>
      <c r="O185" s="154"/>
      <c r="P185" s="154"/>
      <c r="Q185" s="154"/>
      <c r="R185" s="154"/>
      <c r="S185" s="154"/>
      <c r="T185" s="154"/>
      <c r="U185" s="154"/>
      <c r="V185" s="154"/>
      <c r="W185" s="154"/>
      <c r="X185" s="154"/>
      <c r="Y185" s="154"/>
      <c r="Z185" s="154"/>
    </row>
    <row r="186" ht="14.25" customHeight="1">
      <c r="A186" s="164"/>
      <c r="B186" s="165"/>
      <c r="C186" s="166"/>
      <c r="D186" s="167"/>
      <c r="E186" s="168"/>
      <c r="G186" s="154"/>
      <c r="H186" s="154"/>
      <c r="I186" s="154"/>
      <c r="J186" s="154"/>
      <c r="K186" s="154"/>
      <c r="L186" s="154"/>
      <c r="M186" s="154"/>
      <c r="N186" s="154"/>
      <c r="O186" s="154"/>
      <c r="P186" s="154"/>
      <c r="Q186" s="154"/>
      <c r="R186" s="154"/>
      <c r="S186" s="154"/>
      <c r="T186" s="154"/>
      <c r="U186" s="154"/>
      <c r="V186" s="154"/>
      <c r="W186" s="154"/>
      <c r="X186" s="154"/>
      <c r="Y186" s="154"/>
      <c r="Z186" s="154"/>
    </row>
    <row r="187" ht="14.25" customHeight="1">
      <c r="A187" s="164"/>
      <c r="B187" s="165"/>
      <c r="C187" s="166"/>
      <c r="D187" s="167"/>
      <c r="E187" s="168"/>
      <c r="G187" s="154"/>
      <c r="H187" s="154"/>
      <c r="I187" s="154"/>
      <c r="J187" s="154"/>
      <c r="K187" s="154"/>
      <c r="L187" s="154"/>
      <c r="M187" s="154"/>
      <c r="N187" s="154"/>
      <c r="O187" s="154"/>
      <c r="P187" s="154"/>
      <c r="Q187" s="154"/>
      <c r="R187" s="154"/>
      <c r="S187" s="154"/>
      <c r="T187" s="154"/>
      <c r="U187" s="154"/>
      <c r="V187" s="154"/>
      <c r="W187" s="154"/>
      <c r="X187" s="154"/>
      <c r="Y187" s="154"/>
      <c r="Z187" s="154"/>
    </row>
    <row r="188" ht="14.25" customHeight="1">
      <c r="A188" s="164"/>
      <c r="B188" s="165"/>
      <c r="C188" s="166"/>
      <c r="D188" s="167"/>
      <c r="E188" s="168"/>
      <c r="G188" s="154"/>
      <c r="H188" s="154"/>
      <c r="I188" s="154"/>
      <c r="J188" s="154"/>
      <c r="K188" s="154"/>
      <c r="L188" s="154"/>
      <c r="M188" s="154"/>
      <c r="N188" s="154"/>
      <c r="O188" s="154"/>
      <c r="P188" s="154"/>
      <c r="Q188" s="154"/>
      <c r="R188" s="154"/>
      <c r="S188" s="154"/>
      <c r="T188" s="154"/>
      <c r="U188" s="154"/>
      <c r="V188" s="154"/>
      <c r="W188" s="154"/>
      <c r="X188" s="154"/>
      <c r="Y188" s="154"/>
      <c r="Z188" s="154"/>
    </row>
    <row r="189" ht="14.25" customHeight="1">
      <c r="A189" s="164"/>
      <c r="B189" s="165"/>
      <c r="C189" s="166"/>
      <c r="D189" s="167"/>
      <c r="E189" s="168"/>
      <c r="G189" s="154"/>
      <c r="H189" s="154"/>
      <c r="I189" s="154"/>
      <c r="J189" s="154"/>
      <c r="K189" s="154"/>
      <c r="L189" s="154"/>
      <c r="M189" s="154"/>
      <c r="N189" s="154"/>
      <c r="O189" s="154"/>
      <c r="P189" s="154"/>
      <c r="Q189" s="154"/>
      <c r="R189" s="154"/>
      <c r="S189" s="154"/>
      <c r="T189" s="154"/>
      <c r="U189" s="154"/>
      <c r="V189" s="154"/>
      <c r="W189" s="154"/>
      <c r="X189" s="154"/>
      <c r="Y189" s="154"/>
      <c r="Z189" s="154"/>
    </row>
    <row r="190" ht="14.25" customHeight="1">
      <c r="A190" s="164"/>
      <c r="B190" s="165"/>
      <c r="C190" s="166"/>
      <c r="D190" s="167"/>
      <c r="E190" s="168"/>
      <c r="G190" s="154"/>
      <c r="H190" s="154"/>
      <c r="I190" s="154"/>
      <c r="J190" s="154"/>
      <c r="K190" s="154"/>
      <c r="L190" s="154"/>
      <c r="M190" s="154"/>
      <c r="N190" s="154"/>
      <c r="O190" s="154"/>
      <c r="P190" s="154"/>
      <c r="Q190" s="154"/>
      <c r="R190" s="154"/>
      <c r="S190" s="154"/>
      <c r="T190" s="154"/>
      <c r="U190" s="154"/>
      <c r="V190" s="154"/>
      <c r="W190" s="154"/>
      <c r="X190" s="154"/>
      <c r="Y190" s="154"/>
      <c r="Z190" s="154"/>
    </row>
    <row r="191" ht="14.25" customHeight="1">
      <c r="A191" s="164"/>
      <c r="B191" s="165"/>
      <c r="C191" s="166"/>
      <c r="D191" s="167"/>
      <c r="E191" s="168"/>
      <c r="G191" s="154"/>
      <c r="H191" s="154"/>
      <c r="I191" s="154"/>
      <c r="J191" s="154"/>
      <c r="K191" s="154"/>
      <c r="L191" s="154"/>
      <c r="M191" s="154"/>
      <c r="N191" s="154"/>
      <c r="O191" s="154"/>
      <c r="P191" s="154"/>
      <c r="Q191" s="154"/>
      <c r="R191" s="154"/>
      <c r="S191" s="154"/>
      <c r="T191" s="154"/>
      <c r="U191" s="154"/>
      <c r="V191" s="154"/>
      <c r="W191" s="154"/>
      <c r="X191" s="154"/>
      <c r="Y191" s="154"/>
      <c r="Z191" s="154"/>
    </row>
    <row r="192" ht="14.25" customHeight="1">
      <c r="A192" s="164"/>
      <c r="B192" s="165"/>
      <c r="C192" s="166"/>
      <c r="D192" s="167"/>
      <c r="E192" s="168"/>
      <c r="G192" s="154"/>
      <c r="H192" s="154"/>
      <c r="I192" s="154"/>
      <c r="J192" s="154"/>
      <c r="K192" s="154"/>
      <c r="L192" s="154"/>
      <c r="M192" s="154"/>
      <c r="N192" s="154"/>
      <c r="O192" s="154"/>
      <c r="P192" s="154"/>
      <c r="Q192" s="154"/>
      <c r="R192" s="154"/>
      <c r="S192" s="154"/>
      <c r="T192" s="154"/>
      <c r="U192" s="154"/>
      <c r="V192" s="154"/>
      <c r="W192" s="154"/>
      <c r="X192" s="154"/>
      <c r="Y192" s="154"/>
      <c r="Z192" s="154"/>
    </row>
    <row r="193" ht="14.25" customHeight="1">
      <c r="A193" s="164"/>
      <c r="B193" s="165"/>
      <c r="C193" s="166"/>
      <c r="D193" s="167"/>
      <c r="E193" s="168"/>
      <c r="G193" s="154"/>
      <c r="H193" s="154"/>
      <c r="I193" s="154"/>
      <c r="J193" s="154"/>
      <c r="K193" s="154"/>
      <c r="L193" s="154"/>
      <c r="M193" s="154"/>
      <c r="N193" s="154"/>
      <c r="O193" s="154"/>
      <c r="P193" s="154"/>
      <c r="Q193" s="154"/>
      <c r="R193" s="154"/>
      <c r="S193" s="154"/>
      <c r="T193" s="154"/>
      <c r="U193" s="154"/>
      <c r="V193" s="154"/>
      <c r="W193" s="154"/>
      <c r="X193" s="154"/>
      <c r="Y193" s="154"/>
      <c r="Z193" s="154"/>
    </row>
    <row r="194" ht="14.25" customHeight="1">
      <c r="A194" s="164"/>
      <c r="B194" s="165"/>
      <c r="C194" s="166"/>
      <c r="D194" s="167"/>
      <c r="E194" s="168"/>
      <c r="G194" s="154"/>
      <c r="H194" s="154"/>
      <c r="I194" s="154"/>
      <c r="J194" s="154"/>
      <c r="K194" s="154"/>
      <c r="L194" s="154"/>
      <c r="M194" s="154"/>
      <c r="N194" s="154"/>
      <c r="O194" s="154"/>
      <c r="P194" s="154"/>
      <c r="Q194" s="154"/>
      <c r="R194" s="154"/>
      <c r="S194" s="154"/>
      <c r="T194" s="154"/>
      <c r="U194" s="154"/>
      <c r="V194" s="154"/>
      <c r="W194" s="154"/>
      <c r="X194" s="154"/>
      <c r="Y194" s="154"/>
      <c r="Z194" s="154"/>
    </row>
    <row r="195" ht="14.25" customHeight="1">
      <c r="A195" s="164"/>
      <c r="B195" s="165"/>
      <c r="C195" s="166"/>
      <c r="D195" s="167"/>
      <c r="E195" s="168"/>
      <c r="G195" s="154"/>
      <c r="H195" s="154"/>
      <c r="I195" s="154"/>
      <c r="J195" s="154"/>
      <c r="K195" s="154"/>
      <c r="L195" s="154"/>
      <c r="M195" s="154"/>
      <c r="N195" s="154"/>
      <c r="O195" s="154"/>
      <c r="P195" s="154"/>
      <c r="Q195" s="154"/>
      <c r="R195" s="154"/>
      <c r="S195" s="154"/>
      <c r="T195" s="154"/>
      <c r="U195" s="154"/>
      <c r="V195" s="154"/>
      <c r="W195" s="154"/>
      <c r="X195" s="154"/>
      <c r="Y195" s="154"/>
      <c r="Z195" s="154"/>
    </row>
    <row r="196" ht="14.25" customHeight="1">
      <c r="A196" s="164"/>
      <c r="B196" s="165"/>
      <c r="C196" s="166"/>
      <c r="D196" s="167"/>
      <c r="E196" s="168"/>
      <c r="G196" s="154"/>
      <c r="H196" s="154"/>
      <c r="I196" s="154"/>
      <c r="J196" s="154"/>
      <c r="K196" s="154"/>
      <c r="L196" s="154"/>
      <c r="M196" s="154"/>
      <c r="N196" s="154"/>
      <c r="O196" s="154"/>
      <c r="P196" s="154"/>
      <c r="Q196" s="154"/>
      <c r="R196" s="154"/>
      <c r="S196" s="154"/>
      <c r="T196" s="154"/>
      <c r="U196" s="154"/>
      <c r="V196" s="154"/>
      <c r="W196" s="154"/>
      <c r="X196" s="154"/>
      <c r="Y196" s="154"/>
      <c r="Z196" s="154"/>
    </row>
    <row r="197" ht="14.25" customHeight="1">
      <c r="A197" s="164"/>
      <c r="B197" s="165"/>
      <c r="C197" s="166"/>
      <c r="D197" s="167"/>
      <c r="E197" s="168"/>
      <c r="G197" s="154"/>
      <c r="H197" s="154"/>
      <c r="I197" s="154"/>
      <c r="J197" s="154"/>
      <c r="K197" s="154"/>
      <c r="L197" s="154"/>
      <c r="M197" s="154"/>
      <c r="N197" s="154"/>
      <c r="O197" s="154"/>
      <c r="P197" s="154"/>
      <c r="Q197" s="154"/>
      <c r="R197" s="154"/>
      <c r="S197" s="154"/>
      <c r="T197" s="154"/>
      <c r="U197" s="154"/>
      <c r="V197" s="154"/>
      <c r="W197" s="154"/>
      <c r="X197" s="154"/>
      <c r="Y197" s="154"/>
      <c r="Z197" s="154"/>
    </row>
    <row r="198" ht="14.25" customHeight="1">
      <c r="A198" s="164"/>
      <c r="B198" s="165"/>
      <c r="C198" s="166"/>
      <c r="D198" s="167"/>
      <c r="E198" s="168"/>
      <c r="G198" s="154"/>
      <c r="H198" s="154"/>
      <c r="I198" s="154"/>
      <c r="J198" s="154"/>
      <c r="K198" s="154"/>
      <c r="L198" s="154"/>
      <c r="M198" s="154"/>
      <c r="N198" s="154"/>
      <c r="O198" s="154"/>
      <c r="P198" s="154"/>
      <c r="Q198" s="154"/>
      <c r="R198" s="154"/>
      <c r="S198" s="154"/>
      <c r="T198" s="154"/>
      <c r="U198" s="154"/>
      <c r="V198" s="154"/>
      <c r="W198" s="154"/>
      <c r="X198" s="154"/>
      <c r="Y198" s="154"/>
      <c r="Z198" s="154"/>
    </row>
    <row r="199" ht="14.25" customHeight="1">
      <c r="A199" s="164"/>
      <c r="B199" s="165"/>
      <c r="C199" s="166"/>
      <c r="D199" s="167"/>
      <c r="E199" s="168"/>
      <c r="G199" s="154"/>
      <c r="H199" s="154"/>
      <c r="I199" s="154"/>
      <c r="J199" s="154"/>
      <c r="K199" s="154"/>
      <c r="L199" s="154"/>
      <c r="M199" s="154"/>
      <c r="N199" s="154"/>
      <c r="O199" s="154"/>
      <c r="P199" s="154"/>
      <c r="Q199" s="154"/>
      <c r="R199" s="154"/>
      <c r="S199" s="154"/>
      <c r="T199" s="154"/>
      <c r="U199" s="154"/>
      <c r="V199" s="154"/>
      <c r="W199" s="154"/>
      <c r="X199" s="154"/>
      <c r="Y199" s="154"/>
      <c r="Z199" s="154"/>
    </row>
    <row r="200" ht="14.25" customHeight="1">
      <c r="A200" s="164"/>
      <c r="B200" s="165"/>
      <c r="C200" s="166"/>
      <c r="D200" s="167"/>
      <c r="E200" s="168"/>
      <c r="G200" s="154"/>
      <c r="H200" s="154"/>
      <c r="I200" s="154"/>
      <c r="J200" s="154"/>
      <c r="K200" s="154"/>
      <c r="L200" s="154"/>
      <c r="M200" s="154"/>
      <c r="N200" s="154"/>
      <c r="O200" s="154"/>
      <c r="P200" s="154"/>
      <c r="Q200" s="154"/>
      <c r="R200" s="154"/>
      <c r="S200" s="154"/>
      <c r="T200" s="154"/>
      <c r="U200" s="154"/>
      <c r="V200" s="154"/>
      <c r="W200" s="154"/>
      <c r="X200" s="154"/>
      <c r="Y200" s="154"/>
      <c r="Z200" s="154"/>
    </row>
    <row r="201" ht="14.25" customHeight="1">
      <c r="A201" s="164"/>
      <c r="B201" s="165"/>
      <c r="C201" s="166"/>
      <c r="D201" s="167"/>
      <c r="E201" s="168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</row>
    <row r="202" ht="14.25" customHeight="1">
      <c r="A202" s="164"/>
      <c r="B202" s="165"/>
      <c r="C202" s="166"/>
      <c r="D202" s="167"/>
      <c r="E202" s="168"/>
      <c r="G202" s="154"/>
      <c r="H202" s="154"/>
      <c r="I202" s="154"/>
      <c r="J202" s="154"/>
      <c r="K202" s="154"/>
      <c r="L202" s="154"/>
      <c r="M202" s="154"/>
      <c r="N202" s="154"/>
      <c r="O202" s="154"/>
      <c r="P202" s="154"/>
      <c r="Q202" s="154"/>
      <c r="R202" s="154"/>
      <c r="S202" s="154"/>
      <c r="T202" s="154"/>
      <c r="U202" s="154"/>
      <c r="V202" s="154"/>
      <c r="W202" s="154"/>
      <c r="X202" s="154"/>
      <c r="Y202" s="154"/>
      <c r="Z202" s="154"/>
    </row>
    <row r="203" ht="14.25" customHeight="1">
      <c r="A203" s="164"/>
      <c r="B203" s="165"/>
      <c r="C203" s="166"/>
      <c r="D203" s="167"/>
      <c r="E203" s="168"/>
      <c r="G203" s="154"/>
      <c r="H203" s="154"/>
      <c r="I203" s="154"/>
      <c r="J203" s="154"/>
      <c r="K203" s="154"/>
      <c r="L203" s="154"/>
      <c r="M203" s="154"/>
      <c r="N203" s="154"/>
      <c r="O203" s="154"/>
      <c r="P203" s="154"/>
      <c r="Q203" s="154"/>
      <c r="R203" s="154"/>
      <c r="S203" s="154"/>
      <c r="T203" s="154"/>
      <c r="U203" s="154"/>
      <c r="V203" s="154"/>
      <c r="W203" s="154"/>
      <c r="X203" s="154"/>
      <c r="Y203" s="154"/>
      <c r="Z203" s="154"/>
    </row>
    <row r="204" ht="14.25" customHeight="1">
      <c r="A204" s="164"/>
      <c r="B204" s="165"/>
      <c r="C204" s="166"/>
      <c r="D204" s="167"/>
      <c r="E204" s="168"/>
      <c r="G204" s="154"/>
      <c r="H204" s="154"/>
      <c r="I204" s="154"/>
      <c r="J204" s="154"/>
      <c r="K204" s="154"/>
      <c r="L204" s="154"/>
      <c r="M204" s="154"/>
      <c r="N204" s="154"/>
      <c r="O204" s="154"/>
      <c r="P204" s="154"/>
      <c r="Q204" s="154"/>
      <c r="R204" s="154"/>
      <c r="S204" s="154"/>
      <c r="T204" s="154"/>
      <c r="U204" s="154"/>
      <c r="V204" s="154"/>
      <c r="W204" s="154"/>
      <c r="X204" s="154"/>
      <c r="Y204" s="154"/>
      <c r="Z204" s="154"/>
    </row>
    <row r="205" ht="14.25" customHeight="1">
      <c r="A205" s="164"/>
      <c r="B205" s="165"/>
      <c r="C205" s="166"/>
      <c r="D205" s="167"/>
      <c r="E205" s="168"/>
      <c r="G205" s="154"/>
      <c r="H205" s="154"/>
      <c r="I205" s="154"/>
      <c r="J205" s="154"/>
      <c r="K205" s="154"/>
      <c r="L205" s="154"/>
      <c r="M205" s="154"/>
      <c r="N205" s="154"/>
      <c r="O205" s="154"/>
      <c r="P205" s="154"/>
      <c r="Q205" s="154"/>
      <c r="R205" s="154"/>
      <c r="S205" s="154"/>
      <c r="T205" s="154"/>
      <c r="U205" s="154"/>
      <c r="V205" s="154"/>
      <c r="W205" s="154"/>
      <c r="X205" s="154"/>
      <c r="Y205" s="154"/>
      <c r="Z205" s="154"/>
    </row>
    <row r="206" ht="14.25" customHeight="1">
      <c r="A206" s="164"/>
      <c r="B206" s="165"/>
      <c r="C206" s="166"/>
      <c r="D206" s="167"/>
      <c r="E206" s="168"/>
      <c r="G206" s="154"/>
      <c r="H206" s="154"/>
      <c r="I206" s="154"/>
      <c r="J206" s="154"/>
      <c r="K206" s="154"/>
      <c r="L206" s="154"/>
      <c r="M206" s="154"/>
      <c r="N206" s="154"/>
      <c r="O206" s="154"/>
      <c r="P206" s="154"/>
      <c r="Q206" s="154"/>
      <c r="R206" s="154"/>
      <c r="S206" s="154"/>
      <c r="T206" s="154"/>
      <c r="U206" s="154"/>
      <c r="V206" s="154"/>
      <c r="W206" s="154"/>
      <c r="X206" s="154"/>
      <c r="Y206" s="154"/>
      <c r="Z206" s="154"/>
    </row>
    <row r="207" ht="14.25" customHeight="1">
      <c r="A207" s="164"/>
      <c r="B207" s="165"/>
      <c r="C207" s="166"/>
      <c r="D207" s="167"/>
      <c r="E207" s="168"/>
      <c r="G207" s="154"/>
      <c r="H207" s="154"/>
      <c r="I207" s="154"/>
      <c r="J207" s="154"/>
      <c r="K207" s="154"/>
      <c r="L207" s="154"/>
      <c r="M207" s="154"/>
      <c r="N207" s="154"/>
      <c r="O207" s="154"/>
      <c r="P207" s="154"/>
      <c r="Q207" s="154"/>
      <c r="R207" s="154"/>
      <c r="S207" s="154"/>
      <c r="T207" s="154"/>
      <c r="U207" s="154"/>
      <c r="V207" s="154"/>
      <c r="W207" s="154"/>
      <c r="X207" s="154"/>
      <c r="Y207" s="154"/>
      <c r="Z207" s="154"/>
    </row>
    <row r="208" ht="14.25" customHeight="1">
      <c r="A208" s="164"/>
      <c r="B208" s="165"/>
      <c r="C208" s="166"/>
      <c r="D208" s="167"/>
      <c r="E208" s="168"/>
      <c r="G208" s="154"/>
      <c r="H208" s="154"/>
      <c r="I208" s="154"/>
      <c r="J208" s="154"/>
      <c r="K208" s="154"/>
      <c r="L208" s="154"/>
      <c r="M208" s="154"/>
      <c r="N208" s="154"/>
      <c r="O208" s="154"/>
      <c r="P208" s="154"/>
      <c r="Q208" s="154"/>
      <c r="R208" s="154"/>
      <c r="S208" s="154"/>
      <c r="T208" s="154"/>
      <c r="U208" s="154"/>
      <c r="V208" s="154"/>
      <c r="W208" s="154"/>
      <c r="X208" s="154"/>
      <c r="Y208" s="154"/>
      <c r="Z208" s="154"/>
    </row>
    <row r="209" ht="14.25" customHeight="1">
      <c r="A209" s="164"/>
      <c r="B209" s="165"/>
      <c r="C209" s="166"/>
      <c r="D209" s="167"/>
      <c r="E209" s="168"/>
      <c r="G209" s="154"/>
      <c r="H209" s="154"/>
      <c r="I209" s="154"/>
      <c r="J209" s="154"/>
      <c r="K209" s="154"/>
      <c r="L209" s="154"/>
      <c r="M209" s="154"/>
      <c r="N209" s="154"/>
      <c r="O209" s="154"/>
      <c r="P209" s="154"/>
      <c r="Q209" s="154"/>
      <c r="R209" s="154"/>
      <c r="S209" s="154"/>
      <c r="T209" s="154"/>
      <c r="U209" s="154"/>
      <c r="V209" s="154"/>
      <c r="W209" s="154"/>
      <c r="X209" s="154"/>
      <c r="Y209" s="154"/>
      <c r="Z209" s="154"/>
    </row>
    <row r="210" ht="14.25" customHeight="1">
      <c r="A210" s="164"/>
      <c r="B210" s="165"/>
      <c r="C210" s="166"/>
      <c r="D210" s="167"/>
      <c r="E210" s="168"/>
      <c r="G210" s="154"/>
      <c r="H210" s="154"/>
      <c r="I210" s="154"/>
      <c r="J210" s="154"/>
      <c r="K210" s="154"/>
      <c r="L210" s="154"/>
      <c r="M210" s="154"/>
      <c r="N210" s="154"/>
      <c r="O210" s="154"/>
      <c r="P210" s="154"/>
      <c r="Q210" s="154"/>
      <c r="R210" s="154"/>
      <c r="S210" s="154"/>
      <c r="T210" s="154"/>
      <c r="U210" s="154"/>
      <c r="V210" s="154"/>
      <c r="W210" s="154"/>
      <c r="X210" s="154"/>
      <c r="Y210" s="154"/>
      <c r="Z210" s="154"/>
    </row>
    <row r="211" ht="14.25" customHeight="1">
      <c r="A211" s="164"/>
      <c r="B211" s="165"/>
      <c r="C211" s="166"/>
      <c r="D211" s="167"/>
      <c r="E211" s="168"/>
      <c r="G211" s="154"/>
      <c r="H211" s="154"/>
      <c r="I211" s="154"/>
      <c r="J211" s="154"/>
      <c r="K211" s="154"/>
      <c r="L211" s="154"/>
      <c r="M211" s="154"/>
      <c r="N211" s="154"/>
      <c r="O211" s="154"/>
      <c r="P211" s="154"/>
      <c r="Q211" s="154"/>
      <c r="R211" s="154"/>
      <c r="S211" s="154"/>
      <c r="T211" s="154"/>
      <c r="U211" s="154"/>
      <c r="V211" s="154"/>
      <c r="W211" s="154"/>
      <c r="X211" s="154"/>
      <c r="Y211" s="154"/>
      <c r="Z211" s="154"/>
    </row>
    <row r="212" ht="14.25" customHeight="1">
      <c r="A212" s="164"/>
      <c r="B212" s="165"/>
      <c r="C212" s="166"/>
      <c r="D212" s="167"/>
      <c r="E212" s="168"/>
      <c r="G212" s="154"/>
      <c r="H212" s="154"/>
      <c r="I212" s="154"/>
      <c r="J212" s="154"/>
      <c r="K212" s="154"/>
      <c r="L212" s="154"/>
      <c r="M212" s="154"/>
      <c r="N212" s="154"/>
      <c r="O212" s="154"/>
      <c r="P212" s="154"/>
      <c r="Q212" s="154"/>
      <c r="R212" s="154"/>
      <c r="S212" s="154"/>
      <c r="T212" s="154"/>
      <c r="U212" s="154"/>
      <c r="V212" s="154"/>
      <c r="W212" s="154"/>
      <c r="X212" s="154"/>
      <c r="Y212" s="154"/>
      <c r="Z212" s="154"/>
    </row>
    <row r="213" ht="14.25" customHeight="1">
      <c r="A213" s="164"/>
      <c r="B213" s="165"/>
      <c r="C213" s="166"/>
      <c r="D213" s="167"/>
      <c r="E213" s="168"/>
      <c r="G213" s="154"/>
      <c r="H213" s="154"/>
      <c r="I213" s="154"/>
      <c r="J213" s="154"/>
      <c r="K213" s="154"/>
      <c r="L213" s="154"/>
      <c r="M213" s="154"/>
      <c r="N213" s="154"/>
      <c r="O213" s="154"/>
      <c r="P213" s="154"/>
      <c r="Q213" s="154"/>
      <c r="R213" s="154"/>
      <c r="S213" s="154"/>
      <c r="T213" s="154"/>
      <c r="U213" s="154"/>
      <c r="V213" s="154"/>
      <c r="W213" s="154"/>
      <c r="X213" s="154"/>
      <c r="Y213" s="154"/>
      <c r="Z213" s="154"/>
    </row>
    <row r="214" ht="14.25" customHeight="1">
      <c r="A214" s="164"/>
      <c r="B214" s="165"/>
      <c r="C214" s="166"/>
      <c r="D214" s="167"/>
      <c r="E214" s="168"/>
      <c r="G214" s="154"/>
      <c r="H214" s="154"/>
      <c r="I214" s="154"/>
      <c r="J214" s="154"/>
      <c r="K214" s="154"/>
      <c r="L214" s="154"/>
      <c r="M214" s="154"/>
      <c r="N214" s="154"/>
      <c r="O214" s="154"/>
      <c r="P214" s="154"/>
      <c r="Q214" s="154"/>
      <c r="R214" s="154"/>
      <c r="S214" s="154"/>
      <c r="T214" s="154"/>
      <c r="U214" s="154"/>
      <c r="V214" s="154"/>
      <c r="W214" s="154"/>
      <c r="X214" s="154"/>
      <c r="Y214" s="154"/>
      <c r="Z214" s="154"/>
    </row>
    <row r="215" ht="14.25" customHeight="1">
      <c r="A215" s="164"/>
      <c r="B215" s="165"/>
      <c r="C215" s="166"/>
      <c r="D215" s="167"/>
      <c r="E215" s="168"/>
      <c r="G215" s="154"/>
      <c r="H215" s="154"/>
      <c r="I215" s="154"/>
      <c r="J215" s="154"/>
      <c r="K215" s="154"/>
      <c r="L215" s="154"/>
      <c r="M215" s="154"/>
      <c r="N215" s="154"/>
      <c r="O215" s="154"/>
      <c r="P215" s="154"/>
      <c r="Q215" s="154"/>
      <c r="R215" s="154"/>
      <c r="S215" s="154"/>
      <c r="T215" s="154"/>
      <c r="U215" s="154"/>
      <c r="V215" s="154"/>
      <c r="W215" s="154"/>
      <c r="X215" s="154"/>
      <c r="Y215" s="154"/>
      <c r="Z215" s="154"/>
    </row>
    <row r="216" ht="14.25" customHeight="1">
      <c r="A216" s="164"/>
      <c r="B216" s="165"/>
      <c r="C216" s="166"/>
      <c r="D216" s="167"/>
      <c r="E216" s="168"/>
      <c r="G216" s="154"/>
      <c r="H216" s="154"/>
      <c r="I216" s="154"/>
      <c r="J216" s="154"/>
      <c r="K216" s="154"/>
      <c r="L216" s="154"/>
      <c r="M216" s="154"/>
      <c r="N216" s="154"/>
      <c r="O216" s="154"/>
      <c r="P216" s="154"/>
      <c r="Q216" s="154"/>
      <c r="R216" s="154"/>
      <c r="S216" s="154"/>
      <c r="T216" s="154"/>
      <c r="U216" s="154"/>
      <c r="V216" s="154"/>
      <c r="W216" s="154"/>
      <c r="X216" s="154"/>
      <c r="Y216" s="154"/>
      <c r="Z216" s="154"/>
    </row>
    <row r="217" ht="14.25" customHeight="1">
      <c r="A217" s="164"/>
      <c r="B217" s="165"/>
      <c r="C217" s="166"/>
      <c r="D217" s="167"/>
      <c r="E217" s="168"/>
      <c r="G217" s="154"/>
      <c r="H217" s="154"/>
      <c r="I217" s="154"/>
      <c r="J217" s="154"/>
      <c r="K217" s="154"/>
      <c r="L217" s="154"/>
      <c r="M217" s="154"/>
      <c r="N217" s="154"/>
      <c r="O217" s="154"/>
      <c r="P217" s="154"/>
      <c r="Q217" s="154"/>
      <c r="R217" s="154"/>
      <c r="S217" s="154"/>
      <c r="T217" s="154"/>
      <c r="U217" s="154"/>
      <c r="V217" s="154"/>
      <c r="W217" s="154"/>
      <c r="X217" s="154"/>
      <c r="Y217" s="154"/>
      <c r="Z217" s="154"/>
    </row>
    <row r="218" ht="14.25" customHeight="1">
      <c r="A218" s="164"/>
      <c r="B218" s="165"/>
      <c r="C218" s="166"/>
      <c r="D218" s="167"/>
      <c r="E218" s="168"/>
      <c r="G218" s="154"/>
      <c r="H218" s="154"/>
      <c r="I218" s="154"/>
      <c r="J218" s="154"/>
      <c r="K218" s="154"/>
      <c r="L218" s="154"/>
      <c r="M218" s="154"/>
      <c r="N218" s="154"/>
      <c r="O218" s="154"/>
      <c r="P218" s="154"/>
      <c r="Q218" s="154"/>
      <c r="R218" s="154"/>
      <c r="S218" s="154"/>
      <c r="T218" s="154"/>
      <c r="U218" s="154"/>
      <c r="V218" s="154"/>
      <c r="W218" s="154"/>
      <c r="X218" s="154"/>
      <c r="Y218" s="154"/>
      <c r="Z218" s="154"/>
    </row>
    <row r="219" ht="14.25" customHeight="1">
      <c r="A219" s="164"/>
      <c r="B219" s="165"/>
      <c r="C219" s="166"/>
      <c r="D219" s="167"/>
      <c r="E219" s="168"/>
      <c r="G219" s="154"/>
      <c r="H219" s="154"/>
      <c r="I219" s="154"/>
      <c r="J219" s="154"/>
      <c r="K219" s="154"/>
      <c r="L219" s="154"/>
      <c r="M219" s="154"/>
      <c r="N219" s="154"/>
      <c r="O219" s="154"/>
      <c r="P219" s="154"/>
      <c r="Q219" s="154"/>
      <c r="R219" s="154"/>
      <c r="S219" s="154"/>
      <c r="T219" s="154"/>
      <c r="U219" s="154"/>
      <c r="V219" s="154"/>
      <c r="W219" s="154"/>
      <c r="X219" s="154"/>
      <c r="Y219" s="154"/>
      <c r="Z219" s="154"/>
    </row>
    <row r="220" ht="14.25" customHeight="1">
      <c r="A220" s="164"/>
      <c r="B220" s="165"/>
      <c r="C220" s="166"/>
      <c r="D220" s="167"/>
      <c r="E220" s="168"/>
      <c r="G220" s="154"/>
      <c r="H220" s="154"/>
      <c r="I220" s="154"/>
      <c r="J220" s="154"/>
      <c r="K220" s="154"/>
      <c r="L220" s="154"/>
      <c r="M220" s="154"/>
      <c r="N220" s="154"/>
      <c r="O220" s="154"/>
      <c r="P220" s="154"/>
      <c r="Q220" s="154"/>
      <c r="R220" s="154"/>
      <c r="S220" s="154"/>
      <c r="T220" s="154"/>
      <c r="U220" s="154"/>
      <c r="V220" s="154"/>
      <c r="W220" s="154"/>
      <c r="X220" s="154"/>
      <c r="Y220" s="154"/>
      <c r="Z220" s="154"/>
    </row>
    <row r="221" ht="14.25" customHeight="1">
      <c r="A221" s="164"/>
      <c r="B221" s="165"/>
      <c r="C221" s="166"/>
      <c r="D221" s="167"/>
      <c r="E221" s="168"/>
      <c r="G221" s="154"/>
      <c r="H221" s="154"/>
      <c r="I221" s="154"/>
      <c r="J221" s="154"/>
      <c r="K221" s="154"/>
      <c r="L221" s="154"/>
      <c r="M221" s="154"/>
      <c r="N221" s="154"/>
      <c r="O221" s="154"/>
      <c r="P221" s="154"/>
      <c r="Q221" s="154"/>
      <c r="R221" s="154"/>
      <c r="S221" s="154"/>
      <c r="T221" s="154"/>
      <c r="U221" s="154"/>
      <c r="V221" s="154"/>
      <c r="W221" s="154"/>
      <c r="X221" s="154"/>
      <c r="Y221" s="154"/>
      <c r="Z221" s="154"/>
    </row>
    <row r="222" ht="14.25" customHeight="1">
      <c r="A222" s="164"/>
      <c r="B222" s="165"/>
      <c r="C222" s="166"/>
      <c r="D222" s="167"/>
      <c r="E222" s="168"/>
      <c r="G222" s="154"/>
      <c r="H222" s="154"/>
      <c r="I222" s="154"/>
      <c r="J222" s="154"/>
      <c r="K222" s="154"/>
      <c r="L222" s="154"/>
      <c r="M222" s="154"/>
      <c r="N222" s="154"/>
      <c r="O222" s="154"/>
      <c r="P222" s="154"/>
      <c r="Q222" s="154"/>
      <c r="R222" s="154"/>
      <c r="S222" s="154"/>
      <c r="T222" s="154"/>
      <c r="U222" s="154"/>
      <c r="V222" s="154"/>
      <c r="W222" s="154"/>
      <c r="X222" s="154"/>
      <c r="Y222" s="154"/>
      <c r="Z222" s="154"/>
    </row>
    <row r="223" ht="14.25" customHeight="1">
      <c r="A223" s="164"/>
      <c r="B223" s="165"/>
      <c r="C223" s="166"/>
      <c r="D223" s="167"/>
      <c r="E223" s="168"/>
      <c r="G223" s="154"/>
      <c r="H223" s="154"/>
      <c r="I223" s="154"/>
      <c r="J223" s="154"/>
      <c r="K223" s="154"/>
      <c r="L223" s="154"/>
      <c r="M223" s="154"/>
      <c r="N223" s="154"/>
      <c r="O223" s="154"/>
      <c r="P223" s="154"/>
      <c r="Q223" s="154"/>
      <c r="R223" s="154"/>
      <c r="S223" s="154"/>
      <c r="T223" s="154"/>
      <c r="U223" s="154"/>
      <c r="V223" s="154"/>
      <c r="W223" s="154"/>
      <c r="X223" s="154"/>
      <c r="Y223" s="154"/>
      <c r="Z223" s="154"/>
    </row>
    <row r="224" ht="14.25" customHeight="1">
      <c r="A224" s="164"/>
      <c r="B224" s="165"/>
      <c r="C224" s="166"/>
      <c r="D224" s="167"/>
      <c r="E224" s="168"/>
      <c r="G224" s="154"/>
      <c r="H224" s="154"/>
      <c r="I224" s="154"/>
      <c r="J224" s="154"/>
      <c r="K224" s="154"/>
      <c r="L224" s="154"/>
      <c r="M224" s="154"/>
      <c r="N224" s="154"/>
      <c r="O224" s="154"/>
      <c r="P224" s="154"/>
      <c r="Q224" s="154"/>
      <c r="R224" s="154"/>
      <c r="S224" s="154"/>
      <c r="T224" s="154"/>
      <c r="U224" s="154"/>
      <c r="V224" s="154"/>
      <c r="W224" s="154"/>
      <c r="X224" s="154"/>
      <c r="Y224" s="154"/>
      <c r="Z224" s="154"/>
    </row>
    <row r="225" ht="14.25" customHeight="1">
      <c r="A225" s="164"/>
      <c r="B225" s="165"/>
      <c r="C225" s="166"/>
      <c r="D225" s="167"/>
      <c r="E225" s="168"/>
      <c r="G225" s="154"/>
      <c r="H225" s="154"/>
      <c r="I225" s="154"/>
      <c r="J225" s="154"/>
      <c r="K225" s="154"/>
      <c r="L225" s="154"/>
      <c r="M225" s="154"/>
      <c r="N225" s="154"/>
      <c r="O225" s="154"/>
      <c r="P225" s="154"/>
      <c r="Q225" s="154"/>
      <c r="R225" s="154"/>
      <c r="S225" s="154"/>
      <c r="T225" s="154"/>
      <c r="U225" s="154"/>
      <c r="V225" s="154"/>
      <c r="W225" s="154"/>
      <c r="X225" s="154"/>
      <c r="Y225" s="154"/>
      <c r="Z225" s="154"/>
    </row>
    <row r="226" ht="14.25" customHeight="1">
      <c r="A226" s="164"/>
      <c r="B226" s="165"/>
      <c r="C226" s="166"/>
      <c r="D226" s="167"/>
      <c r="E226" s="168"/>
      <c r="G226" s="154"/>
      <c r="H226" s="154"/>
      <c r="I226" s="154"/>
      <c r="J226" s="154"/>
      <c r="K226" s="154"/>
      <c r="L226" s="154"/>
      <c r="M226" s="154"/>
      <c r="N226" s="154"/>
      <c r="O226" s="154"/>
      <c r="P226" s="154"/>
      <c r="Q226" s="154"/>
      <c r="R226" s="154"/>
      <c r="S226" s="154"/>
      <c r="T226" s="154"/>
      <c r="U226" s="154"/>
      <c r="V226" s="154"/>
      <c r="W226" s="154"/>
      <c r="X226" s="154"/>
      <c r="Y226" s="154"/>
      <c r="Z226" s="154"/>
    </row>
    <row r="227" ht="14.25" customHeight="1">
      <c r="A227" s="164"/>
      <c r="B227" s="165"/>
      <c r="C227" s="166"/>
      <c r="D227" s="167"/>
      <c r="E227" s="168"/>
      <c r="G227" s="154"/>
      <c r="H227" s="154"/>
      <c r="I227" s="154"/>
      <c r="J227" s="154"/>
      <c r="K227" s="154"/>
      <c r="L227" s="154"/>
      <c r="M227" s="154"/>
      <c r="N227" s="154"/>
      <c r="O227" s="154"/>
      <c r="P227" s="154"/>
      <c r="Q227" s="154"/>
      <c r="R227" s="154"/>
      <c r="S227" s="154"/>
      <c r="T227" s="154"/>
      <c r="U227" s="154"/>
      <c r="V227" s="154"/>
      <c r="W227" s="154"/>
      <c r="X227" s="154"/>
      <c r="Y227" s="154"/>
      <c r="Z227" s="154"/>
    </row>
    <row r="228" ht="14.25" customHeight="1">
      <c r="A228" s="164"/>
      <c r="B228" s="165"/>
      <c r="C228" s="166"/>
      <c r="D228" s="167"/>
      <c r="E228" s="168"/>
      <c r="G228" s="154"/>
      <c r="H228" s="154"/>
      <c r="I228" s="154"/>
      <c r="J228" s="154"/>
      <c r="K228" s="154"/>
      <c r="L228" s="154"/>
      <c r="M228" s="154"/>
      <c r="N228" s="154"/>
      <c r="O228" s="154"/>
      <c r="P228" s="154"/>
      <c r="Q228" s="154"/>
      <c r="R228" s="154"/>
      <c r="S228" s="154"/>
      <c r="T228" s="154"/>
      <c r="U228" s="154"/>
      <c r="V228" s="154"/>
      <c r="W228" s="154"/>
      <c r="X228" s="154"/>
      <c r="Y228" s="154"/>
      <c r="Z228" s="154"/>
    </row>
    <row r="229" ht="14.25" customHeight="1">
      <c r="A229" s="164"/>
      <c r="B229" s="165"/>
      <c r="C229" s="166"/>
      <c r="D229" s="167"/>
      <c r="E229" s="168"/>
      <c r="G229" s="154"/>
      <c r="H229" s="154"/>
      <c r="I229" s="154"/>
      <c r="J229" s="154"/>
      <c r="K229" s="154"/>
      <c r="L229" s="154"/>
      <c r="M229" s="154"/>
      <c r="N229" s="154"/>
      <c r="O229" s="154"/>
      <c r="P229" s="154"/>
      <c r="Q229" s="154"/>
      <c r="R229" s="154"/>
      <c r="S229" s="154"/>
      <c r="T229" s="154"/>
      <c r="U229" s="154"/>
      <c r="V229" s="154"/>
      <c r="W229" s="154"/>
      <c r="X229" s="154"/>
      <c r="Y229" s="154"/>
      <c r="Z229" s="154"/>
    </row>
    <row r="230" ht="14.25" customHeight="1">
      <c r="A230" s="164"/>
      <c r="B230" s="165"/>
      <c r="C230" s="166"/>
      <c r="D230" s="167"/>
      <c r="E230" s="168"/>
      <c r="G230" s="154"/>
      <c r="H230" s="154"/>
      <c r="I230" s="154"/>
      <c r="J230" s="154"/>
      <c r="K230" s="154"/>
      <c r="L230" s="154"/>
      <c r="M230" s="154"/>
      <c r="N230" s="154"/>
      <c r="O230" s="154"/>
      <c r="P230" s="154"/>
      <c r="Q230" s="154"/>
      <c r="R230" s="154"/>
      <c r="S230" s="154"/>
      <c r="T230" s="154"/>
      <c r="U230" s="154"/>
      <c r="V230" s="154"/>
      <c r="W230" s="154"/>
      <c r="X230" s="154"/>
      <c r="Y230" s="154"/>
      <c r="Z230" s="154"/>
    </row>
    <row r="231" ht="14.25" customHeight="1">
      <c r="A231" s="164"/>
      <c r="B231" s="165"/>
      <c r="C231" s="166"/>
      <c r="D231" s="167"/>
      <c r="E231" s="168"/>
      <c r="G231" s="154"/>
      <c r="H231" s="154"/>
      <c r="I231" s="154"/>
      <c r="J231" s="154"/>
      <c r="K231" s="154"/>
      <c r="L231" s="154"/>
      <c r="M231" s="154"/>
      <c r="N231" s="154"/>
      <c r="O231" s="154"/>
      <c r="P231" s="154"/>
      <c r="Q231" s="154"/>
      <c r="R231" s="154"/>
      <c r="S231" s="154"/>
      <c r="T231" s="154"/>
      <c r="U231" s="154"/>
      <c r="V231" s="154"/>
      <c r="W231" s="154"/>
      <c r="X231" s="154"/>
      <c r="Y231" s="154"/>
      <c r="Z231" s="154"/>
    </row>
    <row r="232" ht="14.25" customHeight="1">
      <c r="A232" s="164"/>
      <c r="B232" s="165"/>
      <c r="C232" s="166"/>
      <c r="D232" s="167"/>
      <c r="E232" s="168"/>
      <c r="G232" s="154"/>
      <c r="H232" s="154"/>
      <c r="I232" s="154"/>
      <c r="J232" s="154"/>
      <c r="K232" s="154"/>
      <c r="L232" s="154"/>
      <c r="M232" s="154"/>
      <c r="N232" s="154"/>
      <c r="O232" s="154"/>
      <c r="P232" s="154"/>
      <c r="Q232" s="154"/>
      <c r="R232" s="154"/>
      <c r="S232" s="154"/>
      <c r="T232" s="154"/>
      <c r="U232" s="154"/>
      <c r="V232" s="154"/>
      <c r="W232" s="154"/>
      <c r="X232" s="154"/>
      <c r="Y232" s="154"/>
      <c r="Z232" s="154"/>
    </row>
    <row r="233" ht="14.25" customHeight="1">
      <c r="A233" s="164"/>
      <c r="B233" s="165"/>
      <c r="C233" s="166"/>
      <c r="D233" s="167"/>
      <c r="E233" s="168"/>
      <c r="G233" s="154"/>
      <c r="H233" s="154"/>
      <c r="I233" s="154"/>
      <c r="J233" s="154"/>
      <c r="K233" s="154"/>
      <c r="L233" s="154"/>
      <c r="M233" s="154"/>
      <c r="N233" s="154"/>
      <c r="O233" s="154"/>
      <c r="P233" s="154"/>
      <c r="Q233" s="154"/>
      <c r="R233" s="154"/>
      <c r="S233" s="154"/>
      <c r="T233" s="154"/>
      <c r="U233" s="154"/>
      <c r="V233" s="154"/>
      <c r="W233" s="154"/>
      <c r="X233" s="154"/>
      <c r="Y233" s="154"/>
      <c r="Z233" s="154"/>
    </row>
    <row r="234" ht="14.25" customHeight="1">
      <c r="A234" s="164"/>
      <c r="B234" s="165"/>
      <c r="C234" s="166"/>
      <c r="D234" s="167"/>
      <c r="E234" s="168"/>
      <c r="G234" s="154"/>
      <c r="H234" s="154"/>
      <c r="I234" s="154"/>
      <c r="J234" s="154"/>
      <c r="K234" s="154"/>
      <c r="L234" s="154"/>
      <c r="M234" s="154"/>
      <c r="N234" s="154"/>
      <c r="O234" s="154"/>
      <c r="P234" s="154"/>
      <c r="Q234" s="154"/>
      <c r="R234" s="154"/>
      <c r="S234" s="154"/>
      <c r="T234" s="154"/>
      <c r="U234" s="154"/>
      <c r="V234" s="154"/>
      <c r="W234" s="154"/>
      <c r="X234" s="154"/>
      <c r="Y234" s="154"/>
      <c r="Z234" s="154"/>
    </row>
    <row r="235" ht="14.25" customHeight="1">
      <c r="A235" s="164"/>
      <c r="B235" s="165"/>
      <c r="C235" s="166"/>
      <c r="D235" s="167"/>
      <c r="E235" s="168"/>
      <c r="G235" s="154"/>
      <c r="H235" s="154"/>
      <c r="I235" s="154"/>
      <c r="J235" s="154"/>
      <c r="K235" s="154"/>
      <c r="L235" s="154"/>
      <c r="M235" s="154"/>
      <c r="N235" s="154"/>
      <c r="O235" s="154"/>
      <c r="P235" s="154"/>
      <c r="Q235" s="154"/>
      <c r="R235" s="154"/>
      <c r="S235" s="154"/>
      <c r="T235" s="154"/>
      <c r="U235" s="154"/>
      <c r="V235" s="154"/>
      <c r="W235" s="154"/>
      <c r="X235" s="154"/>
      <c r="Y235" s="154"/>
      <c r="Z235" s="154"/>
    </row>
    <row r="236" ht="14.25" customHeight="1">
      <c r="A236" s="164"/>
      <c r="B236" s="165"/>
      <c r="C236" s="166"/>
      <c r="D236" s="167"/>
      <c r="E236" s="168"/>
      <c r="G236" s="154"/>
      <c r="H236" s="154"/>
      <c r="I236" s="154"/>
      <c r="J236" s="154"/>
      <c r="K236" s="154"/>
      <c r="L236" s="154"/>
      <c r="M236" s="154"/>
      <c r="N236" s="154"/>
      <c r="O236" s="154"/>
      <c r="P236" s="154"/>
      <c r="Q236" s="154"/>
      <c r="R236" s="154"/>
      <c r="S236" s="154"/>
      <c r="T236" s="154"/>
      <c r="U236" s="154"/>
      <c r="V236" s="154"/>
      <c r="W236" s="154"/>
      <c r="X236" s="154"/>
      <c r="Y236" s="154"/>
      <c r="Z236" s="154"/>
    </row>
    <row r="237" ht="14.25" customHeight="1">
      <c r="A237" s="164"/>
      <c r="B237" s="165"/>
      <c r="C237" s="166"/>
      <c r="D237" s="167"/>
      <c r="E237" s="168"/>
      <c r="G237" s="154"/>
      <c r="H237" s="154"/>
      <c r="I237" s="154"/>
      <c r="J237" s="154"/>
      <c r="K237" s="154"/>
      <c r="L237" s="154"/>
      <c r="M237" s="154"/>
      <c r="N237" s="154"/>
      <c r="O237" s="154"/>
      <c r="P237" s="154"/>
      <c r="Q237" s="154"/>
      <c r="R237" s="154"/>
      <c r="S237" s="154"/>
      <c r="T237" s="154"/>
      <c r="U237" s="154"/>
      <c r="V237" s="154"/>
      <c r="W237" s="154"/>
      <c r="X237" s="154"/>
      <c r="Y237" s="154"/>
      <c r="Z237" s="154"/>
    </row>
    <row r="238" ht="14.25" customHeight="1">
      <c r="A238" s="164"/>
      <c r="B238" s="165"/>
      <c r="C238" s="166"/>
      <c r="D238" s="167"/>
      <c r="E238" s="168"/>
      <c r="G238" s="154"/>
      <c r="H238" s="154"/>
      <c r="I238" s="154"/>
      <c r="J238" s="154"/>
      <c r="K238" s="154"/>
      <c r="L238" s="154"/>
      <c r="M238" s="154"/>
      <c r="N238" s="154"/>
      <c r="O238" s="154"/>
      <c r="P238" s="154"/>
      <c r="Q238" s="154"/>
      <c r="R238" s="154"/>
      <c r="S238" s="154"/>
      <c r="T238" s="154"/>
      <c r="U238" s="154"/>
      <c r="V238" s="154"/>
      <c r="W238" s="154"/>
      <c r="X238" s="154"/>
      <c r="Y238" s="154"/>
      <c r="Z238" s="154"/>
    </row>
    <row r="239" ht="14.25" customHeight="1">
      <c r="A239" s="164"/>
      <c r="B239" s="165"/>
      <c r="C239" s="166"/>
      <c r="D239" s="167"/>
      <c r="E239" s="168"/>
      <c r="G239" s="154"/>
      <c r="H239" s="154"/>
      <c r="I239" s="154"/>
      <c r="J239" s="154"/>
      <c r="K239" s="154"/>
      <c r="L239" s="154"/>
      <c r="M239" s="154"/>
      <c r="N239" s="154"/>
      <c r="O239" s="154"/>
      <c r="P239" s="154"/>
      <c r="Q239" s="154"/>
      <c r="R239" s="154"/>
      <c r="S239" s="154"/>
      <c r="T239" s="154"/>
      <c r="U239" s="154"/>
      <c r="V239" s="154"/>
      <c r="W239" s="154"/>
      <c r="X239" s="154"/>
      <c r="Y239" s="154"/>
      <c r="Z239" s="154"/>
    </row>
    <row r="240" ht="14.25" customHeight="1">
      <c r="A240" s="164"/>
      <c r="B240" s="165"/>
      <c r="C240" s="166"/>
      <c r="D240" s="167"/>
      <c r="E240" s="168"/>
      <c r="G240" s="154"/>
      <c r="H240" s="154"/>
      <c r="I240" s="154"/>
      <c r="J240" s="154"/>
      <c r="K240" s="154"/>
      <c r="L240" s="154"/>
      <c r="M240" s="154"/>
      <c r="N240" s="154"/>
      <c r="O240" s="154"/>
      <c r="P240" s="154"/>
      <c r="Q240" s="154"/>
      <c r="R240" s="154"/>
      <c r="S240" s="154"/>
      <c r="T240" s="154"/>
      <c r="U240" s="154"/>
      <c r="V240" s="154"/>
      <c r="W240" s="154"/>
      <c r="X240" s="154"/>
      <c r="Y240" s="154"/>
      <c r="Z240" s="154"/>
    </row>
    <row r="241" ht="14.25" customHeight="1">
      <c r="A241" s="164"/>
      <c r="B241" s="165"/>
      <c r="C241" s="166"/>
      <c r="D241" s="167"/>
      <c r="E241" s="168"/>
      <c r="G241" s="154"/>
      <c r="H241" s="154"/>
      <c r="I241" s="154"/>
      <c r="J241" s="154"/>
      <c r="K241" s="154"/>
      <c r="L241" s="154"/>
      <c r="M241" s="154"/>
      <c r="N241" s="154"/>
      <c r="O241" s="154"/>
      <c r="P241" s="154"/>
      <c r="Q241" s="154"/>
      <c r="R241" s="154"/>
      <c r="S241" s="154"/>
      <c r="T241" s="154"/>
      <c r="U241" s="154"/>
      <c r="V241" s="154"/>
      <c r="W241" s="154"/>
      <c r="X241" s="154"/>
      <c r="Y241" s="154"/>
      <c r="Z241" s="154"/>
    </row>
    <row r="242" ht="14.25" customHeight="1">
      <c r="A242" s="164"/>
      <c r="B242" s="165"/>
      <c r="C242" s="166"/>
      <c r="D242" s="167"/>
      <c r="E242" s="168"/>
      <c r="G242" s="154"/>
      <c r="H242" s="154"/>
      <c r="I242" s="154"/>
      <c r="J242" s="154"/>
      <c r="K242" s="154"/>
      <c r="L242" s="154"/>
      <c r="M242" s="154"/>
      <c r="N242" s="154"/>
      <c r="O242" s="154"/>
      <c r="P242" s="154"/>
      <c r="Q242" s="154"/>
      <c r="R242" s="154"/>
      <c r="S242" s="154"/>
      <c r="T242" s="154"/>
      <c r="U242" s="154"/>
      <c r="V242" s="154"/>
      <c r="W242" s="154"/>
      <c r="X242" s="154"/>
      <c r="Y242" s="154"/>
      <c r="Z242" s="154"/>
    </row>
    <row r="243" ht="14.25" customHeight="1">
      <c r="A243" s="164"/>
      <c r="B243" s="165"/>
      <c r="C243" s="166"/>
      <c r="D243" s="167"/>
      <c r="E243" s="168"/>
      <c r="G243" s="154"/>
      <c r="H243" s="154"/>
      <c r="I243" s="154"/>
      <c r="J243" s="154"/>
      <c r="K243" s="154"/>
      <c r="L243" s="154"/>
      <c r="M243" s="154"/>
      <c r="N243" s="154"/>
      <c r="O243" s="154"/>
      <c r="P243" s="154"/>
      <c r="Q243" s="154"/>
      <c r="R243" s="154"/>
      <c r="S243" s="154"/>
      <c r="T243" s="154"/>
      <c r="U243" s="154"/>
      <c r="V243" s="154"/>
      <c r="W243" s="154"/>
      <c r="X243" s="154"/>
      <c r="Y243" s="154"/>
      <c r="Z243" s="154"/>
    </row>
    <row r="244" ht="14.25" customHeight="1">
      <c r="A244" s="164"/>
      <c r="B244" s="165"/>
      <c r="C244" s="166"/>
      <c r="D244" s="167"/>
      <c r="E244" s="168"/>
      <c r="G244" s="154"/>
      <c r="H244" s="154"/>
      <c r="I244" s="154"/>
      <c r="J244" s="154"/>
      <c r="K244" s="154"/>
      <c r="L244" s="154"/>
      <c r="M244" s="154"/>
      <c r="N244" s="154"/>
      <c r="O244" s="154"/>
      <c r="P244" s="154"/>
      <c r="Q244" s="154"/>
      <c r="R244" s="154"/>
      <c r="S244" s="154"/>
      <c r="T244" s="154"/>
      <c r="U244" s="154"/>
      <c r="V244" s="154"/>
      <c r="W244" s="154"/>
      <c r="X244" s="154"/>
      <c r="Y244" s="154"/>
      <c r="Z244" s="154"/>
    </row>
    <row r="245" ht="14.25" customHeight="1">
      <c r="A245" s="164"/>
      <c r="B245" s="165"/>
      <c r="C245" s="166"/>
      <c r="D245" s="167"/>
      <c r="E245" s="168"/>
      <c r="G245" s="154"/>
      <c r="H245" s="154"/>
      <c r="I245" s="154"/>
      <c r="J245" s="154"/>
      <c r="K245" s="154"/>
      <c r="L245" s="154"/>
      <c r="M245" s="154"/>
      <c r="N245" s="154"/>
      <c r="O245" s="154"/>
      <c r="P245" s="154"/>
      <c r="Q245" s="154"/>
      <c r="R245" s="154"/>
      <c r="S245" s="154"/>
      <c r="T245" s="154"/>
      <c r="U245" s="154"/>
      <c r="V245" s="154"/>
      <c r="W245" s="154"/>
      <c r="X245" s="154"/>
      <c r="Y245" s="154"/>
      <c r="Z245" s="154"/>
    </row>
    <row r="246" ht="14.25" customHeight="1">
      <c r="A246" s="164"/>
      <c r="B246" s="165"/>
      <c r="C246" s="166"/>
      <c r="D246" s="167"/>
      <c r="E246" s="168"/>
      <c r="G246" s="154"/>
      <c r="H246" s="154"/>
      <c r="I246" s="154"/>
      <c r="J246" s="154"/>
      <c r="K246" s="154"/>
      <c r="L246" s="154"/>
      <c r="M246" s="154"/>
      <c r="N246" s="154"/>
      <c r="O246" s="154"/>
      <c r="P246" s="154"/>
      <c r="Q246" s="154"/>
      <c r="R246" s="154"/>
      <c r="S246" s="154"/>
      <c r="T246" s="154"/>
      <c r="U246" s="154"/>
      <c r="V246" s="154"/>
      <c r="W246" s="154"/>
      <c r="X246" s="154"/>
      <c r="Y246" s="154"/>
      <c r="Z246" s="154"/>
    </row>
    <row r="247" ht="14.25" customHeight="1">
      <c r="A247" s="164"/>
      <c r="B247" s="165"/>
      <c r="C247" s="166"/>
      <c r="D247" s="167"/>
      <c r="E247" s="168"/>
      <c r="G247" s="154"/>
      <c r="H247" s="154"/>
      <c r="I247" s="154"/>
      <c r="J247" s="154"/>
      <c r="K247" s="154"/>
      <c r="L247" s="154"/>
      <c r="M247" s="154"/>
      <c r="N247" s="154"/>
      <c r="O247" s="154"/>
      <c r="P247" s="154"/>
      <c r="Q247" s="154"/>
      <c r="R247" s="154"/>
      <c r="S247" s="154"/>
      <c r="T247" s="154"/>
      <c r="U247" s="154"/>
      <c r="V247" s="154"/>
      <c r="W247" s="154"/>
      <c r="X247" s="154"/>
      <c r="Y247" s="154"/>
      <c r="Z247" s="154"/>
    </row>
    <row r="248" ht="14.25" customHeight="1">
      <c r="A248" s="164"/>
      <c r="B248" s="165"/>
      <c r="C248" s="166"/>
      <c r="D248" s="167"/>
      <c r="E248" s="168"/>
      <c r="G248" s="154"/>
      <c r="H248" s="154"/>
      <c r="I248" s="154"/>
      <c r="J248" s="154"/>
      <c r="K248" s="154"/>
      <c r="L248" s="154"/>
      <c r="M248" s="154"/>
      <c r="N248" s="154"/>
      <c r="O248" s="154"/>
      <c r="P248" s="154"/>
      <c r="Q248" s="154"/>
      <c r="R248" s="154"/>
      <c r="S248" s="154"/>
      <c r="T248" s="154"/>
      <c r="U248" s="154"/>
      <c r="V248" s="154"/>
      <c r="W248" s="154"/>
      <c r="X248" s="154"/>
      <c r="Y248" s="154"/>
      <c r="Z248" s="154"/>
    </row>
    <row r="249" ht="14.25" customHeight="1">
      <c r="A249" s="164"/>
      <c r="B249" s="165"/>
      <c r="C249" s="166"/>
      <c r="D249" s="167"/>
      <c r="E249" s="168"/>
      <c r="G249" s="154"/>
      <c r="H249" s="154"/>
      <c r="I249" s="154"/>
      <c r="J249" s="154"/>
      <c r="K249" s="154"/>
      <c r="L249" s="154"/>
      <c r="M249" s="154"/>
      <c r="N249" s="154"/>
      <c r="O249" s="154"/>
      <c r="P249" s="154"/>
      <c r="Q249" s="154"/>
      <c r="R249" s="154"/>
      <c r="S249" s="154"/>
      <c r="T249" s="154"/>
      <c r="U249" s="154"/>
      <c r="V249" s="154"/>
      <c r="W249" s="154"/>
      <c r="X249" s="154"/>
      <c r="Y249" s="154"/>
      <c r="Z249" s="154"/>
    </row>
    <row r="250" ht="14.25" customHeight="1">
      <c r="A250" s="164"/>
      <c r="B250" s="165"/>
      <c r="C250" s="166"/>
      <c r="D250" s="167"/>
      <c r="E250" s="168"/>
      <c r="G250" s="154"/>
      <c r="H250" s="154"/>
      <c r="I250" s="154"/>
      <c r="J250" s="154"/>
      <c r="K250" s="154"/>
      <c r="L250" s="154"/>
      <c r="M250" s="154"/>
      <c r="N250" s="154"/>
      <c r="O250" s="154"/>
      <c r="P250" s="154"/>
      <c r="Q250" s="154"/>
      <c r="R250" s="154"/>
      <c r="S250" s="154"/>
      <c r="T250" s="154"/>
      <c r="U250" s="154"/>
      <c r="V250" s="154"/>
      <c r="W250" s="154"/>
      <c r="X250" s="154"/>
      <c r="Y250" s="154"/>
      <c r="Z250" s="154"/>
    </row>
    <row r="251" ht="14.25" customHeight="1">
      <c r="A251" s="164"/>
      <c r="B251" s="165"/>
      <c r="C251" s="166"/>
      <c r="D251" s="167"/>
      <c r="E251" s="168"/>
      <c r="G251" s="154"/>
      <c r="H251" s="154"/>
      <c r="I251" s="154"/>
      <c r="J251" s="154"/>
      <c r="K251" s="154"/>
      <c r="L251" s="154"/>
      <c r="M251" s="154"/>
      <c r="N251" s="154"/>
      <c r="O251" s="154"/>
      <c r="P251" s="154"/>
      <c r="Q251" s="154"/>
      <c r="R251" s="154"/>
      <c r="S251" s="154"/>
      <c r="T251" s="154"/>
      <c r="U251" s="154"/>
      <c r="V251" s="154"/>
      <c r="W251" s="154"/>
      <c r="X251" s="154"/>
      <c r="Y251" s="154"/>
      <c r="Z251" s="154"/>
    </row>
    <row r="252" ht="14.25" customHeight="1">
      <c r="A252" s="164"/>
      <c r="B252" s="165"/>
      <c r="C252" s="166"/>
      <c r="D252" s="167"/>
      <c r="E252" s="168"/>
      <c r="G252" s="154"/>
      <c r="H252" s="154"/>
      <c r="I252" s="154"/>
      <c r="J252" s="154"/>
      <c r="K252" s="154"/>
      <c r="L252" s="154"/>
      <c r="M252" s="154"/>
      <c r="N252" s="154"/>
      <c r="O252" s="154"/>
      <c r="P252" s="154"/>
      <c r="Q252" s="154"/>
      <c r="R252" s="154"/>
      <c r="S252" s="154"/>
      <c r="T252" s="154"/>
      <c r="U252" s="154"/>
      <c r="V252" s="154"/>
      <c r="W252" s="154"/>
      <c r="X252" s="154"/>
      <c r="Y252" s="154"/>
      <c r="Z252" s="154"/>
    </row>
    <row r="253" ht="14.25" customHeight="1">
      <c r="A253" s="164"/>
      <c r="B253" s="165"/>
      <c r="C253" s="166"/>
      <c r="D253" s="167"/>
      <c r="E253" s="168"/>
      <c r="G253" s="154"/>
      <c r="H253" s="154"/>
      <c r="I253" s="154"/>
      <c r="J253" s="154"/>
      <c r="K253" s="154"/>
      <c r="L253" s="154"/>
      <c r="M253" s="154"/>
      <c r="N253" s="154"/>
      <c r="O253" s="154"/>
      <c r="P253" s="154"/>
      <c r="Q253" s="154"/>
      <c r="R253" s="154"/>
      <c r="S253" s="154"/>
      <c r="T253" s="154"/>
      <c r="U253" s="154"/>
      <c r="V253" s="154"/>
      <c r="W253" s="154"/>
      <c r="X253" s="154"/>
      <c r="Y253" s="154"/>
      <c r="Z253" s="154"/>
    </row>
    <row r="254" ht="14.25" customHeight="1">
      <c r="A254" s="164"/>
      <c r="B254" s="165"/>
      <c r="C254" s="166"/>
      <c r="D254" s="167"/>
      <c r="E254" s="168"/>
      <c r="G254" s="154"/>
      <c r="H254" s="154"/>
      <c r="I254" s="154"/>
      <c r="J254" s="154"/>
      <c r="K254" s="154"/>
      <c r="L254" s="154"/>
      <c r="M254" s="154"/>
      <c r="N254" s="154"/>
      <c r="O254" s="154"/>
      <c r="P254" s="154"/>
      <c r="Q254" s="154"/>
      <c r="R254" s="154"/>
      <c r="S254" s="154"/>
      <c r="T254" s="154"/>
      <c r="U254" s="154"/>
      <c r="V254" s="154"/>
      <c r="W254" s="154"/>
      <c r="X254" s="154"/>
      <c r="Y254" s="154"/>
      <c r="Z254" s="154"/>
    </row>
    <row r="255" ht="14.25" customHeight="1">
      <c r="A255" s="164"/>
      <c r="B255" s="165"/>
      <c r="C255" s="166"/>
      <c r="D255" s="167"/>
      <c r="E255" s="168"/>
      <c r="G255" s="154"/>
      <c r="H255" s="154"/>
      <c r="I255" s="154"/>
      <c r="J255" s="154"/>
      <c r="K255" s="154"/>
      <c r="L255" s="154"/>
      <c r="M255" s="154"/>
      <c r="N255" s="154"/>
      <c r="O255" s="154"/>
      <c r="P255" s="154"/>
      <c r="Q255" s="154"/>
      <c r="R255" s="154"/>
      <c r="S255" s="154"/>
      <c r="T255" s="154"/>
      <c r="U255" s="154"/>
      <c r="V255" s="154"/>
      <c r="W255" s="154"/>
      <c r="X255" s="154"/>
      <c r="Y255" s="154"/>
      <c r="Z255" s="154"/>
    </row>
    <row r="256" ht="14.25" customHeight="1">
      <c r="A256" s="164"/>
      <c r="B256" s="165"/>
      <c r="C256" s="166"/>
      <c r="D256" s="167"/>
      <c r="E256" s="168"/>
      <c r="G256" s="154"/>
      <c r="H256" s="154"/>
      <c r="I256" s="154"/>
      <c r="J256" s="154"/>
      <c r="K256" s="154"/>
      <c r="L256" s="154"/>
      <c r="M256" s="154"/>
      <c r="N256" s="154"/>
      <c r="O256" s="154"/>
      <c r="P256" s="154"/>
      <c r="Q256" s="154"/>
      <c r="R256" s="154"/>
      <c r="S256" s="154"/>
      <c r="T256" s="154"/>
      <c r="U256" s="154"/>
      <c r="V256" s="154"/>
      <c r="W256" s="154"/>
      <c r="X256" s="154"/>
      <c r="Y256" s="154"/>
      <c r="Z256" s="154"/>
    </row>
    <row r="257" ht="14.25" customHeight="1">
      <c r="A257" s="164"/>
      <c r="B257" s="165"/>
      <c r="C257" s="166"/>
      <c r="D257" s="167"/>
      <c r="E257" s="168"/>
      <c r="G257" s="154"/>
      <c r="H257" s="154"/>
      <c r="I257" s="154"/>
      <c r="J257" s="154"/>
      <c r="K257" s="154"/>
      <c r="L257" s="154"/>
      <c r="M257" s="154"/>
      <c r="N257" s="154"/>
      <c r="O257" s="154"/>
      <c r="P257" s="154"/>
      <c r="Q257" s="154"/>
      <c r="R257" s="154"/>
      <c r="S257" s="154"/>
      <c r="T257" s="154"/>
      <c r="U257" s="154"/>
      <c r="V257" s="154"/>
      <c r="W257" s="154"/>
      <c r="X257" s="154"/>
      <c r="Y257" s="154"/>
      <c r="Z257" s="154"/>
    </row>
    <row r="258" ht="14.25" customHeight="1">
      <c r="A258" s="164"/>
      <c r="B258" s="165"/>
      <c r="C258" s="166"/>
      <c r="D258" s="167"/>
      <c r="E258" s="168"/>
      <c r="G258" s="154"/>
      <c r="H258" s="154"/>
      <c r="I258" s="154"/>
      <c r="J258" s="154"/>
      <c r="K258" s="154"/>
      <c r="L258" s="154"/>
      <c r="M258" s="154"/>
      <c r="N258" s="154"/>
      <c r="O258" s="154"/>
      <c r="P258" s="154"/>
      <c r="Q258" s="154"/>
      <c r="R258" s="154"/>
      <c r="S258" s="154"/>
      <c r="T258" s="154"/>
      <c r="U258" s="154"/>
      <c r="V258" s="154"/>
      <c r="W258" s="154"/>
      <c r="X258" s="154"/>
      <c r="Y258" s="154"/>
      <c r="Z258" s="154"/>
    </row>
    <row r="259" ht="14.25" customHeight="1">
      <c r="A259" s="164"/>
      <c r="B259" s="165"/>
      <c r="C259" s="166"/>
      <c r="D259" s="167"/>
      <c r="E259" s="168"/>
      <c r="G259" s="154"/>
      <c r="H259" s="154"/>
      <c r="I259" s="154"/>
      <c r="J259" s="154"/>
      <c r="K259" s="154"/>
      <c r="L259" s="154"/>
      <c r="M259" s="154"/>
      <c r="N259" s="154"/>
      <c r="O259" s="154"/>
      <c r="P259" s="154"/>
      <c r="Q259" s="154"/>
      <c r="R259" s="154"/>
      <c r="S259" s="154"/>
      <c r="T259" s="154"/>
      <c r="U259" s="154"/>
      <c r="V259" s="154"/>
      <c r="W259" s="154"/>
      <c r="X259" s="154"/>
      <c r="Y259" s="154"/>
      <c r="Z259" s="154"/>
    </row>
    <row r="260" ht="14.25" customHeight="1">
      <c r="A260" s="164"/>
      <c r="B260" s="165"/>
      <c r="C260" s="166"/>
      <c r="D260" s="167"/>
      <c r="E260" s="168"/>
      <c r="G260" s="154"/>
      <c r="H260" s="154"/>
      <c r="I260" s="154"/>
      <c r="J260" s="154"/>
      <c r="K260" s="154"/>
      <c r="L260" s="154"/>
      <c r="M260" s="154"/>
      <c r="N260" s="154"/>
      <c r="O260" s="154"/>
      <c r="P260" s="154"/>
      <c r="Q260" s="154"/>
      <c r="R260" s="154"/>
      <c r="S260" s="154"/>
      <c r="T260" s="154"/>
      <c r="U260" s="154"/>
      <c r="V260" s="154"/>
      <c r="W260" s="154"/>
      <c r="X260" s="154"/>
      <c r="Y260" s="154"/>
      <c r="Z260" s="154"/>
    </row>
    <row r="261" ht="14.25" customHeight="1">
      <c r="A261" s="164"/>
      <c r="B261" s="165"/>
      <c r="C261" s="166"/>
      <c r="D261" s="167"/>
      <c r="E261" s="168"/>
      <c r="G261" s="154"/>
      <c r="H261" s="154"/>
      <c r="I261" s="154"/>
      <c r="J261" s="154"/>
      <c r="K261" s="154"/>
      <c r="L261" s="154"/>
      <c r="M261" s="154"/>
      <c r="N261" s="154"/>
      <c r="O261" s="154"/>
      <c r="P261" s="154"/>
      <c r="Q261" s="154"/>
      <c r="R261" s="154"/>
      <c r="S261" s="154"/>
      <c r="T261" s="154"/>
      <c r="U261" s="154"/>
      <c r="V261" s="154"/>
      <c r="W261" s="154"/>
      <c r="X261" s="154"/>
      <c r="Y261" s="154"/>
      <c r="Z261" s="154"/>
    </row>
    <row r="262" ht="14.25" customHeight="1">
      <c r="A262" s="164"/>
      <c r="B262" s="165"/>
      <c r="C262" s="166"/>
      <c r="D262" s="167"/>
      <c r="E262" s="168"/>
      <c r="G262" s="154"/>
      <c r="H262" s="154"/>
      <c r="I262" s="154"/>
      <c r="J262" s="154"/>
      <c r="K262" s="154"/>
      <c r="L262" s="154"/>
      <c r="M262" s="154"/>
      <c r="N262" s="154"/>
      <c r="O262" s="154"/>
      <c r="P262" s="154"/>
      <c r="Q262" s="154"/>
      <c r="R262" s="154"/>
      <c r="S262" s="154"/>
      <c r="T262" s="154"/>
      <c r="U262" s="154"/>
      <c r="V262" s="154"/>
      <c r="W262" s="154"/>
      <c r="X262" s="154"/>
      <c r="Y262" s="154"/>
      <c r="Z262" s="154"/>
    </row>
    <row r="263" ht="14.25" customHeight="1">
      <c r="A263" s="164"/>
      <c r="B263" s="165"/>
      <c r="C263" s="166"/>
      <c r="D263" s="167"/>
      <c r="E263" s="168"/>
      <c r="G263" s="154"/>
      <c r="H263" s="154"/>
      <c r="I263" s="154"/>
      <c r="J263" s="154"/>
      <c r="K263" s="154"/>
      <c r="L263" s="154"/>
      <c r="M263" s="154"/>
      <c r="N263" s="154"/>
      <c r="O263" s="154"/>
      <c r="P263" s="154"/>
      <c r="Q263" s="154"/>
      <c r="R263" s="154"/>
      <c r="S263" s="154"/>
      <c r="T263" s="154"/>
      <c r="U263" s="154"/>
      <c r="V263" s="154"/>
      <c r="W263" s="154"/>
      <c r="X263" s="154"/>
      <c r="Y263" s="154"/>
      <c r="Z263" s="154"/>
    </row>
    <row r="264" ht="14.25" customHeight="1">
      <c r="A264" s="164"/>
      <c r="B264" s="165"/>
      <c r="C264" s="166"/>
      <c r="D264" s="167"/>
      <c r="E264" s="168"/>
      <c r="G264" s="154"/>
      <c r="H264" s="154"/>
      <c r="I264" s="154"/>
      <c r="J264" s="154"/>
      <c r="K264" s="154"/>
      <c r="L264" s="154"/>
      <c r="M264" s="154"/>
      <c r="N264" s="154"/>
      <c r="O264" s="154"/>
      <c r="P264" s="154"/>
      <c r="Q264" s="154"/>
      <c r="R264" s="154"/>
      <c r="S264" s="154"/>
      <c r="T264" s="154"/>
      <c r="U264" s="154"/>
      <c r="V264" s="154"/>
      <c r="W264" s="154"/>
      <c r="X264" s="154"/>
      <c r="Y264" s="154"/>
      <c r="Z264" s="154"/>
    </row>
    <row r="265" ht="14.25" customHeight="1">
      <c r="A265" s="164"/>
      <c r="B265" s="165"/>
      <c r="C265" s="166"/>
      <c r="D265" s="167"/>
      <c r="E265" s="168"/>
      <c r="G265" s="154"/>
      <c r="H265" s="154"/>
      <c r="I265" s="154"/>
      <c r="J265" s="154"/>
      <c r="K265" s="154"/>
      <c r="L265" s="154"/>
      <c r="M265" s="154"/>
      <c r="N265" s="154"/>
      <c r="O265" s="154"/>
      <c r="P265" s="154"/>
      <c r="Q265" s="154"/>
      <c r="R265" s="154"/>
      <c r="S265" s="154"/>
      <c r="T265" s="154"/>
      <c r="U265" s="154"/>
      <c r="V265" s="154"/>
      <c r="W265" s="154"/>
      <c r="X265" s="154"/>
      <c r="Y265" s="154"/>
      <c r="Z265" s="154"/>
    </row>
    <row r="266" ht="14.25" customHeight="1">
      <c r="A266" s="164"/>
      <c r="B266" s="165"/>
      <c r="C266" s="166"/>
      <c r="D266" s="167"/>
      <c r="E266" s="168"/>
      <c r="G266" s="154"/>
      <c r="H266" s="154"/>
      <c r="I266" s="154"/>
      <c r="J266" s="154"/>
      <c r="K266" s="154"/>
      <c r="L266" s="154"/>
      <c r="M266" s="154"/>
      <c r="N266" s="154"/>
      <c r="O266" s="154"/>
      <c r="P266" s="154"/>
      <c r="Q266" s="154"/>
      <c r="R266" s="154"/>
      <c r="S266" s="154"/>
      <c r="T266" s="154"/>
      <c r="U266" s="154"/>
      <c r="V266" s="154"/>
      <c r="W266" s="154"/>
      <c r="X266" s="154"/>
      <c r="Y266" s="154"/>
      <c r="Z266" s="154"/>
    </row>
    <row r="267" ht="14.25" customHeight="1">
      <c r="A267" s="164"/>
      <c r="B267" s="165"/>
      <c r="C267" s="166"/>
      <c r="D267" s="167"/>
      <c r="E267" s="168"/>
      <c r="G267" s="154"/>
      <c r="H267" s="154"/>
      <c r="I267" s="154"/>
      <c r="J267" s="154"/>
      <c r="K267" s="154"/>
      <c r="L267" s="154"/>
      <c r="M267" s="154"/>
      <c r="N267" s="154"/>
      <c r="O267" s="154"/>
      <c r="P267" s="154"/>
      <c r="Q267" s="154"/>
      <c r="R267" s="154"/>
      <c r="S267" s="154"/>
      <c r="T267" s="154"/>
      <c r="U267" s="154"/>
      <c r="V267" s="154"/>
      <c r="W267" s="154"/>
      <c r="X267" s="154"/>
      <c r="Y267" s="154"/>
      <c r="Z267" s="154"/>
    </row>
    <row r="268" ht="14.25" customHeight="1">
      <c r="A268" s="164"/>
      <c r="B268" s="165"/>
      <c r="C268" s="166"/>
      <c r="D268" s="167"/>
      <c r="E268" s="168"/>
      <c r="G268" s="154"/>
      <c r="H268" s="154"/>
      <c r="I268" s="154"/>
      <c r="J268" s="154"/>
      <c r="K268" s="154"/>
      <c r="L268" s="154"/>
      <c r="M268" s="154"/>
      <c r="N268" s="154"/>
      <c r="O268" s="154"/>
      <c r="P268" s="154"/>
      <c r="Q268" s="154"/>
      <c r="R268" s="154"/>
      <c r="S268" s="154"/>
      <c r="T268" s="154"/>
      <c r="U268" s="154"/>
      <c r="V268" s="154"/>
      <c r="W268" s="154"/>
      <c r="X268" s="154"/>
      <c r="Y268" s="154"/>
      <c r="Z268" s="154"/>
    </row>
    <row r="269" ht="14.25" customHeight="1">
      <c r="A269" s="164"/>
      <c r="B269" s="165"/>
      <c r="C269" s="166"/>
      <c r="D269" s="167"/>
      <c r="E269" s="168"/>
      <c r="G269" s="154"/>
      <c r="H269" s="154"/>
      <c r="I269" s="154"/>
      <c r="J269" s="154"/>
      <c r="K269" s="154"/>
      <c r="L269" s="154"/>
      <c r="M269" s="154"/>
      <c r="N269" s="154"/>
      <c r="O269" s="154"/>
      <c r="P269" s="154"/>
      <c r="Q269" s="154"/>
      <c r="R269" s="154"/>
      <c r="S269" s="154"/>
      <c r="T269" s="154"/>
      <c r="U269" s="154"/>
      <c r="V269" s="154"/>
      <c r="W269" s="154"/>
      <c r="X269" s="154"/>
      <c r="Y269" s="154"/>
      <c r="Z269" s="154"/>
    </row>
    <row r="270" ht="14.25" customHeight="1">
      <c r="A270" s="164"/>
      <c r="B270" s="165"/>
      <c r="C270" s="166"/>
      <c r="D270" s="167"/>
      <c r="E270" s="168"/>
      <c r="G270" s="154"/>
      <c r="H270" s="154"/>
      <c r="I270" s="154"/>
      <c r="J270" s="154"/>
      <c r="K270" s="154"/>
      <c r="L270" s="154"/>
      <c r="M270" s="154"/>
      <c r="N270" s="154"/>
      <c r="O270" s="154"/>
      <c r="P270" s="154"/>
      <c r="Q270" s="154"/>
      <c r="R270" s="154"/>
      <c r="S270" s="154"/>
      <c r="T270" s="154"/>
      <c r="U270" s="154"/>
      <c r="V270" s="154"/>
      <c r="W270" s="154"/>
      <c r="X270" s="154"/>
      <c r="Y270" s="154"/>
      <c r="Z270" s="154"/>
    </row>
    <row r="271" ht="14.25" customHeight="1">
      <c r="A271" s="164"/>
      <c r="B271" s="165"/>
      <c r="C271" s="166"/>
      <c r="D271" s="167"/>
      <c r="E271" s="168"/>
      <c r="G271" s="154"/>
      <c r="H271" s="154"/>
      <c r="I271" s="154"/>
      <c r="J271" s="154"/>
      <c r="K271" s="154"/>
      <c r="L271" s="154"/>
      <c r="M271" s="154"/>
      <c r="N271" s="154"/>
      <c r="O271" s="154"/>
      <c r="P271" s="154"/>
      <c r="Q271" s="154"/>
      <c r="R271" s="154"/>
      <c r="S271" s="154"/>
      <c r="T271" s="154"/>
      <c r="U271" s="154"/>
      <c r="V271" s="154"/>
      <c r="W271" s="154"/>
      <c r="X271" s="154"/>
      <c r="Y271" s="154"/>
      <c r="Z271" s="154"/>
    </row>
    <row r="272" ht="14.25" customHeight="1">
      <c r="A272" s="164"/>
      <c r="B272" s="165"/>
      <c r="C272" s="166"/>
      <c r="D272" s="167"/>
      <c r="E272" s="168"/>
      <c r="G272" s="154"/>
      <c r="H272" s="154"/>
      <c r="I272" s="154"/>
      <c r="J272" s="154"/>
      <c r="K272" s="154"/>
      <c r="L272" s="154"/>
      <c r="M272" s="154"/>
      <c r="N272" s="154"/>
      <c r="O272" s="154"/>
      <c r="P272" s="154"/>
      <c r="Q272" s="154"/>
      <c r="R272" s="154"/>
      <c r="S272" s="154"/>
      <c r="T272" s="154"/>
      <c r="U272" s="154"/>
      <c r="V272" s="154"/>
      <c r="W272" s="154"/>
      <c r="X272" s="154"/>
      <c r="Y272" s="154"/>
      <c r="Z272" s="154"/>
    </row>
    <row r="273" ht="14.25" customHeight="1">
      <c r="A273" s="164"/>
      <c r="B273" s="165"/>
      <c r="C273" s="166"/>
      <c r="D273" s="167"/>
      <c r="E273" s="168"/>
      <c r="G273" s="154"/>
      <c r="H273" s="154"/>
      <c r="I273" s="154"/>
      <c r="J273" s="154"/>
      <c r="K273" s="154"/>
      <c r="L273" s="154"/>
      <c r="M273" s="154"/>
      <c r="N273" s="154"/>
      <c r="O273" s="154"/>
      <c r="P273" s="154"/>
      <c r="Q273" s="154"/>
      <c r="R273" s="154"/>
      <c r="S273" s="154"/>
      <c r="T273" s="154"/>
      <c r="U273" s="154"/>
      <c r="V273" s="154"/>
      <c r="W273" s="154"/>
      <c r="X273" s="154"/>
      <c r="Y273" s="154"/>
      <c r="Z273" s="154"/>
    </row>
    <row r="274" ht="14.25" customHeight="1">
      <c r="A274" s="164"/>
      <c r="B274" s="165"/>
      <c r="C274" s="166"/>
      <c r="D274" s="167"/>
      <c r="E274" s="168"/>
      <c r="G274" s="154"/>
      <c r="H274" s="154"/>
      <c r="I274" s="154"/>
      <c r="J274" s="154"/>
      <c r="K274" s="154"/>
      <c r="L274" s="154"/>
      <c r="M274" s="154"/>
      <c r="N274" s="154"/>
      <c r="O274" s="154"/>
      <c r="P274" s="154"/>
      <c r="Q274" s="154"/>
      <c r="R274" s="154"/>
      <c r="S274" s="154"/>
      <c r="T274" s="154"/>
      <c r="U274" s="154"/>
      <c r="V274" s="154"/>
      <c r="W274" s="154"/>
      <c r="X274" s="154"/>
      <c r="Y274" s="154"/>
      <c r="Z274" s="154"/>
    </row>
    <row r="275" ht="14.25" customHeight="1">
      <c r="A275" s="164"/>
      <c r="B275" s="165"/>
      <c r="C275" s="166"/>
      <c r="D275" s="167"/>
      <c r="E275" s="168"/>
      <c r="G275" s="154"/>
      <c r="H275" s="154"/>
      <c r="I275" s="154"/>
      <c r="J275" s="154"/>
      <c r="K275" s="154"/>
      <c r="L275" s="154"/>
      <c r="M275" s="154"/>
      <c r="N275" s="154"/>
      <c r="O275" s="154"/>
      <c r="P275" s="154"/>
      <c r="Q275" s="154"/>
      <c r="R275" s="154"/>
      <c r="S275" s="154"/>
      <c r="T275" s="154"/>
      <c r="U275" s="154"/>
      <c r="V275" s="154"/>
      <c r="W275" s="154"/>
      <c r="X275" s="154"/>
      <c r="Y275" s="154"/>
      <c r="Z275" s="154"/>
    </row>
    <row r="276" ht="14.25" customHeight="1">
      <c r="A276" s="164"/>
      <c r="B276" s="165"/>
      <c r="C276" s="166"/>
      <c r="D276" s="167"/>
      <c r="E276" s="168"/>
      <c r="G276" s="154"/>
      <c r="H276" s="154"/>
      <c r="I276" s="154"/>
      <c r="J276" s="154"/>
      <c r="K276" s="154"/>
      <c r="L276" s="154"/>
      <c r="M276" s="154"/>
      <c r="N276" s="154"/>
      <c r="O276" s="154"/>
      <c r="P276" s="154"/>
      <c r="Q276" s="154"/>
      <c r="R276" s="154"/>
      <c r="S276" s="154"/>
      <c r="T276" s="154"/>
      <c r="U276" s="154"/>
      <c r="V276" s="154"/>
      <c r="W276" s="154"/>
      <c r="X276" s="154"/>
      <c r="Y276" s="154"/>
      <c r="Z276" s="154"/>
    </row>
    <row r="277" ht="14.25" customHeight="1">
      <c r="A277" s="164"/>
      <c r="B277" s="165"/>
      <c r="C277" s="166"/>
      <c r="D277" s="167"/>
      <c r="E277" s="168"/>
      <c r="G277" s="154"/>
      <c r="H277" s="154"/>
      <c r="I277" s="154"/>
      <c r="J277" s="154"/>
      <c r="K277" s="154"/>
      <c r="L277" s="154"/>
      <c r="M277" s="154"/>
      <c r="N277" s="154"/>
      <c r="O277" s="154"/>
      <c r="P277" s="154"/>
      <c r="Q277" s="154"/>
      <c r="R277" s="154"/>
      <c r="S277" s="154"/>
      <c r="T277" s="154"/>
      <c r="U277" s="154"/>
      <c r="V277" s="154"/>
      <c r="W277" s="154"/>
      <c r="X277" s="154"/>
      <c r="Y277" s="154"/>
      <c r="Z277" s="154"/>
    </row>
    <row r="278" ht="14.25" customHeight="1">
      <c r="A278" s="164"/>
      <c r="B278" s="165"/>
      <c r="C278" s="166"/>
      <c r="D278" s="167"/>
      <c r="E278" s="168"/>
      <c r="G278" s="154"/>
      <c r="H278" s="154"/>
      <c r="I278" s="154"/>
      <c r="J278" s="154"/>
      <c r="K278" s="154"/>
      <c r="L278" s="154"/>
      <c r="M278" s="154"/>
      <c r="N278" s="154"/>
      <c r="O278" s="154"/>
      <c r="P278" s="154"/>
      <c r="Q278" s="154"/>
      <c r="R278" s="154"/>
      <c r="S278" s="154"/>
      <c r="T278" s="154"/>
      <c r="U278" s="154"/>
      <c r="V278" s="154"/>
      <c r="W278" s="154"/>
      <c r="X278" s="154"/>
      <c r="Y278" s="154"/>
      <c r="Z278" s="154"/>
    </row>
    <row r="279" ht="14.25" customHeight="1">
      <c r="A279" s="164"/>
      <c r="B279" s="165"/>
      <c r="C279" s="166"/>
      <c r="D279" s="167"/>
      <c r="E279" s="168"/>
      <c r="G279" s="154"/>
      <c r="H279" s="154"/>
      <c r="I279" s="154"/>
      <c r="J279" s="154"/>
      <c r="K279" s="154"/>
      <c r="L279" s="154"/>
      <c r="M279" s="154"/>
      <c r="N279" s="154"/>
      <c r="O279" s="154"/>
      <c r="P279" s="154"/>
      <c r="Q279" s="154"/>
      <c r="R279" s="154"/>
      <c r="S279" s="154"/>
      <c r="T279" s="154"/>
      <c r="U279" s="154"/>
      <c r="V279" s="154"/>
      <c r="W279" s="154"/>
      <c r="X279" s="154"/>
      <c r="Y279" s="154"/>
      <c r="Z279" s="154"/>
    </row>
    <row r="280" ht="14.25" customHeight="1">
      <c r="A280" s="164"/>
      <c r="B280" s="165"/>
      <c r="C280" s="166"/>
      <c r="D280" s="167"/>
      <c r="E280" s="168"/>
      <c r="G280" s="154"/>
      <c r="H280" s="154"/>
      <c r="I280" s="154"/>
      <c r="J280" s="154"/>
      <c r="K280" s="154"/>
      <c r="L280" s="154"/>
      <c r="M280" s="154"/>
      <c r="N280" s="154"/>
      <c r="O280" s="154"/>
      <c r="P280" s="154"/>
      <c r="Q280" s="154"/>
      <c r="R280" s="154"/>
      <c r="S280" s="154"/>
      <c r="T280" s="154"/>
      <c r="U280" s="154"/>
      <c r="V280" s="154"/>
      <c r="W280" s="154"/>
      <c r="X280" s="154"/>
      <c r="Y280" s="154"/>
      <c r="Z280" s="154"/>
    </row>
    <row r="281" ht="14.25" customHeight="1">
      <c r="A281" s="164"/>
      <c r="B281" s="165"/>
      <c r="C281" s="166"/>
      <c r="D281" s="167"/>
      <c r="E281" s="168"/>
      <c r="G281" s="154"/>
      <c r="H281" s="154"/>
      <c r="I281" s="154"/>
      <c r="J281" s="154"/>
      <c r="K281" s="154"/>
      <c r="L281" s="154"/>
      <c r="M281" s="154"/>
      <c r="N281" s="154"/>
      <c r="O281" s="154"/>
      <c r="P281" s="154"/>
      <c r="Q281" s="154"/>
      <c r="R281" s="154"/>
      <c r="S281" s="154"/>
      <c r="T281" s="154"/>
      <c r="U281" s="154"/>
      <c r="V281" s="154"/>
      <c r="W281" s="154"/>
      <c r="X281" s="154"/>
      <c r="Y281" s="154"/>
      <c r="Z281" s="154"/>
    </row>
    <row r="282" ht="14.25" customHeight="1">
      <c r="A282" s="164"/>
      <c r="B282" s="165"/>
      <c r="C282" s="166"/>
      <c r="D282" s="167"/>
      <c r="E282" s="168"/>
      <c r="G282" s="154"/>
      <c r="H282" s="154"/>
      <c r="I282" s="154"/>
      <c r="J282" s="154"/>
      <c r="K282" s="154"/>
      <c r="L282" s="154"/>
      <c r="M282" s="154"/>
      <c r="N282" s="154"/>
      <c r="O282" s="154"/>
      <c r="P282" s="154"/>
      <c r="Q282" s="154"/>
      <c r="R282" s="154"/>
      <c r="S282" s="154"/>
      <c r="T282" s="154"/>
      <c r="U282" s="154"/>
      <c r="V282" s="154"/>
      <c r="W282" s="154"/>
      <c r="X282" s="154"/>
      <c r="Y282" s="154"/>
      <c r="Z282" s="154"/>
    </row>
    <row r="283" ht="14.25" customHeight="1">
      <c r="A283" s="164"/>
      <c r="B283" s="165"/>
      <c r="C283" s="166"/>
      <c r="D283" s="167"/>
      <c r="E283" s="168"/>
      <c r="G283" s="154"/>
      <c r="H283" s="154"/>
      <c r="I283" s="154"/>
      <c r="J283" s="154"/>
      <c r="K283" s="154"/>
      <c r="L283" s="154"/>
      <c r="M283" s="154"/>
      <c r="N283" s="154"/>
      <c r="O283" s="154"/>
      <c r="P283" s="154"/>
      <c r="Q283" s="154"/>
      <c r="R283" s="154"/>
      <c r="S283" s="154"/>
      <c r="T283" s="154"/>
      <c r="U283" s="154"/>
      <c r="V283" s="154"/>
      <c r="W283" s="154"/>
      <c r="X283" s="154"/>
      <c r="Y283" s="154"/>
      <c r="Z283" s="154"/>
    </row>
    <row r="284" ht="14.25" customHeight="1">
      <c r="A284" s="164"/>
      <c r="B284" s="165"/>
      <c r="C284" s="166"/>
      <c r="D284" s="167"/>
      <c r="E284" s="168"/>
      <c r="G284" s="154"/>
      <c r="H284" s="154"/>
      <c r="I284" s="154"/>
      <c r="J284" s="154"/>
      <c r="K284" s="154"/>
      <c r="L284" s="154"/>
      <c r="M284" s="154"/>
      <c r="N284" s="154"/>
      <c r="O284" s="154"/>
      <c r="P284" s="154"/>
      <c r="Q284" s="154"/>
      <c r="R284" s="154"/>
      <c r="S284" s="154"/>
      <c r="T284" s="154"/>
      <c r="U284" s="154"/>
      <c r="V284" s="154"/>
      <c r="W284" s="154"/>
      <c r="X284" s="154"/>
      <c r="Y284" s="154"/>
      <c r="Z284" s="154"/>
    </row>
    <row r="285" ht="14.25" customHeight="1">
      <c r="A285" s="164"/>
      <c r="B285" s="165"/>
      <c r="C285" s="166"/>
      <c r="D285" s="167"/>
      <c r="E285" s="168"/>
      <c r="G285" s="154"/>
      <c r="H285" s="154"/>
      <c r="I285" s="154"/>
      <c r="J285" s="154"/>
      <c r="K285" s="154"/>
      <c r="L285" s="154"/>
      <c r="M285" s="154"/>
      <c r="N285" s="154"/>
      <c r="O285" s="154"/>
      <c r="P285" s="154"/>
      <c r="Q285" s="154"/>
      <c r="R285" s="154"/>
      <c r="S285" s="154"/>
      <c r="T285" s="154"/>
      <c r="U285" s="154"/>
      <c r="V285" s="154"/>
      <c r="W285" s="154"/>
      <c r="X285" s="154"/>
      <c r="Y285" s="154"/>
      <c r="Z285" s="154"/>
    </row>
    <row r="286" ht="14.25" customHeight="1">
      <c r="A286" s="164"/>
      <c r="B286" s="165"/>
      <c r="C286" s="166"/>
      <c r="D286" s="167"/>
      <c r="E286" s="168"/>
      <c r="G286" s="154"/>
      <c r="H286" s="154"/>
      <c r="I286" s="154"/>
      <c r="J286" s="154"/>
      <c r="K286" s="154"/>
      <c r="L286" s="154"/>
      <c r="M286" s="154"/>
      <c r="N286" s="154"/>
      <c r="O286" s="154"/>
      <c r="P286" s="154"/>
      <c r="Q286" s="154"/>
      <c r="R286" s="154"/>
      <c r="S286" s="154"/>
      <c r="T286" s="154"/>
      <c r="U286" s="154"/>
      <c r="V286" s="154"/>
      <c r="W286" s="154"/>
      <c r="X286" s="154"/>
      <c r="Y286" s="154"/>
      <c r="Z286" s="154"/>
    </row>
    <row r="287" ht="14.25" customHeight="1">
      <c r="A287" s="164"/>
      <c r="B287" s="165"/>
      <c r="C287" s="166"/>
      <c r="D287" s="167"/>
      <c r="E287" s="168"/>
      <c r="G287" s="154"/>
      <c r="H287" s="154"/>
      <c r="I287" s="154"/>
      <c r="J287" s="154"/>
      <c r="K287" s="154"/>
      <c r="L287" s="154"/>
      <c r="M287" s="154"/>
      <c r="N287" s="154"/>
      <c r="O287" s="154"/>
      <c r="P287" s="154"/>
      <c r="Q287" s="154"/>
      <c r="R287" s="154"/>
      <c r="S287" s="154"/>
      <c r="T287" s="154"/>
      <c r="U287" s="154"/>
      <c r="V287" s="154"/>
      <c r="W287" s="154"/>
      <c r="X287" s="154"/>
      <c r="Y287" s="154"/>
      <c r="Z287" s="154"/>
    </row>
    <row r="288" ht="14.25" customHeight="1">
      <c r="A288" s="164"/>
      <c r="B288" s="165"/>
      <c r="C288" s="166"/>
      <c r="D288" s="167"/>
      <c r="E288" s="168"/>
      <c r="G288" s="154"/>
      <c r="H288" s="154"/>
      <c r="I288" s="154"/>
      <c r="J288" s="154"/>
      <c r="K288" s="154"/>
      <c r="L288" s="154"/>
      <c r="M288" s="154"/>
      <c r="N288" s="154"/>
      <c r="O288" s="154"/>
      <c r="P288" s="154"/>
      <c r="Q288" s="154"/>
      <c r="R288" s="154"/>
      <c r="S288" s="154"/>
      <c r="T288" s="154"/>
      <c r="U288" s="154"/>
      <c r="V288" s="154"/>
      <c r="W288" s="154"/>
      <c r="X288" s="154"/>
      <c r="Y288" s="154"/>
      <c r="Z288" s="154"/>
    </row>
    <row r="289" ht="14.25" customHeight="1">
      <c r="A289" s="164"/>
      <c r="B289" s="165"/>
      <c r="C289" s="166"/>
      <c r="D289" s="167"/>
      <c r="E289" s="168"/>
      <c r="G289" s="154"/>
      <c r="H289" s="154"/>
      <c r="I289" s="154"/>
      <c r="J289" s="154"/>
      <c r="K289" s="154"/>
      <c r="L289" s="154"/>
      <c r="M289" s="154"/>
      <c r="N289" s="154"/>
      <c r="O289" s="154"/>
      <c r="P289" s="154"/>
      <c r="Q289" s="154"/>
      <c r="R289" s="154"/>
      <c r="S289" s="154"/>
      <c r="T289" s="154"/>
      <c r="U289" s="154"/>
      <c r="V289" s="154"/>
      <c r="W289" s="154"/>
      <c r="X289" s="154"/>
      <c r="Y289" s="154"/>
      <c r="Z289" s="154"/>
    </row>
    <row r="290" ht="14.25" customHeight="1">
      <c r="A290" s="164"/>
      <c r="B290" s="165"/>
      <c r="C290" s="166"/>
      <c r="D290" s="167"/>
      <c r="E290" s="168"/>
      <c r="G290" s="154"/>
      <c r="H290" s="154"/>
      <c r="I290" s="154"/>
      <c r="J290" s="154"/>
      <c r="K290" s="154"/>
      <c r="L290" s="154"/>
      <c r="M290" s="154"/>
      <c r="N290" s="154"/>
      <c r="O290" s="154"/>
      <c r="P290" s="154"/>
      <c r="Q290" s="154"/>
      <c r="R290" s="154"/>
      <c r="S290" s="154"/>
      <c r="T290" s="154"/>
      <c r="U290" s="154"/>
      <c r="V290" s="154"/>
      <c r="W290" s="154"/>
      <c r="X290" s="154"/>
      <c r="Y290" s="154"/>
      <c r="Z290" s="154"/>
    </row>
    <row r="291" ht="14.25" customHeight="1">
      <c r="A291" s="164"/>
      <c r="B291" s="165"/>
      <c r="C291" s="166"/>
      <c r="D291" s="167"/>
      <c r="E291" s="168"/>
      <c r="G291" s="154"/>
      <c r="H291" s="154"/>
      <c r="I291" s="154"/>
      <c r="J291" s="154"/>
      <c r="K291" s="154"/>
      <c r="L291" s="154"/>
      <c r="M291" s="154"/>
      <c r="N291" s="154"/>
      <c r="O291" s="154"/>
      <c r="P291" s="154"/>
      <c r="Q291" s="154"/>
      <c r="R291" s="154"/>
      <c r="S291" s="154"/>
      <c r="T291" s="154"/>
      <c r="U291" s="154"/>
      <c r="V291" s="154"/>
      <c r="W291" s="154"/>
      <c r="X291" s="154"/>
      <c r="Y291" s="154"/>
      <c r="Z291" s="154"/>
    </row>
    <row r="292" ht="14.25" customHeight="1">
      <c r="A292" s="164"/>
      <c r="B292" s="165"/>
      <c r="C292" s="166"/>
      <c r="D292" s="167"/>
      <c r="E292" s="168"/>
      <c r="G292" s="154"/>
      <c r="H292" s="154"/>
      <c r="I292" s="154"/>
      <c r="J292" s="154"/>
      <c r="K292" s="154"/>
      <c r="L292" s="154"/>
      <c r="M292" s="154"/>
      <c r="N292" s="154"/>
      <c r="O292" s="154"/>
      <c r="P292" s="154"/>
      <c r="Q292" s="154"/>
      <c r="R292" s="154"/>
      <c r="S292" s="154"/>
      <c r="T292" s="154"/>
      <c r="U292" s="154"/>
      <c r="V292" s="154"/>
      <c r="W292" s="154"/>
      <c r="X292" s="154"/>
      <c r="Y292" s="154"/>
      <c r="Z292" s="154"/>
    </row>
    <row r="293" ht="14.25" customHeight="1">
      <c r="A293" s="164"/>
      <c r="B293" s="165"/>
      <c r="C293" s="166"/>
      <c r="D293" s="167"/>
      <c r="E293" s="168"/>
      <c r="G293" s="154"/>
      <c r="H293" s="154"/>
      <c r="I293" s="154"/>
      <c r="J293" s="154"/>
      <c r="K293" s="154"/>
      <c r="L293" s="154"/>
      <c r="M293" s="154"/>
      <c r="N293" s="154"/>
      <c r="O293" s="154"/>
      <c r="P293" s="154"/>
      <c r="Q293" s="154"/>
      <c r="R293" s="154"/>
      <c r="S293" s="154"/>
      <c r="T293" s="154"/>
      <c r="U293" s="154"/>
      <c r="V293" s="154"/>
      <c r="W293" s="154"/>
      <c r="X293" s="154"/>
      <c r="Y293" s="154"/>
      <c r="Z293" s="154"/>
    </row>
    <row r="294" ht="14.25" customHeight="1">
      <c r="A294" s="164"/>
      <c r="B294" s="165"/>
      <c r="C294" s="166"/>
      <c r="D294" s="167"/>
      <c r="E294" s="168"/>
      <c r="G294" s="154"/>
      <c r="H294" s="154"/>
      <c r="I294" s="154"/>
      <c r="J294" s="154"/>
      <c r="K294" s="154"/>
      <c r="L294" s="154"/>
      <c r="M294" s="154"/>
      <c r="N294" s="154"/>
      <c r="O294" s="154"/>
      <c r="P294" s="154"/>
      <c r="Q294" s="154"/>
      <c r="R294" s="154"/>
      <c r="S294" s="154"/>
      <c r="T294" s="154"/>
      <c r="U294" s="154"/>
      <c r="V294" s="154"/>
      <c r="W294" s="154"/>
      <c r="X294" s="154"/>
      <c r="Y294" s="154"/>
      <c r="Z294" s="154"/>
    </row>
    <row r="295" ht="14.25" customHeight="1">
      <c r="A295" s="164"/>
      <c r="B295" s="165"/>
      <c r="C295" s="166"/>
      <c r="D295" s="167"/>
      <c r="E295" s="168"/>
      <c r="G295" s="154"/>
      <c r="H295" s="154"/>
      <c r="I295" s="154"/>
      <c r="J295" s="154"/>
      <c r="K295" s="154"/>
      <c r="L295" s="154"/>
      <c r="M295" s="154"/>
      <c r="N295" s="154"/>
      <c r="O295" s="154"/>
      <c r="P295" s="154"/>
      <c r="Q295" s="154"/>
      <c r="R295" s="154"/>
      <c r="S295" s="154"/>
      <c r="T295" s="154"/>
      <c r="U295" s="154"/>
      <c r="V295" s="154"/>
      <c r="W295" s="154"/>
      <c r="X295" s="154"/>
      <c r="Y295" s="154"/>
      <c r="Z295" s="154"/>
    </row>
    <row r="296" ht="14.25" customHeight="1">
      <c r="A296" s="164"/>
      <c r="B296" s="165"/>
      <c r="C296" s="166"/>
      <c r="D296" s="167"/>
      <c r="E296" s="168"/>
      <c r="G296" s="154"/>
      <c r="H296" s="154"/>
      <c r="I296" s="154"/>
      <c r="J296" s="154"/>
      <c r="K296" s="154"/>
      <c r="L296" s="154"/>
      <c r="M296" s="154"/>
      <c r="N296" s="154"/>
      <c r="O296" s="154"/>
      <c r="P296" s="154"/>
      <c r="Q296" s="154"/>
      <c r="R296" s="154"/>
      <c r="S296" s="154"/>
      <c r="T296" s="154"/>
      <c r="U296" s="154"/>
      <c r="V296" s="154"/>
      <c r="W296" s="154"/>
      <c r="X296" s="154"/>
      <c r="Y296" s="154"/>
      <c r="Z296" s="154"/>
    </row>
    <row r="297" ht="14.25" customHeight="1">
      <c r="A297" s="164"/>
      <c r="B297" s="165"/>
      <c r="C297" s="166"/>
      <c r="D297" s="167"/>
      <c r="E297" s="168"/>
      <c r="G297" s="154"/>
      <c r="H297" s="154"/>
      <c r="I297" s="154"/>
      <c r="J297" s="154"/>
      <c r="K297" s="154"/>
      <c r="L297" s="154"/>
      <c r="M297" s="154"/>
      <c r="N297" s="154"/>
      <c r="O297" s="154"/>
      <c r="P297" s="154"/>
      <c r="Q297" s="154"/>
      <c r="R297" s="154"/>
      <c r="S297" s="154"/>
      <c r="T297" s="154"/>
      <c r="U297" s="154"/>
      <c r="V297" s="154"/>
      <c r="W297" s="154"/>
      <c r="X297" s="154"/>
      <c r="Y297" s="154"/>
      <c r="Z297" s="154"/>
    </row>
    <row r="298" ht="14.25" customHeight="1">
      <c r="A298" s="164"/>
      <c r="B298" s="165"/>
      <c r="C298" s="166"/>
      <c r="D298" s="167"/>
      <c r="E298" s="168"/>
      <c r="G298" s="154"/>
      <c r="H298" s="154"/>
      <c r="I298" s="154"/>
      <c r="J298" s="154"/>
      <c r="K298" s="154"/>
      <c r="L298" s="154"/>
      <c r="M298" s="154"/>
      <c r="N298" s="154"/>
      <c r="O298" s="154"/>
      <c r="P298" s="154"/>
      <c r="Q298" s="154"/>
      <c r="R298" s="154"/>
      <c r="S298" s="154"/>
      <c r="T298" s="154"/>
      <c r="U298" s="154"/>
      <c r="V298" s="154"/>
      <c r="W298" s="154"/>
      <c r="X298" s="154"/>
      <c r="Y298" s="154"/>
      <c r="Z298" s="154"/>
    </row>
    <row r="299" ht="14.25" customHeight="1">
      <c r="A299" s="164"/>
      <c r="B299" s="165"/>
      <c r="C299" s="166"/>
      <c r="D299" s="167"/>
      <c r="E299" s="168"/>
      <c r="G299" s="154"/>
      <c r="H299" s="154"/>
      <c r="I299" s="154"/>
      <c r="J299" s="154"/>
      <c r="K299" s="154"/>
      <c r="L299" s="154"/>
      <c r="M299" s="154"/>
      <c r="N299" s="154"/>
      <c r="O299" s="154"/>
      <c r="P299" s="154"/>
      <c r="Q299" s="154"/>
      <c r="R299" s="154"/>
      <c r="S299" s="154"/>
      <c r="T299" s="154"/>
      <c r="U299" s="154"/>
      <c r="V299" s="154"/>
      <c r="W299" s="154"/>
      <c r="X299" s="154"/>
      <c r="Y299" s="154"/>
      <c r="Z299" s="154"/>
    </row>
    <row r="300" ht="14.25" customHeight="1">
      <c r="A300" s="164"/>
      <c r="B300" s="165"/>
      <c r="C300" s="166"/>
      <c r="D300" s="167"/>
      <c r="E300" s="168"/>
      <c r="G300" s="154"/>
      <c r="H300" s="154"/>
      <c r="I300" s="154"/>
      <c r="J300" s="154"/>
      <c r="K300" s="154"/>
      <c r="L300" s="154"/>
      <c r="M300" s="154"/>
      <c r="N300" s="154"/>
      <c r="O300" s="154"/>
      <c r="P300" s="154"/>
      <c r="Q300" s="154"/>
      <c r="R300" s="154"/>
      <c r="S300" s="154"/>
      <c r="T300" s="154"/>
      <c r="U300" s="154"/>
      <c r="V300" s="154"/>
      <c r="W300" s="154"/>
      <c r="X300" s="154"/>
      <c r="Y300" s="154"/>
      <c r="Z300" s="154"/>
    </row>
    <row r="301" ht="14.25" customHeight="1">
      <c r="A301" s="164"/>
      <c r="B301" s="165"/>
      <c r="C301" s="166"/>
      <c r="D301" s="167"/>
      <c r="E301" s="168"/>
      <c r="G301" s="154"/>
      <c r="H301" s="154"/>
      <c r="I301" s="154"/>
      <c r="J301" s="154"/>
      <c r="K301" s="154"/>
      <c r="L301" s="154"/>
      <c r="M301" s="154"/>
      <c r="N301" s="154"/>
      <c r="O301" s="154"/>
      <c r="P301" s="154"/>
      <c r="Q301" s="154"/>
      <c r="R301" s="154"/>
      <c r="S301" s="154"/>
      <c r="T301" s="154"/>
      <c r="U301" s="154"/>
      <c r="V301" s="154"/>
      <c r="W301" s="154"/>
      <c r="X301" s="154"/>
      <c r="Y301" s="154"/>
      <c r="Z301" s="154"/>
    </row>
    <row r="302" ht="14.25" customHeight="1">
      <c r="A302" s="164"/>
      <c r="B302" s="165"/>
      <c r="C302" s="166"/>
      <c r="D302" s="167"/>
      <c r="E302" s="168"/>
      <c r="G302" s="154"/>
      <c r="H302" s="154"/>
      <c r="I302" s="154"/>
      <c r="J302" s="154"/>
      <c r="K302" s="154"/>
      <c r="L302" s="154"/>
      <c r="M302" s="154"/>
      <c r="N302" s="154"/>
      <c r="O302" s="154"/>
      <c r="P302" s="154"/>
      <c r="Q302" s="154"/>
      <c r="R302" s="154"/>
      <c r="S302" s="154"/>
      <c r="T302" s="154"/>
      <c r="U302" s="154"/>
      <c r="V302" s="154"/>
      <c r="W302" s="154"/>
      <c r="X302" s="154"/>
      <c r="Y302" s="154"/>
      <c r="Z302" s="154"/>
    </row>
    <row r="303" ht="14.25" customHeight="1">
      <c r="A303" s="164"/>
      <c r="B303" s="165"/>
      <c r="C303" s="166"/>
      <c r="D303" s="167"/>
      <c r="E303" s="168"/>
      <c r="G303" s="154"/>
      <c r="H303" s="154"/>
      <c r="I303" s="154"/>
      <c r="J303" s="154"/>
      <c r="K303" s="154"/>
      <c r="L303" s="154"/>
      <c r="M303" s="154"/>
      <c r="N303" s="154"/>
      <c r="O303" s="154"/>
      <c r="P303" s="154"/>
      <c r="Q303" s="154"/>
      <c r="R303" s="154"/>
      <c r="S303" s="154"/>
      <c r="T303" s="154"/>
      <c r="U303" s="154"/>
      <c r="V303" s="154"/>
      <c r="W303" s="154"/>
      <c r="X303" s="154"/>
      <c r="Y303" s="154"/>
      <c r="Z303" s="154"/>
    </row>
    <row r="304" ht="14.25" customHeight="1">
      <c r="A304" s="164"/>
      <c r="B304" s="165"/>
      <c r="C304" s="166"/>
      <c r="D304" s="167"/>
      <c r="E304" s="168"/>
      <c r="G304" s="154"/>
      <c r="H304" s="154"/>
      <c r="I304" s="154"/>
      <c r="J304" s="154"/>
      <c r="K304" s="154"/>
      <c r="L304" s="154"/>
      <c r="M304" s="154"/>
      <c r="N304" s="154"/>
      <c r="O304" s="154"/>
      <c r="P304" s="154"/>
      <c r="Q304" s="154"/>
      <c r="R304" s="154"/>
      <c r="S304" s="154"/>
      <c r="T304" s="154"/>
      <c r="U304" s="154"/>
      <c r="V304" s="154"/>
      <c r="W304" s="154"/>
      <c r="X304" s="154"/>
      <c r="Y304" s="154"/>
      <c r="Z304" s="154"/>
    </row>
    <row r="305" ht="14.25" customHeight="1">
      <c r="A305" s="164"/>
      <c r="B305" s="165"/>
      <c r="C305" s="166"/>
      <c r="D305" s="167"/>
      <c r="E305" s="168"/>
      <c r="G305" s="154"/>
      <c r="H305" s="154"/>
      <c r="I305" s="154"/>
      <c r="J305" s="154"/>
      <c r="K305" s="154"/>
      <c r="L305" s="154"/>
      <c r="M305" s="154"/>
      <c r="N305" s="154"/>
      <c r="O305" s="154"/>
      <c r="P305" s="154"/>
      <c r="Q305" s="154"/>
      <c r="R305" s="154"/>
      <c r="S305" s="154"/>
      <c r="T305" s="154"/>
      <c r="U305" s="154"/>
      <c r="V305" s="154"/>
      <c r="W305" s="154"/>
      <c r="X305" s="154"/>
      <c r="Y305" s="154"/>
      <c r="Z305" s="154"/>
    </row>
    <row r="306" ht="14.25" customHeight="1">
      <c r="A306" s="164"/>
      <c r="B306" s="165"/>
      <c r="C306" s="166"/>
      <c r="D306" s="167"/>
      <c r="E306" s="168"/>
      <c r="G306" s="154"/>
      <c r="H306" s="154"/>
      <c r="I306" s="154"/>
      <c r="J306" s="154"/>
      <c r="K306" s="154"/>
      <c r="L306" s="154"/>
      <c r="M306" s="154"/>
      <c r="N306" s="154"/>
      <c r="O306" s="154"/>
      <c r="P306" s="154"/>
      <c r="Q306" s="154"/>
      <c r="R306" s="154"/>
      <c r="S306" s="154"/>
      <c r="T306" s="154"/>
      <c r="U306" s="154"/>
      <c r="V306" s="154"/>
      <c r="W306" s="154"/>
      <c r="X306" s="154"/>
      <c r="Y306" s="154"/>
      <c r="Z306" s="154"/>
    </row>
    <row r="307" ht="14.25" customHeight="1">
      <c r="A307" s="164"/>
      <c r="B307" s="165"/>
      <c r="C307" s="166"/>
      <c r="D307" s="167"/>
      <c r="E307" s="168"/>
      <c r="G307" s="154"/>
      <c r="H307" s="154"/>
      <c r="I307" s="154"/>
      <c r="J307" s="154"/>
      <c r="K307" s="154"/>
      <c r="L307" s="154"/>
      <c r="M307" s="154"/>
      <c r="N307" s="154"/>
      <c r="O307" s="154"/>
      <c r="P307" s="154"/>
      <c r="Q307" s="154"/>
      <c r="R307" s="154"/>
      <c r="S307" s="154"/>
      <c r="T307" s="154"/>
      <c r="U307" s="154"/>
      <c r="V307" s="154"/>
      <c r="W307" s="154"/>
      <c r="X307" s="154"/>
      <c r="Y307" s="154"/>
      <c r="Z307" s="154"/>
    </row>
    <row r="308" ht="14.25" customHeight="1">
      <c r="A308" s="164"/>
      <c r="B308" s="165"/>
      <c r="C308" s="166"/>
      <c r="D308" s="167"/>
      <c r="E308" s="168"/>
      <c r="G308" s="154"/>
      <c r="H308" s="154"/>
      <c r="I308" s="154"/>
      <c r="J308" s="154"/>
      <c r="K308" s="154"/>
      <c r="L308" s="154"/>
      <c r="M308" s="154"/>
      <c r="N308" s="154"/>
      <c r="O308" s="154"/>
      <c r="P308" s="154"/>
      <c r="Q308" s="154"/>
      <c r="R308" s="154"/>
      <c r="S308" s="154"/>
      <c r="T308" s="154"/>
      <c r="U308" s="154"/>
      <c r="V308" s="154"/>
      <c r="W308" s="154"/>
      <c r="X308" s="154"/>
      <c r="Y308" s="154"/>
      <c r="Z308" s="154"/>
    </row>
    <row r="309" ht="14.25" customHeight="1">
      <c r="A309" s="164"/>
      <c r="B309" s="165"/>
      <c r="C309" s="166"/>
      <c r="D309" s="167"/>
      <c r="E309" s="168"/>
      <c r="G309" s="154"/>
      <c r="H309" s="154"/>
      <c r="I309" s="154"/>
      <c r="J309" s="154"/>
      <c r="K309" s="154"/>
      <c r="L309" s="154"/>
      <c r="M309" s="154"/>
      <c r="N309" s="154"/>
      <c r="O309" s="154"/>
      <c r="P309" s="154"/>
      <c r="Q309" s="154"/>
      <c r="R309" s="154"/>
      <c r="S309" s="154"/>
      <c r="T309" s="154"/>
      <c r="U309" s="154"/>
      <c r="V309" s="154"/>
      <c r="W309" s="154"/>
      <c r="X309" s="154"/>
      <c r="Y309" s="154"/>
      <c r="Z309" s="154"/>
    </row>
    <row r="310" ht="14.25" customHeight="1">
      <c r="A310" s="164"/>
      <c r="B310" s="165"/>
      <c r="C310" s="166"/>
      <c r="D310" s="167"/>
      <c r="E310" s="168"/>
      <c r="G310" s="154"/>
      <c r="H310" s="154"/>
      <c r="I310" s="154"/>
      <c r="J310" s="154"/>
      <c r="K310" s="154"/>
      <c r="L310" s="154"/>
      <c r="M310" s="154"/>
      <c r="N310" s="154"/>
      <c r="O310" s="154"/>
      <c r="P310" s="154"/>
      <c r="Q310" s="154"/>
      <c r="R310" s="154"/>
      <c r="S310" s="154"/>
      <c r="T310" s="154"/>
      <c r="U310" s="154"/>
      <c r="V310" s="154"/>
      <c r="W310" s="154"/>
      <c r="X310" s="154"/>
      <c r="Y310" s="154"/>
      <c r="Z310" s="154"/>
    </row>
    <row r="311" ht="14.25" customHeight="1">
      <c r="A311" s="164"/>
      <c r="B311" s="165"/>
      <c r="C311" s="166"/>
      <c r="D311" s="167"/>
      <c r="E311" s="168"/>
      <c r="G311" s="154"/>
      <c r="H311" s="154"/>
      <c r="I311" s="154"/>
      <c r="J311" s="154"/>
      <c r="K311" s="154"/>
      <c r="L311" s="154"/>
      <c r="M311" s="154"/>
      <c r="N311" s="154"/>
      <c r="O311" s="154"/>
      <c r="P311" s="154"/>
      <c r="Q311" s="154"/>
      <c r="R311" s="154"/>
      <c r="S311" s="154"/>
      <c r="T311" s="154"/>
      <c r="U311" s="154"/>
      <c r="V311" s="154"/>
      <c r="W311" s="154"/>
      <c r="X311" s="154"/>
      <c r="Y311" s="154"/>
      <c r="Z311" s="154"/>
    </row>
    <row r="312" ht="14.25" customHeight="1">
      <c r="A312" s="164"/>
      <c r="B312" s="165"/>
      <c r="C312" s="166"/>
      <c r="D312" s="167"/>
      <c r="E312" s="168"/>
      <c r="G312" s="154"/>
      <c r="H312" s="154"/>
      <c r="I312" s="154"/>
      <c r="J312" s="154"/>
      <c r="K312" s="154"/>
      <c r="L312" s="154"/>
      <c r="M312" s="154"/>
      <c r="N312" s="154"/>
      <c r="O312" s="154"/>
      <c r="P312" s="154"/>
      <c r="Q312" s="154"/>
      <c r="R312" s="154"/>
      <c r="S312" s="154"/>
      <c r="T312" s="154"/>
      <c r="U312" s="154"/>
      <c r="V312" s="154"/>
      <c r="W312" s="154"/>
      <c r="X312" s="154"/>
      <c r="Y312" s="154"/>
      <c r="Z312" s="154"/>
    </row>
    <row r="313" ht="14.25" customHeight="1">
      <c r="A313" s="164"/>
      <c r="B313" s="165"/>
      <c r="C313" s="166"/>
      <c r="D313" s="167"/>
      <c r="E313" s="168"/>
      <c r="G313" s="154"/>
      <c r="H313" s="154"/>
      <c r="I313" s="154"/>
      <c r="J313" s="154"/>
      <c r="K313" s="154"/>
      <c r="L313" s="154"/>
      <c r="M313" s="154"/>
      <c r="N313" s="154"/>
      <c r="O313" s="154"/>
      <c r="P313" s="154"/>
      <c r="Q313" s="154"/>
      <c r="R313" s="154"/>
      <c r="S313" s="154"/>
      <c r="T313" s="154"/>
      <c r="U313" s="154"/>
      <c r="V313" s="154"/>
      <c r="W313" s="154"/>
      <c r="X313" s="154"/>
      <c r="Y313" s="154"/>
      <c r="Z313" s="154"/>
    </row>
    <row r="314" ht="14.25" customHeight="1">
      <c r="A314" s="164"/>
      <c r="B314" s="165"/>
      <c r="C314" s="166"/>
      <c r="D314" s="167"/>
      <c r="E314" s="168"/>
      <c r="G314" s="154"/>
      <c r="H314" s="154"/>
      <c r="I314" s="154"/>
      <c r="J314" s="154"/>
      <c r="K314" s="154"/>
      <c r="L314" s="154"/>
      <c r="M314" s="154"/>
      <c r="N314" s="154"/>
      <c r="O314" s="154"/>
      <c r="P314" s="154"/>
      <c r="Q314" s="154"/>
      <c r="R314" s="154"/>
      <c r="S314" s="154"/>
      <c r="T314" s="154"/>
      <c r="U314" s="154"/>
      <c r="V314" s="154"/>
      <c r="W314" s="154"/>
      <c r="X314" s="154"/>
      <c r="Y314" s="154"/>
      <c r="Z314" s="154"/>
    </row>
    <row r="315" ht="14.25" customHeight="1">
      <c r="A315" s="164"/>
      <c r="B315" s="165"/>
      <c r="C315" s="166"/>
      <c r="D315" s="167"/>
      <c r="E315" s="168"/>
      <c r="G315" s="154"/>
      <c r="H315" s="154"/>
      <c r="I315" s="154"/>
      <c r="J315" s="154"/>
      <c r="K315" s="154"/>
      <c r="L315" s="154"/>
      <c r="M315" s="154"/>
      <c r="N315" s="154"/>
      <c r="O315" s="154"/>
      <c r="P315" s="154"/>
      <c r="Q315" s="154"/>
      <c r="R315" s="154"/>
      <c r="S315" s="154"/>
      <c r="T315" s="154"/>
      <c r="U315" s="154"/>
      <c r="V315" s="154"/>
      <c r="W315" s="154"/>
      <c r="X315" s="154"/>
      <c r="Y315" s="154"/>
      <c r="Z315" s="154"/>
    </row>
    <row r="316" ht="14.25" customHeight="1">
      <c r="A316" s="164"/>
      <c r="B316" s="165"/>
      <c r="C316" s="166"/>
      <c r="D316" s="167"/>
      <c r="E316" s="168"/>
      <c r="G316" s="154"/>
      <c r="H316" s="154"/>
      <c r="I316" s="154"/>
      <c r="J316" s="154"/>
      <c r="K316" s="154"/>
      <c r="L316" s="154"/>
      <c r="M316" s="154"/>
      <c r="N316" s="154"/>
      <c r="O316" s="154"/>
      <c r="P316" s="154"/>
      <c r="Q316" s="154"/>
      <c r="R316" s="154"/>
      <c r="S316" s="154"/>
      <c r="T316" s="154"/>
      <c r="U316" s="154"/>
      <c r="V316" s="154"/>
      <c r="W316" s="154"/>
      <c r="X316" s="154"/>
      <c r="Y316" s="154"/>
      <c r="Z316" s="154"/>
    </row>
    <row r="317" ht="14.25" customHeight="1">
      <c r="A317" s="164"/>
      <c r="B317" s="165"/>
      <c r="C317" s="166"/>
      <c r="D317" s="167"/>
      <c r="E317" s="168"/>
      <c r="G317" s="154"/>
      <c r="H317" s="154"/>
      <c r="I317" s="154"/>
      <c r="J317" s="154"/>
      <c r="K317" s="154"/>
      <c r="L317" s="154"/>
      <c r="M317" s="154"/>
      <c r="N317" s="154"/>
      <c r="O317" s="154"/>
      <c r="P317" s="154"/>
      <c r="Q317" s="154"/>
      <c r="R317" s="154"/>
      <c r="S317" s="154"/>
      <c r="T317" s="154"/>
      <c r="U317" s="154"/>
      <c r="V317" s="154"/>
      <c r="W317" s="154"/>
      <c r="X317" s="154"/>
      <c r="Y317" s="154"/>
      <c r="Z317" s="154"/>
    </row>
    <row r="318" ht="14.25" customHeight="1">
      <c r="A318" s="164"/>
      <c r="B318" s="165"/>
      <c r="C318" s="166"/>
      <c r="D318" s="167"/>
      <c r="E318" s="168"/>
      <c r="G318" s="154"/>
      <c r="H318" s="154"/>
      <c r="I318" s="154"/>
      <c r="J318" s="154"/>
      <c r="K318" s="154"/>
      <c r="L318" s="154"/>
      <c r="M318" s="154"/>
      <c r="N318" s="154"/>
      <c r="O318" s="154"/>
      <c r="P318" s="154"/>
      <c r="Q318" s="154"/>
      <c r="R318" s="154"/>
      <c r="S318" s="154"/>
      <c r="T318" s="154"/>
      <c r="U318" s="154"/>
      <c r="V318" s="154"/>
      <c r="W318" s="154"/>
      <c r="X318" s="154"/>
      <c r="Y318" s="154"/>
      <c r="Z318" s="154"/>
    </row>
    <row r="319" ht="14.25" customHeight="1">
      <c r="A319" s="164"/>
      <c r="B319" s="165"/>
      <c r="C319" s="166"/>
      <c r="D319" s="167"/>
      <c r="E319" s="168"/>
      <c r="G319" s="154"/>
      <c r="H319" s="154"/>
      <c r="I319" s="154"/>
      <c r="J319" s="154"/>
      <c r="K319" s="154"/>
      <c r="L319" s="154"/>
      <c r="M319" s="154"/>
      <c r="N319" s="154"/>
      <c r="O319" s="154"/>
      <c r="P319" s="154"/>
      <c r="Q319" s="154"/>
      <c r="R319" s="154"/>
      <c r="S319" s="154"/>
      <c r="T319" s="154"/>
      <c r="U319" s="154"/>
      <c r="V319" s="154"/>
      <c r="W319" s="154"/>
      <c r="X319" s="154"/>
      <c r="Y319" s="154"/>
      <c r="Z319" s="154"/>
    </row>
    <row r="320" ht="14.25" customHeight="1">
      <c r="A320" s="164"/>
      <c r="B320" s="165"/>
      <c r="C320" s="166"/>
      <c r="D320" s="167"/>
      <c r="E320" s="168"/>
      <c r="G320" s="154"/>
      <c r="H320" s="154"/>
      <c r="I320" s="154"/>
      <c r="J320" s="154"/>
      <c r="K320" s="154"/>
      <c r="L320" s="154"/>
      <c r="M320" s="154"/>
      <c r="N320" s="154"/>
      <c r="O320" s="154"/>
      <c r="P320" s="154"/>
      <c r="Q320" s="154"/>
      <c r="R320" s="154"/>
      <c r="S320" s="154"/>
      <c r="T320" s="154"/>
      <c r="U320" s="154"/>
      <c r="V320" s="154"/>
      <c r="W320" s="154"/>
      <c r="X320" s="154"/>
      <c r="Y320" s="154"/>
      <c r="Z320" s="154"/>
    </row>
    <row r="321" ht="14.25" customHeight="1">
      <c r="A321" s="164"/>
      <c r="B321" s="165"/>
      <c r="C321" s="166"/>
      <c r="D321" s="167"/>
      <c r="E321" s="168"/>
      <c r="G321" s="154"/>
      <c r="H321" s="154"/>
      <c r="I321" s="154"/>
      <c r="J321" s="154"/>
      <c r="K321" s="154"/>
      <c r="L321" s="154"/>
      <c r="M321" s="154"/>
      <c r="N321" s="154"/>
      <c r="O321" s="154"/>
      <c r="P321" s="154"/>
      <c r="Q321" s="154"/>
      <c r="R321" s="154"/>
      <c r="S321" s="154"/>
      <c r="T321" s="154"/>
      <c r="U321" s="154"/>
      <c r="V321" s="154"/>
      <c r="W321" s="154"/>
      <c r="X321" s="154"/>
      <c r="Y321" s="154"/>
      <c r="Z321" s="154"/>
    </row>
    <row r="322" ht="14.25" customHeight="1">
      <c r="A322" s="164"/>
      <c r="B322" s="165"/>
      <c r="C322" s="166"/>
      <c r="D322" s="167"/>
      <c r="E322" s="168"/>
      <c r="G322" s="154"/>
      <c r="H322" s="154"/>
      <c r="I322" s="154"/>
      <c r="J322" s="154"/>
      <c r="K322" s="154"/>
      <c r="L322" s="154"/>
      <c r="M322" s="154"/>
      <c r="N322" s="154"/>
      <c r="O322" s="154"/>
      <c r="P322" s="154"/>
      <c r="Q322" s="154"/>
      <c r="R322" s="154"/>
      <c r="S322" s="154"/>
      <c r="T322" s="154"/>
      <c r="U322" s="154"/>
      <c r="V322" s="154"/>
      <c r="W322" s="154"/>
      <c r="X322" s="154"/>
      <c r="Y322" s="154"/>
      <c r="Z322" s="154"/>
    </row>
    <row r="323" ht="14.25" customHeight="1">
      <c r="A323" s="164"/>
      <c r="B323" s="165"/>
      <c r="C323" s="166"/>
      <c r="D323" s="167"/>
      <c r="E323" s="168"/>
      <c r="G323" s="154"/>
      <c r="H323" s="154"/>
      <c r="I323" s="154"/>
      <c r="J323" s="154"/>
      <c r="K323" s="154"/>
      <c r="L323" s="154"/>
      <c r="M323" s="154"/>
      <c r="N323" s="154"/>
      <c r="O323" s="154"/>
      <c r="P323" s="154"/>
      <c r="Q323" s="154"/>
      <c r="R323" s="154"/>
      <c r="S323" s="154"/>
      <c r="T323" s="154"/>
      <c r="U323" s="154"/>
      <c r="V323" s="154"/>
      <c r="W323" s="154"/>
      <c r="X323" s="154"/>
      <c r="Y323" s="154"/>
      <c r="Z323" s="154"/>
    </row>
    <row r="324" ht="14.25" customHeight="1">
      <c r="A324" s="164"/>
      <c r="B324" s="165"/>
      <c r="C324" s="166"/>
      <c r="D324" s="167"/>
      <c r="E324" s="168"/>
      <c r="G324" s="154"/>
      <c r="H324" s="154"/>
      <c r="I324" s="154"/>
      <c r="J324" s="154"/>
      <c r="K324" s="154"/>
      <c r="L324" s="154"/>
      <c r="M324" s="154"/>
      <c r="N324" s="154"/>
      <c r="O324" s="154"/>
      <c r="P324" s="154"/>
      <c r="Q324" s="154"/>
      <c r="R324" s="154"/>
      <c r="S324" s="154"/>
      <c r="T324" s="154"/>
      <c r="U324" s="154"/>
      <c r="V324" s="154"/>
      <c r="W324" s="154"/>
      <c r="X324" s="154"/>
      <c r="Y324" s="154"/>
      <c r="Z324" s="154"/>
    </row>
    <row r="325" ht="14.25" customHeight="1">
      <c r="A325" s="164"/>
      <c r="B325" s="165"/>
      <c r="C325" s="166"/>
      <c r="D325" s="167"/>
      <c r="E325" s="168"/>
      <c r="G325" s="154"/>
      <c r="H325" s="154"/>
      <c r="I325" s="154"/>
      <c r="J325" s="154"/>
      <c r="K325" s="154"/>
      <c r="L325" s="154"/>
      <c r="M325" s="154"/>
      <c r="N325" s="154"/>
      <c r="O325" s="154"/>
      <c r="P325" s="154"/>
      <c r="Q325" s="154"/>
      <c r="R325" s="154"/>
      <c r="S325" s="154"/>
      <c r="T325" s="154"/>
      <c r="U325" s="154"/>
      <c r="V325" s="154"/>
      <c r="W325" s="154"/>
      <c r="X325" s="154"/>
      <c r="Y325" s="154"/>
      <c r="Z325" s="154"/>
    </row>
    <row r="326" ht="14.25" customHeight="1">
      <c r="A326" s="164"/>
      <c r="B326" s="165"/>
      <c r="C326" s="166"/>
      <c r="D326" s="167"/>
      <c r="E326" s="168"/>
      <c r="G326" s="154"/>
      <c r="H326" s="154"/>
      <c r="I326" s="154"/>
      <c r="J326" s="154"/>
      <c r="K326" s="154"/>
      <c r="L326" s="154"/>
      <c r="M326" s="154"/>
      <c r="N326" s="154"/>
      <c r="O326" s="154"/>
      <c r="P326" s="154"/>
      <c r="Q326" s="154"/>
      <c r="R326" s="154"/>
      <c r="S326" s="154"/>
      <c r="T326" s="154"/>
      <c r="U326" s="154"/>
      <c r="V326" s="154"/>
      <c r="W326" s="154"/>
      <c r="X326" s="154"/>
      <c r="Y326" s="154"/>
      <c r="Z326" s="154"/>
    </row>
    <row r="327" ht="14.25" customHeight="1">
      <c r="A327" s="164"/>
      <c r="B327" s="165"/>
      <c r="C327" s="166"/>
      <c r="D327" s="167"/>
      <c r="E327" s="168"/>
      <c r="G327" s="154"/>
      <c r="H327" s="154"/>
      <c r="I327" s="154"/>
      <c r="J327" s="154"/>
      <c r="K327" s="154"/>
      <c r="L327" s="154"/>
      <c r="M327" s="154"/>
      <c r="N327" s="154"/>
      <c r="O327" s="154"/>
      <c r="P327" s="154"/>
      <c r="Q327" s="154"/>
      <c r="R327" s="154"/>
      <c r="S327" s="154"/>
      <c r="T327" s="154"/>
      <c r="U327" s="154"/>
      <c r="V327" s="154"/>
      <c r="W327" s="154"/>
      <c r="X327" s="154"/>
      <c r="Y327" s="154"/>
      <c r="Z327" s="154"/>
    </row>
    <row r="328" ht="14.25" customHeight="1">
      <c r="A328" s="164"/>
      <c r="B328" s="165"/>
      <c r="C328" s="166"/>
      <c r="D328" s="167"/>
      <c r="E328" s="168"/>
      <c r="G328" s="154"/>
      <c r="H328" s="154"/>
      <c r="I328" s="154"/>
      <c r="J328" s="154"/>
      <c r="K328" s="154"/>
      <c r="L328" s="154"/>
      <c r="M328" s="154"/>
      <c r="N328" s="154"/>
      <c r="O328" s="154"/>
      <c r="P328" s="154"/>
      <c r="Q328" s="154"/>
      <c r="R328" s="154"/>
      <c r="S328" s="154"/>
      <c r="T328" s="154"/>
      <c r="U328" s="154"/>
      <c r="V328" s="154"/>
      <c r="W328" s="154"/>
      <c r="X328" s="154"/>
      <c r="Y328" s="154"/>
      <c r="Z328" s="154"/>
    </row>
    <row r="329" ht="14.25" customHeight="1">
      <c r="A329" s="164"/>
      <c r="B329" s="165"/>
      <c r="C329" s="166"/>
      <c r="D329" s="167"/>
      <c r="E329" s="168"/>
      <c r="G329" s="154"/>
      <c r="H329" s="154"/>
      <c r="I329" s="154"/>
      <c r="J329" s="154"/>
      <c r="K329" s="154"/>
      <c r="L329" s="154"/>
      <c r="M329" s="154"/>
      <c r="N329" s="154"/>
      <c r="O329" s="154"/>
      <c r="P329" s="154"/>
      <c r="Q329" s="154"/>
      <c r="R329" s="154"/>
      <c r="S329" s="154"/>
      <c r="T329" s="154"/>
      <c r="U329" s="154"/>
      <c r="V329" s="154"/>
      <c r="W329" s="154"/>
      <c r="X329" s="154"/>
      <c r="Y329" s="154"/>
      <c r="Z329" s="154"/>
    </row>
    <row r="330" ht="14.25" customHeight="1">
      <c r="A330" s="164"/>
      <c r="B330" s="165"/>
      <c r="C330" s="166"/>
      <c r="D330" s="167"/>
      <c r="E330" s="168"/>
      <c r="G330" s="154"/>
      <c r="H330" s="154"/>
      <c r="I330" s="154"/>
      <c r="J330" s="154"/>
      <c r="K330" s="154"/>
      <c r="L330" s="154"/>
      <c r="M330" s="154"/>
      <c r="N330" s="154"/>
      <c r="O330" s="154"/>
      <c r="P330" s="154"/>
      <c r="Q330" s="154"/>
      <c r="R330" s="154"/>
      <c r="S330" s="154"/>
      <c r="T330" s="154"/>
      <c r="U330" s="154"/>
      <c r="V330" s="154"/>
      <c r="W330" s="154"/>
      <c r="X330" s="154"/>
      <c r="Y330" s="154"/>
      <c r="Z330" s="154"/>
    </row>
    <row r="331" ht="14.25" customHeight="1">
      <c r="A331" s="164"/>
      <c r="B331" s="165"/>
      <c r="C331" s="166"/>
      <c r="D331" s="167"/>
      <c r="E331" s="168"/>
      <c r="G331" s="154"/>
      <c r="H331" s="154"/>
      <c r="I331" s="154"/>
      <c r="J331" s="154"/>
      <c r="K331" s="154"/>
      <c r="L331" s="154"/>
      <c r="M331" s="154"/>
      <c r="N331" s="154"/>
      <c r="O331" s="154"/>
      <c r="P331" s="154"/>
      <c r="Q331" s="154"/>
      <c r="R331" s="154"/>
      <c r="S331" s="154"/>
      <c r="T331" s="154"/>
      <c r="U331" s="154"/>
      <c r="V331" s="154"/>
      <c r="W331" s="154"/>
      <c r="X331" s="154"/>
      <c r="Y331" s="154"/>
      <c r="Z331" s="154"/>
    </row>
    <row r="332" ht="14.25" customHeight="1">
      <c r="A332" s="164"/>
      <c r="B332" s="165"/>
      <c r="C332" s="166"/>
      <c r="D332" s="167"/>
      <c r="E332" s="168"/>
      <c r="G332" s="154"/>
      <c r="H332" s="154"/>
      <c r="I332" s="154"/>
      <c r="J332" s="154"/>
      <c r="K332" s="154"/>
      <c r="L332" s="154"/>
      <c r="M332" s="154"/>
      <c r="N332" s="154"/>
      <c r="O332" s="154"/>
      <c r="P332" s="154"/>
      <c r="Q332" s="154"/>
      <c r="R332" s="154"/>
      <c r="S332" s="154"/>
      <c r="T332" s="154"/>
      <c r="U332" s="154"/>
      <c r="V332" s="154"/>
      <c r="W332" s="154"/>
      <c r="X332" s="154"/>
      <c r="Y332" s="154"/>
      <c r="Z332" s="154"/>
    </row>
    <row r="333" ht="14.25" customHeight="1">
      <c r="A333" s="164"/>
      <c r="B333" s="165"/>
      <c r="C333" s="166"/>
      <c r="D333" s="167"/>
      <c r="E333" s="168"/>
      <c r="G333" s="154"/>
      <c r="H333" s="154"/>
      <c r="I333" s="154"/>
      <c r="J333" s="154"/>
      <c r="K333" s="154"/>
      <c r="L333" s="154"/>
      <c r="M333" s="154"/>
      <c r="N333" s="154"/>
      <c r="O333" s="154"/>
      <c r="P333" s="154"/>
      <c r="Q333" s="154"/>
      <c r="R333" s="154"/>
      <c r="S333" s="154"/>
      <c r="T333" s="154"/>
      <c r="U333" s="154"/>
      <c r="V333" s="154"/>
      <c r="W333" s="154"/>
      <c r="X333" s="154"/>
      <c r="Y333" s="154"/>
      <c r="Z333" s="154"/>
    </row>
    <row r="334" ht="14.25" customHeight="1">
      <c r="A334" s="164"/>
      <c r="B334" s="165"/>
      <c r="C334" s="166"/>
      <c r="D334" s="167"/>
      <c r="E334" s="168"/>
      <c r="G334" s="154"/>
      <c r="H334" s="154"/>
      <c r="I334" s="154"/>
      <c r="J334" s="154"/>
      <c r="K334" s="154"/>
      <c r="L334" s="154"/>
      <c r="M334" s="154"/>
      <c r="N334" s="154"/>
      <c r="O334" s="154"/>
      <c r="P334" s="154"/>
      <c r="Q334" s="154"/>
      <c r="R334" s="154"/>
      <c r="S334" s="154"/>
      <c r="T334" s="154"/>
      <c r="U334" s="154"/>
      <c r="V334" s="154"/>
      <c r="W334" s="154"/>
      <c r="X334" s="154"/>
      <c r="Y334" s="154"/>
      <c r="Z334" s="154"/>
    </row>
    <row r="335" ht="14.25" customHeight="1">
      <c r="A335" s="164"/>
      <c r="B335" s="165"/>
      <c r="C335" s="166"/>
      <c r="D335" s="167"/>
      <c r="E335" s="168"/>
      <c r="G335" s="154"/>
      <c r="H335" s="154"/>
      <c r="I335" s="154"/>
      <c r="J335" s="154"/>
      <c r="K335" s="154"/>
      <c r="L335" s="154"/>
      <c r="M335" s="154"/>
      <c r="N335" s="154"/>
      <c r="O335" s="154"/>
      <c r="P335" s="154"/>
      <c r="Q335" s="154"/>
      <c r="R335" s="154"/>
      <c r="S335" s="154"/>
      <c r="T335" s="154"/>
      <c r="U335" s="154"/>
      <c r="V335" s="154"/>
      <c r="W335" s="154"/>
      <c r="X335" s="154"/>
      <c r="Y335" s="154"/>
      <c r="Z335" s="154"/>
    </row>
    <row r="336" ht="14.25" customHeight="1">
      <c r="A336" s="164"/>
      <c r="B336" s="165"/>
      <c r="C336" s="166"/>
      <c r="D336" s="167"/>
      <c r="E336" s="168"/>
      <c r="G336" s="154"/>
      <c r="H336" s="154"/>
      <c r="I336" s="154"/>
      <c r="J336" s="154"/>
      <c r="K336" s="154"/>
      <c r="L336" s="154"/>
      <c r="M336" s="154"/>
      <c r="N336" s="154"/>
      <c r="O336" s="154"/>
      <c r="P336" s="154"/>
      <c r="Q336" s="154"/>
      <c r="R336" s="154"/>
      <c r="S336" s="154"/>
      <c r="T336" s="154"/>
      <c r="U336" s="154"/>
      <c r="V336" s="154"/>
      <c r="W336" s="154"/>
      <c r="X336" s="154"/>
      <c r="Y336" s="154"/>
      <c r="Z336" s="154"/>
    </row>
    <row r="337" ht="14.25" customHeight="1">
      <c r="A337" s="164"/>
      <c r="B337" s="165"/>
      <c r="C337" s="166"/>
      <c r="D337" s="167"/>
      <c r="E337" s="168"/>
      <c r="G337" s="154"/>
      <c r="H337" s="154"/>
      <c r="I337" s="154"/>
      <c r="J337" s="154"/>
      <c r="K337" s="154"/>
      <c r="L337" s="154"/>
      <c r="M337" s="154"/>
      <c r="N337" s="154"/>
      <c r="O337" s="154"/>
      <c r="P337" s="154"/>
      <c r="Q337" s="154"/>
      <c r="R337" s="154"/>
      <c r="S337" s="154"/>
      <c r="T337" s="154"/>
      <c r="U337" s="154"/>
      <c r="V337" s="154"/>
      <c r="W337" s="154"/>
      <c r="X337" s="154"/>
      <c r="Y337" s="154"/>
      <c r="Z337" s="154"/>
    </row>
    <row r="338" ht="14.25" customHeight="1">
      <c r="A338" s="164"/>
      <c r="B338" s="165"/>
      <c r="C338" s="166"/>
      <c r="D338" s="167"/>
      <c r="E338" s="168"/>
      <c r="G338" s="154"/>
      <c r="H338" s="154"/>
      <c r="I338" s="154"/>
      <c r="J338" s="154"/>
      <c r="K338" s="154"/>
      <c r="L338" s="154"/>
      <c r="M338" s="154"/>
      <c r="N338" s="154"/>
      <c r="O338" s="154"/>
      <c r="P338" s="154"/>
      <c r="Q338" s="154"/>
      <c r="R338" s="154"/>
      <c r="S338" s="154"/>
      <c r="T338" s="154"/>
      <c r="U338" s="154"/>
      <c r="V338" s="154"/>
      <c r="W338" s="154"/>
      <c r="X338" s="154"/>
      <c r="Y338" s="154"/>
      <c r="Z338" s="154"/>
    </row>
    <row r="339" ht="14.25" customHeight="1">
      <c r="A339" s="164"/>
      <c r="B339" s="165"/>
      <c r="C339" s="166"/>
      <c r="D339" s="167"/>
      <c r="E339" s="168"/>
      <c r="G339" s="154"/>
      <c r="H339" s="154"/>
      <c r="I339" s="154"/>
      <c r="J339" s="154"/>
      <c r="K339" s="154"/>
      <c r="L339" s="154"/>
      <c r="M339" s="154"/>
      <c r="N339" s="154"/>
      <c r="O339" s="154"/>
      <c r="P339" s="154"/>
      <c r="Q339" s="154"/>
      <c r="R339" s="154"/>
      <c r="S339" s="154"/>
      <c r="T339" s="154"/>
      <c r="U339" s="154"/>
      <c r="V339" s="154"/>
      <c r="W339" s="154"/>
      <c r="X339" s="154"/>
      <c r="Y339" s="154"/>
      <c r="Z339" s="154"/>
    </row>
    <row r="340" ht="14.25" customHeight="1">
      <c r="A340" s="164"/>
      <c r="B340" s="165"/>
      <c r="C340" s="166"/>
      <c r="D340" s="167"/>
      <c r="E340" s="168"/>
      <c r="G340" s="154"/>
      <c r="H340" s="154"/>
      <c r="I340" s="154"/>
      <c r="J340" s="154"/>
      <c r="K340" s="154"/>
      <c r="L340" s="154"/>
      <c r="M340" s="154"/>
      <c r="N340" s="154"/>
      <c r="O340" s="154"/>
      <c r="P340" s="154"/>
      <c r="Q340" s="154"/>
      <c r="R340" s="154"/>
      <c r="S340" s="154"/>
      <c r="T340" s="154"/>
      <c r="U340" s="154"/>
      <c r="V340" s="154"/>
      <c r="W340" s="154"/>
      <c r="X340" s="154"/>
      <c r="Y340" s="154"/>
      <c r="Z340" s="154"/>
    </row>
    <row r="341" ht="14.25" customHeight="1">
      <c r="A341" s="164"/>
      <c r="B341" s="165"/>
      <c r="C341" s="166"/>
      <c r="D341" s="167"/>
      <c r="E341" s="168"/>
      <c r="G341" s="154"/>
      <c r="H341" s="154"/>
      <c r="I341" s="154"/>
      <c r="J341" s="154"/>
      <c r="K341" s="154"/>
      <c r="L341" s="154"/>
      <c r="M341" s="154"/>
      <c r="N341" s="154"/>
      <c r="O341" s="154"/>
      <c r="P341" s="154"/>
      <c r="Q341" s="154"/>
      <c r="R341" s="154"/>
      <c r="S341" s="154"/>
      <c r="T341" s="154"/>
      <c r="U341" s="154"/>
      <c r="V341" s="154"/>
      <c r="W341" s="154"/>
      <c r="X341" s="154"/>
      <c r="Y341" s="154"/>
      <c r="Z341" s="154"/>
    </row>
    <row r="342" ht="14.25" customHeight="1">
      <c r="A342" s="164"/>
      <c r="B342" s="165"/>
      <c r="C342" s="166"/>
      <c r="D342" s="167"/>
      <c r="E342" s="168"/>
      <c r="G342" s="154"/>
      <c r="H342" s="154"/>
      <c r="I342" s="154"/>
      <c r="J342" s="154"/>
      <c r="K342" s="154"/>
      <c r="L342" s="154"/>
      <c r="M342" s="154"/>
      <c r="N342" s="154"/>
      <c r="O342" s="154"/>
      <c r="P342" s="154"/>
      <c r="Q342" s="154"/>
      <c r="R342" s="154"/>
      <c r="S342" s="154"/>
      <c r="T342" s="154"/>
      <c r="U342" s="154"/>
      <c r="V342" s="154"/>
      <c r="W342" s="154"/>
      <c r="X342" s="154"/>
      <c r="Y342" s="154"/>
      <c r="Z342" s="154"/>
    </row>
    <row r="343" ht="14.25" customHeight="1">
      <c r="A343" s="164"/>
      <c r="B343" s="165"/>
      <c r="C343" s="166"/>
      <c r="D343" s="167"/>
      <c r="E343" s="168"/>
      <c r="G343" s="154"/>
      <c r="H343" s="154"/>
      <c r="I343" s="154"/>
      <c r="J343" s="154"/>
      <c r="K343" s="154"/>
      <c r="L343" s="154"/>
      <c r="M343" s="154"/>
      <c r="N343" s="154"/>
      <c r="O343" s="154"/>
      <c r="P343" s="154"/>
      <c r="Q343" s="154"/>
      <c r="R343" s="154"/>
      <c r="S343" s="154"/>
      <c r="T343" s="154"/>
      <c r="U343" s="154"/>
      <c r="V343" s="154"/>
      <c r="W343" s="154"/>
      <c r="X343" s="154"/>
      <c r="Y343" s="154"/>
      <c r="Z343" s="154"/>
    </row>
    <row r="344" ht="14.25" customHeight="1">
      <c r="A344" s="164"/>
      <c r="B344" s="165"/>
      <c r="C344" s="166"/>
      <c r="D344" s="167"/>
      <c r="E344" s="168"/>
      <c r="G344" s="154"/>
      <c r="H344" s="154"/>
      <c r="I344" s="154"/>
      <c r="J344" s="154"/>
      <c r="K344" s="154"/>
      <c r="L344" s="154"/>
      <c r="M344" s="154"/>
      <c r="N344" s="154"/>
      <c r="O344" s="154"/>
      <c r="P344" s="154"/>
      <c r="Q344" s="154"/>
      <c r="R344" s="154"/>
      <c r="S344" s="154"/>
      <c r="T344" s="154"/>
      <c r="U344" s="154"/>
      <c r="V344" s="154"/>
      <c r="W344" s="154"/>
      <c r="X344" s="154"/>
      <c r="Y344" s="154"/>
      <c r="Z344" s="154"/>
    </row>
    <row r="345" ht="14.25" customHeight="1">
      <c r="A345" s="164"/>
      <c r="B345" s="165"/>
      <c r="C345" s="166"/>
      <c r="D345" s="167"/>
      <c r="E345" s="168"/>
      <c r="G345" s="154"/>
      <c r="H345" s="154"/>
      <c r="I345" s="154"/>
      <c r="J345" s="154"/>
      <c r="K345" s="154"/>
      <c r="L345" s="154"/>
      <c r="M345" s="154"/>
      <c r="N345" s="154"/>
      <c r="O345" s="154"/>
      <c r="P345" s="154"/>
      <c r="Q345" s="154"/>
      <c r="R345" s="154"/>
      <c r="S345" s="154"/>
      <c r="T345" s="154"/>
      <c r="U345" s="154"/>
      <c r="V345" s="154"/>
      <c r="W345" s="154"/>
      <c r="X345" s="154"/>
      <c r="Y345" s="154"/>
      <c r="Z345" s="154"/>
    </row>
    <row r="346" ht="14.25" customHeight="1">
      <c r="A346" s="164"/>
      <c r="B346" s="165"/>
      <c r="C346" s="166"/>
      <c r="D346" s="167"/>
      <c r="E346" s="168"/>
      <c r="G346" s="154"/>
      <c r="H346" s="154"/>
      <c r="I346" s="154"/>
      <c r="J346" s="154"/>
      <c r="K346" s="154"/>
      <c r="L346" s="154"/>
      <c r="M346" s="154"/>
      <c r="N346" s="154"/>
      <c r="O346" s="154"/>
      <c r="P346" s="154"/>
      <c r="Q346" s="154"/>
      <c r="R346" s="154"/>
      <c r="S346" s="154"/>
      <c r="T346" s="154"/>
      <c r="U346" s="154"/>
      <c r="V346" s="154"/>
      <c r="W346" s="154"/>
      <c r="X346" s="154"/>
      <c r="Y346" s="154"/>
      <c r="Z346" s="154"/>
    </row>
    <row r="347" ht="14.25" customHeight="1">
      <c r="A347" s="164"/>
      <c r="B347" s="165"/>
      <c r="C347" s="166"/>
      <c r="D347" s="167"/>
      <c r="E347" s="168"/>
      <c r="G347" s="154"/>
      <c r="H347" s="154"/>
      <c r="I347" s="154"/>
      <c r="J347" s="154"/>
      <c r="K347" s="154"/>
      <c r="L347" s="154"/>
      <c r="M347" s="154"/>
      <c r="N347" s="154"/>
      <c r="O347" s="154"/>
      <c r="P347" s="154"/>
      <c r="Q347" s="154"/>
      <c r="R347" s="154"/>
      <c r="S347" s="154"/>
      <c r="T347" s="154"/>
      <c r="U347" s="154"/>
      <c r="V347" s="154"/>
      <c r="W347" s="154"/>
      <c r="X347" s="154"/>
      <c r="Y347" s="154"/>
      <c r="Z347" s="154"/>
    </row>
    <row r="348" ht="14.25" customHeight="1">
      <c r="A348" s="164"/>
      <c r="B348" s="165"/>
      <c r="C348" s="166"/>
      <c r="D348" s="167"/>
      <c r="E348" s="168"/>
      <c r="G348" s="154"/>
      <c r="H348" s="154"/>
      <c r="I348" s="154"/>
      <c r="J348" s="154"/>
      <c r="K348" s="154"/>
      <c r="L348" s="154"/>
      <c r="M348" s="154"/>
      <c r="N348" s="154"/>
      <c r="O348" s="154"/>
      <c r="P348" s="154"/>
      <c r="Q348" s="154"/>
      <c r="R348" s="154"/>
      <c r="S348" s="154"/>
      <c r="T348" s="154"/>
      <c r="U348" s="154"/>
      <c r="V348" s="154"/>
      <c r="W348" s="154"/>
      <c r="X348" s="154"/>
      <c r="Y348" s="154"/>
      <c r="Z348" s="154"/>
    </row>
    <row r="349" ht="14.25" customHeight="1">
      <c r="A349" s="164"/>
      <c r="B349" s="165"/>
      <c r="C349" s="166"/>
      <c r="D349" s="167"/>
      <c r="E349" s="168"/>
      <c r="G349" s="154"/>
      <c r="H349" s="154"/>
      <c r="I349" s="154"/>
      <c r="J349" s="154"/>
      <c r="K349" s="154"/>
      <c r="L349" s="154"/>
      <c r="M349" s="154"/>
      <c r="N349" s="154"/>
      <c r="O349" s="154"/>
      <c r="P349" s="154"/>
      <c r="Q349" s="154"/>
      <c r="R349" s="154"/>
      <c r="S349" s="154"/>
      <c r="T349" s="154"/>
      <c r="U349" s="154"/>
      <c r="V349" s="154"/>
      <c r="W349" s="154"/>
      <c r="X349" s="154"/>
      <c r="Y349" s="154"/>
      <c r="Z349" s="154"/>
    </row>
    <row r="350" ht="14.25" customHeight="1">
      <c r="A350" s="164"/>
      <c r="B350" s="165"/>
      <c r="C350" s="166"/>
      <c r="D350" s="167"/>
      <c r="E350" s="168"/>
      <c r="G350" s="154"/>
      <c r="H350" s="154"/>
      <c r="I350" s="154"/>
      <c r="J350" s="154"/>
      <c r="K350" s="154"/>
      <c r="L350" s="154"/>
      <c r="M350" s="154"/>
      <c r="N350" s="154"/>
      <c r="O350" s="154"/>
      <c r="P350" s="154"/>
      <c r="Q350" s="154"/>
      <c r="R350" s="154"/>
      <c r="S350" s="154"/>
      <c r="T350" s="154"/>
      <c r="U350" s="154"/>
      <c r="V350" s="154"/>
      <c r="W350" s="154"/>
      <c r="X350" s="154"/>
      <c r="Y350" s="154"/>
      <c r="Z350" s="154"/>
    </row>
    <row r="351" ht="14.25" customHeight="1">
      <c r="A351" s="164"/>
      <c r="B351" s="165"/>
      <c r="C351" s="166"/>
      <c r="D351" s="167"/>
      <c r="E351" s="168"/>
      <c r="G351" s="154"/>
      <c r="H351" s="154"/>
      <c r="I351" s="154"/>
      <c r="J351" s="154"/>
      <c r="K351" s="154"/>
      <c r="L351" s="154"/>
      <c r="M351" s="154"/>
      <c r="N351" s="154"/>
      <c r="O351" s="154"/>
      <c r="P351" s="154"/>
      <c r="Q351" s="154"/>
      <c r="R351" s="154"/>
      <c r="S351" s="154"/>
      <c r="T351" s="154"/>
      <c r="U351" s="154"/>
      <c r="V351" s="154"/>
      <c r="W351" s="154"/>
      <c r="X351" s="154"/>
      <c r="Y351" s="154"/>
      <c r="Z351" s="154"/>
    </row>
    <row r="352" ht="14.25" customHeight="1">
      <c r="A352" s="164"/>
      <c r="B352" s="165"/>
      <c r="C352" s="166"/>
      <c r="D352" s="167"/>
      <c r="E352" s="168"/>
      <c r="G352" s="154"/>
      <c r="H352" s="154"/>
      <c r="I352" s="154"/>
      <c r="J352" s="154"/>
      <c r="K352" s="154"/>
      <c r="L352" s="154"/>
      <c r="M352" s="154"/>
      <c r="N352" s="154"/>
      <c r="O352" s="154"/>
      <c r="P352" s="154"/>
      <c r="Q352" s="154"/>
      <c r="R352" s="154"/>
      <c r="S352" s="154"/>
      <c r="T352" s="154"/>
      <c r="U352" s="154"/>
      <c r="V352" s="154"/>
      <c r="W352" s="154"/>
      <c r="X352" s="154"/>
      <c r="Y352" s="154"/>
      <c r="Z352" s="154"/>
    </row>
    <row r="353" ht="14.25" customHeight="1">
      <c r="A353" s="164"/>
      <c r="B353" s="165"/>
      <c r="C353" s="166"/>
      <c r="D353" s="167"/>
      <c r="E353" s="168"/>
      <c r="G353" s="154"/>
      <c r="H353" s="154"/>
      <c r="I353" s="154"/>
      <c r="J353" s="154"/>
      <c r="K353" s="154"/>
      <c r="L353" s="154"/>
      <c r="M353" s="154"/>
      <c r="N353" s="154"/>
      <c r="O353" s="154"/>
      <c r="P353" s="154"/>
      <c r="Q353" s="154"/>
      <c r="R353" s="154"/>
      <c r="S353" s="154"/>
      <c r="T353" s="154"/>
      <c r="U353" s="154"/>
      <c r="V353" s="154"/>
      <c r="W353" s="154"/>
      <c r="X353" s="154"/>
      <c r="Y353" s="154"/>
      <c r="Z353" s="154"/>
    </row>
    <row r="354" ht="14.25" customHeight="1">
      <c r="A354" s="164"/>
      <c r="B354" s="165"/>
      <c r="C354" s="166"/>
      <c r="D354" s="167"/>
      <c r="E354" s="168"/>
      <c r="G354" s="154"/>
      <c r="H354" s="154"/>
      <c r="I354" s="154"/>
      <c r="J354" s="154"/>
      <c r="K354" s="154"/>
      <c r="L354" s="154"/>
      <c r="M354" s="154"/>
      <c r="N354" s="154"/>
      <c r="O354" s="154"/>
      <c r="P354" s="154"/>
      <c r="Q354" s="154"/>
      <c r="R354" s="154"/>
      <c r="S354" s="154"/>
      <c r="T354" s="154"/>
      <c r="U354" s="154"/>
      <c r="V354" s="154"/>
      <c r="W354" s="154"/>
      <c r="X354" s="154"/>
      <c r="Y354" s="154"/>
      <c r="Z354" s="154"/>
    </row>
    <row r="355" ht="14.25" customHeight="1">
      <c r="A355" s="164"/>
      <c r="B355" s="165"/>
      <c r="C355" s="166"/>
      <c r="D355" s="167"/>
      <c r="E355" s="168"/>
      <c r="G355" s="154"/>
      <c r="H355" s="154"/>
      <c r="I355" s="154"/>
      <c r="J355" s="154"/>
      <c r="K355" s="154"/>
      <c r="L355" s="154"/>
      <c r="M355" s="154"/>
      <c r="N355" s="154"/>
      <c r="O355" s="154"/>
      <c r="P355" s="154"/>
      <c r="Q355" s="154"/>
      <c r="R355" s="154"/>
      <c r="S355" s="154"/>
      <c r="T355" s="154"/>
      <c r="U355" s="154"/>
      <c r="V355" s="154"/>
      <c r="W355" s="154"/>
      <c r="X355" s="154"/>
      <c r="Y355" s="154"/>
      <c r="Z355" s="154"/>
    </row>
    <row r="356" ht="14.25" customHeight="1">
      <c r="A356" s="164"/>
      <c r="B356" s="165"/>
      <c r="C356" s="166"/>
      <c r="D356" s="167"/>
      <c r="E356" s="168"/>
      <c r="G356" s="154"/>
      <c r="H356" s="154"/>
      <c r="I356" s="154"/>
      <c r="J356" s="154"/>
      <c r="K356" s="154"/>
      <c r="L356" s="154"/>
      <c r="M356" s="154"/>
      <c r="N356" s="154"/>
      <c r="O356" s="154"/>
      <c r="P356" s="154"/>
      <c r="Q356" s="154"/>
      <c r="R356" s="154"/>
      <c r="S356" s="154"/>
      <c r="T356" s="154"/>
      <c r="U356" s="154"/>
      <c r="V356" s="154"/>
      <c r="W356" s="154"/>
      <c r="X356" s="154"/>
      <c r="Y356" s="154"/>
      <c r="Z356" s="154"/>
    </row>
    <row r="357" ht="14.25" customHeight="1">
      <c r="A357" s="164"/>
      <c r="B357" s="165"/>
      <c r="C357" s="166"/>
      <c r="D357" s="167"/>
      <c r="E357" s="168"/>
      <c r="G357" s="154"/>
      <c r="H357" s="154"/>
      <c r="I357" s="154"/>
      <c r="J357" s="154"/>
      <c r="K357" s="154"/>
      <c r="L357" s="154"/>
      <c r="M357" s="154"/>
      <c r="N357" s="154"/>
      <c r="O357" s="154"/>
      <c r="P357" s="154"/>
      <c r="Q357" s="154"/>
      <c r="R357" s="154"/>
      <c r="S357" s="154"/>
      <c r="T357" s="154"/>
      <c r="U357" s="154"/>
      <c r="V357" s="154"/>
      <c r="W357" s="154"/>
      <c r="X357" s="154"/>
      <c r="Y357" s="154"/>
      <c r="Z357" s="154"/>
    </row>
    <row r="358" ht="14.25" customHeight="1">
      <c r="A358" s="164"/>
      <c r="B358" s="165"/>
      <c r="C358" s="166"/>
      <c r="D358" s="167"/>
      <c r="E358" s="168"/>
      <c r="G358" s="154"/>
      <c r="H358" s="154"/>
      <c r="I358" s="154"/>
      <c r="J358" s="154"/>
      <c r="K358" s="154"/>
      <c r="L358" s="154"/>
      <c r="M358" s="154"/>
      <c r="N358" s="154"/>
      <c r="O358" s="154"/>
      <c r="P358" s="154"/>
      <c r="Q358" s="154"/>
      <c r="R358" s="154"/>
      <c r="S358" s="154"/>
      <c r="T358" s="154"/>
      <c r="U358" s="154"/>
      <c r="V358" s="154"/>
      <c r="W358" s="154"/>
      <c r="X358" s="154"/>
      <c r="Y358" s="154"/>
      <c r="Z358" s="154"/>
    </row>
    <row r="359" ht="14.25" customHeight="1">
      <c r="A359" s="164"/>
      <c r="B359" s="165"/>
      <c r="C359" s="166"/>
      <c r="D359" s="167"/>
      <c r="E359" s="168"/>
      <c r="G359" s="154"/>
      <c r="H359" s="154"/>
      <c r="I359" s="154"/>
      <c r="J359" s="154"/>
      <c r="K359" s="154"/>
      <c r="L359" s="154"/>
      <c r="M359" s="154"/>
      <c r="N359" s="154"/>
      <c r="O359" s="154"/>
      <c r="P359" s="154"/>
      <c r="Q359" s="154"/>
      <c r="R359" s="154"/>
      <c r="S359" s="154"/>
      <c r="T359" s="154"/>
      <c r="U359" s="154"/>
      <c r="V359" s="154"/>
      <c r="W359" s="154"/>
      <c r="X359" s="154"/>
      <c r="Y359" s="154"/>
      <c r="Z359" s="154"/>
    </row>
    <row r="360" ht="14.25" customHeight="1">
      <c r="A360" s="164"/>
      <c r="B360" s="165"/>
      <c r="C360" s="166"/>
      <c r="D360" s="167"/>
      <c r="E360" s="168"/>
      <c r="G360" s="154"/>
      <c r="H360" s="154"/>
      <c r="I360" s="154"/>
      <c r="J360" s="154"/>
      <c r="K360" s="154"/>
      <c r="L360" s="154"/>
      <c r="M360" s="154"/>
      <c r="N360" s="154"/>
      <c r="O360" s="154"/>
      <c r="P360" s="154"/>
      <c r="Q360" s="154"/>
      <c r="R360" s="154"/>
      <c r="S360" s="154"/>
      <c r="T360" s="154"/>
      <c r="U360" s="154"/>
      <c r="V360" s="154"/>
      <c r="W360" s="154"/>
      <c r="X360" s="154"/>
      <c r="Y360" s="154"/>
      <c r="Z360" s="154"/>
    </row>
    <row r="361" ht="14.25" customHeight="1">
      <c r="A361" s="164"/>
      <c r="B361" s="165"/>
      <c r="C361" s="166"/>
      <c r="D361" s="167"/>
      <c r="E361" s="168"/>
      <c r="G361" s="154"/>
      <c r="H361" s="154"/>
      <c r="I361" s="154"/>
      <c r="J361" s="154"/>
      <c r="K361" s="154"/>
      <c r="L361" s="154"/>
      <c r="M361" s="154"/>
      <c r="N361" s="154"/>
      <c r="O361" s="154"/>
      <c r="P361" s="154"/>
      <c r="Q361" s="154"/>
      <c r="R361" s="154"/>
      <c r="S361" s="154"/>
      <c r="T361" s="154"/>
      <c r="U361" s="154"/>
      <c r="V361" s="154"/>
      <c r="W361" s="154"/>
      <c r="X361" s="154"/>
      <c r="Y361" s="154"/>
      <c r="Z361" s="154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F5496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4.57"/>
    <col customWidth="1" min="2" max="2" width="14.71"/>
    <col customWidth="1" min="3" max="3" width="7.57"/>
    <col customWidth="1" min="4" max="4" width="2.86"/>
    <col customWidth="1" min="5" max="5" width="9.0"/>
    <col customWidth="1" min="6" max="6" width="4.57"/>
    <col customWidth="1" min="7" max="7" width="9.0"/>
    <col customWidth="1" min="8" max="8" width="4.57"/>
    <col customWidth="1" min="9" max="9" width="9.0"/>
    <col customWidth="1" min="10" max="10" width="4.57"/>
    <col customWidth="1" min="11" max="11" width="9.0"/>
    <col customWidth="1" min="12" max="12" width="4.57"/>
    <col customWidth="1" min="13" max="13" width="9.0"/>
    <col customWidth="1" min="14" max="14" width="4.57"/>
    <col customWidth="1" min="15" max="15" width="9.0"/>
    <col customWidth="1" min="16" max="16" width="4.57"/>
    <col customWidth="1" min="17" max="17" width="9.0"/>
    <col customWidth="1" min="18" max="18" width="4.57"/>
    <col customWidth="1" min="19" max="19" width="9.0"/>
    <col customWidth="1" min="20" max="20" width="4.57"/>
    <col customWidth="1" min="21" max="21" width="9.0"/>
    <col customWidth="1" min="22" max="22" width="4.57"/>
    <col customWidth="1" min="23" max="23" width="7.57"/>
    <col customWidth="1" min="24" max="24" width="5.57"/>
    <col customWidth="1" min="25" max="25" width="7.57"/>
    <col customWidth="1" min="26" max="26" width="5.57"/>
    <col customWidth="1" hidden="1" min="27" max="36" width="4.57"/>
    <col customWidth="1" hidden="1" min="37" max="37" width="2.29"/>
  </cols>
  <sheetData>
    <row r="1" ht="37.5" customHeight="1">
      <c r="A1" s="110"/>
      <c r="B1" s="133" t="s">
        <v>1</v>
      </c>
      <c r="C1" s="89" t="s">
        <v>169</v>
      </c>
      <c r="D1" s="89" t="s">
        <v>3</v>
      </c>
      <c r="E1" s="90" t="s">
        <v>219</v>
      </c>
      <c r="F1" s="90" t="s">
        <v>202</v>
      </c>
      <c r="G1" s="90" t="s">
        <v>220</v>
      </c>
      <c r="H1" s="90" t="s">
        <v>173</v>
      </c>
      <c r="I1" s="90" t="s">
        <v>221</v>
      </c>
      <c r="J1" s="90" t="s">
        <v>175</v>
      </c>
      <c r="K1" s="90" t="s">
        <v>222</v>
      </c>
      <c r="L1" s="90" t="s">
        <v>177</v>
      </c>
      <c r="M1" s="90" t="s">
        <v>223</v>
      </c>
      <c r="N1" s="90" t="s">
        <v>179</v>
      </c>
      <c r="O1" s="90" t="s">
        <v>224</v>
      </c>
      <c r="P1" s="90" t="s">
        <v>181</v>
      </c>
      <c r="Q1" s="90" t="s">
        <v>225</v>
      </c>
      <c r="R1" s="90" t="s">
        <v>183</v>
      </c>
      <c r="S1" s="90" t="s">
        <v>226</v>
      </c>
      <c r="T1" s="90" t="s">
        <v>185</v>
      </c>
      <c r="U1" s="90" t="s">
        <v>227</v>
      </c>
      <c r="V1" s="90" t="s">
        <v>187</v>
      </c>
      <c r="W1" s="90" t="s">
        <v>228</v>
      </c>
      <c r="X1" s="90" t="s">
        <v>189</v>
      </c>
      <c r="Y1" s="90" t="s">
        <v>229</v>
      </c>
      <c r="Z1" s="90" t="s">
        <v>191</v>
      </c>
      <c r="AA1" s="90"/>
      <c r="AB1" s="90"/>
      <c r="AC1" s="90"/>
      <c r="AD1" s="90"/>
      <c r="AE1" s="90"/>
      <c r="AF1" s="90"/>
      <c r="AG1" s="90"/>
      <c r="AH1" s="90"/>
      <c r="AI1" s="90"/>
      <c r="AJ1" s="90"/>
      <c r="AK1" s="90"/>
    </row>
    <row r="2">
      <c r="A2" s="171">
        <v>1.0</v>
      </c>
      <c r="B2" s="6" t="s">
        <v>18</v>
      </c>
      <c r="C2" s="136">
        <f t="shared" ref="C2:C185" si="1">F2+H2+J2+L2+N2+P2+R2+T2+V2+X2+Z2-small((AA2:AK2),1)-small((AA2:AK2),2)</f>
        <v>3745.139932</v>
      </c>
      <c r="D2" s="93"/>
      <c r="E2" s="94">
        <f>IFERROR(VLOOKUP($B2,Surp1!$A$1:$B$161,2,0),0)</f>
        <v>3</v>
      </c>
      <c r="F2" s="95">
        <f>IFERROR(VLOOKUP(E2,Surp1!$B$1:$C$161,2,0),0)</f>
        <v>516.9930783</v>
      </c>
      <c r="G2" s="94">
        <f>IFERROR(VLOOKUP($B2,Surp2!$A$1:$B$161,2,0),0)</f>
        <v>4</v>
      </c>
      <c r="H2" s="95">
        <f>IFERROR(VLOOKUP(G2,Surp2!$B$1:$C$161,2,0),0)</f>
        <v>477.5654936</v>
      </c>
      <c r="I2" s="94">
        <f>IFERROR(VLOOKUP($B2,Surp3!$A$1:$B$161,2,0),0)</f>
        <v>8</v>
      </c>
      <c r="J2" s="95">
        <f>IFERROR(VLOOKUP(I2,Surp3!$B$1:$C$161,2,0),0)</f>
        <v>339.101659</v>
      </c>
      <c r="K2" s="94">
        <f>IFERROR(VLOOKUP($B2,Surp4!$A$1:$B$161,2,0),0)</f>
        <v>1</v>
      </c>
      <c r="L2" s="95">
        <f>IFERROR(VLOOKUP(K2,Surp4!$B$1:$C$161,2,0),0)</f>
        <v>681.1860104</v>
      </c>
      <c r="M2" s="94">
        <f>IFERROR(VLOOKUP($B2,Surp5!$A$1:$B$161,2,0),0)</f>
        <v>2</v>
      </c>
      <c r="N2" s="95">
        <f>IFERROR(VLOOKUP(M2,Surp5!$B$1:$C$161,2,0),0)</f>
        <v>567.6480143</v>
      </c>
      <c r="O2" s="94">
        <f>IFERROR(VLOOKUP($B2,Surp6!$A$1:$B$161,2,0),0)</f>
        <v>37</v>
      </c>
      <c r="P2" s="95">
        <f>IFERROR(VLOOKUP(O2,Surp6!$B$1:$C$161,2,0),0)</f>
        <v>101.6358143</v>
      </c>
      <c r="Q2" s="94">
        <f>IFERROR(VLOOKUP($B2,Surp7!$A$1:$B$161,2,0),0)</f>
        <v>12</v>
      </c>
      <c r="R2" s="95">
        <f>IFERROR(VLOOKUP(Q2,Surp7!$B$1:$C$161,2,0),0)</f>
        <v>303.0291506</v>
      </c>
      <c r="S2" s="94">
        <f>IFERROR(VLOOKUP($B2,Surp8!$A$1:$B$161,2,0),0)</f>
        <v>4</v>
      </c>
      <c r="T2" s="95">
        <f>IFERROR(VLOOKUP(S2,Surp8!$B$1:$C$161,2,0),0)</f>
        <v>423.4527708</v>
      </c>
      <c r="U2" s="94">
        <f>IFERROR(VLOOKUP($B2,Surp9!$A$1:$B$161,2,0),0)</f>
        <v>9</v>
      </c>
      <c r="V2" s="95">
        <f>IFERROR(VLOOKUP(U2,Surp9!$B$1:$C$161,2,0),0)</f>
        <v>311.0325465</v>
      </c>
      <c r="W2" s="94">
        <f>IFERROR(VLOOKUP($B2,Surp10!$A$1:$B$161,2,0),0)</f>
        <v>29</v>
      </c>
      <c r="X2" s="95">
        <f>IFERROR(VLOOKUP(W2,Surp10!$B$1:$C$161,2,0),0)</f>
        <v>125.1312088</v>
      </c>
      <c r="Y2" s="94">
        <f>IFERROR(VLOOKUP($B2,Surp11!$A$1:$B$161,2,0),0)</f>
        <v>0</v>
      </c>
      <c r="Z2" s="95">
        <f>IFERROR(VLOOKUP(Y2,Surp11!$B$1:$C$161,2,0),0)</f>
        <v>0</v>
      </c>
      <c r="AA2" s="95">
        <f>IFERROR(VLOOKUP(E2,Surp1!$B$1:$C$161,2,0),0)</f>
        <v>516.9930783</v>
      </c>
      <c r="AB2" s="95">
        <f>IFERROR(VLOOKUP(G2,Surp2!$B$1:$C$161,2,0),0)</f>
        <v>477.5654936</v>
      </c>
      <c r="AC2" s="95">
        <f>IFERROR(VLOOKUP(I2,Surp3!$B$1:$C$161,2,0),0)</f>
        <v>339.101659</v>
      </c>
      <c r="AD2" s="95">
        <f>IFERROR(VLOOKUP(K2,Surp4!$B$1:$C$161,2,0),0)</f>
        <v>681.1860104</v>
      </c>
      <c r="AE2" s="95">
        <f>IFERROR(VLOOKUP(M2,Surp5!$B$1:$C$161,2,0),0)</f>
        <v>567.6480143</v>
      </c>
      <c r="AF2" s="95">
        <f>IFERROR(VLOOKUP(O2,Surp6!$B$1:$C$161,2,0),0)</f>
        <v>101.6358143</v>
      </c>
      <c r="AG2" s="95">
        <f>IFERROR(VLOOKUP(Q2,Surp7!$B$1:$C$161,2,0),0)</f>
        <v>303.0291506</v>
      </c>
      <c r="AH2" s="95">
        <f>IFERROR(VLOOKUP(S2,Surp8!$B$1:$C$161,2,0),0)</f>
        <v>423.4527708</v>
      </c>
      <c r="AI2" s="95">
        <f>IFERROR(VLOOKUP(U2,Surp9!$B$1:$C$161,2,0),0)</f>
        <v>311.0325465</v>
      </c>
      <c r="AJ2" s="95">
        <f>IFERROR(VLOOKUP(W2,Surp10!$B$1:$C$161,2,0),0)</f>
        <v>125.1312088</v>
      </c>
      <c r="AK2" s="95">
        <f>IFERROR(VLOOKUP(Y2,Surp11!$B$1:$C$161,2,0),0)</f>
        <v>0</v>
      </c>
    </row>
    <row r="3">
      <c r="A3" s="172">
        <v>2.0</v>
      </c>
      <c r="B3" s="6" t="s">
        <v>36</v>
      </c>
      <c r="C3" s="136">
        <f t="shared" si="1"/>
        <v>2986.870287</v>
      </c>
      <c r="D3" s="93"/>
      <c r="E3" s="94">
        <f>IFERROR(VLOOKUP($B3,Surp1!$A$1:$B$161,2,0),0)</f>
        <v>7</v>
      </c>
      <c r="F3" s="95">
        <f>IFERROR(VLOOKUP(E3,Surp1!$B$1:$C$161,2,0),0)</f>
        <v>387.8805644</v>
      </c>
      <c r="G3" s="94">
        <f>IFERROR(VLOOKUP($B3,Surp2!$A$1:$B$161,2,0),0)</f>
        <v>9</v>
      </c>
      <c r="H3" s="95">
        <f>IFERROR(VLOOKUP(G3,Surp2!$B$1:$C$161,2,0),0)</f>
        <v>355.1153612</v>
      </c>
      <c r="I3" s="94">
        <f>IFERROR(VLOOKUP($B3,Surp3!$A$1:$B$161,2,0),0)</f>
        <v>33</v>
      </c>
      <c r="J3" s="95">
        <f>IFERROR(VLOOKUP(I3,Surp3!$B$1:$C$161,2,0),0)</f>
        <v>89.2288291</v>
      </c>
      <c r="K3" s="94">
        <f>IFERROR(VLOOKUP($B3,Surp4!$A$1:$B$161,2,0),0)</f>
        <v>3</v>
      </c>
      <c r="L3" s="95">
        <f>IFERROR(VLOOKUP(K3,Surp4!$B$1:$C$161,2,0),0)</f>
        <v>496.8858617</v>
      </c>
      <c r="M3" s="94">
        <f>IFERROR(VLOOKUP($B3,Surp5!$A$1:$B$161,2,0),0)</f>
        <v>5</v>
      </c>
      <c r="N3" s="95">
        <f>IFERROR(VLOOKUP(M3,Surp5!$B$1:$C$161,2,0),0)</f>
        <v>424.8789176</v>
      </c>
      <c r="O3" s="94">
        <f>IFERROR(VLOOKUP($B3,Surp6!$A$1:$B$161,2,0),0)</f>
        <v>6</v>
      </c>
      <c r="P3" s="95">
        <f>IFERROR(VLOOKUP(O3,Surp6!$B$1:$C$161,2,0),0)</f>
        <v>408.4130115</v>
      </c>
      <c r="Q3" s="94">
        <f>IFERROR(VLOOKUP($B3,Surp7!$A$1:$B$161,2,0),0)</f>
        <v>25</v>
      </c>
      <c r="R3" s="95">
        <f>IFERROR(VLOOKUP(Q3,Surp7!$B$1:$C$161,2,0),0)</f>
        <v>179.3627204</v>
      </c>
      <c r="S3" s="94">
        <f>IFERROR(VLOOKUP($B3,Surp8!$A$1:$B$161,2,0),0)</f>
        <v>15</v>
      </c>
      <c r="T3" s="95">
        <f>IFERROR(VLOOKUP(S3,Surp8!$B$1:$C$161,2,0),0)</f>
        <v>216.210773</v>
      </c>
      <c r="U3" s="94">
        <f>IFERROR(VLOOKUP($B3,Surp9!$A$1:$B$161,2,0),0)</f>
        <v>23</v>
      </c>
      <c r="V3" s="95">
        <f>IFERROR(VLOOKUP(U3,Surp9!$B$1:$C$161,2,0),0)</f>
        <v>150.3331247</v>
      </c>
      <c r="W3" s="94">
        <f>IFERROR(VLOOKUP($B3,Surp10!$A$1:$B$161,2,0),0)</f>
        <v>30</v>
      </c>
      <c r="X3" s="95">
        <f>IFERROR(VLOOKUP(W3,Surp10!$B$1:$C$161,2,0),0)</f>
        <v>118.1668141</v>
      </c>
      <c r="Y3" s="94">
        <f>IFERROR(VLOOKUP($B3,Surp11!$A$1:$B$161,2,0),0)</f>
        <v>4</v>
      </c>
      <c r="Z3" s="95">
        <f>IFERROR(VLOOKUP(Y3,Surp11!$B$1:$C$161,2,0),0)</f>
        <v>367.7899522</v>
      </c>
      <c r="AA3" s="95">
        <f>IFERROR(VLOOKUP(E3,Surp1!$B$1:$C$161,2,0),0)</f>
        <v>387.8805644</v>
      </c>
      <c r="AB3" s="95">
        <f>IFERROR(VLOOKUP(G3,Surp2!$B$1:$C$161,2,0),0)</f>
        <v>355.1153612</v>
      </c>
      <c r="AC3" s="95">
        <f>IFERROR(VLOOKUP(I3,Surp3!$B$1:$C$161,2,0),0)</f>
        <v>89.2288291</v>
      </c>
      <c r="AD3" s="95">
        <f>IFERROR(VLOOKUP(K3,Surp4!$B$1:$C$161,2,0),0)</f>
        <v>496.8858617</v>
      </c>
      <c r="AE3" s="95">
        <f>IFERROR(VLOOKUP(M3,Surp5!$B$1:$C$161,2,0),0)</f>
        <v>424.8789176</v>
      </c>
      <c r="AF3" s="95">
        <f>IFERROR(VLOOKUP(O3,Surp6!$B$1:$C$161,2,0),0)</f>
        <v>408.4130115</v>
      </c>
      <c r="AG3" s="95">
        <f>IFERROR(VLOOKUP(Q3,Surp7!$B$1:$C$161,2,0),0)</f>
        <v>179.3627204</v>
      </c>
      <c r="AH3" s="95">
        <f>IFERROR(VLOOKUP(S3,Surp8!$B$1:$C$161,2,0),0)</f>
        <v>216.210773</v>
      </c>
      <c r="AI3" s="95">
        <f>IFERROR(VLOOKUP(U3,Surp9!$B$1:$C$161,2,0),0)</f>
        <v>150.3331247</v>
      </c>
      <c r="AJ3" s="95">
        <f>IFERROR(VLOOKUP(W3,Surp10!$B$1:$C$161,2,0),0)</f>
        <v>118.1668141</v>
      </c>
      <c r="AK3" s="95">
        <f>IFERROR(VLOOKUP(Y3,Surp11!$B$1:$C$161,2,0),0)</f>
        <v>367.7899522</v>
      </c>
    </row>
    <row r="4">
      <c r="A4" s="171">
        <v>3.0</v>
      </c>
      <c r="B4" s="6" t="s">
        <v>9</v>
      </c>
      <c r="C4" s="136">
        <f t="shared" si="1"/>
        <v>2911.472264</v>
      </c>
      <c r="D4" s="173"/>
      <c r="E4" s="174">
        <f>IFERROR(VLOOKUP($B4,Surp1!$A$1:$B$161,2,0),0)</f>
        <v>20</v>
      </c>
      <c r="F4" s="175">
        <f>IFERROR(VLOOKUP(E4,Surp1!$B$1:$C$161,2,0),0)</f>
        <v>222.2943633</v>
      </c>
      <c r="G4" s="174">
        <f>IFERROR(VLOOKUP($B4,Surp2!$A$1:$B$161,2,0),0)</f>
        <v>20</v>
      </c>
      <c r="H4" s="175">
        <f>IFERROR(VLOOKUP(G4,Surp2!$B$1:$C$161,2,0),0)</f>
        <v>228.1194956</v>
      </c>
      <c r="I4" s="174">
        <f>IFERROR(VLOOKUP($B4,Surp3!$A$1:$B$161,2,0),0)</f>
        <v>15</v>
      </c>
      <c r="J4" s="175">
        <f>IFERROR(VLOOKUP(I4,Surp3!$B$1:$C$161,2,0),0)</f>
        <v>239.074659</v>
      </c>
      <c r="K4" s="174">
        <f>IFERROR(VLOOKUP($B4,Surp4!$A$1:$B$161,2,0),0)</f>
        <v>6</v>
      </c>
      <c r="L4" s="175">
        <f>IFERROR(VLOOKUP(K4,Surp4!$B$1:$C$161,2,0),0)</f>
        <v>391.7151937</v>
      </c>
      <c r="M4" s="174">
        <f>IFERROR(VLOOKUP($B4,Surp5!$A$1:$B$161,2,0),0)</f>
        <v>14</v>
      </c>
      <c r="N4" s="175">
        <f>IFERROR(VLOOKUP(M4,Surp5!$B$1:$C$161,2,0),0)</f>
        <v>266.8695626</v>
      </c>
      <c r="O4" s="174">
        <f>IFERROR(VLOOKUP($B4,Surp6!$A$1:$B$161,2,0),0)</f>
        <v>5</v>
      </c>
      <c r="P4" s="175">
        <f>IFERROR(VLOOKUP(O4,Surp6!$B$1:$C$161,2,0),0)</f>
        <v>435.8409663</v>
      </c>
      <c r="Q4" s="174">
        <f>IFERROR(VLOOKUP($B4,Surp7!$A$1:$B$161,2,0),0)</f>
        <v>3</v>
      </c>
      <c r="R4" s="175">
        <f>IFERROR(VLOOKUP(Q4,Surp7!$B$1:$C$161,2,0),0)</f>
        <v>514.2575215</v>
      </c>
      <c r="S4" s="174">
        <f>IFERROR(VLOOKUP($B4,Surp8!$A$1:$B$161,2,0),0)</f>
        <v>0</v>
      </c>
      <c r="T4" s="175">
        <f>IFERROR(VLOOKUP(S4,Surp8!$B$1:$C$161,2,0),0)</f>
        <v>0</v>
      </c>
      <c r="U4" s="174">
        <f>IFERROR(VLOOKUP($B4,Surp9!$A$1:$B$161,2,0),0)</f>
        <v>11</v>
      </c>
      <c r="V4" s="175">
        <f>IFERROR(VLOOKUP(U4,Surp9!$B$1:$C$161,2,0),0)</f>
        <v>279.379611</v>
      </c>
      <c r="W4" s="174">
        <f>IFERROR(VLOOKUP($B4,Surp10!$A$1:$B$161,2,0),0)</f>
        <v>0</v>
      </c>
      <c r="X4" s="175">
        <f>IFERROR(VLOOKUP(W4,Surp10!$B$1:$C$161,2,0),0)</f>
        <v>0</v>
      </c>
      <c r="Y4" s="174">
        <f>IFERROR(VLOOKUP($B4,Surp11!$A$1:$B$161,2,0),0)</f>
        <v>5</v>
      </c>
      <c r="Z4" s="175">
        <f>IFERROR(VLOOKUP(Y4,Surp11!$B$1:$C$161,2,0),0)</f>
        <v>333.9208907</v>
      </c>
      <c r="AA4" s="175">
        <f>IFERROR(VLOOKUP(E4,Surp1!$B$1:$C$161,2,0),0)</f>
        <v>222.2943633</v>
      </c>
      <c r="AB4" s="175">
        <f>IFERROR(VLOOKUP(G4,Surp2!$B$1:$C$161,2,0),0)</f>
        <v>228.1194956</v>
      </c>
      <c r="AC4" s="175">
        <f>IFERROR(VLOOKUP(I4,Surp3!$B$1:$C$161,2,0),0)</f>
        <v>239.074659</v>
      </c>
      <c r="AD4" s="175">
        <f>IFERROR(VLOOKUP(K4,Surp4!$B$1:$C$161,2,0),0)</f>
        <v>391.7151937</v>
      </c>
      <c r="AE4" s="175">
        <f>IFERROR(VLOOKUP(M4,Surp5!$B$1:$C$161,2,0),0)</f>
        <v>266.8695626</v>
      </c>
      <c r="AF4" s="175">
        <f>IFERROR(VLOOKUP(O4,Surp6!$B$1:$C$161,2,0),0)</f>
        <v>435.8409663</v>
      </c>
      <c r="AG4" s="175">
        <f>IFERROR(VLOOKUP(Q4,Surp7!$B$1:$C$161,2,0),0)</f>
        <v>514.2575215</v>
      </c>
      <c r="AH4" s="175">
        <f>IFERROR(VLOOKUP(S4,Surp8!$B$1:$C$161,2,0),0)</f>
        <v>0</v>
      </c>
      <c r="AI4" s="175">
        <f>IFERROR(VLOOKUP(U4,Surp9!$B$1:$C$161,2,0),0)</f>
        <v>279.379611</v>
      </c>
      <c r="AJ4" s="175">
        <f>IFERROR(VLOOKUP(W4,Surp10!$B$1:$C$161,2,0),0)</f>
        <v>0</v>
      </c>
      <c r="AK4" s="175">
        <f>IFERROR(VLOOKUP(Y4,Surp11!$B$1:$C$161,2,0),0)</f>
        <v>333.9208907</v>
      </c>
    </row>
    <row r="5">
      <c r="A5" s="172">
        <v>4.0</v>
      </c>
      <c r="B5" s="6" t="s">
        <v>19</v>
      </c>
      <c r="C5" s="136">
        <f t="shared" si="1"/>
        <v>2637.040647</v>
      </c>
      <c r="D5" s="93"/>
      <c r="E5" s="94">
        <f>IFERROR(VLOOKUP($B5,Surp1!$A$1:$B$161,2,0),0)</f>
        <v>11</v>
      </c>
      <c r="F5" s="95">
        <f>IFERROR(VLOOKUP(E5,Surp1!$B$1:$C$161,2,0),0)</f>
        <v>319.2655356</v>
      </c>
      <c r="G5" s="94">
        <f>IFERROR(VLOOKUP($B5,Surp2!$A$1:$B$161,2,0),0)</f>
        <v>0</v>
      </c>
      <c r="H5" s="95">
        <f>IFERROR(VLOOKUP(G5,Surp2!$B$1:$C$161,2,0),0)</f>
        <v>0</v>
      </c>
      <c r="I5" s="94">
        <f>IFERROR(VLOOKUP($B5,Surp3!$A$1:$B$161,2,0),0)</f>
        <v>21</v>
      </c>
      <c r="J5" s="95">
        <f>IFERROR(VLOOKUP(I5,Surp3!$B$1:$C$161,2,0),0)</f>
        <v>179.8255347</v>
      </c>
      <c r="K5" s="94">
        <f>IFERROR(VLOOKUP($B5,Surp4!$A$1:$B$161,2,0),0)</f>
        <v>21</v>
      </c>
      <c r="L5" s="95">
        <f>IFERROR(VLOOKUP(K5,Surp4!$B$1:$C$161,2,0),0)</f>
        <v>190.9247132</v>
      </c>
      <c r="M5" s="94">
        <f>IFERROR(VLOOKUP($B5,Surp5!$A$1:$B$161,2,0),0)</f>
        <v>51</v>
      </c>
      <c r="N5" s="95">
        <f>IFERROR(VLOOKUP(M5,Surp5!$B$1:$C$161,2,0),0)</f>
        <v>9.906127135</v>
      </c>
      <c r="O5" s="94">
        <f>IFERROR(VLOOKUP($B5,Surp6!$A$1:$B$161,2,0),0)</f>
        <v>3</v>
      </c>
      <c r="P5" s="95">
        <f>IFERROR(VLOOKUP(O5,Surp6!$B$1:$C$161,2,0),0)</f>
        <v>514.2575215</v>
      </c>
      <c r="Q5" s="94">
        <f>IFERROR(VLOOKUP($B5,Surp7!$A$1:$B$161,2,0),0)</f>
        <v>5</v>
      </c>
      <c r="R5" s="95">
        <f>IFERROR(VLOOKUP(Q5,Surp7!$B$1:$C$161,2,0),0)</f>
        <v>435.8409663</v>
      </c>
      <c r="S5" s="94">
        <f>IFERROR(VLOOKUP($B5,Surp8!$A$1:$B$161,2,0),0)</f>
        <v>6</v>
      </c>
      <c r="T5" s="95">
        <f>IFERROR(VLOOKUP(S5,Surp8!$B$1:$C$161,2,0),0)</f>
        <v>362.4942052</v>
      </c>
      <c r="U5" s="94">
        <f>IFERROR(VLOOKUP($B5,Surp9!$A$1:$B$161,2,0),0)</f>
        <v>16</v>
      </c>
      <c r="V5" s="95">
        <f>IFERROR(VLOOKUP(U5,Surp9!$B$1:$C$161,2,0),0)</f>
        <v>216.9861254</v>
      </c>
      <c r="W5" s="94">
        <f>IFERROR(VLOOKUP($B5,Surp10!$A$1:$B$161,2,0),0)</f>
        <v>13</v>
      </c>
      <c r="X5" s="95">
        <f>IFERROR(VLOOKUP(W5,Surp10!$B$1:$C$161,2,0),0)</f>
        <v>269.4397896</v>
      </c>
      <c r="Y5" s="94">
        <f>IFERROR(VLOOKUP($B5,Surp11!$A$1:$B$161,2,0),0)</f>
        <v>15</v>
      </c>
      <c r="Z5" s="95">
        <f>IFERROR(VLOOKUP(Y5,Surp11!$B$1:$C$161,2,0),0)</f>
        <v>148.0062552</v>
      </c>
      <c r="AA5" s="95">
        <f>IFERROR(VLOOKUP(E5,Surp1!$B$1:$C$161,2,0),0)</f>
        <v>319.2655356</v>
      </c>
      <c r="AB5" s="95">
        <f>IFERROR(VLOOKUP(G5,Surp2!$B$1:$C$161,2,0),0)</f>
        <v>0</v>
      </c>
      <c r="AC5" s="95">
        <f>IFERROR(VLOOKUP(I5,Surp3!$B$1:$C$161,2,0),0)</f>
        <v>179.8255347</v>
      </c>
      <c r="AD5" s="95">
        <f>IFERROR(VLOOKUP(K5,Surp4!$B$1:$C$161,2,0),0)</f>
        <v>190.9247132</v>
      </c>
      <c r="AE5" s="95">
        <f>IFERROR(VLOOKUP(M5,Surp5!$B$1:$C$161,2,0),0)</f>
        <v>9.906127135</v>
      </c>
      <c r="AF5" s="95">
        <f>IFERROR(VLOOKUP(O5,Surp6!$B$1:$C$161,2,0),0)</f>
        <v>514.2575215</v>
      </c>
      <c r="AG5" s="95">
        <f>IFERROR(VLOOKUP(Q5,Surp7!$B$1:$C$161,2,0),0)</f>
        <v>435.8409663</v>
      </c>
      <c r="AH5" s="95">
        <f>IFERROR(VLOOKUP(S5,Surp8!$B$1:$C$161,2,0),0)</f>
        <v>362.4942052</v>
      </c>
      <c r="AI5" s="95">
        <f>IFERROR(VLOOKUP(U5,Surp9!$B$1:$C$161,2,0),0)</f>
        <v>216.9861254</v>
      </c>
      <c r="AJ5" s="95">
        <f>IFERROR(VLOOKUP(W5,Surp10!$B$1:$C$161,2,0),0)</f>
        <v>269.4397896</v>
      </c>
      <c r="AK5" s="95">
        <f>IFERROR(VLOOKUP(Y5,Surp11!$B$1:$C$161,2,0),0)</f>
        <v>148.0062552</v>
      </c>
    </row>
    <row r="6">
      <c r="A6" s="171">
        <v>5.0</v>
      </c>
      <c r="B6" s="6" t="s">
        <v>7</v>
      </c>
      <c r="C6" s="136">
        <f t="shared" si="1"/>
        <v>2636.905822</v>
      </c>
      <c r="D6" s="173"/>
      <c r="E6" s="174">
        <f>IFERROR(VLOOKUP($B6,Surp1!$A$1:$B$161,2,0),0)</f>
        <v>6</v>
      </c>
      <c r="F6" s="175">
        <f>IFERROR(VLOOKUP(E6,Surp1!$B$1:$C$161,2,0),0)</f>
        <v>411.0246648</v>
      </c>
      <c r="G6" s="174">
        <f>IFERROR(VLOOKUP($B6,Surp2!$A$1:$B$161,2,0),0)</f>
        <v>25</v>
      </c>
      <c r="H6" s="175">
        <f>IFERROR(VLOOKUP(G6,Surp2!$B$1:$C$161,2,0),0)</f>
        <v>188.7743364</v>
      </c>
      <c r="I6" s="174">
        <f>IFERROR(VLOOKUP($B6,Surp3!$A$1:$B$161,2,0),0)</f>
        <v>10</v>
      </c>
      <c r="J6" s="175">
        <f>IFERROR(VLOOKUP(I6,Surp3!$B$1:$C$161,2,0),0)</f>
        <v>304.6674212</v>
      </c>
      <c r="K6" s="174">
        <f>IFERROR(VLOOKUP($B6,Surp4!$A$1:$B$161,2,0),0)</f>
        <v>12</v>
      </c>
      <c r="L6" s="175">
        <f>IFERROR(VLOOKUP(K6,Surp4!$B$1:$C$161,2,0),0)</f>
        <v>285.4729819</v>
      </c>
      <c r="M6" s="174">
        <f>IFERROR(VLOOKUP($B6,Surp5!$A$1:$B$161,2,0),0)</f>
        <v>0</v>
      </c>
      <c r="N6" s="175">
        <f>IFERROR(VLOOKUP(M6,Surp5!$B$1:$C$161,2,0),0)</f>
        <v>0</v>
      </c>
      <c r="O6" s="174">
        <f>IFERROR(VLOOKUP($B6,Surp6!$A$1:$B$161,2,0),0)</f>
        <v>2</v>
      </c>
      <c r="P6" s="175">
        <f>IFERROR(VLOOKUP(O6,Surp6!$B$1:$C$161,2,0),0)</f>
        <v>579.6587511</v>
      </c>
      <c r="Q6" s="174">
        <f>IFERROR(VLOOKUP($B6,Surp7!$A$1:$B$161,2,0),0)</f>
        <v>45</v>
      </c>
      <c r="R6" s="175">
        <f>IFERROR(VLOOKUP(Q6,Surp7!$B$1:$C$161,2,0),0)</f>
        <v>58.06913059</v>
      </c>
      <c r="S6" s="174">
        <f>IFERROR(VLOOKUP($B6,Surp8!$A$1:$B$161,2,0),0)</f>
        <v>33</v>
      </c>
      <c r="T6" s="175">
        <f>IFERROR(VLOOKUP(S6,Surp8!$B$1:$C$161,2,0),0)</f>
        <v>59.1766539</v>
      </c>
      <c r="U6" s="174">
        <f>IFERROR(VLOOKUP($B6,Surp9!$A$1:$B$161,2,0),0)</f>
        <v>1</v>
      </c>
      <c r="V6" s="175">
        <f>IFERROR(VLOOKUP(U6,Surp9!$B$1:$C$161,2,0),0)</f>
        <v>658.4406563</v>
      </c>
      <c r="W6" s="174">
        <f>IFERROR(VLOOKUP($B6,Surp10!$A$1:$B$161,2,0),0)</f>
        <v>34</v>
      </c>
      <c r="X6" s="175">
        <f>IFERROR(VLOOKUP(W6,Surp10!$B$1:$C$161,2,0),0)</f>
        <v>91.62122584</v>
      </c>
      <c r="Y6" s="174">
        <f>IFERROR(VLOOKUP($B6,Surp11!$A$1:$B$161,2,0),0)</f>
        <v>0</v>
      </c>
      <c r="Z6" s="175">
        <f>IFERROR(VLOOKUP(Y6,Surp11!$B$1:$C$161,2,0),0)</f>
        <v>0</v>
      </c>
      <c r="AA6" s="175">
        <f>IFERROR(VLOOKUP(E6,Surp1!$B$1:$C$161,2,0),0)</f>
        <v>411.0246648</v>
      </c>
      <c r="AB6" s="175">
        <f>IFERROR(VLOOKUP(G6,Surp2!$B$1:$C$161,2,0),0)</f>
        <v>188.7743364</v>
      </c>
      <c r="AC6" s="175">
        <f>IFERROR(VLOOKUP(I6,Surp3!$B$1:$C$161,2,0),0)</f>
        <v>304.6674212</v>
      </c>
      <c r="AD6" s="175">
        <f>IFERROR(VLOOKUP(K6,Surp4!$B$1:$C$161,2,0),0)</f>
        <v>285.4729819</v>
      </c>
      <c r="AE6" s="175">
        <f>IFERROR(VLOOKUP(M6,Surp5!$B$1:$C$161,2,0),0)</f>
        <v>0</v>
      </c>
      <c r="AF6" s="175">
        <f>IFERROR(VLOOKUP(O6,Surp6!$B$1:$C$161,2,0),0)</f>
        <v>579.6587511</v>
      </c>
      <c r="AG6" s="175">
        <f>IFERROR(VLOOKUP(Q6,Surp7!$B$1:$C$161,2,0),0)</f>
        <v>58.06913059</v>
      </c>
      <c r="AH6" s="175">
        <f>IFERROR(VLOOKUP(S6,Surp8!$B$1:$C$161,2,0),0)</f>
        <v>59.1766539</v>
      </c>
      <c r="AI6" s="175">
        <f>IFERROR(VLOOKUP(U6,Surp9!$B$1:$C$161,2,0),0)</f>
        <v>658.4406563</v>
      </c>
      <c r="AJ6" s="175">
        <f>IFERROR(VLOOKUP(W6,Surp10!$B$1:$C$161,2,0),0)</f>
        <v>91.62122584</v>
      </c>
      <c r="AK6" s="175">
        <f>IFERROR(VLOOKUP(Y6,Surp11!$B$1:$C$161,2,0),0)</f>
        <v>0</v>
      </c>
    </row>
    <row r="7">
      <c r="A7" s="172">
        <v>6.0</v>
      </c>
      <c r="B7" s="6" t="s">
        <v>12</v>
      </c>
      <c r="C7" s="136">
        <f t="shared" si="1"/>
        <v>2598.86527</v>
      </c>
      <c r="D7" s="93"/>
      <c r="E7" s="94">
        <f>IFERROR(VLOOKUP($B7,Surp1!$A$1:$B$161,2,0),0)</f>
        <v>23</v>
      </c>
      <c r="F7" s="95">
        <f>IFERROR(VLOOKUP(E7,Surp1!$B$1:$C$161,2,0),0)</f>
        <v>197.7144624</v>
      </c>
      <c r="G7" s="94">
        <f>IFERROR(VLOOKUP($B7,Surp2!$A$1:$B$161,2,0),0)</f>
        <v>29</v>
      </c>
      <c r="H7" s="95">
        <f>IFERROR(VLOOKUP(G7,Surp2!$B$1:$C$161,2,0),0)</f>
        <v>161.1098542</v>
      </c>
      <c r="I7" s="94">
        <f>IFERROR(VLOOKUP($B7,Surp3!$A$1:$B$161,2,0),0)</f>
        <v>36</v>
      </c>
      <c r="J7" s="95">
        <f>IFERROR(VLOOKUP(I7,Surp3!$B$1:$C$161,2,0),0)</f>
        <v>69.84704557</v>
      </c>
      <c r="K7" s="94">
        <f>IFERROR(VLOOKUP($B7,Surp4!$A$1:$B$161,2,0),0)</f>
        <v>2</v>
      </c>
      <c r="L7" s="95">
        <f>IFERROR(VLOOKUP(K7,Surp4!$B$1:$C$161,2,0),0)</f>
        <v>561.3507368</v>
      </c>
      <c r="M7" s="94">
        <f>IFERROR(VLOOKUP($B7,Surp5!$A$1:$B$161,2,0),0)</f>
        <v>34</v>
      </c>
      <c r="N7" s="95">
        <f>IFERROR(VLOOKUP(M7,Surp5!$B$1:$C$161,2,0),0)</f>
        <v>104.147852</v>
      </c>
      <c r="O7" s="94">
        <f>IFERROR(VLOOKUP($B7,Surp6!$A$1:$B$161,2,0),0)</f>
        <v>17</v>
      </c>
      <c r="P7" s="95">
        <f>IFERROR(VLOOKUP(O7,Surp6!$B$1:$C$161,2,0),0)</f>
        <v>246.8965192</v>
      </c>
      <c r="Q7" s="94">
        <f>IFERROR(VLOOKUP($B7,Surp7!$A$1:$B$161,2,0),0)</f>
        <v>28</v>
      </c>
      <c r="R7" s="95">
        <f>IFERROR(VLOOKUP(Q7,Surp7!$B$1:$C$161,2,0),0)</f>
        <v>158.0067704</v>
      </c>
      <c r="S7" s="94">
        <f>IFERROR(VLOOKUP($B7,Surp8!$A$1:$B$161,2,0),0)</f>
        <v>1</v>
      </c>
      <c r="T7" s="95">
        <f>IFERROR(VLOOKUP(S7,Surp8!$B$1:$C$161,2,0),0)</f>
        <v>646.1304924</v>
      </c>
      <c r="U7" s="94">
        <f>IFERROR(VLOOKUP($B7,Surp9!$A$1:$B$161,2,0),0)</f>
        <v>8</v>
      </c>
      <c r="V7" s="95">
        <f>IFERROR(VLOOKUP(U7,Surp9!$B$1:$C$161,2,0),0)</f>
        <v>329.2252908</v>
      </c>
      <c r="W7" s="94">
        <f>IFERROR(VLOOKUP($B7,Surp10!$A$1:$B$161,2,0),0)</f>
        <v>21</v>
      </c>
      <c r="X7" s="95">
        <f>IFERROR(VLOOKUP(W7,Surp10!$B$1:$C$161,2,0),0)</f>
        <v>187.3221005</v>
      </c>
      <c r="Y7" s="94">
        <f>IFERROR(VLOOKUP($B7,Surp11!$A$1:$B$161,2,0),0)</f>
        <v>18</v>
      </c>
      <c r="Z7" s="95">
        <f>IFERROR(VLOOKUP(Y7,Surp11!$B$1:$C$161,2,0),0)</f>
        <v>111.1090434</v>
      </c>
      <c r="AA7" s="95">
        <f>IFERROR(VLOOKUP(E7,Surp1!$B$1:$C$161,2,0),0)</f>
        <v>197.7144624</v>
      </c>
      <c r="AB7" s="95">
        <f>IFERROR(VLOOKUP(G7,Surp2!$B$1:$C$161,2,0),0)</f>
        <v>161.1098542</v>
      </c>
      <c r="AC7" s="95">
        <f>IFERROR(VLOOKUP(I7,Surp3!$B$1:$C$161,2,0),0)</f>
        <v>69.84704557</v>
      </c>
      <c r="AD7" s="95">
        <f>IFERROR(VLOOKUP(K7,Surp4!$B$1:$C$161,2,0),0)</f>
        <v>561.3507368</v>
      </c>
      <c r="AE7" s="95">
        <f>IFERROR(VLOOKUP(M7,Surp5!$B$1:$C$161,2,0),0)</f>
        <v>104.147852</v>
      </c>
      <c r="AF7" s="95">
        <f>IFERROR(VLOOKUP(O7,Surp6!$B$1:$C$161,2,0),0)</f>
        <v>246.8965192</v>
      </c>
      <c r="AG7" s="95">
        <f>IFERROR(VLOOKUP(Q7,Surp7!$B$1:$C$161,2,0),0)</f>
        <v>158.0067704</v>
      </c>
      <c r="AH7" s="95">
        <f>IFERROR(VLOOKUP(S7,Surp8!$B$1:$C$161,2,0),0)</f>
        <v>646.1304924</v>
      </c>
      <c r="AI7" s="95">
        <f>IFERROR(VLOOKUP(U7,Surp9!$B$1:$C$161,2,0),0)</f>
        <v>329.2252908</v>
      </c>
      <c r="AJ7" s="95">
        <f>IFERROR(VLOOKUP(W7,Surp10!$B$1:$C$161,2,0),0)</f>
        <v>187.3221005</v>
      </c>
      <c r="AK7" s="95">
        <f>IFERROR(VLOOKUP(Y7,Surp11!$B$1:$C$161,2,0),0)</f>
        <v>111.1090434</v>
      </c>
    </row>
    <row r="8">
      <c r="A8" s="171">
        <v>7.0</v>
      </c>
      <c r="B8" s="6" t="s">
        <v>14</v>
      </c>
      <c r="C8" s="136">
        <f t="shared" si="1"/>
        <v>2584.130521</v>
      </c>
      <c r="D8" s="93"/>
      <c r="E8" s="94">
        <f>IFERROR(VLOOKUP($B8,Surp1!$A$1:$B$161,2,0),0)</f>
        <v>5</v>
      </c>
      <c r="F8" s="95">
        <f>IFERROR(VLOOKUP(E8,Surp1!$B$1:$C$161,2,0),0)</f>
        <v>438.4657969</v>
      </c>
      <c r="G8" s="94">
        <f>IFERROR(VLOOKUP($B8,Surp2!$A$1:$B$161,2,0),0)</f>
        <v>10</v>
      </c>
      <c r="H8" s="95">
        <f>IFERROR(VLOOKUP(G8,Surp2!$B$1:$C$161,2,0),0)</f>
        <v>339.101659</v>
      </c>
      <c r="I8" s="94">
        <f>IFERROR(VLOOKUP($B8,Surp3!$A$1:$B$161,2,0),0)</f>
        <v>9</v>
      </c>
      <c r="J8" s="95">
        <f>IFERROR(VLOOKUP(I8,Surp3!$B$1:$C$161,2,0),0)</f>
        <v>321.0305772</v>
      </c>
      <c r="K8" s="94">
        <f>IFERROR(VLOOKUP($B8,Surp4!$A$1:$B$161,2,0),0)</f>
        <v>35</v>
      </c>
      <c r="L8" s="95">
        <f>IFERROR(VLOOKUP(K8,Surp4!$B$1:$C$161,2,0),0)</f>
        <v>89.61870984</v>
      </c>
      <c r="M8" s="94">
        <f>IFERROR(VLOOKUP($B8,Surp5!$A$1:$B$161,2,0),0)</f>
        <v>37</v>
      </c>
      <c r="N8" s="95">
        <f>IFERROR(VLOOKUP(M8,Surp5!$B$1:$C$161,2,0),0)</f>
        <v>85.86891935</v>
      </c>
      <c r="O8" s="94">
        <f>IFERROR(VLOOKUP($B8,Surp6!$A$1:$B$161,2,0),0)</f>
        <v>7</v>
      </c>
      <c r="P8" s="95">
        <f>IFERROR(VLOOKUP(O8,Surp6!$B$1:$C$161,2,0),0)</f>
        <v>385.267789</v>
      </c>
      <c r="Q8" s="94">
        <f>IFERROR(VLOOKUP($B8,Surp7!$A$1:$B$161,2,0),0)</f>
        <v>21</v>
      </c>
      <c r="R8" s="95">
        <f>IFERROR(VLOOKUP(Q8,Surp7!$B$1:$C$161,2,0),0)</f>
        <v>210.7729545</v>
      </c>
      <c r="S8" s="94">
        <f>IFERROR(VLOOKUP($B8,Surp8!$A$1:$B$161,2,0),0)</f>
        <v>37</v>
      </c>
      <c r="T8" s="95">
        <f>IFERROR(VLOOKUP(S8,Surp8!$B$1:$C$161,2,0),0)</f>
        <v>31.9489032</v>
      </c>
      <c r="U8" s="94">
        <f>IFERROR(VLOOKUP($B8,Surp9!$A$1:$B$161,2,0),0)</f>
        <v>7</v>
      </c>
      <c r="V8" s="95">
        <f>IFERROR(VLOOKUP(U8,Surp9!$B$1:$C$161,2,0),0)</f>
        <v>349.6013083</v>
      </c>
      <c r="W8" s="94">
        <f>IFERROR(VLOOKUP($B8,Surp10!$A$1:$B$161,2,0),0)</f>
        <v>9</v>
      </c>
      <c r="X8" s="95">
        <f>IFERROR(VLOOKUP(W8,Surp10!$B$1:$C$161,2,0),0)</f>
        <v>327.3173859</v>
      </c>
      <c r="Y8" s="94">
        <f>IFERROR(VLOOKUP($B8,Surp11!$A$1:$B$161,2,0),0)</f>
        <v>17</v>
      </c>
      <c r="Z8" s="95">
        <f>IFERROR(VLOOKUP(Y8,Surp11!$B$1:$C$161,2,0),0)</f>
        <v>122.9543407</v>
      </c>
      <c r="AA8" s="95">
        <f>IFERROR(VLOOKUP(E8,Surp1!$B$1:$C$161,2,0),0)</f>
        <v>438.4657969</v>
      </c>
      <c r="AB8" s="95">
        <f>IFERROR(VLOOKUP(G8,Surp2!$B$1:$C$161,2,0),0)</f>
        <v>339.101659</v>
      </c>
      <c r="AC8" s="95">
        <f>IFERROR(VLOOKUP(I8,Surp3!$B$1:$C$161,2,0),0)</f>
        <v>321.0305772</v>
      </c>
      <c r="AD8" s="95">
        <f>IFERROR(VLOOKUP(K8,Surp4!$B$1:$C$161,2,0),0)</f>
        <v>89.61870984</v>
      </c>
      <c r="AE8" s="95">
        <f>IFERROR(VLOOKUP(M8,Surp5!$B$1:$C$161,2,0),0)</f>
        <v>85.86891935</v>
      </c>
      <c r="AF8" s="95">
        <f>IFERROR(VLOOKUP(O8,Surp6!$B$1:$C$161,2,0),0)</f>
        <v>385.267789</v>
      </c>
      <c r="AG8" s="95">
        <f>IFERROR(VLOOKUP(Q8,Surp7!$B$1:$C$161,2,0),0)</f>
        <v>210.7729545</v>
      </c>
      <c r="AH8" s="95">
        <f>IFERROR(VLOOKUP(S8,Surp8!$B$1:$C$161,2,0),0)</f>
        <v>31.9489032</v>
      </c>
      <c r="AI8" s="95">
        <f>IFERROR(VLOOKUP(U8,Surp9!$B$1:$C$161,2,0),0)</f>
        <v>349.6013083</v>
      </c>
      <c r="AJ8" s="95">
        <f>IFERROR(VLOOKUP(W8,Surp10!$B$1:$C$161,2,0),0)</f>
        <v>327.3173859</v>
      </c>
      <c r="AK8" s="95">
        <f>IFERROR(VLOOKUP(Y8,Surp11!$B$1:$C$161,2,0),0)</f>
        <v>122.9543407</v>
      </c>
    </row>
    <row r="9">
      <c r="A9" s="172">
        <v>8.0</v>
      </c>
      <c r="B9" s="6" t="s">
        <v>8</v>
      </c>
      <c r="C9" s="136">
        <f t="shared" si="1"/>
        <v>2261.502627</v>
      </c>
      <c r="D9" s="173"/>
      <c r="E9" s="174">
        <f>IFERROR(VLOOKUP($B9,Surp1!$A$1:$B$161,2,0),0)</f>
        <v>0</v>
      </c>
      <c r="F9" s="175">
        <f>IFERROR(VLOOKUP(E9,Surp1!$B$1:$C$161,2,0),0)</f>
        <v>0</v>
      </c>
      <c r="G9" s="174">
        <f>IFERROR(VLOOKUP($B9,Surp2!$A$1:$B$161,2,0),0)</f>
        <v>18</v>
      </c>
      <c r="H9" s="175">
        <f>IFERROR(VLOOKUP(G9,Surp2!$B$1:$C$161,2,0),0)</f>
        <v>245.9184282</v>
      </c>
      <c r="I9" s="174">
        <f>IFERROR(VLOOKUP($B9,Surp3!$A$1:$B$161,2,0),0)</f>
        <v>0</v>
      </c>
      <c r="J9" s="175">
        <f>IFERROR(VLOOKUP(I9,Surp3!$B$1:$C$161,2,0),0)</f>
        <v>0</v>
      </c>
      <c r="K9" s="174">
        <f>IFERROR(VLOOKUP($B9,Surp4!$A$1:$B$161,2,0),0)</f>
        <v>37</v>
      </c>
      <c r="L9" s="175">
        <f>IFERROR(VLOOKUP(K9,Surp4!$B$1:$C$161,2,0),0)</f>
        <v>77.33450687</v>
      </c>
      <c r="M9" s="174">
        <f>IFERROR(VLOOKUP($B9,Surp5!$A$1:$B$161,2,0),0)</f>
        <v>1</v>
      </c>
      <c r="N9" s="175">
        <f>IFERROR(VLOOKUP(M9,Surp5!$B$1:$C$161,2,0),0)</f>
        <v>688.2873526</v>
      </c>
      <c r="O9" s="174">
        <f>IFERROR(VLOOKUP($B9,Surp6!$A$1:$B$161,2,0),0)</f>
        <v>38</v>
      </c>
      <c r="P9" s="175">
        <f>IFERROR(VLOOKUP(O9,Surp6!$B$1:$C$161,2,0),0)</f>
        <v>95.91243304</v>
      </c>
      <c r="Q9" s="174">
        <f>IFERROR(VLOOKUP($B9,Surp7!$A$1:$B$161,2,0),0)</f>
        <v>13</v>
      </c>
      <c r="R9" s="175">
        <f>IFERROR(VLOOKUP(Q9,Surp7!$B$1:$C$161,2,0),0)</f>
        <v>290.4250312</v>
      </c>
      <c r="S9" s="174">
        <f>IFERROR(VLOOKUP($B9,Surp8!$A$1:$B$161,2,0),0)</f>
        <v>16</v>
      </c>
      <c r="T9" s="175">
        <f>IFERROR(VLOOKUP(S9,Surp8!$B$1:$C$161,2,0),0)</f>
        <v>204.8706439</v>
      </c>
      <c r="U9" s="174">
        <f>IFERROR(VLOOKUP($B9,Surp9!$A$1:$B$161,2,0),0)</f>
        <v>29</v>
      </c>
      <c r="V9" s="175">
        <f>IFERROR(VLOOKUP(U9,Surp9!$B$1:$C$161,2,0),0)</f>
        <v>103.1773682</v>
      </c>
      <c r="W9" s="174">
        <f>IFERROR(VLOOKUP($B9,Surp10!$A$1:$B$161,2,0),0)</f>
        <v>7</v>
      </c>
      <c r="X9" s="175">
        <f>IFERROR(VLOOKUP(W9,Surp10!$B$1:$C$161,2,0),0)</f>
        <v>365.5441098</v>
      </c>
      <c r="Y9" s="174">
        <f>IFERROR(VLOOKUP($B9,Surp11!$A$1:$B$161,2,0),0)</f>
        <v>12</v>
      </c>
      <c r="Z9" s="175">
        <f>IFERROR(VLOOKUP(Y9,Surp11!$B$1:$C$161,2,0),0)</f>
        <v>190.0327527</v>
      </c>
      <c r="AA9" s="175">
        <f>IFERROR(VLOOKUP(E9,Surp1!$B$1:$C$161,2,0),0)</f>
        <v>0</v>
      </c>
      <c r="AB9" s="175">
        <f>IFERROR(VLOOKUP(G9,Surp2!$B$1:$C$161,2,0),0)</f>
        <v>245.9184282</v>
      </c>
      <c r="AC9" s="175">
        <f>IFERROR(VLOOKUP(I9,Surp3!$B$1:$C$161,2,0),0)</f>
        <v>0</v>
      </c>
      <c r="AD9" s="175">
        <f>IFERROR(VLOOKUP(K9,Surp4!$B$1:$C$161,2,0),0)</f>
        <v>77.33450687</v>
      </c>
      <c r="AE9" s="175">
        <f>IFERROR(VLOOKUP(M9,Surp5!$B$1:$C$161,2,0),0)</f>
        <v>688.2873526</v>
      </c>
      <c r="AF9" s="175">
        <f>IFERROR(VLOOKUP(O9,Surp6!$B$1:$C$161,2,0),0)</f>
        <v>95.91243304</v>
      </c>
      <c r="AG9" s="175">
        <f>IFERROR(VLOOKUP(Q9,Surp7!$B$1:$C$161,2,0),0)</f>
        <v>290.4250312</v>
      </c>
      <c r="AH9" s="175">
        <f>IFERROR(VLOOKUP(S9,Surp8!$B$1:$C$161,2,0),0)</f>
        <v>204.8706439</v>
      </c>
      <c r="AI9" s="175">
        <f>IFERROR(VLOOKUP(U9,Surp9!$B$1:$C$161,2,0),0)</f>
        <v>103.1773682</v>
      </c>
      <c r="AJ9" s="175">
        <f>IFERROR(VLOOKUP(W9,Surp10!$B$1:$C$161,2,0),0)</f>
        <v>365.5441098</v>
      </c>
      <c r="AK9" s="175">
        <f>IFERROR(VLOOKUP(Y9,Surp11!$B$1:$C$161,2,0),0)</f>
        <v>190.0327527</v>
      </c>
    </row>
    <row r="10">
      <c r="A10" s="171">
        <v>9.0</v>
      </c>
      <c r="B10" s="6" t="s">
        <v>29</v>
      </c>
      <c r="C10" s="136">
        <f t="shared" si="1"/>
        <v>1824.324438</v>
      </c>
      <c r="D10" s="93"/>
      <c r="E10" s="94">
        <f>IFERROR(VLOOKUP($B10,Surp1!$A$1:$B$161,2,0),0)</f>
        <v>51</v>
      </c>
      <c r="F10" s="95">
        <f>IFERROR(VLOOKUP(E10,Surp1!$B$1:$C$161,2,0),0)</f>
        <v>32.40468833</v>
      </c>
      <c r="G10" s="94">
        <f>IFERROR(VLOOKUP($B10,Surp2!$A$1:$B$161,2,0),0)</f>
        <v>16</v>
      </c>
      <c r="H10" s="95">
        <f>IFERROR(VLOOKUP(G10,Surp2!$B$1:$C$161,2,0),0)</f>
        <v>265.3276992</v>
      </c>
      <c r="I10" s="94">
        <f>IFERROR(VLOOKUP($B10,Surp3!$A$1:$B$161,2,0),0)</f>
        <v>3</v>
      </c>
      <c r="J10" s="95">
        <f>IFERROR(VLOOKUP(I10,Surp3!$B$1:$C$161,2,0),0)</f>
        <v>487.5</v>
      </c>
      <c r="K10" s="94">
        <f>IFERROR(VLOOKUP($B10,Surp4!$A$1:$B$161,2,0),0)</f>
        <v>0</v>
      </c>
      <c r="L10" s="95">
        <f>IFERROR(VLOOKUP(K10,Surp4!$B$1:$C$161,2,0),0)</f>
        <v>0</v>
      </c>
      <c r="M10" s="94">
        <f>IFERROR(VLOOKUP($B10,Surp5!$A$1:$B$161,2,0),0)</f>
        <v>23</v>
      </c>
      <c r="N10" s="95">
        <f>IFERROR(VLOOKUP(M10,Surp5!$B$1:$C$161,2,0),0)</f>
        <v>181.3241881</v>
      </c>
      <c r="O10" s="94">
        <f>IFERROR(VLOOKUP($B10,Surp6!$A$1:$B$161,2,0),0)</f>
        <v>0</v>
      </c>
      <c r="P10" s="95">
        <f>IFERROR(VLOOKUP(O10,Surp6!$B$1:$C$161,2,0),0)</f>
        <v>0</v>
      </c>
      <c r="Q10" s="94">
        <f>IFERROR(VLOOKUP($B10,Surp7!$A$1:$B$161,2,0),0)</f>
        <v>1</v>
      </c>
      <c r="R10" s="95">
        <f>IFERROR(VLOOKUP(Q10,Surp7!$B$1:$C$161,2,0),0)</f>
        <v>701.8676622</v>
      </c>
      <c r="S10" s="94">
        <f>IFERROR(VLOOKUP($B10,Surp8!$A$1:$B$161,2,0),0)</f>
        <v>0</v>
      </c>
      <c r="T10" s="95">
        <f>IFERROR(VLOOKUP(S10,Surp8!$B$1:$C$161,2,0),0)</f>
        <v>0</v>
      </c>
      <c r="U10" s="94">
        <f>IFERROR(VLOOKUP($B10,Surp9!$A$1:$B$161,2,0),0)</f>
        <v>41</v>
      </c>
      <c r="V10" s="95">
        <f>IFERROR(VLOOKUP(U10,Surp9!$B$1:$C$161,2,0),0)</f>
        <v>23.65527438</v>
      </c>
      <c r="W10" s="94">
        <f>IFERROR(VLOOKUP($B10,Surp10!$A$1:$B$161,2,0),0)</f>
        <v>28</v>
      </c>
      <c r="X10" s="95">
        <f>IFERROR(VLOOKUP(W10,Surp10!$B$1:$C$161,2,0),0)</f>
        <v>132.2449259</v>
      </c>
      <c r="Y10" s="94">
        <f>IFERROR(VLOOKUP($B10,Surp11!$A$1:$B$161,2,0),0)</f>
        <v>0</v>
      </c>
      <c r="Z10" s="95">
        <f>IFERROR(VLOOKUP(Y10,Surp11!$B$1:$C$161,2,0),0)</f>
        <v>0</v>
      </c>
      <c r="AA10" s="95">
        <f>IFERROR(VLOOKUP(E10,Surp1!$B$1:$C$161,2,0),0)</f>
        <v>32.40468833</v>
      </c>
      <c r="AB10" s="95">
        <f>IFERROR(VLOOKUP(G10,Surp2!$B$1:$C$161,2,0),0)</f>
        <v>265.3276992</v>
      </c>
      <c r="AC10" s="95">
        <f>IFERROR(VLOOKUP(I10,Surp3!$B$1:$C$161,2,0),0)</f>
        <v>487.5</v>
      </c>
      <c r="AD10" s="95">
        <f>IFERROR(VLOOKUP(K10,Surp4!$B$1:$C$161,2,0),0)</f>
        <v>0</v>
      </c>
      <c r="AE10" s="95">
        <f>IFERROR(VLOOKUP(M10,Surp5!$B$1:$C$161,2,0),0)</f>
        <v>181.3241881</v>
      </c>
      <c r="AF10" s="95">
        <f>IFERROR(VLOOKUP(O10,Surp6!$B$1:$C$161,2,0),0)</f>
        <v>0</v>
      </c>
      <c r="AG10" s="95">
        <f>IFERROR(VLOOKUP(Q10,Surp7!$B$1:$C$161,2,0),0)</f>
        <v>701.8676622</v>
      </c>
      <c r="AH10" s="95">
        <f>IFERROR(VLOOKUP(S10,Surp8!$B$1:$C$161,2,0),0)</f>
        <v>0</v>
      </c>
      <c r="AI10" s="95">
        <f>IFERROR(VLOOKUP(U10,Surp9!$B$1:$C$161,2,0),0)</f>
        <v>23.65527438</v>
      </c>
      <c r="AJ10" s="95">
        <f>IFERROR(VLOOKUP(W10,Surp10!$B$1:$C$161,2,0),0)</f>
        <v>132.2449259</v>
      </c>
      <c r="AK10" s="95">
        <f>IFERROR(VLOOKUP(Y10,Surp11!$B$1:$C$161,2,0),0)</f>
        <v>0</v>
      </c>
    </row>
    <row r="11">
      <c r="A11" s="172">
        <v>10.0</v>
      </c>
      <c r="B11" s="6" t="s">
        <v>10</v>
      </c>
      <c r="C11" s="136">
        <f t="shared" si="1"/>
        <v>1787.035029</v>
      </c>
      <c r="D11" s="93"/>
      <c r="E11" s="94">
        <f>IFERROR(VLOOKUP($B11,Surp1!$A$1:$B$161,2,0),0)</f>
        <v>13</v>
      </c>
      <c r="F11" s="95">
        <f>IFERROR(VLOOKUP(E11,Surp1!$B$1:$C$161,2,0),0)</f>
        <v>293.176414</v>
      </c>
      <c r="G11" s="94">
        <f>IFERROR(VLOOKUP($B11,Surp2!$A$1:$B$161,2,0),0)</f>
        <v>49</v>
      </c>
      <c r="H11" s="95">
        <f>IFERROR(VLOOKUP(G11,Surp2!$B$1:$C$161,2,0),0)</f>
        <v>50.142222</v>
      </c>
      <c r="I11" s="94">
        <f>IFERROR(VLOOKUP($B11,Surp3!$A$1:$B$161,2,0),0)</f>
        <v>6</v>
      </c>
      <c r="J11" s="95">
        <f>IFERROR(VLOOKUP(I11,Surp3!$B$1:$C$161,2,0),0)</f>
        <v>382.6078689</v>
      </c>
      <c r="K11" s="94">
        <f>IFERROR(VLOOKUP($B11,Surp4!$A$1:$B$161,2,0),0)</f>
        <v>0</v>
      </c>
      <c r="L11" s="95">
        <f>IFERROR(VLOOKUP(K11,Surp4!$B$1:$C$161,2,0),0)</f>
        <v>0</v>
      </c>
      <c r="M11" s="94">
        <f>IFERROR(VLOOKUP($B11,Surp5!$A$1:$B$161,2,0),0)</f>
        <v>35</v>
      </c>
      <c r="N11" s="95">
        <f>IFERROR(VLOOKUP(M11,Surp5!$B$1:$C$161,2,0),0)</f>
        <v>97.95394688</v>
      </c>
      <c r="O11" s="94">
        <f>IFERROR(VLOOKUP($B11,Surp6!$A$1:$B$161,2,0),0)</f>
        <v>12</v>
      </c>
      <c r="P11" s="95">
        <f>IFERROR(VLOOKUP(O11,Surp6!$B$1:$C$161,2,0),0)</f>
        <v>303.0291506</v>
      </c>
      <c r="Q11" s="94">
        <f>IFERROR(VLOOKUP($B11,Surp7!$A$1:$B$161,2,0),0)</f>
        <v>16</v>
      </c>
      <c r="R11" s="95">
        <f>IFERROR(VLOOKUP(Q11,Surp7!$B$1:$C$161,2,0),0)</f>
        <v>256.9336978</v>
      </c>
      <c r="S11" s="94">
        <f>IFERROR(VLOOKUP($B11,Surp8!$A$1:$B$161,2,0),0)</f>
        <v>0</v>
      </c>
      <c r="T11" s="95">
        <f>IFERROR(VLOOKUP(S11,Surp8!$B$1:$C$161,2,0),0)</f>
        <v>0</v>
      </c>
      <c r="U11" s="94">
        <f>IFERROR(VLOOKUP($B11,Surp9!$A$1:$B$161,2,0),0)</f>
        <v>26</v>
      </c>
      <c r="V11" s="95">
        <f>IFERROR(VLOOKUP(U11,Surp9!$B$1:$C$161,2,0),0)</f>
        <v>125.9140597</v>
      </c>
      <c r="W11" s="94">
        <f>IFERROR(VLOOKUP($B11,Surp10!$A$1:$B$161,2,0),0)</f>
        <v>40</v>
      </c>
      <c r="X11" s="95">
        <f>IFERROR(VLOOKUP(W11,Surp10!$B$1:$C$161,2,0),0)</f>
        <v>54.9833057</v>
      </c>
      <c r="Y11" s="94">
        <f>IFERROR(VLOOKUP($B11,Surp11!$A$1:$B$161,2,0),0)</f>
        <v>10</v>
      </c>
      <c r="Z11" s="95">
        <f>IFERROR(VLOOKUP(Y11,Surp11!$B$1:$C$161,2,0),0)</f>
        <v>222.2943633</v>
      </c>
      <c r="AA11" s="95">
        <f>IFERROR(VLOOKUP(E11,Surp1!$B$1:$C$161,2,0),0)</f>
        <v>293.176414</v>
      </c>
      <c r="AB11" s="95">
        <f>IFERROR(VLOOKUP(G11,Surp2!$B$1:$C$161,2,0),0)</f>
        <v>50.142222</v>
      </c>
      <c r="AC11" s="95">
        <f>IFERROR(VLOOKUP(I11,Surp3!$B$1:$C$161,2,0),0)</f>
        <v>382.6078689</v>
      </c>
      <c r="AD11" s="95">
        <f>IFERROR(VLOOKUP(K11,Surp4!$B$1:$C$161,2,0),0)</f>
        <v>0</v>
      </c>
      <c r="AE11" s="95">
        <f>IFERROR(VLOOKUP(M11,Surp5!$B$1:$C$161,2,0),0)</f>
        <v>97.95394688</v>
      </c>
      <c r="AF11" s="95">
        <f>IFERROR(VLOOKUP(O11,Surp6!$B$1:$C$161,2,0),0)</f>
        <v>303.0291506</v>
      </c>
      <c r="AG11" s="95">
        <f>IFERROR(VLOOKUP(Q11,Surp7!$B$1:$C$161,2,0),0)</f>
        <v>256.9336978</v>
      </c>
      <c r="AH11" s="95">
        <f>IFERROR(VLOOKUP(S11,Surp8!$B$1:$C$161,2,0),0)</f>
        <v>0</v>
      </c>
      <c r="AI11" s="95">
        <f>IFERROR(VLOOKUP(U11,Surp9!$B$1:$C$161,2,0),0)</f>
        <v>125.9140597</v>
      </c>
      <c r="AJ11" s="95">
        <f>IFERROR(VLOOKUP(W11,Surp10!$B$1:$C$161,2,0),0)</f>
        <v>54.9833057</v>
      </c>
      <c r="AK11" s="95">
        <f>IFERROR(VLOOKUP(Y11,Surp11!$B$1:$C$161,2,0),0)</f>
        <v>222.2943633</v>
      </c>
    </row>
    <row r="12">
      <c r="A12" s="171">
        <v>11.0</v>
      </c>
      <c r="B12" s="6" t="s">
        <v>26</v>
      </c>
      <c r="C12" s="136">
        <f t="shared" si="1"/>
        <v>1736.348392</v>
      </c>
      <c r="D12" s="173"/>
      <c r="E12" s="174">
        <f>IFERROR(VLOOKUP($B12,Surp1!$A$1:$B$161,2,0),0)</f>
        <v>52</v>
      </c>
      <c r="F12" s="175">
        <f>IFERROR(VLOOKUP(E12,Surp1!$B$1:$C$161,2,0),0)</f>
        <v>27.64093739</v>
      </c>
      <c r="G12" s="174">
        <f>IFERROR(VLOOKUP($B12,Surp2!$A$1:$B$161,2,0),0)</f>
        <v>0</v>
      </c>
      <c r="H12" s="175">
        <f>IFERROR(VLOOKUP(G12,Surp2!$B$1:$C$161,2,0),0)</f>
        <v>0</v>
      </c>
      <c r="I12" s="174">
        <f>IFERROR(VLOOKUP($B12,Surp3!$A$1:$B$161,2,0),0)</f>
        <v>39</v>
      </c>
      <c r="J12" s="175">
        <f>IFERROR(VLOOKUP(I12,Surp3!$B$1:$C$161,2,0),0)</f>
        <v>51.34743782</v>
      </c>
      <c r="K12" s="174">
        <f>IFERROR(VLOOKUP($B12,Surp4!$A$1:$B$161,2,0),0)</f>
        <v>4</v>
      </c>
      <c r="L12" s="175">
        <f>IFERROR(VLOOKUP(K12,Surp4!$B$1:$C$161,2,0),0)</f>
        <v>452.7709724</v>
      </c>
      <c r="M12" s="174">
        <f>IFERROR(VLOOKUP($B12,Surp5!$A$1:$B$161,2,0),0)</f>
        <v>9</v>
      </c>
      <c r="N12" s="175">
        <f>IFERROR(VLOOKUP(M12,Surp5!$B$1:$C$161,2,0),0)</f>
        <v>336.2470593</v>
      </c>
      <c r="O12" s="174">
        <f>IFERROR(VLOOKUP($B12,Surp6!$A$1:$B$161,2,0),0)</f>
        <v>40</v>
      </c>
      <c r="P12" s="175">
        <f>IFERROR(VLOOKUP(O12,Surp6!$B$1:$C$161,2,0),0)</f>
        <v>84.72296181</v>
      </c>
      <c r="Q12" s="174">
        <f>IFERROR(VLOOKUP($B12,Surp7!$A$1:$B$161,2,0),0)</f>
        <v>36</v>
      </c>
      <c r="R12" s="175">
        <f>IFERROR(VLOOKUP(Q12,Surp7!$B$1:$C$161,2,0),0)</f>
        <v>107.4511025</v>
      </c>
      <c r="S12" s="174">
        <f>IFERROR(VLOOKUP($B12,Surp8!$A$1:$B$161,2,0),0)</f>
        <v>23</v>
      </c>
      <c r="T12" s="175">
        <f>IFERROR(VLOOKUP(S12,Surp8!$B$1:$C$161,2,0),0)</f>
        <v>136.7281766</v>
      </c>
      <c r="U12" s="174">
        <f>IFERROR(VLOOKUP($B12,Surp9!$A$1:$B$161,2,0),0)</f>
        <v>21</v>
      </c>
      <c r="V12" s="175">
        <f>IFERROR(VLOOKUP(U12,Surp9!$B$1:$C$161,2,0),0)</f>
        <v>167.7723473</v>
      </c>
      <c r="W12" s="174">
        <f>IFERROR(VLOOKUP($B12,Surp10!$A$1:$B$161,2,0),0)</f>
        <v>27</v>
      </c>
      <c r="X12" s="175">
        <f>IFERROR(VLOOKUP(W12,Surp10!$B$1:$C$161,2,0),0)</f>
        <v>139.5188024</v>
      </c>
      <c r="Y12" s="174">
        <f>IFERROR(VLOOKUP($B12,Surp11!$A$1:$B$161,2,0),0)</f>
        <v>8</v>
      </c>
      <c r="Z12" s="175">
        <f>IFERROR(VLOOKUP(Y12,Surp11!$B$1:$C$161,2,0),0)</f>
        <v>259.789532</v>
      </c>
      <c r="AA12" s="175">
        <f>IFERROR(VLOOKUP(E12,Surp1!$B$1:$C$161,2,0),0)</f>
        <v>27.64093739</v>
      </c>
      <c r="AB12" s="175">
        <f>IFERROR(VLOOKUP(G12,Surp2!$B$1:$C$161,2,0),0)</f>
        <v>0</v>
      </c>
      <c r="AC12" s="175">
        <f>IFERROR(VLOOKUP(I12,Surp3!$B$1:$C$161,2,0),0)</f>
        <v>51.34743782</v>
      </c>
      <c r="AD12" s="175">
        <f>IFERROR(VLOOKUP(K12,Surp4!$B$1:$C$161,2,0),0)</f>
        <v>452.7709724</v>
      </c>
      <c r="AE12" s="175">
        <f>IFERROR(VLOOKUP(M12,Surp5!$B$1:$C$161,2,0),0)</f>
        <v>336.2470593</v>
      </c>
      <c r="AF12" s="175">
        <f>IFERROR(VLOOKUP(O12,Surp6!$B$1:$C$161,2,0),0)</f>
        <v>84.72296181</v>
      </c>
      <c r="AG12" s="175">
        <f>IFERROR(VLOOKUP(Q12,Surp7!$B$1:$C$161,2,0),0)</f>
        <v>107.4511025</v>
      </c>
      <c r="AH12" s="175">
        <f>IFERROR(VLOOKUP(S12,Surp8!$B$1:$C$161,2,0),0)</f>
        <v>136.7281766</v>
      </c>
      <c r="AI12" s="175">
        <f>IFERROR(VLOOKUP(U12,Surp9!$B$1:$C$161,2,0),0)</f>
        <v>167.7723473</v>
      </c>
      <c r="AJ12" s="175">
        <f>IFERROR(VLOOKUP(W12,Surp10!$B$1:$C$161,2,0),0)</f>
        <v>139.5188024</v>
      </c>
      <c r="AK12" s="175">
        <f>IFERROR(VLOOKUP(Y12,Surp11!$B$1:$C$161,2,0),0)</f>
        <v>259.789532</v>
      </c>
    </row>
    <row r="13">
      <c r="A13" s="172">
        <v>12.0</v>
      </c>
      <c r="B13" s="6" t="s">
        <v>37</v>
      </c>
      <c r="C13" s="136">
        <f t="shared" si="1"/>
        <v>1694.649634</v>
      </c>
      <c r="D13" s="173"/>
      <c r="E13" s="174">
        <f>IFERROR(VLOOKUP($B13,Surp1!$A$1:$B$161,2,0),0)</f>
        <v>26</v>
      </c>
      <c r="F13" s="175">
        <f>IFERROR(VLOOKUP(E13,Surp1!$B$1:$C$161,2,0),0)</f>
        <v>175.3109302</v>
      </c>
      <c r="G13" s="174">
        <f>IFERROR(VLOOKUP($B13,Surp2!$A$1:$B$161,2,0),0)</f>
        <v>6</v>
      </c>
      <c r="H13" s="175">
        <f>IFERROR(VLOOKUP(G13,Surp2!$B$1:$C$161,2,0),0)</f>
        <v>416.1173819</v>
      </c>
      <c r="I13" s="174">
        <f>IFERROR(VLOOKUP($B13,Surp3!$A$1:$B$161,2,0),0)</f>
        <v>12</v>
      </c>
      <c r="J13" s="175">
        <f>IFERROR(VLOOKUP(I13,Surp3!$B$1:$C$161,2,0),0)</f>
        <v>275.7716447</v>
      </c>
      <c r="K13" s="174">
        <f>IFERROR(VLOOKUP($B13,Surp4!$A$1:$B$161,2,0),0)</f>
        <v>18</v>
      </c>
      <c r="L13" s="175">
        <f>IFERROR(VLOOKUP(K13,Surp4!$B$1:$C$161,2,0),0)</f>
        <v>218.268734</v>
      </c>
      <c r="M13" s="174">
        <f>IFERROR(VLOOKUP($B13,Surp5!$A$1:$B$161,2,0),0)</f>
        <v>28</v>
      </c>
      <c r="N13" s="175">
        <f>IFERROR(VLOOKUP(M13,Surp5!$B$1:$C$161,2,0),0)</f>
        <v>143.8523452</v>
      </c>
      <c r="O13" s="174">
        <f>IFERROR(VLOOKUP($B13,Surp6!$A$1:$B$161,2,0),0)</f>
        <v>0</v>
      </c>
      <c r="P13" s="175">
        <f>IFERROR(VLOOKUP(O13,Surp6!$B$1:$C$161,2,0),0)</f>
        <v>0</v>
      </c>
      <c r="Q13" s="174">
        <f>IFERROR(VLOOKUP($B13,Surp7!$A$1:$B$161,2,0),0)</f>
        <v>29</v>
      </c>
      <c r="R13" s="175">
        <f>IFERROR(VLOOKUP(Q13,Surp7!$B$1:$C$161,2,0),0)</f>
        <v>151.2257469</v>
      </c>
      <c r="S13" s="174">
        <f>IFERROR(VLOOKUP($B13,Surp8!$A$1:$B$161,2,0),0)</f>
        <v>39</v>
      </c>
      <c r="T13" s="175">
        <f>IFERROR(VLOOKUP(S13,Surp8!$B$1:$C$161,2,0),0)</f>
        <v>18.91870839</v>
      </c>
      <c r="U13" s="174">
        <f>IFERROR(VLOOKUP($B13,Surp9!$A$1:$B$161,2,0),0)</f>
        <v>25</v>
      </c>
      <c r="V13" s="175">
        <f>IFERROR(VLOOKUP(U13,Surp9!$B$1:$C$161,2,0),0)</f>
        <v>133.847097</v>
      </c>
      <c r="W13" s="174">
        <f>IFERROR(VLOOKUP($B13,Surp10!$A$1:$B$161,2,0),0)</f>
        <v>0</v>
      </c>
      <c r="X13" s="175">
        <f>IFERROR(VLOOKUP(W13,Surp10!$B$1:$C$161,2,0),0)</f>
        <v>0</v>
      </c>
      <c r="Y13" s="174">
        <f>IFERROR(VLOOKUP($B13,Surp11!$A$1:$B$161,2,0),0)</f>
        <v>14</v>
      </c>
      <c r="Z13" s="175">
        <f>IFERROR(VLOOKUP(Y13,Surp11!$B$1:$C$161,2,0),0)</f>
        <v>161.3370455</v>
      </c>
      <c r="AA13" s="175">
        <f>IFERROR(VLOOKUP(E13,Surp1!$B$1:$C$161,2,0),0)</f>
        <v>175.3109302</v>
      </c>
      <c r="AB13" s="175">
        <f>IFERROR(VLOOKUP(G13,Surp2!$B$1:$C$161,2,0),0)</f>
        <v>416.1173819</v>
      </c>
      <c r="AC13" s="175">
        <f>IFERROR(VLOOKUP(I13,Surp3!$B$1:$C$161,2,0),0)</f>
        <v>275.7716447</v>
      </c>
      <c r="AD13" s="175">
        <f>IFERROR(VLOOKUP(K13,Surp4!$B$1:$C$161,2,0),0)</f>
        <v>218.268734</v>
      </c>
      <c r="AE13" s="175">
        <f>IFERROR(VLOOKUP(M13,Surp5!$B$1:$C$161,2,0),0)</f>
        <v>143.8523452</v>
      </c>
      <c r="AF13" s="175">
        <f>IFERROR(VLOOKUP(O13,Surp6!$B$1:$C$161,2,0),0)</f>
        <v>0</v>
      </c>
      <c r="AG13" s="175">
        <f>IFERROR(VLOOKUP(Q13,Surp7!$B$1:$C$161,2,0),0)</f>
        <v>151.2257469</v>
      </c>
      <c r="AH13" s="175">
        <f>IFERROR(VLOOKUP(S13,Surp8!$B$1:$C$161,2,0),0)</f>
        <v>18.91870839</v>
      </c>
      <c r="AI13" s="175">
        <f>IFERROR(VLOOKUP(U13,Surp9!$B$1:$C$161,2,0),0)</f>
        <v>133.847097</v>
      </c>
      <c r="AJ13" s="175">
        <f>IFERROR(VLOOKUP(W13,Surp10!$B$1:$C$161,2,0),0)</f>
        <v>0</v>
      </c>
      <c r="AK13" s="175">
        <f>IFERROR(VLOOKUP(Y13,Surp11!$B$1:$C$161,2,0),0)</f>
        <v>161.3370455</v>
      </c>
    </row>
    <row r="14">
      <c r="A14" s="171">
        <v>13.0</v>
      </c>
      <c r="B14" s="6" t="s">
        <v>15</v>
      </c>
      <c r="C14" s="136">
        <f t="shared" si="1"/>
        <v>1649.561183</v>
      </c>
      <c r="D14" s="173"/>
      <c r="E14" s="174">
        <f>IFERROR(VLOOKUP($B14,Surp1!$A$1:$B$161,2,0),0)</f>
        <v>38</v>
      </c>
      <c r="F14" s="175">
        <f>IFERROR(VLOOKUP(E14,Surp1!$B$1:$C$161,2,0),0)</f>
        <v>99.65209866</v>
      </c>
      <c r="G14" s="174">
        <f>IFERROR(VLOOKUP($B14,Surp2!$A$1:$B$161,2,0),0)</f>
        <v>0</v>
      </c>
      <c r="H14" s="175">
        <f>IFERROR(VLOOKUP(G14,Surp2!$B$1:$C$161,2,0),0)</f>
        <v>0</v>
      </c>
      <c r="I14" s="174">
        <f>IFERROR(VLOOKUP($B14,Surp3!$A$1:$B$161,2,0),0)</f>
        <v>5</v>
      </c>
      <c r="J14" s="175">
        <f>IFERROR(VLOOKUP(I14,Surp3!$B$1:$C$161,2,0),0)</f>
        <v>409.9853841</v>
      </c>
      <c r="K14" s="174">
        <f>IFERROR(VLOOKUP($B14,Surp4!$A$1:$B$161,2,0),0)</f>
        <v>23</v>
      </c>
      <c r="L14" s="175">
        <f>IFERROR(VLOOKUP(K14,Surp4!$B$1:$C$161,2,0),0)</f>
        <v>174.1894261</v>
      </c>
      <c r="M14" s="174">
        <f>IFERROR(VLOOKUP($B14,Surp5!$A$1:$B$161,2,0),0)</f>
        <v>30</v>
      </c>
      <c r="N14" s="175">
        <f>IFERROR(VLOOKUP(M14,Surp5!$B$1:$C$161,2,0),0)</f>
        <v>130.0810303</v>
      </c>
      <c r="O14" s="174">
        <f>IFERROR(VLOOKUP($B14,Surp6!$A$1:$B$161,2,0),0)</f>
        <v>52</v>
      </c>
      <c r="P14" s="175">
        <f>IFERROR(VLOOKUP(O14,Surp6!$B$1:$C$161,2,0),0)</f>
        <v>23.33653511</v>
      </c>
      <c r="Q14" s="174">
        <f>IFERROR(VLOOKUP($B14,Surp7!$A$1:$B$161,2,0),0)</f>
        <v>18</v>
      </c>
      <c r="R14" s="175">
        <f>IFERROR(VLOOKUP(Q14,Surp7!$B$1:$C$161,2,0),0)</f>
        <v>237.3087146</v>
      </c>
      <c r="S14" s="174">
        <f>IFERROR(VLOOKUP($B14,Surp8!$A$1:$B$161,2,0),0)</f>
        <v>30</v>
      </c>
      <c r="T14" s="175">
        <f>IFERROR(VLOOKUP(S14,Surp8!$B$1:$C$161,2,0),0)</f>
        <v>80.80482844</v>
      </c>
      <c r="U14" s="174">
        <f>IFERROR(VLOOKUP($B14,Surp9!$A$1:$B$161,2,0),0)</f>
        <v>4</v>
      </c>
      <c r="V14" s="175">
        <f>IFERROR(VLOOKUP(U14,Surp9!$B$1:$C$161,2,0),0)</f>
        <v>433.8432267</v>
      </c>
      <c r="W14" s="174">
        <f>IFERROR(VLOOKUP($B14,Surp10!$A$1:$B$161,2,0),0)</f>
        <v>45</v>
      </c>
      <c r="X14" s="175">
        <f>IFERROR(VLOOKUP(W14,Surp10!$B$1:$C$161,2,0),0)</f>
        <v>26.6939425</v>
      </c>
      <c r="Y14" s="174">
        <f>IFERROR(VLOOKUP($B14,Surp11!$A$1:$B$161,2,0),0)</f>
        <v>23</v>
      </c>
      <c r="Z14" s="175">
        <f>IFERROR(VLOOKUP(Y14,Surp11!$B$1:$C$161,2,0),0)</f>
        <v>57.00253119</v>
      </c>
      <c r="AA14" s="175">
        <f>IFERROR(VLOOKUP(E14,Surp1!$B$1:$C$161,2,0),0)</f>
        <v>99.65209866</v>
      </c>
      <c r="AB14" s="175">
        <f>IFERROR(VLOOKUP(G14,Surp2!$B$1:$C$161,2,0),0)</f>
        <v>0</v>
      </c>
      <c r="AC14" s="175">
        <f>IFERROR(VLOOKUP(I14,Surp3!$B$1:$C$161,2,0),0)</f>
        <v>409.9853841</v>
      </c>
      <c r="AD14" s="175">
        <f>IFERROR(VLOOKUP(K14,Surp4!$B$1:$C$161,2,0),0)</f>
        <v>174.1894261</v>
      </c>
      <c r="AE14" s="175">
        <f>IFERROR(VLOOKUP(M14,Surp5!$B$1:$C$161,2,0),0)</f>
        <v>130.0810303</v>
      </c>
      <c r="AF14" s="175">
        <f>IFERROR(VLOOKUP(O14,Surp6!$B$1:$C$161,2,0),0)</f>
        <v>23.33653511</v>
      </c>
      <c r="AG14" s="175">
        <f>IFERROR(VLOOKUP(Q14,Surp7!$B$1:$C$161,2,0),0)</f>
        <v>237.3087146</v>
      </c>
      <c r="AH14" s="175">
        <f>IFERROR(VLOOKUP(S14,Surp8!$B$1:$C$161,2,0),0)</f>
        <v>80.80482844</v>
      </c>
      <c r="AI14" s="175">
        <f>IFERROR(VLOOKUP(U14,Surp9!$B$1:$C$161,2,0),0)</f>
        <v>433.8432267</v>
      </c>
      <c r="AJ14" s="175">
        <f>IFERROR(VLOOKUP(W14,Surp10!$B$1:$C$161,2,0),0)</f>
        <v>26.6939425</v>
      </c>
      <c r="AK14" s="175">
        <f>IFERROR(VLOOKUP(Y14,Surp11!$B$1:$C$161,2,0),0)</f>
        <v>57.00253119</v>
      </c>
    </row>
    <row r="15">
      <c r="A15" s="172">
        <v>14.0</v>
      </c>
      <c r="B15" s="6" t="s">
        <v>31</v>
      </c>
      <c r="C15" s="136">
        <f t="shared" si="1"/>
        <v>1609.601321</v>
      </c>
      <c r="D15" s="173"/>
      <c r="E15" s="174">
        <f>IFERROR(VLOOKUP($B15,Surp1!$A$1:$B$161,2,0),0)</f>
        <v>54</v>
      </c>
      <c r="F15" s="175">
        <f>IFERROR(VLOOKUP(E15,Surp1!$B$1:$C$161,2,0),0)</f>
        <v>18.25424622</v>
      </c>
      <c r="G15" s="174">
        <f>IFERROR(VLOOKUP($B15,Surp2!$A$1:$B$161,2,0),0)</f>
        <v>0</v>
      </c>
      <c r="H15" s="175">
        <f>IFERROR(VLOOKUP(G15,Surp2!$B$1:$C$161,2,0),0)</f>
        <v>0</v>
      </c>
      <c r="I15" s="174">
        <f>IFERROR(VLOOKUP($B15,Surp3!$A$1:$B$161,2,0),0)</f>
        <v>47</v>
      </c>
      <c r="J15" s="175">
        <f>IFERROR(VLOOKUP(I15,Surp3!$B$1:$C$161,2,0),0)</f>
        <v>5.445251652</v>
      </c>
      <c r="K15" s="174">
        <f>IFERROR(VLOOKUP($B15,Surp4!$A$1:$B$161,2,0),0)</f>
        <v>0</v>
      </c>
      <c r="L15" s="175">
        <f>IFERROR(VLOOKUP(K15,Surp4!$B$1:$C$161,2,0),0)</f>
        <v>0</v>
      </c>
      <c r="M15" s="174">
        <f>IFERROR(VLOOKUP($B15,Surp5!$A$1:$B$161,2,0),0)</f>
        <v>21</v>
      </c>
      <c r="N15" s="175">
        <f>IFERROR(VLOOKUP(M15,Surp5!$B$1:$C$161,2,0),0)</f>
        <v>197.8616382</v>
      </c>
      <c r="O15" s="174">
        <f>IFERROR(VLOOKUP($B15,Surp6!$A$1:$B$161,2,0),0)</f>
        <v>8</v>
      </c>
      <c r="P15" s="175">
        <f>IFERROR(VLOOKUP(O15,Surp6!$B$1:$C$161,2,0),0)</f>
        <v>365.1663827</v>
      </c>
      <c r="Q15" s="174">
        <f>IFERROR(VLOOKUP($B15,Surp7!$A$1:$B$161,2,0),0)</f>
        <v>22</v>
      </c>
      <c r="R15" s="175">
        <f>IFERROR(VLOOKUP(Q15,Surp7!$B$1:$C$161,2,0),0)</f>
        <v>202.5487561</v>
      </c>
      <c r="S15" s="174">
        <f>IFERROR(VLOOKUP($B15,Surp8!$A$1:$B$161,2,0),0)</f>
        <v>20</v>
      </c>
      <c r="T15" s="175">
        <f>IFERROR(VLOOKUP(S15,Surp8!$B$1:$C$161,2,0),0)</f>
        <v>163.9462782</v>
      </c>
      <c r="U15" s="174">
        <f>IFERROR(VLOOKUP($B15,Surp9!$A$1:$B$161,2,0),0)</f>
        <v>5</v>
      </c>
      <c r="V15" s="175">
        <f>IFERROR(VLOOKUP(U15,Surp9!$B$1:$C$161,2,0),0)</f>
        <v>400.2961866</v>
      </c>
      <c r="W15" s="174">
        <f>IFERROR(VLOOKUP($B15,Surp10!$A$1:$B$161,2,0),0)</f>
        <v>47</v>
      </c>
      <c r="X15" s="175">
        <f>IFERROR(VLOOKUP(W15,Surp10!$B$1:$C$161,2,0),0)</f>
        <v>15.84319016</v>
      </c>
      <c r="Y15" s="174">
        <f>IFERROR(VLOOKUP($B15,Surp11!$A$1:$B$161,2,0),0)</f>
        <v>9</v>
      </c>
      <c r="Z15" s="175">
        <f>IFERROR(VLOOKUP(Y15,Surp11!$B$1:$C$161,2,0),0)</f>
        <v>240.2393908</v>
      </c>
      <c r="AA15" s="175">
        <f>IFERROR(VLOOKUP(E15,Surp1!$B$1:$C$161,2,0),0)</f>
        <v>18.25424622</v>
      </c>
      <c r="AB15" s="175">
        <f>IFERROR(VLOOKUP(G15,Surp2!$B$1:$C$161,2,0),0)</f>
        <v>0</v>
      </c>
      <c r="AC15" s="175">
        <f>IFERROR(VLOOKUP(I15,Surp3!$B$1:$C$161,2,0),0)</f>
        <v>5.445251652</v>
      </c>
      <c r="AD15" s="175">
        <f>IFERROR(VLOOKUP(K15,Surp4!$B$1:$C$161,2,0),0)</f>
        <v>0</v>
      </c>
      <c r="AE15" s="175">
        <f>IFERROR(VLOOKUP(M15,Surp5!$B$1:$C$161,2,0),0)</f>
        <v>197.8616382</v>
      </c>
      <c r="AF15" s="175">
        <f>IFERROR(VLOOKUP(O15,Surp6!$B$1:$C$161,2,0),0)</f>
        <v>365.1663827</v>
      </c>
      <c r="AG15" s="175">
        <f>IFERROR(VLOOKUP(Q15,Surp7!$B$1:$C$161,2,0),0)</f>
        <v>202.5487561</v>
      </c>
      <c r="AH15" s="175">
        <f>IFERROR(VLOOKUP(S15,Surp8!$B$1:$C$161,2,0),0)</f>
        <v>163.9462782</v>
      </c>
      <c r="AI15" s="175">
        <f>IFERROR(VLOOKUP(U15,Surp9!$B$1:$C$161,2,0),0)</f>
        <v>400.2961866</v>
      </c>
      <c r="AJ15" s="175">
        <f>IFERROR(VLOOKUP(W15,Surp10!$B$1:$C$161,2,0),0)</f>
        <v>15.84319016</v>
      </c>
      <c r="AK15" s="175">
        <f>IFERROR(VLOOKUP(Y15,Surp11!$B$1:$C$161,2,0),0)</f>
        <v>240.2393908</v>
      </c>
    </row>
    <row r="16">
      <c r="A16" s="171">
        <v>15.0</v>
      </c>
      <c r="B16" s="6" t="s">
        <v>44</v>
      </c>
      <c r="C16" s="136">
        <f t="shared" si="1"/>
        <v>1591.102835</v>
      </c>
      <c r="D16" s="93"/>
      <c r="E16" s="94">
        <f>IFERROR(VLOOKUP($B16,Surp1!$A$1:$B$161,2,0),0)</f>
        <v>37</v>
      </c>
      <c r="F16" s="95">
        <f>IFERROR(VLOOKUP(E16,Surp1!$B$1:$C$161,2,0),0)</f>
        <v>105.3346403</v>
      </c>
      <c r="G16" s="94">
        <f>IFERROR(VLOOKUP($B16,Surp2!$A$1:$B$161,2,0),0)</f>
        <v>14</v>
      </c>
      <c r="H16" s="95">
        <f>IFERROR(VLOOKUP(G16,Surp2!$B$1:$C$161,2,0),0)</f>
        <v>286.8043493</v>
      </c>
      <c r="I16" s="94">
        <f>IFERROR(VLOOKUP($B16,Surp3!$A$1:$B$161,2,0),0)</f>
        <v>0</v>
      </c>
      <c r="J16" s="95">
        <f>IFERROR(VLOOKUP(I16,Surp3!$B$1:$C$161,2,0),0)</f>
        <v>0</v>
      </c>
      <c r="K16" s="94">
        <f>IFERROR(VLOOKUP($B16,Surp4!$A$1:$B$161,2,0),0)</f>
        <v>43</v>
      </c>
      <c r="L16" s="95">
        <f>IFERROR(VLOOKUP(K16,Surp4!$B$1:$C$161,2,0),0)</f>
        <v>42.56166303</v>
      </c>
      <c r="M16" s="94">
        <f>IFERROR(VLOOKUP($B16,Surp5!$A$1:$B$161,2,0),0)</f>
        <v>10</v>
      </c>
      <c r="N16" s="95">
        <f>IFERROR(VLOOKUP(M16,Surp5!$B$1:$C$161,2,0),0)</f>
        <v>320.0625797</v>
      </c>
      <c r="O16" s="94">
        <f>IFERROR(VLOOKUP($B16,Surp6!$A$1:$B$161,2,0),0)</f>
        <v>46</v>
      </c>
      <c r="P16" s="95">
        <f>IFERROR(VLOOKUP(O16,Surp6!$B$1:$C$161,2,0),0)</f>
        <v>52.93835396</v>
      </c>
      <c r="Q16" s="94">
        <f>IFERROR(VLOOKUP($B16,Surp7!$A$1:$B$161,2,0),0)</f>
        <v>0</v>
      </c>
      <c r="R16" s="95">
        <f>IFERROR(VLOOKUP(Q16,Surp7!$B$1:$C$161,2,0),0)</f>
        <v>0</v>
      </c>
      <c r="S16" s="94">
        <f>IFERROR(VLOOKUP($B16,Surp8!$A$1:$B$161,2,0),0)</f>
        <v>0</v>
      </c>
      <c r="T16" s="95">
        <f>IFERROR(VLOOKUP(S16,Surp8!$B$1:$C$161,2,0),0)</f>
        <v>0</v>
      </c>
      <c r="U16" s="94">
        <f>IFERROR(VLOOKUP($B16,Surp9!$A$1:$B$161,2,0),0)</f>
        <v>0</v>
      </c>
      <c r="V16" s="95">
        <f>IFERROR(VLOOKUP(U16,Surp9!$B$1:$C$161,2,0),0)</f>
        <v>0</v>
      </c>
      <c r="W16" s="94">
        <f>IFERROR(VLOOKUP($B16,Surp10!$A$1:$B$161,2,0),0)</f>
        <v>10</v>
      </c>
      <c r="X16" s="95">
        <f>IFERROR(VLOOKUP(W16,Surp10!$B$1:$C$161,2,0),0)</f>
        <v>311.0325465</v>
      </c>
      <c r="Y16" s="94">
        <f>IFERROR(VLOOKUP($B16,Surp11!$A$1:$B$161,2,0),0)</f>
        <v>2</v>
      </c>
      <c r="Z16" s="95">
        <f>IFERROR(VLOOKUP(Y16,Surp11!$B$1:$C$161,2,0),0)</f>
        <v>472.3687022</v>
      </c>
      <c r="AA16" s="95">
        <f>IFERROR(VLOOKUP(E16,Surp1!$B$1:$C$161,2,0),0)</f>
        <v>105.3346403</v>
      </c>
      <c r="AB16" s="95">
        <f>IFERROR(VLOOKUP(G16,Surp2!$B$1:$C$161,2,0),0)</f>
        <v>286.8043493</v>
      </c>
      <c r="AC16" s="95">
        <f>IFERROR(VLOOKUP(I16,Surp3!$B$1:$C$161,2,0),0)</f>
        <v>0</v>
      </c>
      <c r="AD16" s="95">
        <f>IFERROR(VLOOKUP(K16,Surp4!$B$1:$C$161,2,0),0)</f>
        <v>42.56166303</v>
      </c>
      <c r="AE16" s="95">
        <f>IFERROR(VLOOKUP(M16,Surp5!$B$1:$C$161,2,0),0)</f>
        <v>320.0625797</v>
      </c>
      <c r="AF16" s="95">
        <f>IFERROR(VLOOKUP(O16,Surp6!$B$1:$C$161,2,0),0)</f>
        <v>52.93835396</v>
      </c>
      <c r="AG16" s="95">
        <f>IFERROR(VLOOKUP(Q16,Surp7!$B$1:$C$161,2,0),0)</f>
        <v>0</v>
      </c>
      <c r="AH16" s="95">
        <f>IFERROR(VLOOKUP(S16,Surp8!$B$1:$C$161,2,0),0)</f>
        <v>0</v>
      </c>
      <c r="AI16" s="95">
        <f>IFERROR(VLOOKUP(U16,Surp9!$B$1:$C$161,2,0),0)</f>
        <v>0</v>
      </c>
      <c r="AJ16" s="95">
        <f>IFERROR(VLOOKUP(W16,Surp10!$B$1:$C$161,2,0),0)</f>
        <v>311.0325465</v>
      </c>
      <c r="AK16" s="95">
        <f>IFERROR(VLOOKUP(Y16,Surp11!$B$1:$C$161,2,0),0)</f>
        <v>472.3687022</v>
      </c>
    </row>
    <row r="17">
      <c r="A17" s="172">
        <v>16.0</v>
      </c>
      <c r="B17" s="6" t="s">
        <v>28</v>
      </c>
      <c r="C17" s="136">
        <f t="shared" si="1"/>
        <v>1578.116934</v>
      </c>
      <c r="D17" s="93"/>
      <c r="E17" s="94">
        <f>IFERROR(VLOOKUP($B17,Surp1!$A$1:$B$161,2,0),0)</f>
        <v>0</v>
      </c>
      <c r="F17" s="95">
        <f>IFERROR(VLOOKUP(E17,Surp1!$B$1:$C$161,2,0),0)</f>
        <v>0</v>
      </c>
      <c r="G17" s="94">
        <f>IFERROR(VLOOKUP($B17,Surp2!$A$1:$B$161,2,0),0)</f>
        <v>0</v>
      </c>
      <c r="H17" s="95">
        <f>IFERROR(VLOOKUP(G17,Surp2!$B$1:$C$161,2,0),0)</f>
        <v>0</v>
      </c>
      <c r="I17" s="94">
        <f>IFERROR(VLOOKUP($B17,Surp3!$A$1:$B$161,2,0),0)</f>
        <v>0</v>
      </c>
      <c r="J17" s="95">
        <f>IFERROR(VLOOKUP(I17,Surp3!$B$1:$C$161,2,0),0)</f>
        <v>0</v>
      </c>
      <c r="K17" s="94">
        <f>IFERROR(VLOOKUP($B17,Surp4!$A$1:$B$161,2,0),0)</f>
        <v>0</v>
      </c>
      <c r="L17" s="95">
        <f>IFERROR(VLOOKUP(K17,Surp4!$B$1:$C$161,2,0),0)</f>
        <v>0</v>
      </c>
      <c r="M17" s="94">
        <f>IFERROR(VLOOKUP($B17,Surp5!$A$1:$B$161,2,0),0)</f>
        <v>0</v>
      </c>
      <c r="N17" s="95">
        <f>IFERROR(VLOOKUP(M17,Surp5!$B$1:$C$161,2,0),0)</f>
        <v>0</v>
      </c>
      <c r="O17" s="94">
        <f>IFERROR(VLOOKUP($B17,Surp6!$A$1:$B$161,2,0),0)</f>
        <v>0</v>
      </c>
      <c r="P17" s="95">
        <f>IFERROR(VLOOKUP(O17,Surp6!$B$1:$C$161,2,0),0)</f>
        <v>0</v>
      </c>
      <c r="Q17" s="94">
        <f>IFERROR(VLOOKUP($B17,Surp7!$A$1:$B$161,2,0),0)</f>
        <v>0</v>
      </c>
      <c r="R17" s="95">
        <f>IFERROR(VLOOKUP(Q17,Surp7!$B$1:$C$161,2,0),0)</f>
        <v>0</v>
      </c>
      <c r="S17" s="94">
        <f>IFERROR(VLOOKUP($B17,Surp8!$A$1:$B$161,2,0),0)</f>
        <v>26</v>
      </c>
      <c r="T17" s="95">
        <f>IFERROR(VLOOKUP(S17,Surp8!$B$1:$C$161,2,0),0)</f>
        <v>111.6639601</v>
      </c>
      <c r="U17" s="94">
        <f>IFERROR(VLOOKUP($B17,Surp9!$A$1:$B$161,2,0),0)</f>
        <v>17</v>
      </c>
      <c r="V17" s="95">
        <f>IFERROR(VLOOKUP(U17,Surp9!$B$1:$C$161,2,0),0)</f>
        <v>206.3525137</v>
      </c>
      <c r="W17" s="94">
        <f>IFERROR(VLOOKUP($B17,Surp10!$A$1:$B$161,2,0),0)</f>
        <v>1</v>
      </c>
      <c r="X17" s="95">
        <f>IFERROR(VLOOKUP(W17,Surp10!$B$1:$C$161,2,0),0)</f>
        <v>677.5508973</v>
      </c>
      <c r="Y17" s="94">
        <f>IFERROR(VLOOKUP($B17,Surp11!$A$1:$B$161,2,0),0)</f>
        <v>1</v>
      </c>
      <c r="Z17" s="95">
        <f>IFERROR(VLOOKUP(Y17,Surp11!$B$1:$C$161,2,0),0)</f>
        <v>582.5495631</v>
      </c>
      <c r="AA17" s="95">
        <f>IFERROR(VLOOKUP(E17,Surp1!$B$1:$C$161,2,0),0)</f>
        <v>0</v>
      </c>
      <c r="AB17" s="95">
        <f>IFERROR(VLOOKUP(G17,Surp2!$B$1:$C$161,2,0),0)</f>
        <v>0</v>
      </c>
      <c r="AC17" s="95">
        <f>IFERROR(VLOOKUP(I17,Surp3!$B$1:$C$161,2,0),0)</f>
        <v>0</v>
      </c>
      <c r="AD17" s="95">
        <f>IFERROR(VLOOKUP(K17,Surp4!$B$1:$C$161,2,0),0)</f>
        <v>0</v>
      </c>
      <c r="AE17" s="95">
        <f>IFERROR(VLOOKUP(M17,Surp5!$B$1:$C$161,2,0),0)</f>
        <v>0</v>
      </c>
      <c r="AF17" s="95">
        <f>IFERROR(VLOOKUP(O17,Surp6!$B$1:$C$161,2,0),0)</f>
        <v>0</v>
      </c>
      <c r="AG17" s="95">
        <f>IFERROR(VLOOKUP(Q17,Surp7!$B$1:$C$161,2,0),0)</f>
        <v>0</v>
      </c>
      <c r="AH17" s="95">
        <f>IFERROR(VLOOKUP(S17,Surp8!$B$1:$C$161,2,0),0)</f>
        <v>111.6639601</v>
      </c>
      <c r="AI17" s="95">
        <f>IFERROR(VLOOKUP(U17,Surp9!$B$1:$C$161,2,0),0)</f>
        <v>206.3525137</v>
      </c>
      <c r="AJ17" s="95">
        <f>IFERROR(VLOOKUP(W17,Surp10!$B$1:$C$161,2,0),0)</f>
        <v>677.5508973</v>
      </c>
      <c r="AK17" s="95">
        <f>IFERROR(VLOOKUP(Y17,Surp11!$B$1:$C$161,2,0),0)</f>
        <v>582.5495631</v>
      </c>
    </row>
    <row r="18">
      <c r="A18" s="171">
        <v>17.0</v>
      </c>
      <c r="B18" s="6" t="s">
        <v>17</v>
      </c>
      <c r="C18" s="136">
        <f t="shared" si="1"/>
        <v>1444.010616</v>
      </c>
      <c r="D18" s="93"/>
      <c r="E18" s="94">
        <f>IFERROR(VLOOKUP($B18,Surp1!$A$1:$B$161,2,0),0)</f>
        <v>53</v>
      </c>
      <c r="F18" s="95">
        <f>IFERROR(VLOOKUP(E18,Surp1!$B$1:$C$161,2,0),0)</f>
        <v>22.92468568</v>
      </c>
      <c r="G18" s="94">
        <f>IFERROR(VLOOKUP($B18,Surp2!$A$1:$B$161,2,0),0)</f>
        <v>3</v>
      </c>
      <c r="H18" s="95">
        <f>IFERROR(VLOOKUP(G18,Surp2!$B$1:$C$161,2,0),0)</f>
        <v>522.3414041</v>
      </c>
      <c r="I18" s="94">
        <f>IFERROR(VLOOKUP($B18,Surp3!$A$1:$B$161,2,0),0)</f>
        <v>38</v>
      </c>
      <c r="J18" s="95">
        <f>IFERROR(VLOOKUP(I18,Surp3!$B$1:$C$161,2,0),0)</f>
        <v>57.42440722</v>
      </c>
      <c r="K18" s="94">
        <f>IFERROR(VLOOKUP($B18,Surp4!$A$1:$B$161,2,0),0)</f>
        <v>15</v>
      </c>
      <c r="L18" s="95">
        <f>IFERROR(VLOOKUP(K18,Surp4!$B$1:$C$161,2,0),0)</f>
        <v>249.215702</v>
      </c>
      <c r="M18" s="94">
        <f>IFERROR(VLOOKUP($B18,Surp5!$A$1:$B$161,2,0),0)</f>
        <v>0</v>
      </c>
      <c r="N18" s="95">
        <f>IFERROR(VLOOKUP(M18,Surp5!$B$1:$C$161,2,0),0)</f>
        <v>0</v>
      </c>
      <c r="O18" s="94">
        <f>IFERROR(VLOOKUP($B18,Surp6!$A$1:$B$161,2,0),0)</f>
        <v>28</v>
      </c>
      <c r="P18" s="95">
        <f>IFERROR(VLOOKUP(O18,Surp6!$B$1:$C$161,2,0),0)</f>
        <v>158.0067704</v>
      </c>
      <c r="Q18" s="94">
        <f>IFERROR(VLOOKUP($B18,Surp7!$A$1:$B$161,2,0),0)</f>
        <v>51</v>
      </c>
      <c r="R18" s="95">
        <f>IFERROR(VLOOKUP(Q18,Surp7!$B$1:$C$161,2,0),0)</f>
        <v>28.14011789</v>
      </c>
      <c r="S18" s="94">
        <f>IFERROR(VLOOKUP($B18,Surp8!$A$1:$B$161,2,0),0)</f>
        <v>14</v>
      </c>
      <c r="T18" s="95">
        <f>IFERROR(VLOOKUP(S18,Surp8!$B$1:$C$161,2,0),0)</f>
        <v>228.1194956</v>
      </c>
      <c r="U18" s="94">
        <f>IFERROR(VLOOKUP($B18,Surp9!$A$1:$B$161,2,0),0)</f>
        <v>28</v>
      </c>
      <c r="V18" s="95">
        <f>IFERROR(VLOOKUP(U18,Surp9!$B$1:$C$161,2,0),0)</f>
        <v>110.5919145</v>
      </c>
      <c r="W18" s="94">
        <f>IFERROR(VLOOKUP($B18,Surp10!$A$1:$B$161,2,0),0)</f>
        <v>0</v>
      </c>
      <c r="X18" s="95">
        <f>IFERROR(VLOOKUP(W18,Surp10!$B$1:$C$161,2,0),0)</f>
        <v>0</v>
      </c>
      <c r="Y18" s="94">
        <f>IFERROR(VLOOKUP($B18,Surp11!$A$1:$B$161,2,0),0)</f>
        <v>22</v>
      </c>
      <c r="Z18" s="95">
        <f>IFERROR(VLOOKUP(Y18,Surp11!$B$1:$C$161,2,0),0)</f>
        <v>67.24611816</v>
      </c>
      <c r="AA18" s="95">
        <f>IFERROR(VLOOKUP(E18,Surp1!$B$1:$C$161,2,0),0)</f>
        <v>22.92468568</v>
      </c>
      <c r="AB18" s="95">
        <f>IFERROR(VLOOKUP(G18,Surp2!$B$1:$C$161,2,0),0)</f>
        <v>522.3414041</v>
      </c>
      <c r="AC18" s="95">
        <f>IFERROR(VLOOKUP(I18,Surp3!$B$1:$C$161,2,0),0)</f>
        <v>57.42440722</v>
      </c>
      <c r="AD18" s="95">
        <f>IFERROR(VLOOKUP(K18,Surp4!$B$1:$C$161,2,0),0)</f>
        <v>249.215702</v>
      </c>
      <c r="AE18" s="95">
        <f>IFERROR(VLOOKUP(M18,Surp5!$B$1:$C$161,2,0),0)</f>
        <v>0</v>
      </c>
      <c r="AF18" s="95">
        <f>IFERROR(VLOOKUP(O18,Surp6!$B$1:$C$161,2,0),0)</f>
        <v>158.0067704</v>
      </c>
      <c r="AG18" s="95">
        <f>IFERROR(VLOOKUP(Q18,Surp7!$B$1:$C$161,2,0),0)</f>
        <v>28.14011789</v>
      </c>
      <c r="AH18" s="95">
        <f>IFERROR(VLOOKUP(S18,Surp8!$B$1:$C$161,2,0),0)</f>
        <v>228.1194956</v>
      </c>
      <c r="AI18" s="95">
        <f>IFERROR(VLOOKUP(U18,Surp9!$B$1:$C$161,2,0),0)</f>
        <v>110.5919145</v>
      </c>
      <c r="AJ18" s="95">
        <f>IFERROR(VLOOKUP(W18,Surp10!$B$1:$C$161,2,0),0)</f>
        <v>0</v>
      </c>
      <c r="AK18" s="95">
        <f>IFERROR(VLOOKUP(Y18,Surp11!$B$1:$C$161,2,0),0)</f>
        <v>67.24611816</v>
      </c>
    </row>
    <row r="19">
      <c r="A19" s="172">
        <v>18.0</v>
      </c>
      <c r="B19" s="6" t="s">
        <v>45</v>
      </c>
      <c r="C19" s="136">
        <f t="shared" si="1"/>
        <v>1419.034285</v>
      </c>
      <c r="D19" s="93"/>
      <c r="E19" s="94">
        <f>IFERROR(VLOOKUP($B19,Surp1!$A$1:$B$161,2,0),0)</f>
        <v>25</v>
      </c>
      <c r="F19" s="95">
        <f>IFERROR(VLOOKUP(E19,Surp1!$B$1:$C$161,2,0),0)</f>
        <v>182.5707882</v>
      </c>
      <c r="G19" s="94">
        <f>IFERROR(VLOOKUP($B19,Surp2!$A$1:$B$161,2,0),0)</f>
        <v>0</v>
      </c>
      <c r="H19" s="95">
        <f>IFERROR(VLOOKUP(G19,Surp2!$B$1:$C$161,2,0),0)</f>
        <v>0</v>
      </c>
      <c r="I19" s="94">
        <f>IFERROR(VLOOKUP($B19,Surp3!$A$1:$B$161,2,0),0)</f>
        <v>0</v>
      </c>
      <c r="J19" s="95">
        <f>IFERROR(VLOOKUP(I19,Surp3!$B$1:$C$161,2,0),0)</f>
        <v>0</v>
      </c>
      <c r="K19" s="94">
        <f>IFERROR(VLOOKUP($B19,Surp4!$A$1:$B$161,2,0),0)</f>
        <v>0</v>
      </c>
      <c r="L19" s="95">
        <f>IFERROR(VLOOKUP(K19,Surp4!$B$1:$C$161,2,0),0)</f>
        <v>0</v>
      </c>
      <c r="M19" s="94">
        <f>IFERROR(VLOOKUP($B19,Surp5!$A$1:$B$161,2,0),0)</f>
        <v>0</v>
      </c>
      <c r="N19" s="95">
        <f>IFERROR(VLOOKUP(M19,Surp5!$B$1:$C$161,2,0),0)</f>
        <v>0</v>
      </c>
      <c r="O19" s="94">
        <f>IFERROR(VLOOKUP($B19,Surp6!$A$1:$B$161,2,0),0)</f>
        <v>1</v>
      </c>
      <c r="P19" s="95">
        <f>IFERROR(VLOOKUP(O19,Surp6!$B$1:$C$161,2,0),0)</f>
        <v>701.8676622</v>
      </c>
      <c r="Q19" s="94">
        <f>IFERROR(VLOOKUP($B19,Surp7!$A$1:$B$161,2,0),0)</f>
        <v>8</v>
      </c>
      <c r="R19" s="95">
        <f>IFERROR(VLOOKUP(Q19,Surp7!$B$1:$C$161,2,0),0)</f>
        <v>365.1663827</v>
      </c>
      <c r="S19" s="94">
        <f>IFERROR(VLOOKUP($B19,Surp8!$A$1:$B$161,2,0),0)</f>
        <v>0</v>
      </c>
      <c r="T19" s="95">
        <f>IFERROR(VLOOKUP(S19,Surp8!$B$1:$C$161,2,0),0)</f>
        <v>0</v>
      </c>
      <c r="U19" s="94">
        <f>IFERROR(VLOOKUP($B19,Surp9!$A$1:$B$161,2,0),0)</f>
        <v>22</v>
      </c>
      <c r="V19" s="95">
        <f>IFERROR(VLOOKUP(U19,Surp9!$B$1:$C$161,2,0),0)</f>
        <v>158.9227708</v>
      </c>
      <c r="W19" s="94">
        <f>IFERROR(VLOOKUP($B19,Surp10!$A$1:$B$161,2,0),0)</f>
        <v>48</v>
      </c>
      <c r="X19" s="95">
        <f>IFERROR(VLOOKUP(W19,Surp10!$B$1:$C$161,2,0),0)</f>
        <v>10.50668062</v>
      </c>
      <c r="Y19" s="94">
        <f>IFERROR(VLOOKUP($B19,Surp11!$A$1:$B$161,2,0),0)</f>
        <v>0</v>
      </c>
      <c r="Z19" s="95">
        <f>IFERROR(VLOOKUP(Y19,Surp11!$B$1:$C$161,2,0),0)</f>
        <v>0</v>
      </c>
      <c r="AA19" s="95">
        <f>IFERROR(VLOOKUP(E19,Surp1!$B$1:$C$161,2,0),0)</f>
        <v>182.5707882</v>
      </c>
      <c r="AB19" s="95">
        <f>IFERROR(VLOOKUP(G19,Surp2!$B$1:$C$161,2,0),0)</f>
        <v>0</v>
      </c>
      <c r="AC19" s="95">
        <f>IFERROR(VLOOKUP(I19,Surp3!$B$1:$C$161,2,0),0)</f>
        <v>0</v>
      </c>
      <c r="AD19" s="95">
        <f>IFERROR(VLOOKUP(K19,Surp4!$B$1:$C$161,2,0),0)</f>
        <v>0</v>
      </c>
      <c r="AE19" s="95">
        <f>IFERROR(VLOOKUP(M19,Surp5!$B$1:$C$161,2,0),0)</f>
        <v>0</v>
      </c>
      <c r="AF19" s="95">
        <f>IFERROR(VLOOKUP(O19,Surp6!$B$1:$C$161,2,0),0)</f>
        <v>701.8676622</v>
      </c>
      <c r="AG19" s="95">
        <f>IFERROR(VLOOKUP(Q19,Surp7!$B$1:$C$161,2,0),0)</f>
        <v>365.1663827</v>
      </c>
      <c r="AH19" s="95">
        <f>IFERROR(VLOOKUP(S19,Surp8!$B$1:$C$161,2,0),0)</f>
        <v>0</v>
      </c>
      <c r="AI19" s="95">
        <f>IFERROR(VLOOKUP(U19,Surp9!$B$1:$C$161,2,0),0)</f>
        <v>158.9227708</v>
      </c>
      <c r="AJ19" s="95">
        <f>IFERROR(VLOOKUP(W19,Surp10!$B$1:$C$161,2,0),0)</f>
        <v>10.50668062</v>
      </c>
      <c r="AK19" s="95">
        <f>IFERROR(VLOOKUP(Y19,Surp11!$B$1:$C$161,2,0),0)</f>
        <v>0</v>
      </c>
    </row>
    <row r="20">
      <c r="A20" s="171">
        <v>19.0</v>
      </c>
      <c r="B20" s="6" t="s">
        <v>11</v>
      </c>
      <c r="C20" s="136">
        <f t="shared" si="1"/>
        <v>1396.665022</v>
      </c>
      <c r="D20" s="93"/>
      <c r="E20" s="94">
        <f>IFERROR(VLOOKUP($B20,Surp1!$A$1:$B$161,2,0),0)</f>
        <v>0</v>
      </c>
      <c r="F20" s="95">
        <f>IFERROR(VLOOKUP(E20,Surp1!$B$1:$C$161,2,0),0)</f>
        <v>0</v>
      </c>
      <c r="G20" s="94">
        <f>IFERROR(VLOOKUP($B20,Surp2!$A$1:$B$161,2,0),0)</f>
        <v>13</v>
      </c>
      <c r="H20" s="95">
        <f>IFERROR(VLOOKUP(G20,Surp2!$B$1:$C$161,2,0),0)</f>
        <v>298.518967</v>
      </c>
      <c r="I20" s="94">
        <f>IFERROR(VLOOKUP($B20,Surp3!$A$1:$B$161,2,0),0)</f>
        <v>40</v>
      </c>
      <c r="J20" s="95">
        <f>IFERROR(VLOOKUP(I20,Surp3!$B$1:$C$161,2,0),0)</f>
        <v>45.35418937</v>
      </c>
      <c r="K20" s="94">
        <f>IFERROR(VLOOKUP($B20,Surp4!$A$1:$B$161,2,0),0)</f>
        <v>38</v>
      </c>
      <c r="L20" s="95">
        <f>IFERROR(VLOOKUP(K20,Surp4!$B$1:$C$161,2,0),0)</f>
        <v>71.33344017</v>
      </c>
      <c r="M20" s="94">
        <f>IFERROR(VLOOKUP($B20,Surp5!$A$1:$B$161,2,0),0)</f>
        <v>31</v>
      </c>
      <c r="N20" s="95">
        <f>IFERROR(VLOOKUP(M20,Surp5!$B$1:$C$161,2,0),0)</f>
        <v>123.4095314</v>
      </c>
      <c r="O20" s="94">
        <f>IFERROR(VLOOKUP($B20,Surp6!$A$1:$B$161,2,0),0)</f>
        <v>26</v>
      </c>
      <c r="P20" s="95">
        <f>IFERROR(VLOOKUP(O20,Surp6!$B$1:$C$161,2,0),0)</f>
        <v>172.0622363</v>
      </c>
      <c r="Q20" s="94">
        <f>IFERROR(VLOOKUP($B20,Surp7!$A$1:$B$161,2,0),0)</f>
        <v>0</v>
      </c>
      <c r="R20" s="95">
        <f>IFERROR(VLOOKUP(Q20,Surp7!$B$1:$C$161,2,0),0)</f>
        <v>0</v>
      </c>
      <c r="S20" s="94">
        <f>IFERROR(VLOOKUP($B20,Surp8!$A$1:$B$161,2,0),0)</f>
        <v>17</v>
      </c>
      <c r="T20" s="95">
        <f>IFERROR(VLOOKUP(S20,Surp8!$B$1:$C$161,2,0),0)</f>
        <v>194.0278889</v>
      </c>
      <c r="U20" s="94">
        <f>IFERROR(VLOOKUP($B20,Surp9!$A$1:$B$161,2,0),0)</f>
        <v>38</v>
      </c>
      <c r="V20" s="95">
        <f>IFERROR(VLOOKUP(U20,Surp9!$B$1:$C$161,2,0),0)</f>
        <v>42.19063904</v>
      </c>
      <c r="W20" s="94">
        <f>IFERROR(VLOOKUP($B20,Surp10!$A$1:$B$161,2,0),0)</f>
        <v>4</v>
      </c>
      <c r="X20" s="95">
        <f>IFERROR(VLOOKUP(W20,Surp10!$B$1:$C$161,2,0),0)</f>
        <v>449.7681299</v>
      </c>
      <c r="Y20" s="94">
        <f>IFERROR(VLOOKUP($B20,Surp11!$A$1:$B$161,2,0),0)</f>
        <v>0</v>
      </c>
      <c r="Z20" s="95">
        <f>IFERROR(VLOOKUP(Y20,Surp11!$B$1:$C$161,2,0),0)</f>
        <v>0</v>
      </c>
      <c r="AA20" s="95">
        <f>IFERROR(VLOOKUP(E20,Surp1!$B$1:$C$161,2,0),0)</f>
        <v>0</v>
      </c>
      <c r="AB20" s="95">
        <f>IFERROR(VLOOKUP(G20,Surp2!$B$1:$C$161,2,0),0)</f>
        <v>298.518967</v>
      </c>
      <c r="AC20" s="95">
        <f>IFERROR(VLOOKUP(I20,Surp3!$B$1:$C$161,2,0),0)</f>
        <v>45.35418937</v>
      </c>
      <c r="AD20" s="95">
        <f>IFERROR(VLOOKUP(K20,Surp4!$B$1:$C$161,2,0),0)</f>
        <v>71.33344017</v>
      </c>
      <c r="AE20" s="95">
        <f>IFERROR(VLOOKUP(M20,Surp5!$B$1:$C$161,2,0),0)</f>
        <v>123.4095314</v>
      </c>
      <c r="AF20" s="95">
        <f>IFERROR(VLOOKUP(O20,Surp6!$B$1:$C$161,2,0),0)</f>
        <v>172.0622363</v>
      </c>
      <c r="AG20" s="95">
        <f>IFERROR(VLOOKUP(Q20,Surp7!$B$1:$C$161,2,0),0)</f>
        <v>0</v>
      </c>
      <c r="AH20" s="95">
        <f>IFERROR(VLOOKUP(S20,Surp8!$B$1:$C$161,2,0),0)</f>
        <v>194.0278889</v>
      </c>
      <c r="AI20" s="95">
        <f>IFERROR(VLOOKUP(U20,Surp9!$B$1:$C$161,2,0),0)</f>
        <v>42.19063904</v>
      </c>
      <c r="AJ20" s="95">
        <f>IFERROR(VLOOKUP(W20,Surp10!$B$1:$C$161,2,0),0)</f>
        <v>449.7681299</v>
      </c>
      <c r="AK20" s="95">
        <f>IFERROR(VLOOKUP(Y20,Surp11!$B$1:$C$161,2,0),0)</f>
        <v>0</v>
      </c>
    </row>
    <row r="21" ht="15.75" customHeight="1">
      <c r="A21" s="172">
        <v>20.0</v>
      </c>
      <c r="B21" s="6" t="s">
        <v>41</v>
      </c>
      <c r="C21" s="136">
        <f t="shared" si="1"/>
        <v>1389.765028</v>
      </c>
      <c r="D21" s="93"/>
      <c r="E21" s="94">
        <f>IFERROR(VLOOKUP($B21,Surp1!$A$1:$B$161,2,0),0)</f>
        <v>0</v>
      </c>
      <c r="F21" s="95">
        <f>IFERROR(VLOOKUP(E21,Surp1!$B$1:$C$161,2,0),0)</f>
        <v>0</v>
      </c>
      <c r="G21" s="94">
        <f>IFERROR(VLOOKUP($B21,Surp2!$A$1:$B$161,2,0),0)</f>
        <v>48</v>
      </c>
      <c r="H21" s="95">
        <f>IFERROR(VLOOKUP(G21,Surp2!$B$1:$C$161,2,0),0)</f>
        <v>54.9833057</v>
      </c>
      <c r="I21" s="94">
        <f>IFERROR(VLOOKUP($B21,Surp3!$A$1:$B$161,2,0),0)</f>
        <v>0</v>
      </c>
      <c r="J21" s="95">
        <f>IFERROR(VLOOKUP(I21,Surp3!$B$1:$C$161,2,0),0)</f>
        <v>0</v>
      </c>
      <c r="K21" s="94">
        <f>IFERROR(VLOOKUP($B21,Surp4!$A$1:$B$161,2,0),0)</f>
        <v>22</v>
      </c>
      <c r="L21" s="95">
        <f>IFERROR(VLOOKUP(K21,Surp4!$B$1:$C$161,2,0),0)</f>
        <v>182.4265494</v>
      </c>
      <c r="M21" s="94">
        <f>IFERROR(VLOOKUP($B21,Surp5!$A$1:$B$161,2,0),0)</f>
        <v>45</v>
      </c>
      <c r="N21" s="95">
        <f>IFERROR(VLOOKUP(M21,Surp5!$B$1:$C$161,2,0),0)</f>
        <v>40.88399291</v>
      </c>
      <c r="O21" s="94">
        <f>IFERROR(VLOOKUP($B21,Surp6!$A$1:$B$161,2,0),0)</f>
        <v>54</v>
      </c>
      <c r="P21" s="95">
        <f>IFERROR(VLOOKUP(O21,Surp6!$B$1:$C$161,2,0),0)</f>
        <v>13.87043307</v>
      </c>
      <c r="Q21" s="94">
        <f>IFERROR(VLOOKUP($B21,Surp7!$A$1:$B$161,2,0),0)</f>
        <v>31</v>
      </c>
      <c r="R21" s="95">
        <f>IFERROR(VLOOKUP(Q21,Surp7!$B$1:$C$161,2,0),0)</f>
        <v>138.1020517</v>
      </c>
      <c r="S21" s="94">
        <f>IFERROR(VLOOKUP($B21,Surp8!$A$1:$B$161,2,0),0)</f>
        <v>12</v>
      </c>
      <c r="T21" s="95">
        <f>IFERROR(VLOOKUP(S21,Surp8!$B$1:$C$161,2,0),0)</f>
        <v>254.0167314</v>
      </c>
      <c r="U21" s="94">
        <f>IFERROR(VLOOKUP($B21,Surp9!$A$1:$B$161,2,0),0)</f>
        <v>10</v>
      </c>
      <c r="V21" s="95">
        <f>IFERROR(VLOOKUP(U21,Surp9!$B$1:$C$161,2,0),0)</f>
        <v>294.5316748</v>
      </c>
      <c r="W21" s="94">
        <f>IFERROR(VLOOKUP($B21,Surp10!$A$1:$B$161,2,0),0)</f>
        <v>19</v>
      </c>
      <c r="X21" s="95">
        <f>IFERROR(VLOOKUP(W21,Surp10!$B$1:$C$161,2,0),0)</f>
        <v>205.3142714</v>
      </c>
      <c r="Y21" s="94">
        <f>IFERROR(VLOOKUP($B21,Surp11!$A$1:$B$161,2,0),0)</f>
        <v>11</v>
      </c>
      <c r="Z21" s="95">
        <f>IFERROR(VLOOKUP(Y21,Surp11!$B$1:$C$161,2,0),0)</f>
        <v>205.636017</v>
      </c>
      <c r="AA21" s="95">
        <f>IFERROR(VLOOKUP(E21,Surp1!$B$1:$C$161,2,0),0)</f>
        <v>0</v>
      </c>
      <c r="AB21" s="95">
        <f>IFERROR(VLOOKUP(G21,Surp2!$B$1:$C$161,2,0),0)</f>
        <v>54.9833057</v>
      </c>
      <c r="AC21" s="95">
        <f>IFERROR(VLOOKUP(I21,Surp3!$B$1:$C$161,2,0),0)</f>
        <v>0</v>
      </c>
      <c r="AD21" s="95">
        <f>IFERROR(VLOOKUP(K21,Surp4!$B$1:$C$161,2,0),0)</f>
        <v>182.4265494</v>
      </c>
      <c r="AE21" s="95">
        <f>IFERROR(VLOOKUP(M21,Surp5!$B$1:$C$161,2,0),0)</f>
        <v>40.88399291</v>
      </c>
      <c r="AF21" s="95">
        <f>IFERROR(VLOOKUP(O21,Surp6!$B$1:$C$161,2,0),0)</f>
        <v>13.87043307</v>
      </c>
      <c r="AG21" s="95">
        <f>IFERROR(VLOOKUP(Q21,Surp7!$B$1:$C$161,2,0),0)</f>
        <v>138.1020517</v>
      </c>
      <c r="AH21" s="95">
        <f>IFERROR(VLOOKUP(S21,Surp8!$B$1:$C$161,2,0),0)</f>
        <v>254.0167314</v>
      </c>
      <c r="AI21" s="95">
        <f>IFERROR(VLOOKUP(U21,Surp9!$B$1:$C$161,2,0),0)</f>
        <v>294.5316748</v>
      </c>
      <c r="AJ21" s="95">
        <f>IFERROR(VLOOKUP(W21,Surp10!$B$1:$C$161,2,0),0)</f>
        <v>205.3142714</v>
      </c>
      <c r="AK21" s="95">
        <f>IFERROR(VLOOKUP(Y21,Surp11!$B$1:$C$161,2,0),0)</f>
        <v>205.636017</v>
      </c>
    </row>
    <row r="22" ht="15.75" customHeight="1">
      <c r="A22" s="171">
        <v>21.0</v>
      </c>
      <c r="B22" s="6" t="s">
        <v>46</v>
      </c>
      <c r="C22" s="136">
        <f t="shared" si="1"/>
        <v>1340.243976</v>
      </c>
      <c r="D22" s="173"/>
      <c r="E22" s="174">
        <f>IFERROR(VLOOKUP($B22,Surp1!$A$1:$B$161,2,0),0)</f>
        <v>16</v>
      </c>
      <c r="F22" s="175">
        <f>IFERROR(VLOOKUP(E22,Surp1!$B$1:$C$161,2,0),0)</f>
        <v>259.789532</v>
      </c>
      <c r="G22" s="174">
        <f>IFERROR(VLOOKUP($B22,Surp2!$A$1:$B$161,2,0),0)</f>
        <v>53</v>
      </c>
      <c r="H22" s="175">
        <f>IFERROR(VLOOKUP(G22,Surp2!$B$1:$C$161,2,0),0)</f>
        <v>31.28880544</v>
      </c>
      <c r="I22" s="174">
        <f>IFERROR(VLOOKUP($B22,Surp3!$A$1:$B$161,2,0),0)</f>
        <v>23</v>
      </c>
      <c r="J22" s="175">
        <f>IFERROR(VLOOKUP(I22,Surp3!$B$1:$C$161,2,0),0)</f>
        <v>162.761045</v>
      </c>
      <c r="K22" s="174">
        <f>IFERROR(VLOOKUP($B22,Surp4!$A$1:$B$161,2,0),0)</f>
        <v>47</v>
      </c>
      <c r="L22" s="175">
        <f>IFERROR(VLOOKUP(K22,Surp4!$B$1:$C$161,2,0),0)</f>
        <v>20.81283507</v>
      </c>
      <c r="M22" s="174">
        <f>IFERROR(VLOOKUP($B22,Surp5!$A$1:$B$161,2,0),0)</f>
        <v>27</v>
      </c>
      <c r="N22" s="175">
        <f>IFERROR(VLOOKUP(M22,Surp5!$B$1:$C$161,2,0),0)</f>
        <v>150.9728497</v>
      </c>
      <c r="O22" s="174">
        <f>IFERROR(VLOOKUP($B22,Surp6!$A$1:$B$161,2,0),0)</f>
        <v>44</v>
      </c>
      <c r="P22" s="175">
        <f>IFERROR(VLOOKUP(O22,Surp6!$B$1:$C$161,2,0),0)</f>
        <v>63.26265136</v>
      </c>
      <c r="Q22" s="174">
        <f>IFERROR(VLOOKUP($B22,Surp7!$A$1:$B$161,2,0),0)</f>
        <v>44</v>
      </c>
      <c r="R22" s="175">
        <f>IFERROR(VLOOKUP(Q22,Surp7!$B$1:$C$161,2,0),0)</f>
        <v>63.26265136</v>
      </c>
      <c r="S22" s="174">
        <f>IFERROR(VLOOKUP($B22,Surp8!$A$1:$B$161,2,0),0)</f>
        <v>7</v>
      </c>
      <c r="T22" s="175">
        <f>IFERROR(VLOOKUP(S22,Surp8!$B$1:$C$161,2,0),0)</f>
        <v>339.101659</v>
      </c>
      <c r="U22" s="174">
        <f>IFERROR(VLOOKUP($B22,Surp9!$A$1:$B$161,2,0),0)</f>
        <v>36</v>
      </c>
      <c r="V22" s="175">
        <f>IFERROR(VLOOKUP(U22,Surp9!$B$1:$C$161,2,0),0)</f>
        <v>54.9833057</v>
      </c>
      <c r="W22" s="174">
        <f>IFERROR(VLOOKUP($B22,Surp10!$A$1:$B$161,2,0),0)</f>
        <v>18</v>
      </c>
      <c r="X22" s="175">
        <f>IFERROR(VLOOKUP(W22,Surp10!$B$1:$C$161,2,0),0)</f>
        <v>214.8214763</v>
      </c>
      <c r="Y22" s="174">
        <f>IFERROR(VLOOKUP($B22,Surp11!$A$1:$B$161,2,0),0)</f>
        <v>0</v>
      </c>
      <c r="Z22" s="175">
        <f>IFERROR(VLOOKUP(Y22,Surp11!$B$1:$C$161,2,0),0)</f>
        <v>0</v>
      </c>
      <c r="AA22" s="175">
        <f>IFERROR(VLOOKUP(E22,Surp1!$B$1:$C$161,2,0),0)</f>
        <v>259.789532</v>
      </c>
      <c r="AB22" s="175">
        <f>IFERROR(VLOOKUP(G22,Surp2!$B$1:$C$161,2,0),0)</f>
        <v>31.28880544</v>
      </c>
      <c r="AC22" s="175">
        <f>IFERROR(VLOOKUP(I22,Surp3!$B$1:$C$161,2,0),0)</f>
        <v>162.761045</v>
      </c>
      <c r="AD22" s="175">
        <f>IFERROR(VLOOKUP(K22,Surp4!$B$1:$C$161,2,0),0)</f>
        <v>20.81283507</v>
      </c>
      <c r="AE22" s="175">
        <f>IFERROR(VLOOKUP(M22,Surp5!$B$1:$C$161,2,0),0)</f>
        <v>150.9728497</v>
      </c>
      <c r="AF22" s="175">
        <f>IFERROR(VLOOKUP(O22,Surp6!$B$1:$C$161,2,0),0)</f>
        <v>63.26265136</v>
      </c>
      <c r="AG22" s="175">
        <f>IFERROR(VLOOKUP(Q22,Surp7!$B$1:$C$161,2,0),0)</f>
        <v>63.26265136</v>
      </c>
      <c r="AH22" s="175">
        <f>IFERROR(VLOOKUP(S22,Surp8!$B$1:$C$161,2,0),0)</f>
        <v>339.101659</v>
      </c>
      <c r="AI22" s="175">
        <f>IFERROR(VLOOKUP(U22,Surp9!$B$1:$C$161,2,0),0)</f>
        <v>54.9833057</v>
      </c>
      <c r="AJ22" s="175">
        <f>IFERROR(VLOOKUP(W22,Surp10!$B$1:$C$161,2,0),0)</f>
        <v>214.8214763</v>
      </c>
      <c r="AK22" s="175">
        <f>IFERROR(VLOOKUP(Y22,Surp11!$B$1:$C$161,2,0),0)</f>
        <v>0</v>
      </c>
    </row>
    <row r="23" ht="15.75" customHeight="1">
      <c r="A23" s="172">
        <v>22.0</v>
      </c>
      <c r="B23" s="6" t="s">
        <v>53</v>
      </c>
      <c r="C23" s="136">
        <f t="shared" si="1"/>
        <v>1265.532902</v>
      </c>
      <c r="D23" s="93"/>
      <c r="E23" s="94">
        <f>IFERROR(VLOOKUP($B23,Surp1!$A$1:$B$161,2,0),0)</f>
        <v>1</v>
      </c>
      <c r="F23" s="95">
        <f>IFERROR(VLOOKUP(E23,Surp1!$B$1:$C$161,2,0),0)</f>
        <v>705.1430154</v>
      </c>
      <c r="G23" s="94">
        <f>IFERROR(VLOOKUP($B23,Surp2!$A$1:$B$161,2,0),0)</f>
        <v>24</v>
      </c>
      <c r="H23" s="95">
        <f>IFERROR(VLOOKUP(G23,Surp2!$B$1:$C$161,2,0),0)</f>
        <v>196.159615</v>
      </c>
      <c r="I23" s="94">
        <f>IFERROR(VLOOKUP($B23,Surp3!$A$1:$B$161,2,0),0)</f>
        <v>19</v>
      </c>
      <c r="J23" s="95">
        <f>IFERROR(VLOOKUP(I23,Surp3!$B$1:$C$161,2,0),0)</f>
        <v>198.0395896</v>
      </c>
      <c r="K23" s="94">
        <f>IFERROR(VLOOKUP($B23,Surp4!$A$1:$B$161,2,0),0)</f>
        <v>24</v>
      </c>
      <c r="L23" s="95">
        <f>IFERROR(VLOOKUP(K23,Surp4!$B$1:$C$161,2,0),0)</f>
        <v>166.1906818</v>
      </c>
      <c r="M23" s="94">
        <f>IFERROR(VLOOKUP($B23,Surp5!$A$1:$B$161,2,0),0)</f>
        <v>0</v>
      </c>
      <c r="N23" s="95">
        <f>IFERROR(VLOOKUP(M23,Surp5!$B$1:$C$161,2,0),0)</f>
        <v>0</v>
      </c>
      <c r="O23" s="94">
        <f>IFERROR(VLOOKUP($B23,Surp6!$A$1:$B$161,2,0),0)</f>
        <v>0</v>
      </c>
      <c r="P23" s="95">
        <f>IFERROR(VLOOKUP(O23,Surp6!$B$1:$C$161,2,0),0)</f>
        <v>0</v>
      </c>
      <c r="Q23" s="94">
        <f>IFERROR(VLOOKUP($B23,Surp7!$A$1:$B$161,2,0),0)</f>
        <v>0</v>
      </c>
      <c r="R23" s="95">
        <f>IFERROR(VLOOKUP(Q23,Surp7!$B$1:$C$161,2,0),0)</f>
        <v>0</v>
      </c>
      <c r="S23" s="94">
        <f>IFERROR(VLOOKUP($B23,Surp8!$A$1:$B$161,2,0),0)</f>
        <v>0</v>
      </c>
      <c r="T23" s="95">
        <f>IFERROR(VLOOKUP(S23,Surp8!$B$1:$C$161,2,0),0)</f>
        <v>0</v>
      </c>
      <c r="U23" s="94">
        <f>IFERROR(VLOOKUP($B23,Surp9!$A$1:$B$161,2,0),0)</f>
        <v>0</v>
      </c>
      <c r="V23" s="95">
        <f>IFERROR(VLOOKUP(U23,Surp9!$B$1:$C$161,2,0),0)</f>
        <v>0</v>
      </c>
      <c r="W23" s="94">
        <f>IFERROR(VLOOKUP($B23,Surp10!$A$1:$B$161,2,0),0)</f>
        <v>0</v>
      </c>
      <c r="X23" s="95">
        <f>IFERROR(VLOOKUP(W23,Surp10!$B$1:$C$161,2,0),0)</f>
        <v>0</v>
      </c>
      <c r="Y23" s="94">
        <f>IFERROR(VLOOKUP($B23,Surp11!$A$1:$B$161,2,0),0)</f>
        <v>0</v>
      </c>
      <c r="Z23" s="95">
        <f>IFERROR(VLOOKUP(Y23,Surp11!$B$1:$C$161,2,0),0)</f>
        <v>0</v>
      </c>
      <c r="AA23" s="95">
        <f>IFERROR(VLOOKUP(E23,Surp1!$B$1:$C$161,2,0),0)</f>
        <v>705.1430154</v>
      </c>
      <c r="AB23" s="95">
        <f>IFERROR(VLOOKUP(G23,Surp2!$B$1:$C$161,2,0),0)</f>
        <v>196.159615</v>
      </c>
      <c r="AC23" s="95">
        <f>IFERROR(VLOOKUP(I23,Surp3!$B$1:$C$161,2,0),0)</f>
        <v>198.0395896</v>
      </c>
      <c r="AD23" s="95">
        <f>IFERROR(VLOOKUP(K23,Surp4!$B$1:$C$161,2,0),0)</f>
        <v>166.1906818</v>
      </c>
      <c r="AE23" s="95">
        <f>IFERROR(VLOOKUP(M23,Surp5!$B$1:$C$161,2,0),0)</f>
        <v>0</v>
      </c>
      <c r="AF23" s="95">
        <f>IFERROR(VLOOKUP(O23,Surp6!$B$1:$C$161,2,0),0)</f>
        <v>0</v>
      </c>
      <c r="AG23" s="95">
        <f>IFERROR(VLOOKUP(Q23,Surp7!$B$1:$C$161,2,0),0)</f>
        <v>0</v>
      </c>
      <c r="AH23" s="95">
        <f>IFERROR(VLOOKUP(S23,Surp8!$B$1:$C$161,2,0),0)</f>
        <v>0</v>
      </c>
      <c r="AI23" s="95">
        <f>IFERROR(VLOOKUP(U23,Surp9!$B$1:$C$161,2,0),0)</f>
        <v>0</v>
      </c>
      <c r="AJ23" s="95">
        <f>IFERROR(VLOOKUP(W23,Surp10!$B$1:$C$161,2,0),0)</f>
        <v>0</v>
      </c>
      <c r="AK23" s="95">
        <f>IFERROR(VLOOKUP(Y23,Surp11!$B$1:$C$161,2,0),0)</f>
        <v>0</v>
      </c>
    </row>
    <row r="24" ht="15.75" customHeight="1">
      <c r="A24" s="171">
        <v>23.0</v>
      </c>
      <c r="B24" s="6" t="s">
        <v>21</v>
      </c>
      <c r="C24" s="136">
        <f t="shared" si="1"/>
        <v>1258.341388</v>
      </c>
      <c r="D24" s="93"/>
      <c r="E24" s="94">
        <f>IFERROR(VLOOKUP($B24,Surp1!$A$1:$B$161,2,0),0)</f>
        <v>29</v>
      </c>
      <c r="F24" s="95">
        <f>IFERROR(VLOOKUP(E24,Surp1!$B$1:$C$161,2,0),0)</f>
        <v>154.596925</v>
      </c>
      <c r="G24" s="94">
        <f>IFERROR(VLOOKUP($B24,Surp2!$A$1:$B$161,2,0),0)</f>
        <v>30</v>
      </c>
      <c r="H24" s="95">
        <f>IFERROR(VLOOKUP(G24,Surp2!$B$1:$C$161,2,0),0)</f>
        <v>154.596925</v>
      </c>
      <c r="I24" s="94">
        <f>IFERROR(VLOOKUP($B24,Surp3!$A$1:$B$161,2,0),0)</f>
        <v>7</v>
      </c>
      <c r="J24" s="95">
        <f>IFERROR(VLOOKUP(I24,Surp3!$B$1:$C$161,2,0),0)</f>
        <v>359.3782311</v>
      </c>
      <c r="K24" s="94">
        <f>IFERROR(VLOOKUP($B24,Surp4!$A$1:$B$161,2,0),0)</f>
        <v>8</v>
      </c>
      <c r="L24" s="95">
        <f>IFERROR(VLOOKUP(K24,Surp4!$B$1:$C$161,2,0),0)</f>
        <v>348.3306376</v>
      </c>
      <c r="M24" s="94">
        <f>IFERROR(VLOOKUP($B24,Surp5!$A$1:$B$161,2,0),0)</f>
        <v>49</v>
      </c>
      <c r="N24" s="95">
        <f>IFERROR(VLOOKUP(M24,Surp5!$B$1:$C$161,2,0),0)</f>
        <v>20.01139742</v>
      </c>
      <c r="O24" s="94">
        <f>IFERROR(VLOOKUP($B24,Surp6!$A$1:$B$161,2,0),0)</f>
        <v>0</v>
      </c>
      <c r="P24" s="95">
        <f>IFERROR(VLOOKUP(O24,Surp6!$B$1:$C$161,2,0),0)</f>
        <v>0</v>
      </c>
      <c r="Q24" s="94">
        <f>IFERROR(VLOOKUP($B24,Surp7!$A$1:$B$161,2,0),0)</f>
        <v>53</v>
      </c>
      <c r="R24" s="95">
        <f>IFERROR(VLOOKUP(Q24,Surp7!$B$1:$C$161,2,0),0)</f>
        <v>18.58053566</v>
      </c>
      <c r="S24" s="94">
        <f>IFERROR(VLOOKUP($B24,Surp8!$A$1:$B$161,2,0),0)</f>
        <v>0</v>
      </c>
      <c r="T24" s="95">
        <f>IFERROR(VLOOKUP(S24,Surp8!$B$1:$C$161,2,0),0)</f>
        <v>0</v>
      </c>
      <c r="U24" s="94">
        <f>IFERROR(VLOOKUP($B24,Surp9!$A$1:$B$161,2,0),0)</f>
        <v>24</v>
      </c>
      <c r="V24" s="95">
        <f>IFERROR(VLOOKUP(U24,Surp9!$B$1:$C$161,2,0),0)</f>
        <v>141.9810707</v>
      </c>
      <c r="W24" s="94">
        <f>IFERROR(VLOOKUP($B24,Surp10!$A$1:$B$161,2,0),0)</f>
        <v>39</v>
      </c>
      <c r="X24" s="95">
        <f>IFERROR(VLOOKUP(W24,Surp10!$B$1:$C$161,2,0),0)</f>
        <v>60.86566595</v>
      </c>
      <c r="Y24" s="94">
        <f>IFERROR(VLOOKUP($B24,Surp11!$A$1:$B$161,2,0),0)</f>
        <v>0</v>
      </c>
      <c r="Z24" s="95">
        <f>IFERROR(VLOOKUP(Y24,Surp11!$B$1:$C$161,2,0),0)</f>
        <v>0</v>
      </c>
      <c r="AA24" s="95">
        <f>IFERROR(VLOOKUP(E24,Surp1!$B$1:$C$161,2,0),0)</f>
        <v>154.596925</v>
      </c>
      <c r="AB24" s="95">
        <f>IFERROR(VLOOKUP(G24,Surp2!$B$1:$C$161,2,0),0)</f>
        <v>154.596925</v>
      </c>
      <c r="AC24" s="95">
        <f>IFERROR(VLOOKUP(I24,Surp3!$B$1:$C$161,2,0),0)</f>
        <v>359.3782311</v>
      </c>
      <c r="AD24" s="95">
        <f>IFERROR(VLOOKUP(K24,Surp4!$B$1:$C$161,2,0),0)</f>
        <v>348.3306376</v>
      </c>
      <c r="AE24" s="95">
        <f>IFERROR(VLOOKUP(M24,Surp5!$B$1:$C$161,2,0),0)</f>
        <v>20.01139742</v>
      </c>
      <c r="AF24" s="95">
        <f>IFERROR(VLOOKUP(O24,Surp6!$B$1:$C$161,2,0),0)</f>
        <v>0</v>
      </c>
      <c r="AG24" s="95">
        <f>IFERROR(VLOOKUP(Q24,Surp7!$B$1:$C$161,2,0),0)</f>
        <v>18.58053566</v>
      </c>
      <c r="AH24" s="95">
        <f>IFERROR(VLOOKUP(S24,Surp8!$B$1:$C$161,2,0),0)</f>
        <v>0</v>
      </c>
      <c r="AI24" s="95">
        <f>IFERROR(VLOOKUP(U24,Surp9!$B$1:$C$161,2,0),0)</f>
        <v>141.9810707</v>
      </c>
      <c r="AJ24" s="95">
        <f>IFERROR(VLOOKUP(W24,Surp10!$B$1:$C$161,2,0),0)</f>
        <v>60.86566595</v>
      </c>
      <c r="AK24" s="95">
        <f>IFERROR(VLOOKUP(Y24,Surp11!$B$1:$C$161,2,0),0)</f>
        <v>0</v>
      </c>
    </row>
    <row r="25" ht="15.75" customHeight="1">
      <c r="A25" s="172">
        <v>24.0</v>
      </c>
      <c r="B25" s="6" t="s">
        <v>67</v>
      </c>
      <c r="C25" s="136">
        <f t="shared" si="1"/>
        <v>1234.098628</v>
      </c>
      <c r="D25" s="173"/>
      <c r="E25" s="174">
        <f>IFERROR(VLOOKUP($B25,Surp1!$A$1:$B$161,2,0),0)</f>
        <v>2</v>
      </c>
      <c r="F25" s="175">
        <f>IFERROR(VLOOKUP(E25,Surp1!$B$1:$C$161,2,0),0)</f>
        <v>582.5495631</v>
      </c>
      <c r="G25" s="174">
        <f>IFERROR(VLOOKUP($B25,Surp2!$A$1:$B$161,2,0),0)</f>
        <v>0</v>
      </c>
      <c r="H25" s="175">
        <f>IFERROR(VLOOKUP(G25,Surp2!$B$1:$C$161,2,0),0)</f>
        <v>0</v>
      </c>
      <c r="I25" s="174">
        <f>IFERROR(VLOOKUP($B25,Surp3!$A$1:$B$161,2,0),0)</f>
        <v>0</v>
      </c>
      <c r="J25" s="175">
        <f>IFERROR(VLOOKUP(I25,Surp3!$B$1:$C$161,2,0),0)</f>
        <v>0</v>
      </c>
      <c r="K25" s="174">
        <f>IFERROR(VLOOKUP($B25,Surp4!$A$1:$B$161,2,0),0)</f>
        <v>0</v>
      </c>
      <c r="L25" s="175">
        <f>IFERROR(VLOOKUP(K25,Surp4!$B$1:$C$161,2,0),0)</f>
        <v>0</v>
      </c>
      <c r="M25" s="174">
        <f>IFERROR(VLOOKUP($B25,Surp5!$A$1:$B$161,2,0),0)</f>
        <v>0</v>
      </c>
      <c r="N25" s="175">
        <f>IFERROR(VLOOKUP(M25,Surp5!$B$1:$C$161,2,0),0)</f>
        <v>0</v>
      </c>
      <c r="O25" s="174">
        <f>IFERROR(VLOOKUP($B25,Surp6!$A$1:$B$161,2,0),0)</f>
        <v>0</v>
      </c>
      <c r="P25" s="175">
        <f>IFERROR(VLOOKUP(O25,Surp6!$B$1:$C$161,2,0),0)</f>
        <v>0</v>
      </c>
      <c r="Q25" s="174">
        <f>IFERROR(VLOOKUP($B25,Surp7!$A$1:$B$161,2,0),0)</f>
        <v>20</v>
      </c>
      <c r="R25" s="175">
        <f>IFERROR(VLOOKUP(Q25,Surp7!$B$1:$C$161,2,0),0)</f>
        <v>219.2862654</v>
      </c>
      <c r="S25" s="174">
        <f>IFERROR(VLOOKUP($B25,Surp8!$A$1:$B$161,2,0),0)</f>
        <v>0</v>
      </c>
      <c r="T25" s="175">
        <f>IFERROR(VLOOKUP(S25,Surp8!$B$1:$C$161,2,0),0)</f>
        <v>0</v>
      </c>
      <c r="U25" s="174">
        <f>IFERROR(VLOOKUP($B25,Surp9!$A$1:$B$161,2,0),0)</f>
        <v>0</v>
      </c>
      <c r="V25" s="175">
        <f>IFERROR(VLOOKUP(U25,Surp9!$B$1:$C$161,2,0),0)</f>
        <v>0</v>
      </c>
      <c r="W25" s="174">
        <f>IFERROR(VLOOKUP($B25,Surp10!$A$1:$B$161,2,0),0)</f>
        <v>46</v>
      </c>
      <c r="X25" s="175">
        <f>IFERROR(VLOOKUP(W25,Surp10!$B$1:$C$161,2,0),0)</f>
        <v>21.23813505</v>
      </c>
      <c r="Y25" s="174">
        <f>IFERROR(VLOOKUP($B25,Surp11!$A$1:$B$161,2,0),0)</f>
        <v>3</v>
      </c>
      <c r="Z25" s="175">
        <f>IFERROR(VLOOKUP(Y25,Surp11!$B$1:$C$161,2,0),0)</f>
        <v>411.0246648</v>
      </c>
      <c r="AA25" s="175">
        <f>IFERROR(VLOOKUP(E25,Surp1!$B$1:$C$161,2,0),0)</f>
        <v>582.5495631</v>
      </c>
      <c r="AB25" s="175">
        <f>IFERROR(VLOOKUP(G25,Surp2!$B$1:$C$161,2,0),0)</f>
        <v>0</v>
      </c>
      <c r="AC25" s="175">
        <f>IFERROR(VLOOKUP(I25,Surp3!$B$1:$C$161,2,0),0)</f>
        <v>0</v>
      </c>
      <c r="AD25" s="175">
        <f>IFERROR(VLOOKUP(K25,Surp4!$B$1:$C$161,2,0),0)</f>
        <v>0</v>
      </c>
      <c r="AE25" s="175">
        <f>IFERROR(VLOOKUP(M25,Surp5!$B$1:$C$161,2,0),0)</f>
        <v>0</v>
      </c>
      <c r="AF25" s="175">
        <f>IFERROR(VLOOKUP(O25,Surp6!$B$1:$C$161,2,0),0)</f>
        <v>0</v>
      </c>
      <c r="AG25" s="175">
        <f>IFERROR(VLOOKUP(Q25,Surp7!$B$1:$C$161,2,0),0)</f>
        <v>219.2862654</v>
      </c>
      <c r="AH25" s="175">
        <f>IFERROR(VLOOKUP(S25,Surp8!$B$1:$C$161,2,0),0)</f>
        <v>0</v>
      </c>
      <c r="AI25" s="175">
        <f>IFERROR(VLOOKUP(U25,Surp9!$B$1:$C$161,2,0),0)</f>
        <v>0</v>
      </c>
      <c r="AJ25" s="175">
        <f>IFERROR(VLOOKUP(W25,Surp10!$B$1:$C$161,2,0),0)</f>
        <v>21.23813505</v>
      </c>
      <c r="AK25" s="175">
        <f>IFERROR(VLOOKUP(Y25,Surp11!$B$1:$C$161,2,0),0)</f>
        <v>411.0246648</v>
      </c>
    </row>
    <row r="26" ht="15.75" customHeight="1">
      <c r="A26" s="171">
        <v>25.0</v>
      </c>
      <c r="B26" s="6" t="s">
        <v>62</v>
      </c>
      <c r="C26" s="136">
        <f t="shared" si="1"/>
        <v>1232.984003</v>
      </c>
      <c r="D26" s="93"/>
      <c r="E26" s="94">
        <f>IFERROR(VLOOKUP($B26,Surp1!$A$1:$B$161,2,0),0)</f>
        <v>21</v>
      </c>
      <c r="F26" s="95">
        <f>IFERROR(VLOOKUP(E26,Surp1!$B$1:$C$161,2,0),0)</f>
        <v>213.8204569</v>
      </c>
      <c r="G26" s="94">
        <f>IFERROR(VLOOKUP($B26,Surp2!$A$1:$B$161,2,0),0)</f>
        <v>8</v>
      </c>
      <c r="H26" s="95">
        <f>IFERROR(VLOOKUP(G26,Surp2!$B$1:$C$161,2,0),0)</f>
        <v>372.8986036</v>
      </c>
      <c r="I26" s="94">
        <f>IFERROR(VLOOKUP($B26,Surp3!$A$1:$B$161,2,0),0)</f>
        <v>0</v>
      </c>
      <c r="J26" s="95">
        <f>IFERROR(VLOOKUP(I26,Surp3!$B$1:$C$161,2,0),0)</f>
        <v>0</v>
      </c>
      <c r="K26" s="94">
        <f>IFERROR(VLOOKUP($B26,Surp4!$A$1:$B$161,2,0),0)</f>
        <v>31</v>
      </c>
      <c r="L26" s="95">
        <f>IFERROR(VLOOKUP(K26,Surp4!$B$1:$C$161,2,0),0)</f>
        <v>115.4742867</v>
      </c>
      <c r="M26" s="94">
        <f>IFERROR(VLOOKUP($B26,Surp5!$A$1:$B$161,2,0),0)</f>
        <v>0</v>
      </c>
      <c r="N26" s="95">
        <f>IFERROR(VLOOKUP(M26,Surp5!$B$1:$C$161,2,0),0)</f>
        <v>0</v>
      </c>
      <c r="O26" s="94">
        <f>IFERROR(VLOOKUP($B26,Surp6!$A$1:$B$161,2,0),0)</f>
        <v>31</v>
      </c>
      <c r="P26" s="95">
        <f>IFERROR(VLOOKUP(O26,Surp6!$B$1:$C$161,2,0),0)</f>
        <v>138.1020517</v>
      </c>
      <c r="Q26" s="94">
        <f>IFERROR(VLOOKUP($B26,Surp7!$A$1:$B$161,2,0),0)</f>
        <v>9</v>
      </c>
      <c r="R26" s="95">
        <f>IFERROR(VLOOKUP(Q26,Surp7!$B$1:$C$161,2,0),0)</f>
        <v>347.3344146</v>
      </c>
      <c r="S26" s="94">
        <f>IFERROR(VLOOKUP($B26,Surp8!$A$1:$B$161,2,0),0)</f>
        <v>35</v>
      </c>
      <c r="T26" s="95">
        <f>IFERROR(VLOOKUP(S26,Surp8!$B$1:$C$161,2,0),0)</f>
        <v>45.35418937</v>
      </c>
      <c r="U26" s="94">
        <f>IFERROR(VLOOKUP($B26,Surp9!$A$1:$B$161,2,0),0)</f>
        <v>0</v>
      </c>
      <c r="V26" s="95">
        <f>IFERROR(VLOOKUP(U26,Surp9!$B$1:$C$161,2,0),0)</f>
        <v>0</v>
      </c>
      <c r="W26" s="94">
        <f>IFERROR(VLOOKUP($B26,Surp10!$A$1:$B$161,2,0),0)</f>
        <v>0</v>
      </c>
      <c r="X26" s="95">
        <f>IFERROR(VLOOKUP(W26,Surp10!$B$1:$C$161,2,0),0)</f>
        <v>0</v>
      </c>
      <c r="Y26" s="94">
        <f>IFERROR(VLOOKUP($B26,Surp11!$A$1:$B$161,2,0),0)</f>
        <v>0</v>
      </c>
      <c r="Z26" s="95">
        <f>IFERROR(VLOOKUP(Y26,Surp11!$B$1:$C$161,2,0),0)</f>
        <v>0</v>
      </c>
      <c r="AA26" s="95">
        <f>IFERROR(VLOOKUP(E26,Surp1!$B$1:$C$161,2,0),0)</f>
        <v>213.8204569</v>
      </c>
      <c r="AB26" s="95">
        <f>IFERROR(VLOOKUP(G26,Surp2!$B$1:$C$161,2,0),0)</f>
        <v>372.8986036</v>
      </c>
      <c r="AC26" s="95">
        <f>IFERROR(VLOOKUP(I26,Surp3!$B$1:$C$161,2,0),0)</f>
        <v>0</v>
      </c>
      <c r="AD26" s="95">
        <f>IFERROR(VLOOKUP(K26,Surp4!$B$1:$C$161,2,0),0)</f>
        <v>115.4742867</v>
      </c>
      <c r="AE26" s="95">
        <f>IFERROR(VLOOKUP(M26,Surp5!$B$1:$C$161,2,0),0)</f>
        <v>0</v>
      </c>
      <c r="AF26" s="95">
        <f>IFERROR(VLOOKUP(O26,Surp6!$B$1:$C$161,2,0),0)</f>
        <v>138.1020517</v>
      </c>
      <c r="AG26" s="95">
        <f>IFERROR(VLOOKUP(Q26,Surp7!$B$1:$C$161,2,0),0)</f>
        <v>347.3344146</v>
      </c>
      <c r="AH26" s="95">
        <f>IFERROR(VLOOKUP(S26,Surp8!$B$1:$C$161,2,0),0)</f>
        <v>45.35418937</v>
      </c>
      <c r="AI26" s="95">
        <f>IFERROR(VLOOKUP(U26,Surp9!$B$1:$C$161,2,0),0)</f>
        <v>0</v>
      </c>
      <c r="AJ26" s="95">
        <f>IFERROR(VLOOKUP(W26,Surp10!$B$1:$C$161,2,0),0)</f>
        <v>0</v>
      </c>
      <c r="AK26" s="95">
        <f>IFERROR(VLOOKUP(Y26,Surp11!$B$1:$C$161,2,0),0)</f>
        <v>0</v>
      </c>
    </row>
    <row r="27" ht="15.75" customHeight="1">
      <c r="A27" s="172">
        <v>26.0</v>
      </c>
      <c r="B27" s="6" t="s">
        <v>65</v>
      </c>
      <c r="C27" s="136">
        <f t="shared" si="1"/>
        <v>1215.482868</v>
      </c>
      <c r="D27" s="173"/>
      <c r="E27" s="174">
        <f>IFERROR(VLOOKUP($B27,Surp1!$A$1:$B$161,2,0),0)</f>
        <v>40</v>
      </c>
      <c r="F27" s="175">
        <f>IFERROR(VLOOKUP(E27,Surp1!$B$1:$C$161,2,0),0)</f>
        <v>88.54414733</v>
      </c>
      <c r="G27" s="174">
        <f>IFERROR(VLOOKUP($B27,Surp2!$A$1:$B$161,2,0),0)</f>
        <v>7</v>
      </c>
      <c r="H27" s="175">
        <f>IFERROR(VLOOKUP(G27,Surp2!$B$1:$C$161,2,0),0)</f>
        <v>392.9716947</v>
      </c>
      <c r="I27" s="174">
        <f>IFERROR(VLOOKUP($B27,Surp3!$A$1:$B$161,2,0),0)</f>
        <v>35</v>
      </c>
      <c r="J27" s="175">
        <f>IFERROR(VLOOKUP(I27,Surp3!$B$1:$C$161,2,0),0)</f>
        <v>76.20241956</v>
      </c>
      <c r="K27" s="174">
        <f>IFERROR(VLOOKUP($B27,Surp4!$A$1:$B$161,2,0),0)</f>
        <v>19</v>
      </c>
      <c r="L27" s="175">
        <f>IFERROR(VLOOKUP(K27,Surp4!$B$1:$C$161,2,0),0)</f>
        <v>208.8128851</v>
      </c>
      <c r="M27" s="174">
        <f>IFERROR(VLOOKUP($B27,Surp5!$A$1:$B$161,2,0),0)</f>
        <v>0</v>
      </c>
      <c r="N27" s="175">
        <f>IFERROR(VLOOKUP(M27,Surp5!$B$1:$C$161,2,0),0)</f>
        <v>0</v>
      </c>
      <c r="O27" s="174">
        <f>IFERROR(VLOOKUP($B27,Surp6!$A$1:$B$161,2,0),0)</f>
        <v>0</v>
      </c>
      <c r="P27" s="175">
        <f>IFERROR(VLOOKUP(O27,Surp6!$B$1:$C$161,2,0),0)</f>
        <v>0</v>
      </c>
      <c r="Q27" s="174">
        <f>IFERROR(VLOOKUP($B27,Surp7!$A$1:$B$161,2,0),0)</f>
        <v>0</v>
      </c>
      <c r="R27" s="175">
        <f>IFERROR(VLOOKUP(Q27,Surp7!$B$1:$C$161,2,0),0)</f>
        <v>0</v>
      </c>
      <c r="S27" s="174">
        <f>IFERROR(VLOOKUP($B27,Surp8!$A$1:$B$161,2,0),0)</f>
        <v>18</v>
      </c>
      <c r="T27" s="175">
        <f>IFERROR(VLOOKUP(S27,Surp8!$B$1:$C$161,2,0),0)</f>
        <v>183.624022</v>
      </c>
      <c r="U27" s="174">
        <f>IFERROR(VLOOKUP($B27,Surp9!$A$1:$B$161,2,0),0)</f>
        <v>12</v>
      </c>
      <c r="V27" s="175">
        <f>IFERROR(VLOOKUP(U27,Surp9!$B$1:$C$161,2,0),0)</f>
        <v>265.3276992</v>
      </c>
      <c r="W27" s="174">
        <f>IFERROR(VLOOKUP($B27,Surp10!$A$1:$B$161,2,0),0)</f>
        <v>0</v>
      </c>
      <c r="X27" s="175">
        <f>IFERROR(VLOOKUP(W27,Surp10!$B$1:$C$161,2,0),0)</f>
        <v>0</v>
      </c>
      <c r="Y27" s="174">
        <f>IFERROR(VLOOKUP($B27,Surp11!$A$1:$B$161,2,0),0)</f>
        <v>0</v>
      </c>
      <c r="Z27" s="175">
        <f>IFERROR(VLOOKUP(Y27,Surp11!$B$1:$C$161,2,0),0)</f>
        <v>0</v>
      </c>
      <c r="AA27" s="175">
        <f>IFERROR(VLOOKUP(E27,Surp1!$B$1:$C$161,2,0),0)</f>
        <v>88.54414733</v>
      </c>
      <c r="AB27" s="175">
        <f>IFERROR(VLOOKUP(G27,Surp2!$B$1:$C$161,2,0),0)</f>
        <v>392.9716947</v>
      </c>
      <c r="AC27" s="175">
        <f>IFERROR(VLOOKUP(I27,Surp3!$B$1:$C$161,2,0),0)</f>
        <v>76.20241956</v>
      </c>
      <c r="AD27" s="175">
        <f>IFERROR(VLOOKUP(K27,Surp4!$B$1:$C$161,2,0),0)</f>
        <v>208.8128851</v>
      </c>
      <c r="AE27" s="175">
        <f>IFERROR(VLOOKUP(M27,Surp5!$B$1:$C$161,2,0),0)</f>
        <v>0</v>
      </c>
      <c r="AF27" s="175">
        <f>IFERROR(VLOOKUP(O27,Surp6!$B$1:$C$161,2,0),0)</f>
        <v>0</v>
      </c>
      <c r="AG27" s="175">
        <f>IFERROR(VLOOKUP(Q27,Surp7!$B$1:$C$161,2,0),0)</f>
        <v>0</v>
      </c>
      <c r="AH27" s="175">
        <f>IFERROR(VLOOKUP(S27,Surp8!$B$1:$C$161,2,0),0)</f>
        <v>183.624022</v>
      </c>
      <c r="AI27" s="175">
        <f>IFERROR(VLOOKUP(U27,Surp9!$B$1:$C$161,2,0),0)</f>
        <v>265.3276992</v>
      </c>
      <c r="AJ27" s="175">
        <f>IFERROR(VLOOKUP(W27,Surp10!$B$1:$C$161,2,0),0)</f>
        <v>0</v>
      </c>
      <c r="AK27" s="175">
        <f>IFERROR(VLOOKUP(Y27,Surp11!$B$1:$C$161,2,0),0)</f>
        <v>0</v>
      </c>
    </row>
    <row r="28" ht="15.75" customHeight="1">
      <c r="A28" s="171">
        <v>27.0</v>
      </c>
      <c r="B28" s="6" t="s">
        <v>50</v>
      </c>
      <c r="C28" s="136">
        <f t="shared" si="1"/>
        <v>1155.153742</v>
      </c>
      <c r="D28" s="93"/>
      <c r="E28" s="94">
        <f>IFERROR(VLOOKUP($B28,Surp1!$A$1:$B$161,2,0),0)</f>
        <v>31</v>
      </c>
      <c r="F28" s="95">
        <f>IFERROR(VLOOKUP(E28,Surp1!$B$1:$C$161,2,0),0)</f>
        <v>141.5551563</v>
      </c>
      <c r="G28" s="94">
        <f>IFERROR(VLOOKUP($B28,Surp2!$A$1:$B$161,2,0),0)</f>
        <v>0</v>
      </c>
      <c r="H28" s="95">
        <f>IFERROR(VLOOKUP(G28,Surp2!$B$1:$C$161,2,0),0)</f>
        <v>0</v>
      </c>
      <c r="I28" s="94">
        <f>IFERROR(VLOOKUP($B28,Surp3!$A$1:$B$161,2,0),0)</f>
        <v>0</v>
      </c>
      <c r="J28" s="95">
        <f>IFERROR(VLOOKUP(I28,Surp3!$B$1:$C$161,2,0),0)</f>
        <v>0</v>
      </c>
      <c r="K28" s="94">
        <f>IFERROR(VLOOKUP($B28,Surp4!$A$1:$B$161,2,0),0)</f>
        <v>33</v>
      </c>
      <c r="L28" s="95">
        <f>IFERROR(VLOOKUP(K28,Surp4!$B$1:$C$161,2,0),0)</f>
        <v>102.3151007</v>
      </c>
      <c r="M28" s="94">
        <f>IFERROR(VLOOKUP($B28,Surp5!$A$1:$B$161,2,0),0)</f>
        <v>3</v>
      </c>
      <c r="N28" s="95">
        <f>IFERROR(VLOOKUP(M28,Surp5!$B$1:$C$161,2,0),0)</f>
        <v>502.8704736</v>
      </c>
      <c r="O28" s="94">
        <f>IFERROR(VLOOKUP($B28,Surp6!$A$1:$B$161,2,0),0)</f>
        <v>0</v>
      </c>
      <c r="P28" s="95">
        <f>IFERROR(VLOOKUP(O28,Surp6!$B$1:$C$161,2,0),0)</f>
        <v>0</v>
      </c>
      <c r="Q28" s="94">
        <f>IFERROR(VLOOKUP($B28,Surp7!$A$1:$B$161,2,0),0)</f>
        <v>6</v>
      </c>
      <c r="R28" s="95">
        <f>IFERROR(VLOOKUP(Q28,Surp7!$B$1:$C$161,2,0),0)</f>
        <v>408.4130115</v>
      </c>
      <c r="S28" s="94">
        <f>IFERROR(VLOOKUP($B28,Surp8!$A$1:$B$161,2,0),0)</f>
        <v>0</v>
      </c>
      <c r="T28" s="95">
        <f>IFERROR(VLOOKUP(S28,Surp8!$B$1:$C$161,2,0),0)</f>
        <v>0</v>
      </c>
      <c r="U28" s="94">
        <f>IFERROR(VLOOKUP($B28,Surp9!$A$1:$B$161,2,0),0)</f>
        <v>0</v>
      </c>
      <c r="V28" s="95">
        <f>IFERROR(VLOOKUP(U28,Surp9!$B$1:$C$161,2,0),0)</f>
        <v>0</v>
      </c>
      <c r="W28" s="94">
        <f>IFERROR(VLOOKUP($B28,Surp10!$A$1:$B$161,2,0),0)</f>
        <v>0</v>
      </c>
      <c r="X28" s="95">
        <f>IFERROR(VLOOKUP(W28,Surp10!$B$1:$C$161,2,0),0)</f>
        <v>0</v>
      </c>
      <c r="Y28" s="94">
        <f>IFERROR(VLOOKUP($B28,Surp11!$A$1:$B$161,2,0),0)</f>
        <v>0</v>
      </c>
      <c r="Z28" s="95">
        <f>IFERROR(VLOOKUP(Y28,Surp11!$B$1:$C$161,2,0),0)</f>
        <v>0</v>
      </c>
      <c r="AA28" s="95">
        <f>IFERROR(VLOOKUP(E28,Surp1!$B$1:$C$161,2,0),0)</f>
        <v>141.5551563</v>
      </c>
      <c r="AB28" s="95">
        <f>IFERROR(VLOOKUP(G28,Surp2!$B$1:$C$161,2,0),0)</f>
        <v>0</v>
      </c>
      <c r="AC28" s="95">
        <f>IFERROR(VLOOKUP(I28,Surp3!$B$1:$C$161,2,0),0)</f>
        <v>0</v>
      </c>
      <c r="AD28" s="95">
        <f>IFERROR(VLOOKUP(K28,Surp4!$B$1:$C$161,2,0),0)</f>
        <v>102.3151007</v>
      </c>
      <c r="AE28" s="95">
        <f>IFERROR(VLOOKUP(M28,Surp5!$B$1:$C$161,2,0),0)</f>
        <v>502.8704736</v>
      </c>
      <c r="AF28" s="95">
        <f>IFERROR(VLOOKUP(O28,Surp6!$B$1:$C$161,2,0),0)</f>
        <v>0</v>
      </c>
      <c r="AG28" s="95">
        <f>IFERROR(VLOOKUP(Q28,Surp7!$B$1:$C$161,2,0),0)</f>
        <v>408.4130115</v>
      </c>
      <c r="AH28" s="95">
        <f>IFERROR(VLOOKUP(S28,Surp8!$B$1:$C$161,2,0),0)</f>
        <v>0</v>
      </c>
      <c r="AI28" s="95">
        <f>IFERROR(VLOOKUP(U28,Surp9!$B$1:$C$161,2,0),0)</f>
        <v>0</v>
      </c>
      <c r="AJ28" s="95">
        <f>IFERROR(VLOOKUP(W28,Surp10!$B$1:$C$161,2,0),0)</f>
        <v>0</v>
      </c>
      <c r="AK28" s="95">
        <f>IFERROR(VLOOKUP(Y28,Surp11!$B$1:$C$161,2,0),0)</f>
        <v>0</v>
      </c>
    </row>
    <row r="29" ht="15.75" customHeight="1">
      <c r="A29" s="172">
        <v>28.0</v>
      </c>
      <c r="B29" s="6" t="s">
        <v>49</v>
      </c>
      <c r="C29" s="136">
        <f t="shared" si="1"/>
        <v>1132.886548</v>
      </c>
      <c r="D29" s="93"/>
      <c r="E29" s="94">
        <f>IFERROR(VLOOKUP($B29,Surp1!$A$1:$B$161,2,0),0)</f>
        <v>39</v>
      </c>
      <c r="F29" s="95">
        <f>IFERROR(VLOOKUP(E29,Surp1!$B$1:$C$161,2,0),0)</f>
        <v>94.056714</v>
      </c>
      <c r="G29" s="94">
        <f>IFERROR(VLOOKUP($B29,Surp2!$A$1:$B$161,2,0),0)</f>
        <v>28</v>
      </c>
      <c r="H29" s="95">
        <f>IFERROR(VLOOKUP(G29,Surp2!$B$1:$C$161,2,0),0)</f>
        <v>167.7723473</v>
      </c>
      <c r="I29" s="94">
        <f>IFERROR(VLOOKUP($B29,Surp3!$A$1:$B$161,2,0),0)</f>
        <v>22</v>
      </c>
      <c r="J29" s="95">
        <f>IFERROR(VLOOKUP(I29,Surp3!$B$1:$C$161,2,0),0)</f>
        <v>171.1630819</v>
      </c>
      <c r="K29" s="94">
        <f>IFERROR(VLOOKUP($B29,Surp4!$A$1:$B$161,2,0),0)</f>
        <v>5</v>
      </c>
      <c r="L29" s="95">
        <f>IFERROR(VLOOKUP(K29,Surp4!$B$1:$C$161,2,0),0)</f>
        <v>419.0936171</v>
      </c>
      <c r="M29" s="94">
        <f>IFERROR(VLOOKUP($B29,Surp5!$A$1:$B$161,2,0),0)</f>
        <v>16</v>
      </c>
      <c r="N29" s="95">
        <f>IFERROR(VLOOKUP(M29,Surp5!$B$1:$C$161,2,0),0)</f>
        <v>244.871462</v>
      </c>
      <c r="O29" s="94">
        <f>IFERROR(VLOOKUP($B29,Surp6!$A$1:$B$161,2,0),0)</f>
        <v>0</v>
      </c>
      <c r="P29" s="95">
        <f>IFERROR(VLOOKUP(O29,Surp6!$B$1:$C$161,2,0),0)</f>
        <v>0</v>
      </c>
      <c r="Q29" s="94">
        <f>IFERROR(VLOOKUP($B29,Surp7!$A$1:$B$161,2,0),0)</f>
        <v>0</v>
      </c>
      <c r="R29" s="95">
        <f>IFERROR(VLOOKUP(Q29,Surp7!$B$1:$C$161,2,0),0)</f>
        <v>0</v>
      </c>
      <c r="S29" s="94">
        <f>IFERROR(VLOOKUP($B29,Surp8!$A$1:$B$161,2,0),0)</f>
        <v>0</v>
      </c>
      <c r="T29" s="95">
        <f>IFERROR(VLOOKUP(S29,Surp8!$B$1:$C$161,2,0),0)</f>
        <v>0</v>
      </c>
      <c r="U29" s="94">
        <f>IFERROR(VLOOKUP($B29,Surp9!$A$1:$B$161,2,0),0)</f>
        <v>39</v>
      </c>
      <c r="V29" s="95">
        <f>IFERROR(VLOOKUP(U29,Surp9!$B$1:$C$161,2,0),0)</f>
        <v>35.92932525</v>
      </c>
      <c r="W29" s="94">
        <f>IFERROR(VLOOKUP($B29,Surp10!$A$1:$B$161,2,0),0)</f>
        <v>0</v>
      </c>
      <c r="X29" s="95">
        <f>IFERROR(VLOOKUP(W29,Surp10!$B$1:$C$161,2,0),0)</f>
        <v>0</v>
      </c>
      <c r="Y29" s="94">
        <f>IFERROR(VLOOKUP($B29,Surp11!$A$1:$B$161,2,0),0)</f>
        <v>0</v>
      </c>
      <c r="Z29" s="95">
        <f>IFERROR(VLOOKUP(Y29,Surp11!$B$1:$C$161,2,0),0)</f>
        <v>0</v>
      </c>
      <c r="AA29" s="95">
        <f>IFERROR(VLOOKUP(E29,Surp1!$B$1:$C$161,2,0),0)</f>
        <v>94.056714</v>
      </c>
      <c r="AB29" s="95">
        <f>IFERROR(VLOOKUP(G29,Surp2!$B$1:$C$161,2,0),0)</f>
        <v>167.7723473</v>
      </c>
      <c r="AC29" s="95">
        <f>IFERROR(VLOOKUP(I29,Surp3!$B$1:$C$161,2,0),0)</f>
        <v>171.1630819</v>
      </c>
      <c r="AD29" s="95">
        <f>IFERROR(VLOOKUP(K29,Surp4!$B$1:$C$161,2,0),0)</f>
        <v>419.0936171</v>
      </c>
      <c r="AE29" s="95">
        <f>IFERROR(VLOOKUP(M29,Surp5!$B$1:$C$161,2,0),0)</f>
        <v>244.871462</v>
      </c>
      <c r="AF29" s="95">
        <f>IFERROR(VLOOKUP(O29,Surp6!$B$1:$C$161,2,0),0)</f>
        <v>0</v>
      </c>
      <c r="AG29" s="95">
        <f>IFERROR(VLOOKUP(Q29,Surp7!$B$1:$C$161,2,0),0)</f>
        <v>0</v>
      </c>
      <c r="AH29" s="95">
        <f>IFERROR(VLOOKUP(S29,Surp8!$B$1:$C$161,2,0),0)</f>
        <v>0</v>
      </c>
      <c r="AI29" s="95">
        <f>IFERROR(VLOOKUP(U29,Surp9!$B$1:$C$161,2,0),0)</f>
        <v>35.92932525</v>
      </c>
      <c r="AJ29" s="95">
        <f>IFERROR(VLOOKUP(W29,Surp10!$B$1:$C$161,2,0),0)</f>
        <v>0</v>
      </c>
      <c r="AK29" s="95">
        <f>IFERROR(VLOOKUP(Y29,Surp11!$B$1:$C$161,2,0),0)</f>
        <v>0</v>
      </c>
    </row>
    <row r="30" ht="15.75" customHeight="1">
      <c r="A30" s="171">
        <v>29.0</v>
      </c>
      <c r="B30" s="6" t="s">
        <v>23</v>
      </c>
      <c r="C30" s="136">
        <f t="shared" si="1"/>
        <v>1099.072593</v>
      </c>
      <c r="D30" s="93"/>
      <c r="E30" s="94">
        <f>IFERROR(VLOOKUP($B30,Surp1!$A$1:$B$161,2,0),0)</f>
        <v>47</v>
      </c>
      <c r="F30" s="95">
        <f>IFERROR(VLOOKUP(E30,Surp1!$B$1:$C$161,2,0),0)</f>
        <v>51.97213687</v>
      </c>
      <c r="G30" s="94">
        <f>IFERROR(VLOOKUP($B30,Surp2!$A$1:$B$161,2,0),0)</f>
        <v>52</v>
      </c>
      <c r="H30" s="95">
        <f>IFERROR(VLOOKUP(G30,Surp2!$B$1:$C$161,2,0),0)</f>
        <v>35.92932525</v>
      </c>
      <c r="I30" s="94">
        <f>IFERROR(VLOOKUP($B30,Surp3!$A$1:$B$161,2,0),0)</f>
        <v>11</v>
      </c>
      <c r="J30" s="95">
        <f>IFERROR(VLOOKUP(I30,Surp3!$B$1:$C$161,2,0),0)</f>
        <v>289.6649665</v>
      </c>
      <c r="K30" s="94">
        <f>IFERROR(VLOOKUP($B30,Surp4!$A$1:$B$161,2,0),0)</f>
        <v>0</v>
      </c>
      <c r="L30" s="95">
        <f>IFERROR(VLOOKUP(K30,Surp4!$B$1:$C$161,2,0),0)</f>
        <v>0</v>
      </c>
      <c r="M30" s="94">
        <f>IFERROR(VLOOKUP($B30,Surp5!$A$1:$B$161,2,0),0)</f>
        <v>13</v>
      </c>
      <c r="N30" s="95">
        <f>IFERROR(VLOOKUP(M30,Surp5!$B$1:$C$161,2,0),0)</f>
        <v>278.8307064</v>
      </c>
      <c r="O30" s="94">
        <f>IFERROR(VLOOKUP($B30,Surp6!$A$1:$B$161,2,0),0)</f>
        <v>15</v>
      </c>
      <c r="P30" s="95">
        <f>IFERROR(VLOOKUP(O30,Surp6!$B$1:$C$161,2,0),0)</f>
        <v>267.481458</v>
      </c>
      <c r="Q30" s="94">
        <f>IFERROR(VLOOKUP($B30,Surp7!$A$1:$B$161,2,0),0)</f>
        <v>32</v>
      </c>
      <c r="R30" s="95">
        <f>IFERROR(VLOOKUP(Q30,Surp7!$B$1:$C$161,2,0),0)</f>
        <v>131.7406253</v>
      </c>
      <c r="S30" s="94">
        <f>IFERROR(VLOOKUP($B30,Surp8!$A$1:$B$161,2,0),0)</f>
        <v>0</v>
      </c>
      <c r="T30" s="95">
        <f>IFERROR(VLOOKUP(S30,Surp8!$B$1:$C$161,2,0),0)</f>
        <v>0</v>
      </c>
      <c r="U30" s="94">
        <f>IFERROR(VLOOKUP($B30,Surp9!$A$1:$B$161,2,0),0)</f>
        <v>0</v>
      </c>
      <c r="V30" s="95">
        <f>IFERROR(VLOOKUP(U30,Surp9!$B$1:$C$161,2,0),0)</f>
        <v>0</v>
      </c>
      <c r="W30" s="94">
        <f>IFERROR(VLOOKUP($B30,Surp10!$A$1:$B$161,2,0),0)</f>
        <v>42</v>
      </c>
      <c r="X30" s="95">
        <f>IFERROR(VLOOKUP(W30,Surp10!$B$1:$C$161,2,0),0)</f>
        <v>43.45337456</v>
      </c>
      <c r="Y30" s="94">
        <f>IFERROR(VLOOKUP($B30,Surp11!$A$1:$B$161,2,0),0)</f>
        <v>0</v>
      </c>
      <c r="Z30" s="95">
        <f>IFERROR(VLOOKUP(Y30,Surp11!$B$1:$C$161,2,0),0)</f>
        <v>0</v>
      </c>
      <c r="AA30" s="95">
        <f>IFERROR(VLOOKUP(E30,Surp1!$B$1:$C$161,2,0),0)</f>
        <v>51.97213687</v>
      </c>
      <c r="AB30" s="95">
        <f>IFERROR(VLOOKUP(G30,Surp2!$B$1:$C$161,2,0),0)</f>
        <v>35.92932525</v>
      </c>
      <c r="AC30" s="95">
        <f>IFERROR(VLOOKUP(I30,Surp3!$B$1:$C$161,2,0),0)</f>
        <v>289.6649665</v>
      </c>
      <c r="AD30" s="95">
        <f>IFERROR(VLOOKUP(K30,Surp4!$B$1:$C$161,2,0),0)</f>
        <v>0</v>
      </c>
      <c r="AE30" s="95">
        <f>IFERROR(VLOOKUP(M30,Surp5!$B$1:$C$161,2,0),0)</f>
        <v>278.8307064</v>
      </c>
      <c r="AF30" s="95">
        <f>IFERROR(VLOOKUP(O30,Surp6!$B$1:$C$161,2,0),0)</f>
        <v>267.481458</v>
      </c>
      <c r="AG30" s="95">
        <f>IFERROR(VLOOKUP(Q30,Surp7!$B$1:$C$161,2,0),0)</f>
        <v>131.7406253</v>
      </c>
      <c r="AH30" s="95">
        <f>IFERROR(VLOOKUP(S30,Surp8!$B$1:$C$161,2,0),0)</f>
        <v>0</v>
      </c>
      <c r="AI30" s="95">
        <f>IFERROR(VLOOKUP(U30,Surp9!$B$1:$C$161,2,0),0)</f>
        <v>0</v>
      </c>
      <c r="AJ30" s="95">
        <f>IFERROR(VLOOKUP(W30,Surp10!$B$1:$C$161,2,0),0)</f>
        <v>43.45337456</v>
      </c>
      <c r="AK30" s="95">
        <f>IFERROR(VLOOKUP(Y30,Surp11!$B$1:$C$161,2,0),0)</f>
        <v>0</v>
      </c>
    </row>
    <row r="31" ht="15.75" customHeight="1">
      <c r="A31" s="172">
        <v>30.0</v>
      </c>
      <c r="B31" s="6" t="s">
        <v>22</v>
      </c>
      <c r="C31" s="136">
        <f t="shared" si="1"/>
        <v>1092.093467</v>
      </c>
      <c r="D31" s="173"/>
      <c r="E31" s="174">
        <f>IFERROR(VLOOKUP($B31,Surp1!$A$1:$B$161,2,0),0)</f>
        <v>32</v>
      </c>
      <c r="F31" s="175">
        <f>IFERROR(VLOOKUP(E31,Surp1!$B$1:$C$161,2,0),0)</f>
        <v>135.23472</v>
      </c>
      <c r="G31" s="174">
        <f>IFERROR(VLOOKUP($B31,Surp2!$A$1:$B$161,2,0),0)</f>
        <v>0</v>
      </c>
      <c r="H31" s="175">
        <f>IFERROR(VLOOKUP(G31,Surp2!$B$1:$C$161,2,0),0)</f>
        <v>0</v>
      </c>
      <c r="I31" s="174">
        <f>IFERROR(VLOOKUP($B31,Surp3!$A$1:$B$161,2,0),0)</f>
        <v>32</v>
      </c>
      <c r="J31" s="175">
        <f>IFERROR(VLOOKUP(I31,Surp3!$B$1:$C$161,2,0),0)</f>
        <v>95.91243304</v>
      </c>
      <c r="K31" s="174">
        <f>IFERROR(VLOOKUP($B31,Surp4!$A$1:$B$161,2,0),0)</f>
        <v>45</v>
      </c>
      <c r="L31" s="175">
        <f>IFERROR(VLOOKUP(K31,Surp4!$B$1:$C$161,2,0),0)</f>
        <v>31.5604973</v>
      </c>
      <c r="M31" s="174">
        <f>IFERROR(VLOOKUP($B31,Surp5!$A$1:$B$161,2,0),0)</f>
        <v>0</v>
      </c>
      <c r="N31" s="175">
        <f>IFERROR(VLOOKUP(M31,Surp5!$B$1:$C$161,2,0),0)</f>
        <v>0</v>
      </c>
      <c r="O31" s="174">
        <f>IFERROR(VLOOKUP($B31,Surp6!$A$1:$B$161,2,0),0)</f>
        <v>27</v>
      </c>
      <c r="P31" s="175">
        <f>IFERROR(VLOOKUP(O31,Surp6!$B$1:$C$161,2,0),0)</f>
        <v>164.9481769</v>
      </c>
      <c r="Q31" s="174">
        <f>IFERROR(VLOOKUP($B31,Surp7!$A$1:$B$161,2,0),0)</f>
        <v>48</v>
      </c>
      <c r="R31" s="175">
        <f>IFERROR(VLOOKUP(Q31,Surp7!$B$1:$C$161,2,0),0)</f>
        <v>42.85479346</v>
      </c>
      <c r="S31" s="174">
        <f>IFERROR(VLOOKUP($B31,Surp8!$A$1:$B$161,2,0),0)</f>
        <v>38</v>
      </c>
      <c r="T31" s="175">
        <f>IFERROR(VLOOKUP(S31,Surp8!$B$1:$C$161,2,0),0)</f>
        <v>25.3892851</v>
      </c>
      <c r="U31" s="174">
        <f>IFERROR(VLOOKUP($B31,Surp9!$A$1:$B$161,2,0),0)</f>
        <v>18</v>
      </c>
      <c r="V31" s="175">
        <f>IFERROR(VLOOKUP(U31,Surp9!$B$1:$C$161,2,0),0)</f>
        <v>196.159615</v>
      </c>
      <c r="W31" s="174">
        <f>IFERROR(VLOOKUP($B31,Surp10!$A$1:$B$161,2,0),0)</f>
        <v>17</v>
      </c>
      <c r="X31" s="175">
        <f>IFERROR(VLOOKUP(W31,Surp10!$B$1:$C$161,2,0),0)</f>
        <v>224.7230157</v>
      </c>
      <c r="Y31" s="174">
        <f>IFERROR(VLOOKUP($B31,Surp11!$A$1:$B$161,2,0),0)</f>
        <v>13</v>
      </c>
      <c r="Z31" s="175">
        <f>IFERROR(VLOOKUP(Y31,Surp11!$B$1:$C$161,2,0),0)</f>
        <v>175.3109302</v>
      </c>
      <c r="AA31" s="175">
        <f>IFERROR(VLOOKUP(E31,Surp1!$B$1:$C$161,2,0),0)</f>
        <v>135.23472</v>
      </c>
      <c r="AB31" s="175">
        <f>IFERROR(VLOOKUP(G31,Surp2!$B$1:$C$161,2,0),0)</f>
        <v>0</v>
      </c>
      <c r="AC31" s="175">
        <f>IFERROR(VLOOKUP(I31,Surp3!$B$1:$C$161,2,0),0)</f>
        <v>95.91243304</v>
      </c>
      <c r="AD31" s="175">
        <f>IFERROR(VLOOKUP(K31,Surp4!$B$1:$C$161,2,0),0)</f>
        <v>31.5604973</v>
      </c>
      <c r="AE31" s="175">
        <f>IFERROR(VLOOKUP(M31,Surp5!$B$1:$C$161,2,0),0)</f>
        <v>0</v>
      </c>
      <c r="AF31" s="175">
        <f>IFERROR(VLOOKUP(O31,Surp6!$B$1:$C$161,2,0),0)</f>
        <v>164.9481769</v>
      </c>
      <c r="AG31" s="175">
        <f>IFERROR(VLOOKUP(Q31,Surp7!$B$1:$C$161,2,0),0)</f>
        <v>42.85479346</v>
      </c>
      <c r="AH31" s="175">
        <f>IFERROR(VLOOKUP(S31,Surp8!$B$1:$C$161,2,0),0)</f>
        <v>25.3892851</v>
      </c>
      <c r="AI31" s="175">
        <f>IFERROR(VLOOKUP(U31,Surp9!$B$1:$C$161,2,0),0)</f>
        <v>196.159615</v>
      </c>
      <c r="AJ31" s="175">
        <f>IFERROR(VLOOKUP(W31,Surp10!$B$1:$C$161,2,0),0)</f>
        <v>224.7230157</v>
      </c>
      <c r="AK31" s="175">
        <f>IFERROR(VLOOKUP(Y31,Surp11!$B$1:$C$161,2,0),0)</f>
        <v>175.3109302</v>
      </c>
    </row>
    <row r="32" ht="15.75" customHeight="1">
      <c r="A32" s="171">
        <v>31.0</v>
      </c>
      <c r="B32" s="6" t="s">
        <v>30</v>
      </c>
      <c r="C32" s="136">
        <f t="shared" si="1"/>
        <v>1082.322975</v>
      </c>
      <c r="D32" s="173"/>
      <c r="E32" s="174">
        <f>IFERROR(VLOOKUP($B32,Surp1!$A$1:$B$161,2,0),0)</f>
        <v>0</v>
      </c>
      <c r="F32" s="175">
        <f>IFERROR(VLOOKUP(E32,Surp1!$B$1:$C$161,2,0),0)</f>
        <v>0</v>
      </c>
      <c r="G32" s="174">
        <f>IFERROR(VLOOKUP($B32,Surp2!$A$1:$B$161,2,0),0)</f>
        <v>37</v>
      </c>
      <c r="H32" s="175">
        <f>IFERROR(VLOOKUP(G32,Surp2!$B$1:$C$161,2,0),0)</f>
        <v>112.4701606</v>
      </c>
      <c r="I32" s="174">
        <f>IFERROR(VLOOKUP($B32,Surp3!$A$1:$B$161,2,0),0)</f>
        <v>2</v>
      </c>
      <c r="J32" s="175">
        <f>IFERROR(VLOOKUP(I32,Surp3!$B$1:$C$161,2,0),0)</f>
        <v>551.49649</v>
      </c>
      <c r="K32" s="174">
        <f>IFERROR(VLOOKUP($B32,Surp4!$A$1:$B$161,2,0),0)</f>
        <v>32</v>
      </c>
      <c r="L32" s="175">
        <f>IFERROR(VLOOKUP(K32,Surp4!$B$1:$C$161,2,0),0)</f>
        <v>108.8333061</v>
      </c>
      <c r="M32" s="174">
        <f>IFERROR(VLOOKUP($B32,Surp5!$A$1:$B$161,2,0),0)</f>
        <v>0</v>
      </c>
      <c r="N32" s="175">
        <f>IFERROR(VLOOKUP(M32,Surp5!$B$1:$C$161,2,0),0)</f>
        <v>0</v>
      </c>
      <c r="O32" s="174">
        <f>IFERROR(VLOOKUP($B32,Surp6!$A$1:$B$161,2,0),0)</f>
        <v>0</v>
      </c>
      <c r="P32" s="175">
        <f>IFERROR(VLOOKUP(O32,Surp6!$B$1:$C$161,2,0),0)</f>
        <v>0</v>
      </c>
      <c r="Q32" s="174">
        <f>IFERROR(VLOOKUP($B32,Surp7!$A$1:$B$161,2,0),0)</f>
        <v>35</v>
      </c>
      <c r="R32" s="175">
        <f>IFERROR(VLOOKUP(Q32,Surp7!$B$1:$C$161,2,0),0)</f>
        <v>113.3634034</v>
      </c>
      <c r="S32" s="174">
        <f>IFERROR(VLOOKUP($B32,Surp8!$A$1:$B$161,2,0),0)</f>
        <v>0</v>
      </c>
      <c r="T32" s="175">
        <f>IFERROR(VLOOKUP(S32,Surp8!$B$1:$C$161,2,0),0)</f>
        <v>0</v>
      </c>
      <c r="U32" s="174">
        <f>IFERROR(VLOOKUP($B32,Surp9!$A$1:$B$161,2,0),0)</f>
        <v>0</v>
      </c>
      <c r="V32" s="175">
        <f>IFERROR(VLOOKUP(U32,Surp9!$B$1:$C$161,2,0),0)</f>
        <v>0</v>
      </c>
      <c r="W32" s="174">
        <f>IFERROR(VLOOKUP($B32,Surp10!$A$1:$B$161,2,0),0)</f>
        <v>20</v>
      </c>
      <c r="X32" s="175">
        <f>IFERROR(VLOOKUP(W32,Surp10!$B$1:$C$161,2,0),0)</f>
        <v>196.159615</v>
      </c>
      <c r="Y32" s="174">
        <f>IFERROR(VLOOKUP($B32,Surp11!$A$1:$B$161,2,0),0)</f>
        <v>0</v>
      </c>
      <c r="Z32" s="175">
        <f>IFERROR(VLOOKUP(Y32,Surp11!$B$1:$C$161,2,0),0)</f>
        <v>0</v>
      </c>
      <c r="AA32" s="175">
        <f>IFERROR(VLOOKUP(E32,Surp1!$B$1:$C$161,2,0),0)</f>
        <v>0</v>
      </c>
      <c r="AB32" s="175">
        <f>IFERROR(VLOOKUP(G32,Surp2!$B$1:$C$161,2,0),0)</f>
        <v>112.4701606</v>
      </c>
      <c r="AC32" s="175">
        <f>IFERROR(VLOOKUP(I32,Surp3!$B$1:$C$161,2,0),0)</f>
        <v>551.49649</v>
      </c>
      <c r="AD32" s="175">
        <f>IFERROR(VLOOKUP(K32,Surp4!$B$1:$C$161,2,0),0)</f>
        <v>108.8333061</v>
      </c>
      <c r="AE32" s="175">
        <f>IFERROR(VLOOKUP(M32,Surp5!$B$1:$C$161,2,0),0)</f>
        <v>0</v>
      </c>
      <c r="AF32" s="175">
        <f>IFERROR(VLOOKUP(O32,Surp6!$B$1:$C$161,2,0),0)</f>
        <v>0</v>
      </c>
      <c r="AG32" s="175">
        <f>IFERROR(VLOOKUP(Q32,Surp7!$B$1:$C$161,2,0),0)</f>
        <v>113.3634034</v>
      </c>
      <c r="AH32" s="175">
        <f>IFERROR(VLOOKUP(S32,Surp8!$B$1:$C$161,2,0),0)</f>
        <v>0</v>
      </c>
      <c r="AI32" s="175">
        <f>IFERROR(VLOOKUP(U32,Surp9!$B$1:$C$161,2,0),0)</f>
        <v>0</v>
      </c>
      <c r="AJ32" s="175">
        <f>IFERROR(VLOOKUP(W32,Surp10!$B$1:$C$161,2,0),0)</f>
        <v>196.159615</v>
      </c>
      <c r="AK32" s="175">
        <f>IFERROR(VLOOKUP(Y32,Surp11!$B$1:$C$161,2,0),0)</f>
        <v>0</v>
      </c>
    </row>
    <row r="33" ht="15.75" customHeight="1">
      <c r="A33" s="172">
        <v>32.0</v>
      </c>
      <c r="B33" s="6" t="s">
        <v>32</v>
      </c>
      <c r="C33" s="136">
        <f t="shared" si="1"/>
        <v>1058.259365</v>
      </c>
      <c r="D33" s="93"/>
      <c r="E33" s="94">
        <f>IFERROR(VLOOKUP($B33,Surp1!$A$1:$B$161,2,0),0)</f>
        <v>35</v>
      </c>
      <c r="F33" s="95">
        <f>IFERROR(VLOOKUP(E33,Surp1!$B$1:$C$161,2,0),0)</f>
        <v>116.9804204</v>
      </c>
      <c r="G33" s="94">
        <f>IFERROR(VLOOKUP($B33,Surp2!$A$1:$B$161,2,0),0)</f>
        <v>57</v>
      </c>
      <c r="H33" s="95">
        <f>IFERROR(VLOOKUP(G33,Surp2!$B$1:$C$161,2,0),0)</f>
        <v>13.16777663</v>
      </c>
      <c r="I33" s="94">
        <f>IFERROR(VLOOKUP($B33,Surp3!$A$1:$B$161,2,0),0)</f>
        <v>13</v>
      </c>
      <c r="J33" s="95">
        <f>IFERROR(VLOOKUP(I33,Surp3!$B$1:$C$161,2,0),0)</f>
        <v>262.7995554</v>
      </c>
      <c r="K33" s="94">
        <f>IFERROR(VLOOKUP($B33,Surp4!$A$1:$B$161,2,0),0)</f>
        <v>0</v>
      </c>
      <c r="L33" s="95">
        <f>IFERROR(VLOOKUP(K33,Surp4!$B$1:$C$161,2,0),0)</f>
        <v>0</v>
      </c>
      <c r="M33" s="94">
        <f>IFERROR(VLOOKUP($B33,Surp5!$A$1:$B$161,2,0),0)</f>
        <v>0</v>
      </c>
      <c r="N33" s="95">
        <f>IFERROR(VLOOKUP(M33,Surp5!$B$1:$C$161,2,0),0)</f>
        <v>0</v>
      </c>
      <c r="O33" s="94">
        <f>IFERROR(VLOOKUP($B33,Surp6!$A$1:$B$161,2,0),0)</f>
        <v>0</v>
      </c>
      <c r="P33" s="95">
        <f>IFERROR(VLOOKUP(O33,Surp6!$B$1:$C$161,2,0),0)</f>
        <v>0</v>
      </c>
      <c r="Q33" s="94">
        <f>IFERROR(VLOOKUP($B33,Surp7!$A$1:$B$161,2,0),0)</f>
        <v>0</v>
      </c>
      <c r="R33" s="95">
        <f>IFERROR(VLOOKUP(Q33,Surp7!$B$1:$C$161,2,0),0)</f>
        <v>0</v>
      </c>
      <c r="S33" s="94">
        <f>IFERROR(VLOOKUP($B33,Surp8!$A$1:$B$161,2,0),0)</f>
        <v>2</v>
      </c>
      <c r="T33" s="95">
        <f>IFERROR(VLOOKUP(S33,Surp8!$B$1:$C$161,2,0),0)</f>
        <v>530.0768925</v>
      </c>
      <c r="U33" s="94">
        <f>IFERROR(VLOOKUP($B33,Surp9!$A$1:$B$161,2,0),0)</f>
        <v>0</v>
      </c>
      <c r="V33" s="95">
        <f>IFERROR(VLOOKUP(U33,Surp9!$B$1:$C$161,2,0),0)</f>
        <v>0</v>
      </c>
      <c r="W33" s="94">
        <f>IFERROR(VLOOKUP($B33,Surp10!$A$1:$B$161,2,0),0)</f>
        <v>0</v>
      </c>
      <c r="X33" s="95">
        <f>IFERROR(VLOOKUP(W33,Surp10!$B$1:$C$161,2,0),0)</f>
        <v>0</v>
      </c>
      <c r="Y33" s="94">
        <f>IFERROR(VLOOKUP($B33,Surp11!$A$1:$B$161,2,0),0)</f>
        <v>16</v>
      </c>
      <c r="Z33" s="95">
        <f>IFERROR(VLOOKUP(Y33,Surp11!$B$1:$C$161,2,0),0)</f>
        <v>135.23472</v>
      </c>
      <c r="AA33" s="95">
        <f>IFERROR(VLOOKUP(E33,Surp1!$B$1:$C$161,2,0),0)</f>
        <v>116.9804204</v>
      </c>
      <c r="AB33" s="95">
        <f>IFERROR(VLOOKUP(G33,Surp2!$B$1:$C$161,2,0),0)</f>
        <v>13.16777663</v>
      </c>
      <c r="AC33" s="95">
        <f>IFERROR(VLOOKUP(I33,Surp3!$B$1:$C$161,2,0),0)</f>
        <v>262.7995554</v>
      </c>
      <c r="AD33" s="95">
        <f>IFERROR(VLOOKUP(K33,Surp4!$B$1:$C$161,2,0),0)</f>
        <v>0</v>
      </c>
      <c r="AE33" s="95">
        <f>IFERROR(VLOOKUP(M33,Surp5!$B$1:$C$161,2,0),0)</f>
        <v>0</v>
      </c>
      <c r="AF33" s="95">
        <f>IFERROR(VLOOKUP(O33,Surp6!$B$1:$C$161,2,0),0)</f>
        <v>0</v>
      </c>
      <c r="AG33" s="95">
        <f>IFERROR(VLOOKUP(Q33,Surp7!$B$1:$C$161,2,0),0)</f>
        <v>0</v>
      </c>
      <c r="AH33" s="95">
        <f>IFERROR(VLOOKUP(S33,Surp8!$B$1:$C$161,2,0),0)</f>
        <v>530.0768925</v>
      </c>
      <c r="AI33" s="95">
        <f>IFERROR(VLOOKUP(U33,Surp9!$B$1:$C$161,2,0),0)</f>
        <v>0</v>
      </c>
      <c r="AJ33" s="95">
        <f>IFERROR(VLOOKUP(W33,Surp10!$B$1:$C$161,2,0),0)</f>
        <v>0</v>
      </c>
      <c r="AK33" s="95">
        <f>IFERROR(VLOOKUP(Y33,Surp11!$B$1:$C$161,2,0),0)</f>
        <v>135.23472</v>
      </c>
    </row>
    <row r="34" ht="15.75" customHeight="1">
      <c r="A34" s="171">
        <v>33.0</v>
      </c>
      <c r="B34" s="6" t="s">
        <v>58</v>
      </c>
      <c r="C34" s="136">
        <f t="shared" si="1"/>
        <v>1048.267861</v>
      </c>
      <c r="D34" s="173"/>
      <c r="E34" s="174">
        <f>IFERROR(VLOOKUP($B34,Surp1!$A$1:$B$161,2,0),0)</f>
        <v>44</v>
      </c>
      <c r="F34" s="175">
        <f>IFERROR(VLOOKUP(E34,Surp1!$B$1:$C$161,2,0),0)</f>
        <v>67.24611816</v>
      </c>
      <c r="G34" s="174">
        <f>IFERROR(VLOOKUP($B34,Surp2!$A$1:$B$161,2,0),0)</f>
        <v>15</v>
      </c>
      <c r="H34" s="175">
        <f>IFERROR(VLOOKUP(G34,Surp2!$B$1:$C$161,2,0),0)</f>
        <v>275.7716447</v>
      </c>
      <c r="I34" s="174">
        <f>IFERROR(VLOOKUP($B34,Surp3!$A$1:$B$161,2,0),0)</f>
        <v>0</v>
      </c>
      <c r="J34" s="175">
        <f>IFERROR(VLOOKUP(I34,Surp3!$B$1:$C$161,2,0),0)</f>
        <v>0</v>
      </c>
      <c r="K34" s="174">
        <f>IFERROR(VLOOKUP($B34,Surp4!$A$1:$B$161,2,0),0)</f>
        <v>0</v>
      </c>
      <c r="L34" s="175">
        <f>IFERROR(VLOOKUP(K34,Surp4!$B$1:$C$161,2,0),0)</f>
        <v>0</v>
      </c>
      <c r="M34" s="174">
        <f>IFERROR(VLOOKUP($B34,Surp5!$A$1:$B$161,2,0),0)</f>
        <v>36</v>
      </c>
      <c r="N34" s="175">
        <f>IFERROR(VLOOKUP(M34,Surp5!$B$1:$C$161,2,0),0)</f>
        <v>91.86281338</v>
      </c>
      <c r="O34" s="174">
        <f>IFERROR(VLOOKUP($B34,Surp6!$A$1:$B$161,2,0),0)</f>
        <v>0</v>
      </c>
      <c r="P34" s="175">
        <f>IFERROR(VLOOKUP(O34,Surp6!$B$1:$C$161,2,0),0)</f>
        <v>0</v>
      </c>
      <c r="Q34" s="174">
        <f>IFERROR(VLOOKUP($B34,Surp7!$A$1:$B$161,2,0),0)</f>
        <v>7</v>
      </c>
      <c r="R34" s="175">
        <f>IFERROR(VLOOKUP(Q34,Surp7!$B$1:$C$161,2,0),0)</f>
        <v>385.267789</v>
      </c>
      <c r="S34" s="174">
        <f>IFERROR(VLOOKUP($B34,Surp8!$A$1:$B$161,2,0),0)</f>
        <v>0</v>
      </c>
      <c r="T34" s="175">
        <f>IFERROR(VLOOKUP(S34,Surp8!$B$1:$C$161,2,0),0)</f>
        <v>0</v>
      </c>
      <c r="U34" s="174">
        <f>IFERROR(VLOOKUP($B34,Surp9!$A$1:$B$161,2,0),0)</f>
        <v>15</v>
      </c>
      <c r="V34" s="175">
        <f>IFERROR(VLOOKUP(U34,Surp9!$B$1:$C$161,2,0),0)</f>
        <v>228.1194956</v>
      </c>
      <c r="W34" s="174">
        <f>IFERROR(VLOOKUP($B34,Surp10!$A$1:$B$161,2,0),0)</f>
        <v>0</v>
      </c>
      <c r="X34" s="175">
        <f>IFERROR(VLOOKUP(W34,Surp10!$B$1:$C$161,2,0),0)</f>
        <v>0</v>
      </c>
      <c r="Y34" s="174">
        <f>IFERROR(VLOOKUP($B34,Surp11!$A$1:$B$161,2,0),0)</f>
        <v>0</v>
      </c>
      <c r="Z34" s="175">
        <f>IFERROR(VLOOKUP(Y34,Surp11!$B$1:$C$161,2,0),0)</f>
        <v>0</v>
      </c>
      <c r="AA34" s="175">
        <f>IFERROR(VLOOKUP(E34,Surp1!$B$1:$C$161,2,0),0)</f>
        <v>67.24611816</v>
      </c>
      <c r="AB34" s="175">
        <f>IFERROR(VLOOKUP(G34,Surp2!$B$1:$C$161,2,0),0)</f>
        <v>275.7716447</v>
      </c>
      <c r="AC34" s="175">
        <f>IFERROR(VLOOKUP(I34,Surp3!$B$1:$C$161,2,0),0)</f>
        <v>0</v>
      </c>
      <c r="AD34" s="175">
        <f>IFERROR(VLOOKUP(K34,Surp4!$B$1:$C$161,2,0),0)</f>
        <v>0</v>
      </c>
      <c r="AE34" s="175">
        <f>IFERROR(VLOOKUP(M34,Surp5!$B$1:$C$161,2,0),0)</f>
        <v>91.86281338</v>
      </c>
      <c r="AF34" s="175">
        <f>IFERROR(VLOOKUP(O34,Surp6!$B$1:$C$161,2,0),0)</f>
        <v>0</v>
      </c>
      <c r="AG34" s="175">
        <f>IFERROR(VLOOKUP(Q34,Surp7!$B$1:$C$161,2,0),0)</f>
        <v>385.267789</v>
      </c>
      <c r="AH34" s="175">
        <f>IFERROR(VLOOKUP(S34,Surp8!$B$1:$C$161,2,0),0)</f>
        <v>0</v>
      </c>
      <c r="AI34" s="175">
        <f>IFERROR(VLOOKUP(U34,Surp9!$B$1:$C$161,2,0),0)</f>
        <v>228.1194956</v>
      </c>
      <c r="AJ34" s="175">
        <f>IFERROR(VLOOKUP(W34,Surp10!$B$1:$C$161,2,0),0)</f>
        <v>0</v>
      </c>
      <c r="AK34" s="175">
        <f>IFERROR(VLOOKUP(Y34,Surp11!$B$1:$C$161,2,0),0)</f>
        <v>0</v>
      </c>
    </row>
    <row r="35" ht="15.75" customHeight="1">
      <c r="A35" s="172">
        <v>34.0</v>
      </c>
      <c r="B35" s="24" t="s">
        <v>230</v>
      </c>
      <c r="C35" s="136">
        <f t="shared" si="1"/>
        <v>1042.763634</v>
      </c>
      <c r="D35" s="136"/>
      <c r="E35" s="137">
        <f>IFERROR(VLOOKUP($B35,Surp1!$A$1:$B$161,2,0),0)</f>
        <v>0</v>
      </c>
      <c r="F35" s="97">
        <f>IFERROR(VLOOKUP(E35,Surp1!$B$1:$C$161,2,0),0)</f>
        <v>0</v>
      </c>
      <c r="G35" s="137">
        <f>IFERROR(VLOOKUP($B35,Surp2!$A$1:$B$161,2,0),0)</f>
        <v>0</v>
      </c>
      <c r="H35" s="97">
        <f>IFERROR(VLOOKUP(G35,Surp2!$B$1:$C$161,2,0),0)</f>
        <v>0</v>
      </c>
      <c r="I35" s="137">
        <f>IFERROR(VLOOKUP($B35,Surp3!$A$1:$B$161,2,0),0)</f>
        <v>0</v>
      </c>
      <c r="J35" s="97">
        <f>IFERROR(VLOOKUP(I35,Surp3!$B$1:$C$161,2,0),0)</f>
        <v>0</v>
      </c>
      <c r="K35" s="137">
        <f>IFERROR(VLOOKUP($B35,Surp4!$A$1:$B$161,2,0),0)</f>
        <v>0</v>
      </c>
      <c r="L35" s="97">
        <f>IFERROR(VLOOKUP(K35,Surp4!$B$1:$C$161,2,0),0)</f>
        <v>0</v>
      </c>
      <c r="M35" s="137">
        <f>IFERROR(VLOOKUP($B35,Surp5!$A$1:$B$161,2,0),0)</f>
        <v>50</v>
      </c>
      <c r="N35" s="97">
        <f>IFERROR(VLOOKUP(M35,Surp5!$B$1:$C$161,2,0),0)</f>
        <v>14.93293585</v>
      </c>
      <c r="O35" s="137">
        <f>IFERROR(VLOOKUP($B35,Surp6!$A$1:$B$161,2,0),0)</f>
        <v>0</v>
      </c>
      <c r="P35" s="97">
        <f>IFERROR(VLOOKUP(O35,Surp6!$B$1:$C$161,2,0),0)</f>
        <v>0</v>
      </c>
      <c r="Q35" s="137">
        <f>IFERROR(VLOOKUP($B35,Surp7!$A$1:$B$161,2,0),0)</f>
        <v>4</v>
      </c>
      <c r="R35" s="97">
        <f>IFERROR(VLOOKUP(Q35,Surp7!$B$1:$C$161,2,0),0)</f>
        <v>469.7081308</v>
      </c>
      <c r="S35" s="137">
        <f>IFERROR(VLOOKUP($B35,Surp8!$A$1:$B$161,2,0),0)</f>
        <v>0</v>
      </c>
      <c r="T35" s="97">
        <f>IFERROR(VLOOKUP(S35,Surp8!$B$1:$C$161,2,0),0)</f>
        <v>0</v>
      </c>
      <c r="U35" s="137">
        <f>IFERROR(VLOOKUP($B35,Surp9!$A$1:$B$161,2,0),0)</f>
        <v>0</v>
      </c>
      <c r="V35" s="97">
        <f>IFERROR(VLOOKUP(U35,Surp9!$B$1:$C$161,2,0),0)</f>
        <v>0</v>
      </c>
      <c r="W35" s="137">
        <f>IFERROR(VLOOKUP($B35,Surp10!$A$1:$B$161,2,0),0)</f>
        <v>2</v>
      </c>
      <c r="X35" s="97">
        <f>IFERROR(VLOOKUP(W35,Surp10!$B$1:$C$161,2,0),0)</f>
        <v>558.1225672</v>
      </c>
      <c r="Y35" s="137">
        <f>IFERROR(VLOOKUP($B35,Surp11!$A$1:$B$161,2,0),0)</f>
        <v>0</v>
      </c>
      <c r="Z35" s="97">
        <f>IFERROR(VLOOKUP(Y35,Surp11!$B$1:$C$161,2,0),0)</f>
        <v>0</v>
      </c>
      <c r="AA35" s="97">
        <f>IFERROR(VLOOKUP(E35,Surp1!$B$1:$C$161,2,0),0)</f>
        <v>0</v>
      </c>
      <c r="AB35" s="97">
        <f>IFERROR(VLOOKUP(G35,Surp2!$B$1:$C$161,2,0),0)</f>
        <v>0</v>
      </c>
      <c r="AC35" s="97">
        <f>IFERROR(VLOOKUP(I35,Surp3!$B$1:$C$161,2,0),0)</f>
        <v>0</v>
      </c>
      <c r="AD35" s="97">
        <f>IFERROR(VLOOKUP(K35,Surp4!$B$1:$C$161,2,0),0)</f>
        <v>0</v>
      </c>
      <c r="AE35" s="97">
        <f>IFERROR(VLOOKUP(M35,Surp5!$B$1:$C$161,2,0),0)</f>
        <v>14.93293585</v>
      </c>
      <c r="AF35" s="97">
        <f>IFERROR(VLOOKUP(O35,Surp6!$B$1:$C$161,2,0),0)</f>
        <v>0</v>
      </c>
      <c r="AG35" s="97">
        <f>IFERROR(VLOOKUP(Q35,Surp7!$B$1:$C$161,2,0),0)</f>
        <v>469.7081308</v>
      </c>
      <c r="AH35" s="97">
        <f>IFERROR(VLOOKUP(S35,Surp8!$B$1:$C$161,2,0),0)</f>
        <v>0</v>
      </c>
      <c r="AI35" s="97">
        <f>IFERROR(VLOOKUP(U35,Surp9!$B$1:$C$161,2,0),0)</f>
        <v>0</v>
      </c>
      <c r="AJ35" s="97">
        <f>IFERROR(VLOOKUP(W35,Surp10!$B$1:$C$161,2,0),0)</f>
        <v>558.1225672</v>
      </c>
      <c r="AK35" s="97">
        <f>IFERROR(VLOOKUP(Y35,Surp11!$B$1:$C$161,2,0),0)</f>
        <v>0</v>
      </c>
    </row>
    <row r="36" ht="15.75" customHeight="1">
      <c r="A36" s="171">
        <v>35.0</v>
      </c>
      <c r="B36" s="6" t="s">
        <v>33</v>
      </c>
      <c r="C36" s="136">
        <f t="shared" si="1"/>
        <v>1031.667647</v>
      </c>
      <c r="D36" s="93"/>
      <c r="E36" s="94">
        <f>IFERROR(VLOOKUP($B36,Surp1!$A$1:$B$161,2,0),0)</f>
        <v>0</v>
      </c>
      <c r="F36" s="95">
        <f>IFERROR(VLOOKUP(E36,Surp1!$B$1:$C$161,2,0),0)</f>
        <v>0</v>
      </c>
      <c r="G36" s="94">
        <f>IFERROR(VLOOKUP($B36,Surp2!$A$1:$B$161,2,0),0)</f>
        <v>26</v>
      </c>
      <c r="H36" s="95">
        <f>IFERROR(VLOOKUP(G36,Surp2!$B$1:$C$161,2,0),0)</f>
        <v>181.5914892</v>
      </c>
      <c r="I36" s="94">
        <f>IFERROR(VLOOKUP($B36,Surp3!$A$1:$B$161,2,0),0)</f>
        <v>0</v>
      </c>
      <c r="J36" s="95">
        <f>IFERROR(VLOOKUP(I36,Surp3!$B$1:$C$161,2,0),0)</f>
        <v>0</v>
      </c>
      <c r="K36" s="94">
        <f>IFERROR(VLOOKUP($B36,Surp4!$A$1:$B$161,2,0),0)</f>
        <v>10</v>
      </c>
      <c r="L36" s="95">
        <f>IFERROR(VLOOKUP(K36,Surp4!$B$1:$C$161,2,0),0)</f>
        <v>314.1084159</v>
      </c>
      <c r="M36" s="94">
        <f>IFERROR(VLOOKUP($B36,Surp5!$A$1:$B$161,2,0),0)</f>
        <v>0</v>
      </c>
      <c r="N36" s="95">
        <f>IFERROR(VLOOKUP(M36,Surp5!$B$1:$C$161,2,0),0)</f>
        <v>0</v>
      </c>
      <c r="O36" s="94">
        <f>IFERROR(VLOOKUP($B36,Surp6!$A$1:$B$161,2,0),0)</f>
        <v>4</v>
      </c>
      <c r="P36" s="95">
        <f>IFERROR(VLOOKUP(O36,Surp6!$B$1:$C$161,2,0),0)</f>
        <v>469.7081308</v>
      </c>
      <c r="Q36" s="94">
        <f>IFERROR(VLOOKUP($B36,Surp7!$A$1:$B$161,2,0),0)</f>
        <v>0</v>
      </c>
      <c r="R36" s="95">
        <f>IFERROR(VLOOKUP(Q36,Surp7!$B$1:$C$161,2,0),0)</f>
        <v>0</v>
      </c>
      <c r="S36" s="94">
        <f>IFERROR(VLOOKUP($B36,Surp8!$A$1:$B$161,2,0),0)</f>
        <v>32</v>
      </c>
      <c r="T36" s="95">
        <f>IFERROR(VLOOKUP(S36,Surp8!$B$1:$C$161,2,0),0)</f>
        <v>66.25961157</v>
      </c>
      <c r="U36" s="94">
        <f>IFERROR(VLOOKUP($B36,Surp9!$A$1:$B$161,2,0),0)</f>
        <v>0</v>
      </c>
      <c r="V36" s="95">
        <f>IFERROR(VLOOKUP(U36,Surp9!$B$1:$C$161,2,0),0)</f>
        <v>0</v>
      </c>
      <c r="W36" s="94">
        <f>IFERROR(VLOOKUP($B36,Surp10!$A$1:$B$161,2,0),0)</f>
        <v>0</v>
      </c>
      <c r="X36" s="95">
        <f>IFERROR(VLOOKUP(W36,Surp10!$B$1:$C$161,2,0),0)</f>
        <v>0</v>
      </c>
      <c r="Y36" s="94">
        <f>IFERROR(VLOOKUP($B36,Surp11!$A$1:$B$161,2,0),0)</f>
        <v>0</v>
      </c>
      <c r="Z36" s="95">
        <f>IFERROR(VLOOKUP(Y36,Surp11!$B$1:$C$161,2,0),0)</f>
        <v>0</v>
      </c>
      <c r="AA36" s="95">
        <f>IFERROR(VLOOKUP(E36,Surp1!$B$1:$C$161,2,0),0)</f>
        <v>0</v>
      </c>
      <c r="AB36" s="95">
        <f>IFERROR(VLOOKUP(G36,Surp2!$B$1:$C$161,2,0),0)</f>
        <v>181.5914892</v>
      </c>
      <c r="AC36" s="95">
        <f>IFERROR(VLOOKUP(I36,Surp3!$B$1:$C$161,2,0),0)</f>
        <v>0</v>
      </c>
      <c r="AD36" s="95">
        <f>IFERROR(VLOOKUP(K36,Surp4!$B$1:$C$161,2,0),0)</f>
        <v>314.1084159</v>
      </c>
      <c r="AE36" s="95">
        <f>IFERROR(VLOOKUP(M36,Surp5!$B$1:$C$161,2,0),0)</f>
        <v>0</v>
      </c>
      <c r="AF36" s="95">
        <f>IFERROR(VLOOKUP(O36,Surp6!$B$1:$C$161,2,0),0)</f>
        <v>469.7081308</v>
      </c>
      <c r="AG36" s="95">
        <f>IFERROR(VLOOKUP(Q36,Surp7!$B$1:$C$161,2,0),0)</f>
        <v>0</v>
      </c>
      <c r="AH36" s="95">
        <f>IFERROR(VLOOKUP(S36,Surp8!$B$1:$C$161,2,0),0)</f>
        <v>66.25961157</v>
      </c>
      <c r="AI36" s="95">
        <f>IFERROR(VLOOKUP(U36,Surp9!$B$1:$C$161,2,0),0)</f>
        <v>0</v>
      </c>
      <c r="AJ36" s="95">
        <f>IFERROR(VLOOKUP(W36,Surp10!$B$1:$C$161,2,0),0)</f>
        <v>0</v>
      </c>
      <c r="AK36" s="95">
        <f>IFERROR(VLOOKUP(Y36,Surp11!$B$1:$C$161,2,0),0)</f>
        <v>0</v>
      </c>
    </row>
    <row r="37" ht="15.75" customHeight="1">
      <c r="A37" s="172">
        <v>36.0</v>
      </c>
      <c r="B37" s="6" t="s">
        <v>77</v>
      </c>
      <c r="C37" s="136">
        <f t="shared" si="1"/>
        <v>1008.472975</v>
      </c>
      <c r="D37" s="173"/>
      <c r="E37" s="174">
        <f>IFERROR(VLOOKUP($B37,Surp1!$A$1:$B$161,2,0),0)</f>
        <v>18</v>
      </c>
      <c r="F37" s="175">
        <f>IFERROR(VLOOKUP(E37,Surp1!$B$1:$C$161,2,0),0)</f>
        <v>240.2393908</v>
      </c>
      <c r="G37" s="174">
        <f>IFERROR(VLOOKUP($B37,Surp2!$A$1:$B$161,2,0),0)</f>
        <v>0</v>
      </c>
      <c r="H37" s="175">
        <f>IFERROR(VLOOKUP(G37,Surp2!$B$1:$C$161,2,0),0)</f>
        <v>0</v>
      </c>
      <c r="I37" s="174">
        <f>IFERROR(VLOOKUP($B37,Surp3!$A$1:$B$161,2,0),0)</f>
        <v>44</v>
      </c>
      <c r="J37" s="175">
        <f>IFERROR(VLOOKUP(I37,Surp3!$B$1:$C$161,2,0),0)</f>
        <v>22.14314185</v>
      </c>
      <c r="K37" s="174">
        <f>IFERROR(VLOOKUP($B37,Surp4!$A$1:$B$161,2,0),0)</f>
        <v>48</v>
      </c>
      <c r="L37" s="175">
        <f>IFERROR(VLOOKUP(K37,Surp4!$B$1:$C$161,2,0),0)</f>
        <v>15.52768318</v>
      </c>
      <c r="M37" s="174">
        <f>IFERROR(VLOOKUP($B37,Surp5!$A$1:$B$161,2,0),0)</f>
        <v>12</v>
      </c>
      <c r="N37" s="175">
        <f>IFERROR(VLOOKUP(M37,Surp5!$B$1:$C$161,2,0),0)</f>
        <v>291.57816</v>
      </c>
      <c r="O37" s="174">
        <f>IFERROR(VLOOKUP($B37,Surp6!$A$1:$B$161,2,0),0)</f>
        <v>33</v>
      </c>
      <c r="P37" s="175">
        <f>IFERROR(VLOOKUP(O37,Surp6!$B$1:$C$161,2,0),0)</f>
        <v>125.5018024</v>
      </c>
      <c r="Q37" s="174">
        <f>IFERROR(VLOOKUP($B37,Surp7!$A$1:$B$161,2,0),0)</f>
        <v>33</v>
      </c>
      <c r="R37" s="175">
        <f>IFERROR(VLOOKUP(Q37,Surp7!$B$1:$C$161,2,0),0)</f>
        <v>125.5018024</v>
      </c>
      <c r="S37" s="174">
        <f>IFERROR(VLOOKUP($B37,Surp8!$A$1:$B$161,2,0),0)</f>
        <v>25</v>
      </c>
      <c r="T37" s="175">
        <f>IFERROR(VLOOKUP(S37,Surp8!$B$1:$C$161,2,0),0)</f>
        <v>119.8119949</v>
      </c>
      <c r="U37" s="174">
        <f>IFERROR(VLOOKUP($B37,Surp9!$A$1:$B$161,2,0),0)</f>
        <v>34</v>
      </c>
      <c r="V37" s="175">
        <f>IFERROR(VLOOKUP(U37,Surp9!$B$1:$C$161,2,0),0)</f>
        <v>68.16899927</v>
      </c>
      <c r="W37" s="174">
        <f>IFERROR(VLOOKUP($B37,Surp10!$A$1:$B$161,2,0),0)</f>
        <v>0</v>
      </c>
      <c r="X37" s="175">
        <f>IFERROR(VLOOKUP(W37,Surp10!$B$1:$C$161,2,0),0)</f>
        <v>0</v>
      </c>
      <c r="Y37" s="174">
        <f>IFERROR(VLOOKUP($B37,Surp11!$A$1:$B$161,2,0),0)</f>
        <v>0</v>
      </c>
      <c r="Z37" s="175">
        <f>IFERROR(VLOOKUP(Y37,Surp11!$B$1:$C$161,2,0),0)</f>
        <v>0</v>
      </c>
      <c r="AA37" s="175">
        <f>IFERROR(VLOOKUP(E37,Surp1!$B$1:$C$161,2,0),0)</f>
        <v>240.2393908</v>
      </c>
      <c r="AB37" s="175">
        <f>IFERROR(VLOOKUP(G37,Surp2!$B$1:$C$161,2,0),0)</f>
        <v>0</v>
      </c>
      <c r="AC37" s="175">
        <f>IFERROR(VLOOKUP(I37,Surp3!$B$1:$C$161,2,0),0)</f>
        <v>22.14314185</v>
      </c>
      <c r="AD37" s="175">
        <f>IFERROR(VLOOKUP(K37,Surp4!$B$1:$C$161,2,0),0)</f>
        <v>15.52768318</v>
      </c>
      <c r="AE37" s="175">
        <f>IFERROR(VLOOKUP(M37,Surp5!$B$1:$C$161,2,0),0)</f>
        <v>291.57816</v>
      </c>
      <c r="AF37" s="175">
        <f>IFERROR(VLOOKUP(O37,Surp6!$B$1:$C$161,2,0),0)</f>
        <v>125.5018024</v>
      </c>
      <c r="AG37" s="175">
        <f>IFERROR(VLOOKUP(Q37,Surp7!$B$1:$C$161,2,0),0)</f>
        <v>125.5018024</v>
      </c>
      <c r="AH37" s="175">
        <f>IFERROR(VLOOKUP(S37,Surp8!$B$1:$C$161,2,0),0)</f>
        <v>119.8119949</v>
      </c>
      <c r="AI37" s="175">
        <f>IFERROR(VLOOKUP(U37,Surp9!$B$1:$C$161,2,0),0)</f>
        <v>68.16899927</v>
      </c>
      <c r="AJ37" s="175">
        <f>IFERROR(VLOOKUP(W37,Surp10!$B$1:$C$161,2,0),0)</f>
        <v>0</v>
      </c>
      <c r="AK37" s="175">
        <f>IFERROR(VLOOKUP(Y37,Surp11!$B$1:$C$161,2,0),0)</f>
        <v>0</v>
      </c>
    </row>
    <row r="38" ht="15.75" customHeight="1">
      <c r="A38" s="171">
        <v>37.0</v>
      </c>
      <c r="B38" s="6" t="s">
        <v>25</v>
      </c>
      <c r="C38" s="136">
        <f t="shared" si="1"/>
        <v>988.3154774</v>
      </c>
      <c r="D38" s="93"/>
      <c r="E38" s="94">
        <f>IFERROR(VLOOKUP($B38,Surp1!$A$1:$B$161,2,0),0)</f>
        <v>41</v>
      </c>
      <c r="F38" s="95">
        <f>IFERROR(VLOOKUP(E38,Surp1!$B$1:$C$161,2,0),0)</f>
        <v>83.11038803</v>
      </c>
      <c r="G38" s="94">
        <f>IFERROR(VLOOKUP($B38,Surp2!$A$1:$B$161,2,0),0)</f>
        <v>0</v>
      </c>
      <c r="H38" s="95">
        <f>IFERROR(VLOOKUP(G38,Surp2!$B$1:$C$161,2,0),0)</f>
        <v>0</v>
      </c>
      <c r="I38" s="94">
        <f>IFERROR(VLOOKUP($B38,Surp3!$A$1:$B$161,2,0),0)</f>
        <v>4</v>
      </c>
      <c r="J38" s="95">
        <f>IFERROR(VLOOKUP(I38,Surp3!$B$1:$C$161,2,0),0)</f>
        <v>443.5883162</v>
      </c>
      <c r="K38" s="94">
        <f>IFERROR(VLOOKUP($B38,Surp4!$A$1:$B$161,2,0),0)</f>
        <v>0</v>
      </c>
      <c r="L38" s="95">
        <f>IFERROR(VLOOKUP(K38,Surp4!$B$1:$C$161,2,0),0)</f>
        <v>0</v>
      </c>
      <c r="M38" s="94">
        <f>IFERROR(VLOOKUP($B38,Surp5!$A$1:$B$161,2,0),0)</f>
        <v>8</v>
      </c>
      <c r="N38" s="95">
        <f>IFERROR(VLOOKUP(M38,Surp5!$B$1:$C$161,2,0),0)</f>
        <v>354.1656708</v>
      </c>
      <c r="O38" s="94">
        <f>IFERROR(VLOOKUP($B38,Surp6!$A$1:$B$161,2,0),0)</f>
        <v>36</v>
      </c>
      <c r="P38" s="95">
        <f>IFERROR(VLOOKUP(O38,Surp6!$B$1:$C$161,2,0),0)</f>
        <v>107.4511025</v>
      </c>
      <c r="Q38" s="94">
        <f>IFERROR(VLOOKUP($B38,Surp7!$A$1:$B$161,2,0),0)</f>
        <v>0</v>
      </c>
      <c r="R38" s="95">
        <f>IFERROR(VLOOKUP(Q38,Surp7!$B$1:$C$161,2,0),0)</f>
        <v>0</v>
      </c>
      <c r="S38" s="94">
        <f>IFERROR(VLOOKUP($B38,Surp8!$A$1:$B$161,2,0),0)</f>
        <v>0</v>
      </c>
      <c r="T38" s="95">
        <f>IFERROR(VLOOKUP(S38,Surp8!$B$1:$C$161,2,0),0)</f>
        <v>0</v>
      </c>
      <c r="U38" s="94">
        <f>IFERROR(VLOOKUP($B38,Surp9!$A$1:$B$161,2,0),0)</f>
        <v>0</v>
      </c>
      <c r="V38" s="95">
        <f>IFERROR(VLOOKUP(U38,Surp9!$B$1:$C$161,2,0),0)</f>
        <v>0</v>
      </c>
      <c r="W38" s="94">
        <f>IFERROR(VLOOKUP($B38,Surp10!$A$1:$B$161,2,0),0)</f>
        <v>0</v>
      </c>
      <c r="X38" s="95">
        <f>IFERROR(VLOOKUP(W38,Surp10!$B$1:$C$161,2,0),0)</f>
        <v>0</v>
      </c>
      <c r="Y38" s="94">
        <f>IFERROR(VLOOKUP($B38,Surp11!$A$1:$B$161,2,0),0)</f>
        <v>0</v>
      </c>
      <c r="Z38" s="95">
        <f>IFERROR(VLOOKUP(Y38,Surp11!$B$1:$C$161,2,0),0)</f>
        <v>0</v>
      </c>
      <c r="AA38" s="95">
        <f>IFERROR(VLOOKUP(E38,Surp1!$B$1:$C$161,2,0),0)</f>
        <v>83.11038803</v>
      </c>
      <c r="AB38" s="95">
        <f>IFERROR(VLOOKUP(G38,Surp2!$B$1:$C$161,2,0),0)</f>
        <v>0</v>
      </c>
      <c r="AC38" s="95">
        <f>IFERROR(VLOOKUP(I38,Surp3!$B$1:$C$161,2,0),0)</f>
        <v>443.5883162</v>
      </c>
      <c r="AD38" s="95">
        <f>IFERROR(VLOOKUP(K38,Surp4!$B$1:$C$161,2,0),0)</f>
        <v>0</v>
      </c>
      <c r="AE38" s="95">
        <f>IFERROR(VLOOKUP(M38,Surp5!$B$1:$C$161,2,0),0)</f>
        <v>354.1656708</v>
      </c>
      <c r="AF38" s="95">
        <f>IFERROR(VLOOKUP(O38,Surp6!$B$1:$C$161,2,0),0)</f>
        <v>107.4511025</v>
      </c>
      <c r="AG38" s="95">
        <f>IFERROR(VLOOKUP(Q38,Surp7!$B$1:$C$161,2,0),0)</f>
        <v>0</v>
      </c>
      <c r="AH38" s="95">
        <f>IFERROR(VLOOKUP(S38,Surp8!$B$1:$C$161,2,0),0)</f>
        <v>0</v>
      </c>
      <c r="AI38" s="95">
        <f>IFERROR(VLOOKUP(U38,Surp9!$B$1:$C$161,2,0),0)</f>
        <v>0</v>
      </c>
      <c r="AJ38" s="95">
        <f>IFERROR(VLOOKUP(W38,Surp10!$B$1:$C$161,2,0),0)</f>
        <v>0</v>
      </c>
      <c r="AK38" s="95">
        <f>IFERROR(VLOOKUP(Y38,Surp11!$B$1:$C$161,2,0),0)</f>
        <v>0</v>
      </c>
    </row>
    <row r="39" ht="15.75" customHeight="1">
      <c r="A39" s="172">
        <v>38.0</v>
      </c>
      <c r="B39" s="6" t="s">
        <v>78</v>
      </c>
      <c r="C39" s="136">
        <f t="shared" si="1"/>
        <v>969.9891141</v>
      </c>
      <c r="D39" s="93"/>
      <c r="E39" s="94">
        <f>IFERROR(VLOOKUP($B39,Surp1!$A$1:$B$161,2,0),0)</f>
        <v>0</v>
      </c>
      <c r="F39" s="95">
        <f>IFERROR(VLOOKUP(E39,Surp1!$B$1:$C$161,2,0),0)</f>
        <v>0</v>
      </c>
      <c r="G39" s="94">
        <f>IFERROR(VLOOKUP($B39,Surp2!$A$1:$B$161,2,0),0)</f>
        <v>11</v>
      </c>
      <c r="H39" s="95">
        <f>IFERROR(VLOOKUP(G39,Surp2!$B$1:$C$161,2,0),0)</f>
        <v>324.4948577</v>
      </c>
      <c r="I39" s="94">
        <f>IFERROR(VLOOKUP($B39,Surp3!$A$1:$B$161,2,0),0)</f>
        <v>0</v>
      </c>
      <c r="J39" s="95">
        <f>IFERROR(VLOOKUP(I39,Surp3!$B$1:$C$161,2,0),0)</f>
        <v>0</v>
      </c>
      <c r="K39" s="94">
        <f>IFERROR(VLOOKUP($B39,Surp4!$A$1:$B$161,2,0),0)</f>
        <v>0</v>
      </c>
      <c r="L39" s="95">
        <f>IFERROR(VLOOKUP(K39,Surp4!$B$1:$C$161,2,0),0)</f>
        <v>0</v>
      </c>
      <c r="M39" s="94">
        <f>IFERROR(VLOOKUP($B39,Surp5!$A$1:$B$161,2,0),0)</f>
        <v>19</v>
      </c>
      <c r="N39" s="95">
        <f>IFERROR(VLOOKUP(M39,Surp5!$B$1:$C$161,2,0),0)</f>
        <v>215.5544349</v>
      </c>
      <c r="O39" s="94">
        <f>IFERROR(VLOOKUP($B39,Surp6!$A$1:$B$161,2,0),0)</f>
        <v>0</v>
      </c>
      <c r="P39" s="95">
        <f>IFERROR(VLOOKUP(O39,Surp6!$B$1:$C$161,2,0),0)</f>
        <v>0</v>
      </c>
      <c r="Q39" s="94">
        <f>IFERROR(VLOOKUP($B39,Surp7!$A$1:$B$161,2,0),0)</f>
        <v>0</v>
      </c>
      <c r="R39" s="95">
        <f>IFERROR(VLOOKUP(Q39,Surp7!$B$1:$C$161,2,0),0)</f>
        <v>0</v>
      </c>
      <c r="S39" s="94">
        <f>IFERROR(VLOOKUP($B39,Surp8!$A$1:$B$161,2,0),0)</f>
        <v>8</v>
      </c>
      <c r="T39" s="95">
        <f>IFERROR(VLOOKUP(S39,Surp8!$B$1:$C$161,2,0),0)</f>
        <v>318.5978205</v>
      </c>
      <c r="U39" s="94">
        <f>IFERROR(VLOOKUP($B39,Surp9!$A$1:$B$161,2,0),0)</f>
        <v>0</v>
      </c>
      <c r="V39" s="95">
        <f>IFERROR(VLOOKUP(U39,Surp9!$B$1:$C$161,2,0),0)</f>
        <v>0</v>
      </c>
      <c r="W39" s="94">
        <f>IFERROR(VLOOKUP($B39,Surp10!$A$1:$B$161,2,0),0)</f>
        <v>31</v>
      </c>
      <c r="X39" s="95">
        <f>IFERROR(VLOOKUP(W39,Surp10!$B$1:$C$161,2,0),0)</f>
        <v>111.342001</v>
      </c>
      <c r="Y39" s="94">
        <f>IFERROR(VLOOKUP($B39,Surp11!$A$1:$B$161,2,0),0)</f>
        <v>0</v>
      </c>
      <c r="Z39" s="95">
        <f>IFERROR(VLOOKUP(Y39,Surp11!$B$1:$C$161,2,0),0)</f>
        <v>0</v>
      </c>
      <c r="AA39" s="95">
        <f>IFERROR(VLOOKUP(E39,Surp1!$B$1:$C$161,2,0),0)</f>
        <v>0</v>
      </c>
      <c r="AB39" s="95">
        <f>IFERROR(VLOOKUP(G39,Surp2!$B$1:$C$161,2,0),0)</f>
        <v>324.4948577</v>
      </c>
      <c r="AC39" s="95">
        <f>IFERROR(VLOOKUP(I39,Surp3!$B$1:$C$161,2,0),0)</f>
        <v>0</v>
      </c>
      <c r="AD39" s="95">
        <f>IFERROR(VLOOKUP(K39,Surp4!$B$1:$C$161,2,0),0)</f>
        <v>0</v>
      </c>
      <c r="AE39" s="95">
        <f>IFERROR(VLOOKUP(M39,Surp5!$B$1:$C$161,2,0),0)</f>
        <v>215.5544349</v>
      </c>
      <c r="AF39" s="95">
        <f>IFERROR(VLOOKUP(O39,Surp6!$B$1:$C$161,2,0),0)</f>
        <v>0</v>
      </c>
      <c r="AG39" s="95">
        <f>IFERROR(VLOOKUP(Q39,Surp7!$B$1:$C$161,2,0),0)</f>
        <v>0</v>
      </c>
      <c r="AH39" s="95">
        <f>IFERROR(VLOOKUP(S39,Surp8!$B$1:$C$161,2,0),0)</f>
        <v>318.5978205</v>
      </c>
      <c r="AI39" s="95">
        <f>IFERROR(VLOOKUP(U39,Surp9!$B$1:$C$161,2,0),0)</f>
        <v>0</v>
      </c>
      <c r="AJ39" s="95">
        <f>IFERROR(VLOOKUP(W39,Surp10!$B$1:$C$161,2,0),0)</f>
        <v>111.342001</v>
      </c>
      <c r="AK39" s="95">
        <f>IFERROR(VLOOKUP(Y39,Surp11!$B$1:$C$161,2,0),0)</f>
        <v>0</v>
      </c>
    </row>
    <row r="40" ht="15.75" customHeight="1">
      <c r="A40" s="171">
        <v>39.0</v>
      </c>
      <c r="B40" s="6" t="s">
        <v>86</v>
      </c>
      <c r="C40" s="136">
        <f t="shared" si="1"/>
        <v>967.7374452</v>
      </c>
      <c r="D40" s="173"/>
      <c r="E40" s="174">
        <f>IFERROR(VLOOKUP($B40,Surp1!$A$1:$B$161,2,0),0)</f>
        <v>34</v>
      </c>
      <c r="F40" s="175">
        <f>IFERROR(VLOOKUP(E40,Surp1!$B$1:$C$161,2,0),0)</f>
        <v>122.9543407</v>
      </c>
      <c r="G40" s="174">
        <f>IFERROR(VLOOKUP($B40,Surp2!$A$1:$B$161,2,0),0)</f>
        <v>34</v>
      </c>
      <c r="H40" s="175">
        <f>IFERROR(VLOOKUP(G40,Surp2!$B$1:$C$161,2,0),0)</f>
        <v>129.8564509</v>
      </c>
      <c r="I40" s="174">
        <f>IFERROR(VLOOKUP($B40,Surp3!$A$1:$B$161,2,0),0)</f>
        <v>46</v>
      </c>
      <c r="J40" s="175">
        <f>IFERROR(VLOOKUP(I40,Surp3!$B$1:$C$161,2,0),0)</f>
        <v>10.94921434</v>
      </c>
      <c r="K40" s="174">
        <f>IFERROR(VLOOKUP($B40,Surp4!$A$1:$B$161,2,0),0)</f>
        <v>13</v>
      </c>
      <c r="L40" s="175">
        <f>IFERROR(VLOOKUP(K40,Surp4!$B$1:$C$161,2,0),0)</f>
        <v>272.6424492</v>
      </c>
      <c r="M40" s="174">
        <f>IFERROR(VLOOKUP($B40,Surp5!$A$1:$B$161,2,0),0)</f>
        <v>48</v>
      </c>
      <c r="N40" s="175">
        <f>IFERROR(VLOOKUP(M40,Surp5!$B$1:$C$161,2,0),0)</f>
        <v>25.14352368</v>
      </c>
      <c r="O40" s="174">
        <f>IFERROR(VLOOKUP($B40,Surp6!$A$1:$B$161,2,0),0)</f>
        <v>45</v>
      </c>
      <c r="P40" s="175">
        <f>IFERROR(VLOOKUP(O40,Surp6!$B$1:$C$161,2,0),0)</f>
        <v>58.06913059</v>
      </c>
      <c r="Q40" s="174">
        <f>IFERROR(VLOOKUP($B40,Surp7!$A$1:$B$161,2,0),0)</f>
        <v>47</v>
      </c>
      <c r="R40" s="175">
        <f>IFERROR(VLOOKUP(Q40,Surp7!$B$1:$C$161,2,0),0)</f>
        <v>47.86771997</v>
      </c>
      <c r="S40" s="174">
        <f>IFERROR(VLOOKUP($B40,Surp8!$A$1:$B$161,2,0),0)</f>
        <v>9</v>
      </c>
      <c r="T40" s="175">
        <f>IFERROR(VLOOKUP(S40,Surp8!$B$1:$C$161,2,0),0)</f>
        <v>300.2546159</v>
      </c>
      <c r="U40" s="174">
        <f>IFERROR(VLOOKUP($B40,Surp9!$A$1:$B$161,2,0),0)</f>
        <v>0</v>
      </c>
      <c r="V40" s="175">
        <f>IFERROR(VLOOKUP(U40,Surp9!$B$1:$C$161,2,0),0)</f>
        <v>0</v>
      </c>
      <c r="W40" s="174">
        <f>IFERROR(VLOOKUP($B40,Surp10!$A$1:$B$161,2,0),0)</f>
        <v>0</v>
      </c>
      <c r="X40" s="175">
        <f>IFERROR(VLOOKUP(W40,Surp10!$B$1:$C$161,2,0),0)</f>
        <v>0</v>
      </c>
      <c r="Y40" s="174">
        <f>IFERROR(VLOOKUP($B40,Surp11!$A$1:$B$161,2,0),0)</f>
        <v>0</v>
      </c>
      <c r="Z40" s="175">
        <f>IFERROR(VLOOKUP(Y40,Surp11!$B$1:$C$161,2,0),0)</f>
        <v>0</v>
      </c>
      <c r="AA40" s="175">
        <f>IFERROR(VLOOKUP(E40,Surp1!$B$1:$C$161,2,0),0)</f>
        <v>122.9543407</v>
      </c>
      <c r="AB40" s="175">
        <f>IFERROR(VLOOKUP(G40,Surp2!$B$1:$C$161,2,0),0)</f>
        <v>129.8564509</v>
      </c>
      <c r="AC40" s="175">
        <f>IFERROR(VLOOKUP(I40,Surp3!$B$1:$C$161,2,0),0)</f>
        <v>10.94921434</v>
      </c>
      <c r="AD40" s="175">
        <f>IFERROR(VLOOKUP(K40,Surp4!$B$1:$C$161,2,0),0)</f>
        <v>272.6424492</v>
      </c>
      <c r="AE40" s="175">
        <f>IFERROR(VLOOKUP(M40,Surp5!$B$1:$C$161,2,0),0)</f>
        <v>25.14352368</v>
      </c>
      <c r="AF40" s="175">
        <f>IFERROR(VLOOKUP(O40,Surp6!$B$1:$C$161,2,0),0)</f>
        <v>58.06913059</v>
      </c>
      <c r="AG40" s="175">
        <f>IFERROR(VLOOKUP(Q40,Surp7!$B$1:$C$161,2,0),0)</f>
        <v>47.86771997</v>
      </c>
      <c r="AH40" s="175">
        <f>IFERROR(VLOOKUP(S40,Surp8!$B$1:$C$161,2,0),0)</f>
        <v>300.2546159</v>
      </c>
      <c r="AI40" s="175">
        <f>IFERROR(VLOOKUP(U40,Surp9!$B$1:$C$161,2,0),0)</f>
        <v>0</v>
      </c>
      <c r="AJ40" s="175">
        <f>IFERROR(VLOOKUP(W40,Surp10!$B$1:$C$161,2,0),0)</f>
        <v>0</v>
      </c>
      <c r="AK40" s="175">
        <f>IFERROR(VLOOKUP(Y40,Surp11!$B$1:$C$161,2,0),0)</f>
        <v>0</v>
      </c>
    </row>
    <row r="41" ht="15.75" customHeight="1">
      <c r="A41" s="172">
        <v>40.0</v>
      </c>
      <c r="B41" s="6" t="s">
        <v>80</v>
      </c>
      <c r="C41" s="136">
        <f t="shared" si="1"/>
        <v>950.4165799</v>
      </c>
      <c r="D41" s="93"/>
      <c r="E41" s="94">
        <f>IFERROR(VLOOKUP($B41,Surp1!$A$1:$B$161,2,0),0)</f>
        <v>33</v>
      </c>
      <c r="F41" s="95">
        <f>IFERROR(VLOOKUP(E41,Surp1!$B$1:$C$161,2,0),0)</f>
        <v>129.0368868</v>
      </c>
      <c r="G41" s="94">
        <f>IFERROR(VLOOKUP($B41,Surp2!$A$1:$B$161,2,0),0)</f>
        <v>44</v>
      </c>
      <c r="H41" s="95">
        <f>IFERROR(VLOOKUP(G41,Surp2!$B$1:$C$161,2,0),0)</f>
        <v>74.92326999</v>
      </c>
      <c r="I41" s="94">
        <f>IFERROR(VLOOKUP($B41,Surp3!$A$1:$B$161,2,0),0)</f>
        <v>0</v>
      </c>
      <c r="J41" s="95">
        <f>IFERROR(VLOOKUP(I41,Surp3!$B$1:$C$161,2,0),0)</f>
        <v>0</v>
      </c>
      <c r="K41" s="94">
        <f>IFERROR(VLOOKUP($B41,Surp4!$A$1:$B$161,2,0),0)</f>
        <v>0</v>
      </c>
      <c r="L41" s="95">
        <f>IFERROR(VLOOKUP(K41,Surp4!$B$1:$C$161,2,0),0)</f>
        <v>0</v>
      </c>
      <c r="M41" s="94">
        <f>IFERROR(VLOOKUP($B41,Surp5!$A$1:$B$161,2,0),0)</f>
        <v>26</v>
      </c>
      <c r="N41" s="95">
        <f>IFERROR(VLOOKUP(M41,Surp5!$B$1:$C$161,2,0),0)</f>
        <v>158.2657255</v>
      </c>
      <c r="O41" s="94">
        <f>IFERROR(VLOOKUP($B41,Surp6!$A$1:$B$161,2,0),0)</f>
        <v>16</v>
      </c>
      <c r="P41" s="95">
        <f>IFERROR(VLOOKUP(O41,Surp6!$B$1:$C$161,2,0),0)</f>
        <v>256.9336978</v>
      </c>
      <c r="Q41" s="94">
        <f>IFERROR(VLOOKUP($B41,Surp7!$A$1:$B$161,2,0),0)</f>
        <v>10</v>
      </c>
      <c r="R41" s="95">
        <f>IFERROR(VLOOKUP(Q41,Surp7!$B$1:$C$161,2,0),0)</f>
        <v>331.2569998</v>
      </c>
      <c r="S41" s="94">
        <f>IFERROR(VLOOKUP($B41,Surp8!$A$1:$B$161,2,0),0)</f>
        <v>0</v>
      </c>
      <c r="T41" s="95">
        <f>IFERROR(VLOOKUP(S41,Surp8!$B$1:$C$161,2,0),0)</f>
        <v>0</v>
      </c>
      <c r="U41" s="94">
        <f>IFERROR(VLOOKUP($B41,Surp9!$A$1:$B$161,2,0),0)</f>
        <v>0</v>
      </c>
      <c r="V41" s="95">
        <f>IFERROR(VLOOKUP(U41,Surp9!$B$1:$C$161,2,0),0)</f>
        <v>0</v>
      </c>
      <c r="W41" s="94">
        <f>IFERROR(VLOOKUP($B41,Surp10!$A$1:$B$161,2,0),0)</f>
        <v>0</v>
      </c>
      <c r="X41" s="95">
        <f>IFERROR(VLOOKUP(W41,Surp10!$B$1:$C$161,2,0),0)</f>
        <v>0</v>
      </c>
      <c r="Y41" s="94">
        <f>IFERROR(VLOOKUP($B41,Surp11!$A$1:$B$161,2,0),0)</f>
        <v>0</v>
      </c>
      <c r="Z41" s="95">
        <f>IFERROR(VLOOKUP(Y41,Surp11!$B$1:$C$161,2,0),0)</f>
        <v>0</v>
      </c>
      <c r="AA41" s="95">
        <f>IFERROR(VLOOKUP(E41,Surp1!$B$1:$C$161,2,0),0)</f>
        <v>129.0368868</v>
      </c>
      <c r="AB41" s="95">
        <f>IFERROR(VLOOKUP(G41,Surp2!$B$1:$C$161,2,0),0)</f>
        <v>74.92326999</v>
      </c>
      <c r="AC41" s="95">
        <f>IFERROR(VLOOKUP(I41,Surp3!$B$1:$C$161,2,0),0)</f>
        <v>0</v>
      </c>
      <c r="AD41" s="95">
        <f>IFERROR(VLOOKUP(K41,Surp4!$B$1:$C$161,2,0),0)</f>
        <v>0</v>
      </c>
      <c r="AE41" s="95">
        <f>IFERROR(VLOOKUP(M41,Surp5!$B$1:$C$161,2,0),0)</f>
        <v>158.2657255</v>
      </c>
      <c r="AF41" s="95">
        <f>IFERROR(VLOOKUP(O41,Surp6!$B$1:$C$161,2,0),0)</f>
        <v>256.9336978</v>
      </c>
      <c r="AG41" s="95">
        <f>IFERROR(VLOOKUP(Q41,Surp7!$B$1:$C$161,2,0),0)</f>
        <v>331.2569998</v>
      </c>
      <c r="AH41" s="95">
        <f>IFERROR(VLOOKUP(S41,Surp8!$B$1:$C$161,2,0),0)</f>
        <v>0</v>
      </c>
      <c r="AI41" s="95">
        <f>IFERROR(VLOOKUP(U41,Surp9!$B$1:$C$161,2,0),0)</f>
        <v>0</v>
      </c>
      <c r="AJ41" s="95">
        <f>IFERROR(VLOOKUP(W41,Surp10!$B$1:$C$161,2,0),0)</f>
        <v>0</v>
      </c>
      <c r="AK41" s="95">
        <f>IFERROR(VLOOKUP(Y41,Surp11!$B$1:$C$161,2,0),0)</f>
        <v>0</v>
      </c>
    </row>
    <row r="42" ht="15.75" customHeight="1">
      <c r="A42" s="171">
        <v>41.0</v>
      </c>
      <c r="B42" s="6" t="s">
        <v>55</v>
      </c>
      <c r="C42" s="136">
        <f t="shared" si="1"/>
        <v>938.3053708</v>
      </c>
      <c r="D42" s="173"/>
      <c r="E42" s="174">
        <f>IFERROR(VLOOKUP($B42,Surp1!$A$1:$B$161,2,0),0)</f>
        <v>8</v>
      </c>
      <c r="F42" s="175">
        <f>IFERROR(VLOOKUP(E42,Surp1!$B$1:$C$161,2,0),0)</f>
        <v>367.7899522</v>
      </c>
      <c r="G42" s="174">
        <f>IFERROR(VLOOKUP($B42,Surp2!$A$1:$B$161,2,0),0)</f>
        <v>43</v>
      </c>
      <c r="H42" s="175">
        <f>IFERROR(VLOOKUP(G42,Surp2!$B$1:$C$161,2,0),0)</f>
        <v>80.06481743</v>
      </c>
      <c r="I42" s="174">
        <f>IFERROR(VLOOKUP($B42,Surp3!$A$1:$B$161,2,0),0)</f>
        <v>0</v>
      </c>
      <c r="J42" s="175">
        <f>IFERROR(VLOOKUP(I42,Surp3!$B$1:$C$161,2,0),0)</f>
        <v>0</v>
      </c>
      <c r="K42" s="174">
        <f>IFERROR(VLOOKUP($B42,Surp4!$A$1:$B$161,2,0),0)</f>
        <v>0</v>
      </c>
      <c r="L42" s="175">
        <f>IFERROR(VLOOKUP(K42,Surp4!$B$1:$C$161,2,0),0)</f>
        <v>0</v>
      </c>
      <c r="M42" s="174">
        <f>IFERROR(VLOOKUP($B42,Surp5!$A$1:$B$161,2,0),0)</f>
        <v>15</v>
      </c>
      <c r="N42" s="175">
        <f>IFERROR(VLOOKUP(M42,Surp5!$B$1:$C$161,2,0),0)</f>
        <v>255.5802129</v>
      </c>
      <c r="O42" s="174">
        <f>IFERROR(VLOOKUP($B42,Surp6!$A$1:$B$161,2,0),0)</f>
        <v>39</v>
      </c>
      <c r="P42" s="175">
        <f>IFERROR(VLOOKUP(O42,Surp6!$B$1:$C$161,2,0),0)</f>
        <v>90.27626019</v>
      </c>
      <c r="Q42" s="174">
        <f>IFERROR(VLOOKUP($B42,Surp7!$A$1:$B$161,2,0),0)</f>
        <v>30</v>
      </c>
      <c r="R42" s="175">
        <f>IFERROR(VLOOKUP(Q42,Surp7!$B$1:$C$161,2,0),0)</f>
        <v>144.5941281</v>
      </c>
      <c r="S42" s="174">
        <f>IFERROR(VLOOKUP($B42,Surp8!$A$1:$B$161,2,0),0)</f>
        <v>0</v>
      </c>
      <c r="T42" s="175">
        <f>IFERROR(VLOOKUP(S42,Surp8!$B$1:$C$161,2,0),0)</f>
        <v>0</v>
      </c>
      <c r="U42" s="174">
        <f>IFERROR(VLOOKUP($B42,Surp9!$A$1:$B$161,2,0),0)</f>
        <v>0</v>
      </c>
      <c r="V42" s="175">
        <f>IFERROR(VLOOKUP(U42,Surp9!$B$1:$C$161,2,0),0)</f>
        <v>0</v>
      </c>
      <c r="W42" s="174">
        <f>IFERROR(VLOOKUP($B42,Surp10!$A$1:$B$161,2,0),0)</f>
        <v>0</v>
      </c>
      <c r="X42" s="175">
        <f>IFERROR(VLOOKUP(W42,Surp10!$B$1:$C$161,2,0),0)</f>
        <v>0</v>
      </c>
      <c r="Y42" s="174">
        <f>IFERROR(VLOOKUP($B42,Surp11!$A$1:$B$161,2,0),0)</f>
        <v>0</v>
      </c>
      <c r="Z42" s="175">
        <f>IFERROR(VLOOKUP(Y42,Surp11!$B$1:$C$161,2,0),0)</f>
        <v>0</v>
      </c>
      <c r="AA42" s="175">
        <f>IFERROR(VLOOKUP(E42,Surp1!$B$1:$C$161,2,0),0)</f>
        <v>367.7899522</v>
      </c>
      <c r="AB42" s="175">
        <f>IFERROR(VLOOKUP(G42,Surp2!$B$1:$C$161,2,0),0)</f>
        <v>80.06481743</v>
      </c>
      <c r="AC42" s="175">
        <f>IFERROR(VLOOKUP(I42,Surp3!$B$1:$C$161,2,0),0)</f>
        <v>0</v>
      </c>
      <c r="AD42" s="175">
        <f>IFERROR(VLOOKUP(K42,Surp4!$B$1:$C$161,2,0),0)</f>
        <v>0</v>
      </c>
      <c r="AE42" s="175">
        <f>IFERROR(VLOOKUP(M42,Surp5!$B$1:$C$161,2,0),0)</f>
        <v>255.5802129</v>
      </c>
      <c r="AF42" s="175">
        <f>IFERROR(VLOOKUP(O42,Surp6!$B$1:$C$161,2,0),0)</f>
        <v>90.27626019</v>
      </c>
      <c r="AG42" s="175">
        <f>IFERROR(VLOOKUP(Q42,Surp7!$B$1:$C$161,2,0),0)</f>
        <v>144.5941281</v>
      </c>
      <c r="AH42" s="175">
        <f>IFERROR(VLOOKUP(S42,Surp8!$B$1:$C$161,2,0),0)</f>
        <v>0</v>
      </c>
      <c r="AI42" s="175">
        <f>IFERROR(VLOOKUP(U42,Surp9!$B$1:$C$161,2,0),0)</f>
        <v>0</v>
      </c>
      <c r="AJ42" s="175">
        <f>IFERROR(VLOOKUP(W42,Surp10!$B$1:$C$161,2,0),0)</f>
        <v>0</v>
      </c>
      <c r="AK42" s="175">
        <f>IFERROR(VLOOKUP(Y42,Surp11!$B$1:$C$161,2,0),0)</f>
        <v>0</v>
      </c>
    </row>
    <row r="43" ht="15.75" customHeight="1">
      <c r="A43" s="172">
        <v>42.0</v>
      </c>
      <c r="B43" s="6" t="s">
        <v>48</v>
      </c>
      <c r="C43" s="136">
        <f t="shared" si="1"/>
        <v>896.3078179</v>
      </c>
      <c r="D43" s="93"/>
      <c r="E43" s="94">
        <f>IFERROR(VLOOKUP($B43,Surp1!$A$1:$B$161,2,0),0)</f>
        <v>57</v>
      </c>
      <c r="F43" s="95">
        <f>IFERROR(VLOOKUP(E43,Surp1!$B$1:$C$161,2,0),0)</f>
        <v>4.502291801</v>
      </c>
      <c r="G43" s="94">
        <f>IFERROR(VLOOKUP($B43,Surp2!$A$1:$B$161,2,0),0)</f>
        <v>41</v>
      </c>
      <c r="H43" s="95">
        <f>IFERROR(VLOOKUP(G43,Surp2!$B$1:$C$161,2,0),0)</f>
        <v>90.55606592</v>
      </c>
      <c r="I43" s="94">
        <f>IFERROR(VLOOKUP($B43,Surp3!$A$1:$B$161,2,0),0)</f>
        <v>16</v>
      </c>
      <c r="J43" s="95">
        <f>IFERROR(VLOOKUP(I43,Surp3!$B$1:$C$161,2,0),0)</f>
        <v>228.1194956</v>
      </c>
      <c r="K43" s="94">
        <f>IFERROR(VLOOKUP($B43,Surp4!$A$1:$B$161,2,0),0)</f>
        <v>11</v>
      </c>
      <c r="L43" s="95">
        <f>IFERROR(VLOOKUP(K43,Surp4!$B$1:$C$161,2,0),0)</f>
        <v>299.2316559</v>
      </c>
      <c r="M43" s="94">
        <f>IFERROR(VLOOKUP($B43,Surp5!$A$1:$B$161,2,0),0)</f>
        <v>39</v>
      </c>
      <c r="N43" s="95">
        <f>IFERROR(VLOOKUP(M43,Surp5!$B$1:$C$161,2,0),0)</f>
        <v>74.15293235</v>
      </c>
      <c r="O43" s="94">
        <f>IFERROR(VLOOKUP($B43,Surp6!$A$1:$B$161,2,0),0)</f>
        <v>0</v>
      </c>
      <c r="P43" s="95">
        <f>IFERROR(VLOOKUP(O43,Surp6!$B$1:$C$161,2,0),0)</f>
        <v>0</v>
      </c>
      <c r="Q43" s="94">
        <f>IFERROR(VLOOKUP($B43,Surp7!$A$1:$B$161,2,0),0)</f>
        <v>41</v>
      </c>
      <c r="R43" s="95">
        <f>IFERROR(VLOOKUP(Q43,Surp7!$B$1:$C$161,2,0),0)</f>
        <v>79.24853174</v>
      </c>
      <c r="S43" s="94">
        <f>IFERROR(VLOOKUP($B43,Surp8!$A$1:$B$161,2,0),0)</f>
        <v>29</v>
      </c>
      <c r="T43" s="95">
        <f>IFERROR(VLOOKUP(S43,Surp8!$B$1:$C$161,2,0),0)</f>
        <v>88.28364038</v>
      </c>
      <c r="U43" s="94">
        <f>IFERROR(VLOOKUP($B43,Surp9!$A$1:$B$161,2,0),0)</f>
        <v>0</v>
      </c>
      <c r="V43" s="95">
        <f>IFERROR(VLOOKUP(U43,Surp9!$B$1:$C$161,2,0),0)</f>
        <v>0</v>
      </c>
      <c r="W43" s="94">
        <f>IFERROR(VLOOKUP($B43,Surp10!$A$1:$B$161,2,0),0)</f>
        <v>44</v>
      </c>
      <c r="X43" s="95">
        <f>IFERROR(VLOOKUP(W43,Surp10!$B$1:$C$161,2,0),0)</f>
        <v>32.21320423</v>
      </c>
      <c r="Y43" s="94">
        <f>IFERROR(VLOOKUP($B43,Surp11!$A$1:$B$161,2,0),0)</f>
        <v>0</v>
      </c>
      <c r="Z43" s="95">
        <f>IFERROR(VLOOKUP(Y43,Surp11!$B$1:$C$161,2,0),0)</f>
        <v>0</v>
      </c>
      <c r="AA43" s="95">
        <f>IFERROR(VLOOKUP(E43,Surp1!$B$1:$C$161,2,0),0)</f>
        <v>4.502291801</v>
      </c>
      <c r="AB43" s="95">
        <f>IFERROR(VLOOKUP(G43,Surp2!$B$1:$C$161,2,0),0)</f>
        <v>90.55606592</v>
      </c>
      <c r="AC43" s="95">
        <f>IFERROR(VLOOKUP(I43,Surp3!$B$1:$C$161,2,0),0)</f>
        <v>228.1194956</v>
      </c>
      <c r="AD43" s="95">
        <f>IFERROR(VLOOKUP(K43,Surp4!$B$1:$C$161,2,0),0)</f>
        <v>299.2316559</v>
      </c>
      <c r="AE43" s="95">
        <f>IFERROR(VLOOKUP(M43,Surp5!$B$1:$C$161,2,0),0)</f>
        <v>74.15293235</v>
      </c>
      <c r="AF43" s="95">
        <f>IFERROR(VLOOKUP(O43,Surp6!$B$1:$C$161,2,0),0)</f>
        <v>0</v>
      </c>
      <c r="AG43" s="95">
        <f>IFERROR(VLOOKUP(Q43,Surp7!$B$1:$C$161,2,0),0)</f>
        <v>79.24853174</v>
      </c>
      <c r="AH43" s="95">
        <f>IFERROR(VLOOKUP(S43,Surp8!$B$1:$C$161,2,0),0)</f>
        <v>88.28364038</v>
      </c>
      <c r="AI43" s="95">
        <f>IFERROR(VLOOKUP(U43,Surp9!$B$1:$C$161,2,0),0)</f>
        <v>0</v>
      </c>
      <c r="AJ43" s="95">
        <f>IFERROR(VLOOKUP(W43,Surp10!$B$1:$C$161,2,0),0)</f>
        <v>32.21320423</v>
      </c>
      <c r="AK43" s="95">
        <f>IFERROR(VLOOKUP(Y43,Surp11!$B$1:$C$161,2,0),0)</f>
        <v>0</v>
      </c>
    </row>
    <row r="44" ht="15.75" customHeight="1">
      <c r="A44" s="171">
        <v>43.0</v>
      </c>
      <c r="B44" s="24" t="s">
        <v>43</v>
      </c>
      <c r="C44" s="136">
        <f t="shared" si="1"/>
        <v>864.6245525</v>
      </c>
      <c r="D44" s="136"/>
      <c r="E44" s="137">
        <f>IFERROR(VLOOKUP($B44,Surp1!$A$1:$B$161,2,0),0)</f>
        <v>0</v>
      </c>
      <c r="F44" s="97">
        <f>IFERROR(VLOOKUP(E44,Surp1!$B$1:$C$161,2,0),0)</f>
        <v>0</v>
      </c>
      <c r="G44" s="137">
        <f>IFERROR(VLOOKUP($B44,Surp2!$A$1:$B$161,2,0),0)</f>
        <v>0</v>
      </c>
      <c r="H44" s="97">
        <f>IFERROR(VLOOKUP(G44,Surp2!$B$1:$C$161,2,0),0)</f>
        <v>0</v>
      </c>
      <c r="I44" s="137">
        <f>IFERROR(VLOOKUP($B44,Surp3!$A$1:$B$161,2,0),0)</f>
        <v>0</v>
      </c>
      <c r="J44" s="97">
        <f>IFERROR(VLOOKUP(I44,Surp3!$B$1:$C$161,2,0),0)</f>
        <v>0</v>
      </c>
      <c r="K44" s="137">
        <f>IFERROR(VLOOKUP($B44,Surp4!$A$1:$B$161,2,0),0)</f>
        <v>0</v>
      </c>
      <c r="L44" s="97">
        <f>IFERROR(VLOOKUP(K44,Surp4!$B$1:$C$161,2,0),0)</f>
        <v>0</v>
      </c>
      <c r="M44" s="137">
        <f>IFERROR(VLOOKUP($B44,Surp5!$A$1:$B$161,2,0),0)</f>
        <v>22</v>
      </c>
      <c r="N44" s="97">
        <f>IFERROR(VLOOKUP(M44,Surp5!$B$1:$C$161,2,0),0)</f>
        <v>189.4621535</v>
      </c>
      <c r="O44" s="137">
        <f>IFERROR(VLOOKUP($B44,Surp6!$A$1:$B$161,2,0),0)</f>
        <v>25</v>
      </c>
      <c r="P44" s="97">
        <f>IFERROR(VLOOKUP(O44,Surp6!$B$1:$C$161,2,0),0)</f>
        <v>179.3627204</v>
      </c>
      <c r="Q44" s="137">
        <f>IFERROR(VLOOKUP($B44,Surp7!$A$1:$B$161,2,0),0)</f>
        <v>0</v>
      </c>
      <c r="R44" s="97">
        <f>IFERROR(VLOOKUP(Q44,Surp7!$B$1:$C$161,2,0),0)</f>
        <v>0</v>
      </c>
      <c r="S44" s="137">
        <f>IFERROR(VLOOKUP($B44,Surp8!$A$1:$B$161,2,0),0)</f>
        <v>22</v>
      </c>
      <c r="T44" s="97">
        <f>IFERROR(VLOOKUP(S44,Surp8!$B$1:$C$161,2,0),0)</f>
        <v>145.5327399</v>
      </c>
      <c r="U44" s="137">
        <f>IFERROR(VLOOKUP($B44,Surp9!$A$1:$B$161,2,0),0)</f>
        <v>13</v>
      </c>
      <c r="V44" s="97">
        <f>IFERROR(VLOOKUP(U44,Surp9!$B$1:$C$161,2,0),0)</f>
        <v>252.1901401</v>
      </c>
      <c r="W44" s="137">
        <f>IFERROR(VLOOKUP($B44,Surp10!$A$1:$B$161,2,0),0)</f>
        <v>33</v>
      </c>
      <c r="X44" s="97">
        <f>IFERROR(VLOOKUP(W44,Surp10!$B$1:$C$161,2,0),0)</f>
        <v>98.07679857</v>
      </c>
      <c r="Y44" s="137">
        <f>IFERROR(VLOOKUP($B44,Surp11!$A$1:$B$161,2,0),0)</f>
        <v>0</v>
      </c>
      <c r="Z44" s="97">
        <f>IFERROR(VLOOKUP(Y44,Surp11!$B$1:$C$161,2,0),0)</f>
        <v>0</v>
      </c>
      <c r="AA44" s="97">
        <f>IFERROR(VLOOKUP(E44,Surp1!$B$1:$C$161,2,0),0)</f>
        <v>0</v>
      </c>
      <c r="AB44" s="97">
        <f>IFERROR(VLOOKUP(G44,Surp2!$B$1:$C$161,2,0),0)</f>
        <v>0</v>
      </c>
      <c r="AC44" s="97">
        <f>IFERROR(VLOOKUP(I44,Surp3!$B$1:$C$161,2,0),0)</f>
        <v>0</v>
      </c>
      <c r="AD44" s="97">
        <f>IFERROR(VLOOKUP(K44,Surp4!$B$1:$C$161,2,0),0)</f>
        <v>0</v>
      </c>
      <c r="AE44" s="97">
        <f>IFERROR(VLOOKUP(M44,Surp5!$B$1:$C$161,2,0),0)</f>
        <v>189.4621535</v>
      </c>
      <c r="AF44" s="97">
        <f>IFERROR(VLOOKUP(O44,Surp6!$B$1:$C$161,2,0),0)</f>
        <v>179.3627204</v>
      </c>
      <c r="AG44" s="97">
        <f>IFERROR(VLOOKUP(Q44,Surp7!$B$1:$C$161,2,0),0)</f>
        <v>0</v>
      </c>
      <c r="AH44" s="97">
        <f>IFERROR(VLOOKUP(S44,Surp8!$B$1:$C$161,2,0),0)</f>
        <v>145.5327399</v>
      </c>
      <c r="AI44" s="97">
        <f>IFERROR(VLOOKUP(U44,Surp9!$B$1:$C$161,2,0),0)</f>
        <v>252.1901401</v>
      </c>
      <c r="AJ44" s="97">
        <f>IFERROR(VLOOKUP(W44,Surp10!$B$1:$C$161,2,0),0)</f>
        <v>98.07679857</v>
      </c>
      <c r="AK44" s="97">
        <f>IFERROR(VLOOKUP(Y44,Surp11!$B$1:$C$161,2,0),0)</f>
        <v>0</v>
      </c>
    </row>
    <row r="45" ht="15.75" customHeight="1">
      <c r="A45" s="172">
        <v>44.0</v>
      </c>
      <c r="B45" s="6" t="s">
        <v>34</v>
      </c>
      <c r="C45" s="136">
        <f t="shared" si="1"/>
        <v>854.2365249</v>
      </c>
      <c r="D45" s="173"/>
      <c r="E45" s="174">
        <f>IFERROR(VLOOKUP($B45,Surp1!$A$1:$B$161,2,0),0)</f>
        <v>24</v>
      </c>
      <c r="F45" s="175">
        <f>IFERROR(VLOOKUP(E45,Surp1!$B$1:$C$161,2,0),0)</f>
        <v>190.0327527</v>
      </c>
      <c r="G45" s="174">
        <f>IFERROR(VLOOKUP($B45,Surp2!$A$1:$B$161,2,0),0)</f>
        <v>19</v>
      </c>
      <c r="H45" s="175">
        <f>IFERROR(VLOOKUP(G45,Surp2!$B$1:$C$161,2,0),0)</f>
        <v>236.8401714</v>
      </c>
      <c r="I45" s="174">
        <f>IFERROR(VLOOKUP($B45,Surp3!$A$1:$B$161,2,0),0)</f>
        <v>14</v>
      </c>
      <c r="J45" s="175">
        <f>IFERROR(VLOOKUP(I45,Surp3!$B$1:$C$161,2,0),0)</f>
        <v>250.6047671</v>
      </c>
      <c r="K45" s="174">
        <f>IFERROR(VLOOKUP($B45,Surp4!$A$1:$B$161,2,0),0)</f>
        <v>0</v>
      </c>
      <c r="L45" s="175">
        <f>IFERROR(VLOOKUP(K45,Surp4!$B$1:$C$161,2,0),0)</f>
        <v>0</v>
      </c>
      <c r="M45" s="174">
        <f>IFERROR(VLOOKUP($B45,Surp5!$A$1:$B$161,2,0),0)</f>
        <v>0</v>
      </c>
      <c r="N45" s="175">
        <f>IFERROR(VLOOKUP(M45,Surp5!$B$1:$C$161,2,0),0)</f>
        <v>0</v>
      </c>
      <c r="O45" s="174">
        <f>IFERROR(VLOOKUP($B45,Surp6!$A$1:$B$161,2,0),0)</f>
        <v>42</v>
      </c>
      <c r="P45" s="175">
        <f>IFERROR(VLOOKUP(O45,Surp6!$B$1:$C$161,2,0),0)</f>
        <v>73.84925912</v>
      </c>
      <c r="Q45" s="174">
        <f>IFERROR(VLOOKUP($B45,Surp7!$A$1:$B$161,2,0),0)</f>
        <v>0</v>
      </c>
      <c r="R45" s="175">
        <f>IFERROR(VLOOKUP(Q45,Surp7!$B$1:$C$161,2,0),0)</f>
        <v>0</v>
      </c>
      <c r="S45" s="174">
        <f>IFERROR(VLOOKUP($B45,Surp8!$A$1:$B$161,2,0),0)</f>
        <v>0</v>
      </c>
      <c r="T45" s="175">
        <f>IFERROR(VLOOKUP(S45,Surp8!$B$1:$C$161,2,0),0)</f>
        <v>0</v>
      </c>
      <c r="U45" s="174">
        <f>IFERROR(VLOOKUP($B45,Surp9!$A$1:$B$161,2,0),0)</f>
        <v>42</v>
      </c>
      <c r="V45" s="175">
        <f>IFERROR(VLOOKUP(U45,Surp9!$B$1:$C$161,2,0),0)</f>
        <v>17.63489567</v>
      </c>
      <c r="W45" s="174">
        <f>IFERROR(VLOOKUP($B45,Surp10!$A$1:$B$161,2,0),0)</f>
        <v>35</v>
      </c>
      <c r="X45" s="175">
        <f>IFERROR(VLOOKUP(W45,Surp10!$B$1:$C$161,2,0),0)</f>
        <v>85.27467889</v>
      </c>
      <c r="Y45" s="174">
        <f>IFERROR(VLOOKUP($B45,Surp11!$A$1:$B$161,2,0),0)</f>
        <v>0</v>
      </c>
      <c r="Z45" s="175">
        <f>IFERROR(VLOOKUP(Y45,Surp11!$B$1:$C$161,2,0),0)</f>
        <v>0</v>
      </c>
      <c r="AA45" s="175">
        <f>IFERROR(VLOOKUP(E45,Surp1!$B$1:$C$161,2,0),0)</f>
        <v>190.0327527</v>
      </c>
      <c r="AB45" s="175">
        <f>IFERROR(VLOOKUP(G45,Surp2!$B$1:$C$161,2,0),0)</f>
        <v>236.8401714</v>
      </c>
      <c r="AC45" s="175">
        <f>IFERROR(VLOOKUP(I45,Surp3!$B$1:$C$161,2,0),0)</f>
        <v>250.6047671</v>
      </c>
      <c r="AD45" s="175">
        <f>IFERROR(VLOOKUP(K45,Surp4!$B$1:$C$161,2,0),0)</f>
        <v>0</v>
      </c>
      <c r="AE45" s="175">
        <f>IFERROR(VLOOKUP(M45,Surp5!$B$1:$C$161,2,0),0)</f>
        <v>0</v>
      </c>
      <c r="AF45" s="175">
        <f>IFERROR(VLOOKUP(O45,Surp6!$B$1:$C$161,2,0),0)</f>
        <v>73.84925912</v>
      </c>
      <c r="AG45" s="175">
        <f>IFERROR(VLOOKUP(Q45,Surp7!$B$1:$C$161,2,0),0)</f>
        <v>0</v>
      </c>
      <c r="AH45" s="175">
        <f>IFERROR(VLOOKUP(S45,Surp8!$B$1:$C$161,2,0),0)</f>
        <v>0</v>
      </c>
      <c r="AI45" s="175">
        <f>IFERROR(VLOOKUP(U45,Surp9!$B$1:$C$161,2,0),0)</f>
        <v>17.63489567</v>
      </c>
      <c r="AJ45" s="175">
        <f>IFERROR(VLOOKUP(W45,Surp10!$B$1:$C$161,2,0),0)</f>
        <v>85.27467889</v>
      </c>
      <c r="AK45" s="175">
        <f>IFERROR(VLOOKUP(Y45,Surp11!$B$1:$C$161,2,0),0)</f>
        <v>0</v>
      </c>
    </row>
    <row r="46" ht="15.75" customHeight="1">
      <c r="A46" s="171">
        <v>45.0</v>
      </c>
      <c r="B46" s="6" t="s">
        <v>13</v>
      </c>
      <c r="C46" s="136">
        <f t="shared" si="1"/>
        <v>846.2955332</v>
      </c>
      <c r="D46" s="93"/>
      <c r="E46" s="94">
        <f>IFERROR(VLOOKUP($B46,Surp1!$A$1:$B$161,2,0),0)</f>
        <v>0</v>
      </c>
      <c r="F46" s="95">
        <f>IFERROR(VLOOKUP(E46,Surp1!$B$1:$C$161,2,0),0)</f>
        <v>0</v>
      </c>
      <c r="G46" s="94">
        <f>IFERROR(VLOOKUP($B46,Surp2!$A$1:$B$161,2,0),0)</f>
        <v>50</v>
      </c>
      <c r="H46" s="95">
        <f>IFERROR(VLOOKUP(G46,Surp2!$B$1:$C$161,2,0),0)</f>
        <v>45.35418937</v>
      </c>
      <c r="I46" s="94">
        <f>IFERROR(VLOOKUP($B46,Surp3!$A$1:$B$161,2,0),0)</f>
        <v>24</v>
      </c>
      <c r="J46" s="95">
        <f>IFERROR(VLOOKUP(I46,Surp3!$B$1:$C$161,2,0),0)</f>
        <v>154.596925</v>
      </c>
      <c r="K46" s="94">
        <f>IFERROR(VLOOKUP($B46,Surp4!$A$1:$B$161,2,0),0)</f>
        <v>36</v>
      </c>
      <c r="L46" s="95">
        <f>IFERROR(VLOOKUP(K46,Surp4!$B$1:$C$161,2,0),0)</f>
        <v>83.42790727</v>
      </c>
      <c r="M46" s="94">
        <f>IFERROR(VLOOKUP($B46,Surp5!$A$1:$B$161,2,0),0)</f>
        <v>0</v>
      </c>
      <c r="N46" s="95">
        <f>IFERROR(VLOOKUP(M46,Surp5!$B$1:$C$161,2,0),0)</f>
        <v>0</v>
      </c>
      <c r="O46" s="94">
        <f>IFERROR(VLOOKUP($B46,Surp6!$A$1:$B$161,2,0),0)</f>
        <v>0</v>
      </c>
      <c r="P46" s="95">
        <f>IFERROR(VLOOKUP(O46,Surp6!$B$1:$C$161,2,0),0)</f>
        <v>0</v>
      </c>
      <c r="Q46" s="94">
        <f>IFERROR(VLOOKUP($B46,Surp7!$A$1:$B$161,2,0),0)</f>
        <v>38</v>
      </c>
      <c r="R46" s="95">
        <f>IFERROR(VLOOKUP(Q46,Surp7!$B$1:$C$161,2,0),0)</f>
        <v>95.91243304</v>
      </c>
      <c r="S46" s="94">
        <f>IFERROR(VLOOKUP($B46,Surp8!$A$1:$B$161,2,0),0)</f>
        <v>3</v>
      </c>
      <c r="T46" s="95">
        <f>IFERROR(VLOOKUP(S46,Surp8!$B$1:$C$161,2,0),0)</f>
        <v>467.0040786</v>
      </c>
      <c r="U46" s="94">
        <f>IFERROR(VLOOKUP($B46,Surp9!$A$1:$B$161,2,0),0)</f>
        <v>0</v>
      </c>
      <c r="V46" s="95">
        <f>IFERROR(VLOOKUP(U46,Surp9!$B$1:$C$161,2,0),0)</f>
        <v>0</v>
      </c>
      <c r="W46" s="94">
        <f>IFERROR(VLOOKUP($B46,Surp10!$A$1:$B$161,2,0),0)</f>
        <v>0</v>
      </c>
      <c r="X46" s="95">
        <f>IFERROR(VLOOKUP(W46,Surp10!$B$1:$C$161,2,0),0)</f>
        <v>0</v>
      </c>
      <c r="Y46" s="94">
        <f>IFERROR(VLOOKUP($B46,Surp11!$A$1:$B$161,2,0),0)</f>
        <v>0</v>
      </c>
      <c r="Z46" s="95">
        <f>IFERROR(VLOOKUP(Y46,Surp11!$B$1:$C$161,2,0),0)</f>
        <v>0</v>
      </c>
      <c r="AA46" s="95">
        <f>IFERROR(VLOOKUP(E46,Surp1!$B$1:$C$161,2,0),0)</f>
        <v>0</v>
      </c>
      <c r="AB46" s="95">
        <f>IFERROR(VLOOKUP(G46,Surp2!$B$1:$C$161,2,0),0)</f>
        <v>45.35418937</v>
      </c>
      <c r="AC46" s="95">
        <f>IFERROR(VLOOKUP(I46,Surp3!$B$1:$C$161,2,0),0)</f>
        <v>154.596925</v>
      </c>
      <c r="AD46" s="95">
        <f>IFERROR(VLOOKUP(K46,Surp4!$B$1:$C$161,2,0),0)</f>
        <v>83.42790727</v>
      </c>
      <c r="AE46" s="95">
        <f>IFERROR(VLOOKUP(M46,Surp5!$B$1:$C$161,2,0),0)</f>
        <v>0</v>
      </c>
      <c r="AF46" s="95">
        <f>IFERROR(VLOOKUP(O46,Surp6!$B$1:$C$161,2,0),0)</f>
        <v>0</v>
      </c>
      <c r="AG46" s="95">
        <f>IFERROR(VLOOKUP(Q46,Surp7!$B$1:$C$161,2,0),0)</f>
        <v>95.91243304</v>
      </c>
      <c r="AH46" s="95">
        <f>IFERROR(VLOOKUP(S46,Surp8!$B$1:$C$161,2,0),0)</f>
        <v>467.0040786</v>
      </c>
      <c r="AI46" s="95">
        <f>IFERROR(VLOOKUP(U46,Surp9!$B$1:$C$161,2,0),0)</f>
        <v>0</v>
      </c>
      <c r="AJ46" s="95">
        <f>IFERROR(VLOOKUP(W46,Surp10!$B$1:$C$161,2,0),0)</f>
        <v>0</v>
      </c>
      <c r="AK46" s="95">
        <f>IFERROR(VLOOKUP(Y46,Surp11!$B$1:$C$161,2,0),0)</f>
        <v>0</v>
      </c>
    </row>
    <row r="47" ht="15.75" customHeight="1">
      <c r="A47" s="172">
        <v>46.0</v>
      </c>
      <c r="B47" s="6" t="s">
        <v>91</v>
      </c>
      <c r="C47" s="136">
        <f t="shared" si="1"/>
        <v>798.9450166</v>
      </c>
      <c r="D47" s="93"/>
      <c r="E47" s="94">
        <f>IFERROR(VLOOKUP($B47,Surp1!$A$1:$B$161,2,0),0)</f>
        <v>0</v>
      </c>
      <c r="F47" s="95">
        <f>IFERROR(VLOOKUP(E47,Surp1!$B$1:$C$161,2,0),0)</f>
        <v>0</v>
      </c>
      <c r="G47" s="94">
        <f>IFERROR(VLOOKUP($B47,Surp2!$A$1:$B$161,2,0),0)</f>
        <v>0</v>
      </c>
      <c r="H47" s="95">
        <f>IFERROR(VLOOKUP(G47,Surp2!$B$1:$C$161,2,0),0)</f>
        <v>0</v>
      </c>
      <c r="I47" s="94">
        <f>IFERROR(VLOOKUP($B47,Surp3!$A$1:$B$161,2,0),0)</f>
        <v>0</v>
      </c>
      <c r="J47" s="95">
        <f>IFERROR(VLOOKUP(I47,Surp3!$B$1:$C$161,2,0),0)</f>
        <v>0</v>
      </c>
      <c r="K47" s="94">
        <f>IFERROR(VLOOKUP($B47,Surp4!$A$1:$B$161,2,0),0)</f>
        <v>0</v>
      </c>
      <c r="L47" s="95">
        <f>IFERROR(VLOOKUP(K47,Surp4!$B$1:$C$161,2,0),0)</f>
        <v>0</v>
      </c>
      <c r="M47" s="94">
        <f>IFERROR(VLOOKUP($B47,Surp5!$A$1:$B$161,2,0),0)</f>
        <v>0</v>
      </c>
      <c r="N47" s="95">
        <f>IFERROR(VLOOKUP(M47,Surp5!$B$1:$C$161,2,0),0)</f>
        <v>0</v>
      </c>
      <c r="O47" s="94">
        <f>IFERROR(VLOOKUP($B47,Surp6!$A$1:$B$161,2,0),0)</f>
        <v>20</v>
      </c>
      <c r="P47" s="95">
        <f>IFERROR(VLOOKUP(O47,Surp6!$B$1:$C$161,2,0),0)</f>
        <v>219.2862654</v>
      </c>
      <c r="Q47" s="94">
        <f>IFERROR(VLOOKUP($B47,Surp7!$A$1:$B$161,2,0),0)</f>
        <v>2</v>
      </c>
      <c r="R47" s="95">
        <f>IFERROR(VLOOKUP(Q47,Surp7!$B$1:$C$161,2,0),0)</f>
        <v>579.6587511</v>
      </c>
      <c r="S47" s="94">
        <f>IFERROR(VLOOKUP($B47,Surp8!$A$1:$B$161,2,0),0)</f>
        <v>0</v>
      </c>
      <c r="T47" s="95">
        <f>IFERROR(VLOOKUP(S47,Surp8!$B$1:$C$161,2,0),0)</f>
        <v>0</v>
      </c>
      <c r="U47" s="94">
        <f>IFERROR(VLOOKUP($B47,Surp9!$A$1:$B$161,2,0),0)</f>
        <v>0</v>
      </c>
      <c r="V47" s="95">
        <f>IFERROR(VLOOKUP(U47,Surp9!$B$1:$C$161,2,0),0)</f>
        <v>0</v>
      </c>
      <c r="W47" s="94">
        <f>IFERROR(VLOOKUP($B47,Surp10!$A$1:$B$161,2,0),0)</f>
        <v>0</v>
      </c>
      <c r="X47" s="95">
        <f>IFERROR(VLOOKUP(W47,Surp10!$B$1:$C$161,2,0),0)</f>
        <v>0</v>
      </c>
      <c r="Y47" s="94">
        <f>IFERROR(VLOOKUP($B47,Surp11!$A$1:$B$161,2,0),0)</f>
        <v>0</v>
      </c>
      <c r="Z47" s="95">
        <f>IFERROR(VLOOKUP(Y47,Surp11!$B$1:$C$161,2,0),0)</f>
        <v>0</v>
      </c>
      <c r="AA47" s="95">
        <f>IFERROR(VLOOKUP(E47,Surp1!$B$1:$C$161,2,0),0)</f>
        <v>0</v>
      </c>
      <c r="AB47" s="95">
        <f>IFERROR(VLOOKUP(G47,Surp2!$B$1:$C$161,2,0),0)</f>
        <v>0</v>
      </c>
      <c r="AC47" s="95">
        <f>IFERROR(VLOOKUP(I47,Surp3!$B$1:$C$161,2,0),0)</f>
        <v>0</v>
      </c>
      <c r="AD47" s="95">
        <f>IFERROR(VLOOKUP(K47,Surp4!$B$1:$C$161,2,0),0)</f>
        <v>0</v>
      </c>
      <c r="AE47" s="95">
        <f>IFERROR(VLOOKUP(M47,Surp5!$B$1:$C$161,2,0),0)</f>
        <v>0</v>
      </c>
      <c r="AF47" s="95">
        <f>IFERROR(VLOOKUP(O47,Surp6!$B$1:$C$161,2,0),0)</f>
        <v>219.2862654</v>
      </c>
      <c r="AG47" s="95">
        <f>IFERROR(VLOOKUP(Q47,Surp7!$B$1:$C$161,2,0),0)</f>
        <v>579.6587511</v>
      </c>
      <c r="AH47" s="95">
        <f>IFERROR(VLOOKUP(S47,Surp8!$B$1:$C$161,2,0),0)</f>
        <v>0</v>
      </c>
      <c r="AI47" s="95">
        <f>IFERROR(VLOOKUP(U47,Surp9!$B$1:$C$161,2,0),0)</f>
        <v>0</v>
      </c>
      <c r="AJ47" s="95">
        <f>IFERROR(VLOOKUP(W47,Surp10!$B$1:$C$161,2,0),0)</f>
        <v>0</v>
      </c>
      <c r="AK47" s="95">
        <f>IFERROR(VLOOKUP(Y47,Surp11!$B$1:$C$161,2,0),0)</f>
        <v>0</v>
      </c>
    </row>
    <row r="48" ht="15.75" customHeight="1">
      <c r="A48" s="171">
        <v>47.0</v>
      </c>
      <c r="B48" s="6" t="s">
        <v>56</v>
      </c>
      <c r="C48" s="136">
        <f t="shared" si="1"/>
        <v>790.338984</v>
      </c>
      <c r="D48" s="93"/>
      <c r="E48" s="94">
        <f>IFERROR(VLOOKUP($B48,Surp1!$A$1:$B$161,2,0),0)</f>
        <v>0</v>
      </c>
      <c r="F48" s="95">
        <f>IFERROR(VLOOKUP(E48,Surp1!$B$1:$C$161,2,0),0)</f>
        <v>0</v>
      </c>
      <c r="G48" s="94">
        <f>IFERROR(VLOOKUP($B48,Surp2!$A$1:$B$161,2,0),0)</f>
        <v>1</v>
      </c>
      <c r="H48" s="95">
        <f>IFERROR(VLOOKUP(G48,Surp2!$B$1:$C$161,2,0),0)</f>
        <v>711.5606478</v>
      </c>
      <c r="I48" s="94">
        <f>IFERROR(VLOOKUP($B48,Surp3!$A$1:$B$161,2,0),0)</f>
        <v>0</v>
      </c>
      <c r="J48" s="95">
        <f>IFERROR(VLOOKUP(I48,Surp3!$B$1:$C$161,2,0),0)</f>
        <v>0</v>
      </c>
      <c r="K48" s="94">
        <f>IFERROR(VLOOKUP($B48,Surp4!$A$1:$B$161,2,0),0)</f>
        <v>0</v>
      </c>
      <c r="L48" s="95">
        <f>IFERROR(VLOOKUP(K48,Surp4!$B$1:$C$161,2,0),0)</f>
        <v>0</v>
      </c>
      <c r="M48" s="94">
        <f>IFERROR(VLOOKUP($B48,Surp5!$A$1:$B$161,2,0),0)</f>
        <v>52</v>
      </c>
      <c r="N48" s="95">
        <f>IFERROR(VLOOKUP(M48,Surp5!$B$1:$C$161,2,0),0)</f>
        <v>4.929077083</v>
      </c>
      <c r="O48" s="94">
        <f>IFERROR(VLOOKUP($B48,Surp6!$A$1:$B$161,2,0),0)</f>
        <v>0</v>
      </c>
      <c r="P48" s="95">
        <f>IFERROR(VLOOKUP(O48,Surp6!$B$1:$C$161,2,0),0)</f>
        <v>0</v>
      </c>
      <c r="Q48" s="94">
        <f>IFERROR(VLOOKUP($B48,Surp7!$A$1:$B$161,2,0),0)</f>
        <v>42</v>
      </c>
      <c r="R48" s="95">
        <f>IFERROR(VLOOKUP(Q48,Surp7!$B$1:$C$161,2,0),0)</f>
        <v>73.84925912</v>
      </c>
      <c r="S48" s="94">
        <f>IFERROR(VLOOKUP($B48,Surp8!$A$1:$B$161,2,0),0)</f>
        <v>0</v>
      </c>
      <c r="T48" s="95">
        <f>IFERROR(VLOOKUP(S48,Surp8!$B$1:$C$161,2,0),0)</f>
        <v>0</v>
      </c>
      <c r="U48" s="94">
        <f>IFERROR(VLOOKUP($B48,Surp9!$A$1:$B$161,2,0),0)</f>
        <v>0</v>
      </c>
      <c r="V48" s="95">
        <f>IFERROR(VLOOKUP(U48,Surp9!$B$1:$C$161,2,0),0)</f>
        <v>0</v>
      </c>
      <c r="W48" s="94">
        <f>IFERROR(VLOOKUP($B48,Surp10!$A$1:$B$161,2,0),0)</f>
        <v>0</v>
      </c>
      <c r="X48" s="95">
        <f>IFERROR(VLOOKUP(W48,Surp10!$B$1:$C$161,2,0),0)</f>
        <v>0</v>
      </c>
      <c r="Y48" s="94">
        <f>IFERROR(VLOOKUP($B48,Surp11!$A$1:$B$161,2,0),0)</f>
        <v>0</v>
      </c>
      <c r="Z48" s="95">
        <f>IFERROR(VLOOKUP(Y48,Surp11!$B$1:$C$161,2,0),0)</f>
        <v>0</v>
      </c>
      <c r="AA48" s="95">
        <f>IFERROR(VLOOKUP(E48,Surp1!$B$1:$C$161,2,0),0)</f>
        <v>0</v>
      </c>
      <c r="AB48" s="95">
        <f>IFERROR(VLOOKUP(G48,Surp2!$B$1:$C$161,2,0),0)</f>
        <v>711.5606478</v>
      </c>
      <c r="AC48" s="95">
        <f>IFERROR(VLOOKUP(I48,Surp3!$B$1:$C$161,2,0),0)</f>
        <v>0</v>
      </c>
      <c r="AD48" s="95">
        <f>IFERROR(VLOOKUP(K48,Surp4!$B$1:$C$161,2,0),0)</f>
        <v>0</v>
      </c>
      <c r="AE48" s="95">
        <f>IFERROR(VLOOKUP(M48,Surp5!$B$1:$C$161,2,0),0)</f>
        <v>4.929077083</v>
      </c>
      <c r="AF48" s="95">
        <f>IFERROR(VLOOKUP(O48,Surp6!$B$1:$C$161,2,0),0)</f>
        <v>0</v>
      </c>
      <c r="AG48" s="95">
        <f>IFERROR(VLOOKUP(Q48,Surp7!$B$1:$C$161,2,0),0)</f>
        <v>73.84925912</v>
      </c>
      <c r="AH48" s="95">
        <f>IFERROR(VLOOKUP(S48,Surp8!$B$1:$C$161,2,0),0)</f>
        <v>0</v>
      </c>
      <c r="AI48" s="95">
        <f>IFERROR(VLOOKUP(U48,Surp9!$B$1:$C$161,2,0),0)</f>
        <v>0</v>
      </c>
      <c r="AJ48" s="95">
        <f>IFERROR(VLOOKUP(W48,Surp10!$B$1:$C$161,2,0),0)</f>
        <v>0</v>
      </c>
      <c r="AK48" s="95">
        <f>IFERROR(VLOOKUP(Y48,Surp11!$B$1:$C$161,2,0),0)</f>
        <v>0</v>
      </c>
    </row>
    <row r="49" ht="15.75" customHeight="1">
      <c r="A49" s="172">
        <v>48.0</v>
      </c>
      <c r="B49" s="6" t="s">
        <v>24</v>
      </c>
      <c r="C49" s="136">
        <f t="shared" si="1"/>
        <v>770.6416095</v>
      </c>
      <c r="D49" s="173"/>
      <c r="E49" s="174">
        <f>IFERROR(VLOOKUP($B49,Surp1!$A$1:$B$161,2,0),0)</f>
        <v>56</v>
      </c>
      <c r="F49" s="175">
        <f>IFERROR(VLOOKUP(E49,Surp1!$B$1:$C$161,2,0),0)</f>
        <v>9.044516215</v>
      </c>
      <c r="G49" s="174">
        <f>IFERROR(VLOOKUP($B49,Surp2!$A$1:$B$161,2,0),0)</f>
        <v>12</v>
      </c>
      <c r="H49" s="175">
        <f>IFERROR(VLOOKUP(G49,Surp2!$B$1:$C$161,2,0),0)</f>
        <v>311.0325465</v>
      </c>
      <c r="I49" s="174">
        <f>IFERROR(VLOOKUP($B49,Surp3!$A$1:$B$161,2,0),0)</f>
        <v>45</v>
      </c>
      <c r="J49" s="175">
        <f>IFERROR(VLOOKUP(I49,Surp3!$B$1:$C$161,2,0),0)</f>
        <v>16.51431432</v>
      </c>
      <c r="K49" s="174">
        <f>IFERROR(VLOOKUP($B49,Surp4!$A$1:$B$161,2,0),0)</f>
        <v>7</v>
      </c>
      <c r="L49" s="175">
        <f>IFERROR(VLOOKUP(K49,Surp4!$B$1:$C$161,2,0),0)</f>
        <v>368.5308785</v>
      </c>
      <c r="M49" s="174">
        <f>IFERROR(VLOOKUP($B49,Surp5!$A$1:$B$161,2,0),0)</f>
        <v>46</v>
      </c>
      <c r="N49" s="175">
        <f>IFERROR(VLOOKUP(M49,Surp5!$B$1:$C$161,2,0),0)</f>
        <v>35.57746728</v>
      </c>
      <c r="O49" s="174">
        <f>IFERROR(VLOOKUP($B49,Surp6!$A$1:$B$161,2,0),0)</f>
        <v>0</v>
      </c>
      <c r="P49" s="175">
        <f>IFERROR(VLOOKUP(O49,Surp6!$B$1:$C$161,2,0),0)</f>
        <v>0</v>
      </c>
      <c r="Q49" s="174">
        <f>IFERROR(VLOOKUP($B49,Surp7!$A$1:$B$161,2,0),0)</f>
        <v>0</v>
      </c>
      <c r="R49" s="175">
        <f>IFERROR(VLOOKUP(Q49,Surp7!$B$1:$C$161,2,0),0)</f>
        <v>0</v>
      </c>
      <c r="S49" s="174">
        <f>IFERROR(VLOOKUP($B49,Surp8!$A$1:$B$161,2,0),0)</f>
        <v>0</v>
      </c>
      <c r="T49" s="175">
        <f>IFERROR(VLOOKUP(S49,Surp8!$B$1:$C$161,2,0),0)</f>
        <v>0</v>
      </c>
      <c r="U49" s="174">
        <f>IFERROR(VLOOKUP($B49,Surp9!$A$1:$B$161,2,0),0)</f>
        <v>43</v>
      </c>
      <c r="V49" s="175">
        <f>IFERROR(VLOOKUP(U49,Surp9!$B$1:$C$161,2,0),0)</f>
        <v>11.68764049</v>
      </c>
      <c r="W49" s="174">
        <f>IFERROR(VLOOKUP($B49,Surp10!$A$1:$B$161,2,0),0)</f>
        <v>0</v>
      </c>
      <c r="X49" s="175">
        <f>IFERROR(VLOOKUP(W49,Surp10!$B$1:$C$161,2,0),0)</f>
        <v>0</v>
      </c>
      <c r="Y49" s="174">
        <f>IFERROR(VLOOKUP($B49,Surp11!$A$1:$B$161,2,0),0)</f>
        <v>27</v>
      </c>
      <c r="Z49" s="175">
        <f>IFERROR(VLOOKUP(Y49,Surp11!$B$1:$C$161,2,0),0)</f>
        <v>18.25424622</v>
      </c>
      <c r="AA49" s="175">
        <f>IFERROR(VLOOKUP(E49,Surp1!$B$1:$C$161,2,0),0)</f>
        <v>9.044516215</v>
      </c>
      <c r="AB49" s="175">
        <f>IFERROR(VLOOKUP(G49,Surp2!$B$1:$C$161,2,0),0)</f>
        <v>311.0325465</v>
      </c>
      <c r="AC49" s="175">
        <f>IFERROR(VLOOKUP(I49,Surp3!$B$1:$C$161,2,0),0)</f>
        <v>16.51431432</v>
      </c>
      <c r="AD49" s="175">
        <f>IFERROR(VLOOKUP(K49,Surp4!$B$1:$C$161,2,0),0)</f>
        <v>368.5308785</v>
      </c>
      <c r="AE49" s="175">
        <f>IFERROR(VLOOKUP(M49,Surp5!$B$1:$C$161,2,0),0)</f>
        <v>35.57746728</v>
      </c>
      <c r="AF49" s="175">
        <f>IFERROR(VLOOKUP(O49,Surp6!$B$1:$C$161,2,0),0)</f>
        <v>0</v>
      </c>
      <c r="AG49" s="175">
        <f>IFERROR(VLOOKUP(Q49,Surp7!$B$1:$C$161,2,0),0)</f>
        <v>0</v>
      </c>
      <c r="AH49" s="175">
        <f>IFERROR(VLOOKUP(S49,Surp8!$B$1:$C$161,2,0),0)</f>
        <v>0</v>
      </c>
      <c r="AI49" s="175">
        <f>IFERROR(VLOOKUP(U49,Surp9!$B$1:$C$161,2,0),0)</f>
        <v>11.68764049</v>
      </c>
      <c r="AJ49" s="175">
        <f>IFERROR(VLOOKUP(W49,Surp10!$B$1:$C$161,2,0),0)</f>
        <v>0</v>
      </c>
      <c r="AK49" s="175">
        <f>IFERROR(VLOOKUP(Y49,Surp11!$B$1:$C$161,2,0),0)</f>
        <v>18.25424622</v>
      </c>
    </row>
    <row r="50" ht="15.75" customHeight="1">
      <c r="A50" s="171">
        <v>49.0</v>
      </c>
      <c r="B50" s="6" t="s">
        <v>90</v>
      </c>
      <c r="C50" s="136">
        <f t="shared" si="1"/>
        <v>750.064967</v>
      </c>
      <c r="D50" s="173"/>
      <c r="E50" s="174">
        <f>IFERROR(VLOOKUP($B50,Surp1!$A$1:$B$161,2,0),0)</f>
        <v>0</v>
      </c>
      <c r="F50" s="175">
        <f>IFERROR(VLOOKUP(E50,Surp1!$B$1:$C$161,2,0),0)</f>
        <v>0</v>
      </c>
      <c r="G50" s="174">
        <f>IFERROR(VLOOKUP($B50,Surp2!$A$1:$B$161,2,0),0)</f>
        <v>2</v>
      </c>
      <c r="H50" s="175">
        <f>IFERROR(VLOOKUP(G50,Surp2!$B$1:$C$161,2,0),0)</f>
        <v>588.2072929</v>
      </c>
      <c r="I50" s="174">
        <f>IFERROR(VLOOKUP($B50,Surp3!$A$1:$B$161,2,0),0)</f>
        <v>28</v>
      </c>
      <c r="J50" s="175">
        <f>IFERROR(VLOOKUP(I50,Surp3!$B$1:$C$161,2,0),0)</f>
        <v>123.9603825</v>
      </c>
      <c r="K50" s="174">
        <f>IFERROR(VLOOKUP($B50,Surp4!$A$1:$B$161,2,0),0)</f>
        <v>0</v>
      </c>
      <c r="L50" s="175">
        <f>IFERROR(VLOOKUP(K50,Surp4!$B$1:$C$161,2,0),0)</f>
        <v>0</v>
      </c>
      <c r="M50" s="174">
        <f>IFERROR(VLOOKUP($B50,Surp5!$A$1:$B$161,2,0),0)</f>
        <v>0</v>
      </c>
      <c r="N50" s="175">
        <f>IFERROR(VLOOKUP(M50,Surp5!$B$1:$C$161,2,0),0)</f>
        <v>0</v>
      </c>
      <c r="O50" s="174">
        <f>IFERROR(VLOOKUP($B50,Surp6!$A$1:$B$161,2,0),0)</f>
        <v>49</v>
      </c>
      <c r="P50" s="175">
        <f>IFERROR(VLOOKUP(O50,Surp6!$B$1:$C$161,2,0),0)</f>
        <v>37.89729158</v>
      </c>
      <c r="Q50" s="174">
        <f>IFERROR(VLOOKUP($B50,Surp7!$A$1:$B$161,2,0),0)</f>
        <v>0</v>
      </c>
      <c r="R50" s="175">
        <f>IFERROR(VLOOKUP(Q50,Surp7!$B$1:$C$161,2,0),0)</f>
        <v>0</v>
      </c>
      <c r="S50" s="174">
        <f>IFERROR(VLOOKUP($B50,Surp8!$A$1:$B$161,2,0),0)</f>
        <v>0</v>
      </c>
      <c r="T50" s="175">
        <f>IFERROR(VLOOKUP(S50,Surp8!$B$1:$C$161,2,0),0)</f>
        <v>0</v>
      </c>
      <c r="U50" s="174">
        <f>IFERROR(VLOOKUP($B50,Surp9!$A$1:$B$161,2,0),0)</f>
        <v>0</v>
      </c>
      <c r="V50" s="175">
        <f>IFERROR(VLOOKUP(U50,Surp9!$B$1:$C$161,2,0),0)</f>
        <v>0</v>
      </c>
      <c r="W50" s="174">
        <f>IFERROR(VLOOKUP($B50,Surp10!$A$1:$B$161,2,0),0)</f>
        <v>0</v>
      </c>
      <c r="X50" s="175">
        <f>IFERROR(VLOOKUP(W50,Surp10!$B$1:$C$161,2,0),0)</f>
        <v>0</v>
      </c>
      <c r="Y50" s="174">
        <f>IFERROR(VLOOKUP($B50,Surp11!$A$1:$B$161,2,0),0)</f>
        <v>0</v>
      </c>
      <c r="Z50" s="175">
        <f>IFERROR(VLOOKUP(Y50,Surp11!$B$1:$C$161,2,0),0)</f>
        <v>0</v>
      </c>
      <c r="AA50" s="175">
        <f>IFERROR(VLOOKUP(E50,Surp1!$B$1:$C$161,2,0),0)</f>
        <v>0</v>
      </c>
      <c r="AB50" s="175">
        <f>IFERROR(VLOOKUP(G50,Surp2!$B$1:$C$161,2,0),0)</f>
        <v>588.2072929</v>
      </c>
      <c r="AC50" s="175">
        <f>IFERROR(VLOOKUP(I50,Surp3!$B$1:$C$161,2,0),0)</f>
        <v>123.9603825</v>
      </c>
      <c r="AD50" s="175">
        <f>IFERROR(VLOOKUP(K50,Surp4!$B$1:$C$161,2,0),0)</f>
        <v>0</v>
      </c>
      <c r="AE50" s="175">
        <f>IFERROR(VLOOKUP(M50,Surp5!$B$1:$C$161,2,0),0)</f>
        <v>0</v>
      </c>
      <c r="AF50" s="175">
        <f>IFERROR(VLOOKUP(O50,Surp6!$B$1:$C$161,2,0),0)</f>
        <v>37.89729158</v>
      </c>
      <c r="AG50" s="175">
        <f>IFERROR(VLOOKUP(Q50,Surp7!$B$1:$C$161,2,0),0)</f>
        <v>0</v>
      </c>
      <c r="AH50" s="175">
        <f>IFERROR(VLOOKUP(S50,Surp8!$B$1:$C$161,2,0),0)</f>
        <v>0</v>
      </c>
      <c r="AI50" s="175">
        <f>IFERROR(VLOOKUP(U50,Surp9!$B$1:$C$161,2,0),0)</f>
        <v>0</v>
      </c>
      <c r="AJ50" s="175">
        <f>IFERROR(VLOOKUP(W50,Surp10!$B$1:$C$161,2,0),0)</f>
        <v>0</v>
      </c>
      <c r="AK50" s="175">
        <f>IFERROR(VLOOKUP(Y50,Surp11!$B$1:$C$161,2,0),0)</f>
        <v>0</v>
      </c>
    </row>
    <row r="51" ht="15.75" customHeight="1">
      <c r="A51" s="172">
        <v>50.0</v>
      </c>
      <c r="B51" s="6" t="s">
        <v>64</v>
      </c>
      <c r="C51" s="136">
        <f t="shared" si="1"/>
        <v>747.6849801</v>
      </c>
      <c r="D51" s="173"/>
      <c r="E51" s="174">
        <f>IFERROR(VLOOKUP($B51,Surp1!$A$1:$B$161,2,0),0)</f>
        <v>10</v>
      </c>
      <c r="F51" s="175">
        <f>IFERROR(VLOOKUP(E51,Surp1!$B$1:$C$161,2,0),0)</f>
        <v>333.9208907</v>
      </c>
      <c r="G51" s="174">
        <f>IFERROR(VLOOKUP($B51,Surp2!$A$1:$B$161,2,0),0)</f>
        <v>47</v>
      </c>
      <c r="H51" s="175">
        <f>IFERROR(VLOOKUP(G51,Surp2!$B$1:$C$161,2,0),0)</f>
        <v>59.87958724</v>
      </c>
      <c r="I51" s="174">
        <f>IFERROR(VLOOKUP($B51,Surp3!$A$1:$B$161,2,0),0)</f>
        <v>17</v>
      </c>
      <c r="J51" s="175">
        <f>IFERROR(VLOOKUP(I51,Surp3!$B$1:$C$161,2,0),0)</f>
        <v>217.6666451</v>
      </c>
      <c r="K51" s="174">
        <f>IFERROR(VLOOKUP($B51,Surp4!$A$1:$B$161,2,0),0)</f>
        <v>28</v>
      </c>
      <c r="L51" s="175">
        <f>IFERROR(VLOOKUP(K51,Surp4!$B$1:$C$161,2,0),0)</f>
        <v>136.2178571</v>
      </c>
      <c r="M51" s="174">
        <f>IFERROR(VLOOKUP($B51,Surp5!$A$1:$B$161,2,0),0)</f>
        <v>0</v>
      </c>
      <c r="N51" s="175">
        <f>IFERROR(VLOOKUP(M51,Surp5!$B$1:$C$161,2,0),0)</f>
        <v>0</v>
      </c>
      <c r="O51" s="174">
        <f>IFERROR(VLOOKUP($B51,Surp6!$A$1:$B$161,2,0),0)</f>
        <v>0</v>
      </c>
      <c r="P51" s="175">
        <f>IFERROR(VLOOKUP(O51,Surp6!$B$1:$C$161,2,0),0)</f>
        <v>0</v>
      </c>
      <c r="Q51" s="174">
        <f>IFERROR(VLOOKUP($B51,Surp7!$A$1:$B$161,2,0),0)</f>
        <v>0</v>
      </c>
      <c r="R51" s="175">
        <f>IFERROR(VLOOKUP(Q51,Surp7!$B$1:$C$161,2,0),0)</f>
        <v>0</v>
      </c>
      <c r="S51" s="174">
        <f>IFERROR(VLOOKUP($B51,Surp8!$A$1:$B$161,2,0),0)</f>
        <v>0</v>
      </c>
      <c r="T51" s="175">
        <f>IFERROR(VLOOKUP(S51,Surp8!$B$1:$C$161,2,0),0)</f>
        <v>0</v>
      </c>
      <c r="U51" s="174">
        <f>IFERROR(VLOOKUP($B51,Surp9!$A$1:$B$161,2,0),0)</f>
        <v>0</v>
      </c>
      <c r="V51" s="175">
        <f>IFERROR(VLOOKUP(U51,Surp9!$B$1:$C$161,2,0),0)</f>
        <v>0</v>
      </c>
      <c r="W51" s="174">
        <f>IFERROR(VLOOKUP($B51,Surp10!$A$1:$B$161,2,0),0)</f>
        <v>0</v>
      </c>
      <c r="X51" s="175">
        <f>IFERROR(VLOOKUP(W51,Surp10!$B$1:$C$161,2,0),0)</f>
        <v>0</v>
      </c>
      <c r="Y51" s="174">
        <f>IFERROR(VLOOKUP($B51,Surp11!$A$1:$B$161,2,0),0)</f>
        <v>0</v>
      </c>
      <c r="Z51" s="175">
        <f>IFERROR(VLOOKUP(Y51,Surp11!$B$1:$C$161,2,0),0)</f>
        <v>0</v>
      </c>
      <c r="AA51" s="175">
        <f>IFERROR(VLOOKUP(E51,Surp1!$B$1:$C$161,2,0),0)</f>
        <v>333.9208907</v>
      </c>
      <c r="AB51" s="175">
        <f>IFERROR(VLOOKUP(G51,Surp2!$B$1:$C$161,2,0),0)</f>
        <v>59.87958724</v>
      </c>
      <c r="AC51" s="175">
        <f>IFERROR(VLOOKUP(I51,Surp3!$B$1:$C$161,2,0),0)</f>
        <v>217.6666451</v>
      </c>
      <c r="AD51" s="175">
        <f>IFERROR(VLOOKUP(K51,Surp4!$B$1:$C$161,2,0),0)</f>
        <v>136.2178571</v>
      </c>
      <c r="AE51" s="175">
        <f>IFERROR(VLOOKUP(M51,Surp5!$B$1:$C$161,2,0),0)</f>
        <v>0</v>
      </c>
      <c r="AF51" s="175">
        <f>IFERROR(VLOOKUP(O51,Surp6!$B$1:$C$161,2,0),0)</f>
        <v>0</v>
      </c>
      <c r="AG51" s="175">
        <f>IFERROR(VLOOKUP(Q51,Surp7!$B$1:$C$161,2,0),0)</f>
        <v>0</v>
      </c>
      <c r="AH51" s="175">
        <f>IFERROR(VLOOKUP(S51,Surp8!$B$1:$C$161,2,0),0)</f>
        <v>0</v>
      </c>
      <c r="AI51" s="175">
        <f>IFERROR(VLOOKUP(U51,Surp9!$B$1:$C$161,2,0),0)</f>
        <v>0</v>
      </c>
      <c r="AJ51" s="175">
        <f>IFERROR(VLOOKUP(W51,Surp10!$B$1:$C$161,2,0),0)</f>
        <v>0</v>
      </c>
      <c r="AK51" s="175">
        <f>IFERROR(VLOOKUP(Y51,Surp11!$B$1:$C$161,2,0),0)</f>
        <v>0</v>
      </c>
    </row>
    <row r="52" ht="15.75" customHeight="1">
      <c r="A52" s="171">
        <v>51.0</v>
      </c>
      <c r="B52" s="6" t="s">
        <v>63</v>
      </c>
      <c r="C52" s="136">
        <f t="shared" si="1"/>
        <v>730.9379637</v>
      </c>
      <c r="D52" s="173"/>
      <c r="E52" s="174">
        <f>IFERROR(VLOOKUP($B52,Surp1!$A$1:$B$161,2,0),0)</f>
        <v>46</v>
      </c>
      <c r="F52" s="175">
        <f>IFERROR(VLOOKUP(E52,Surp1!$B$1:$C$161,2,0),0)</f>
        <v>57.00253119</v>
      </c>
      <c r="G52" s="174">
        <f>IFERROR(VLOOKUP($B52,Surp2!$A$1:$B$161,2,0),0)</f>
        <v>0</v>
      </c>
      <c r="H52" s="175">
        <f>IFERROR(VLOOKUP(G52,Surp2!$B$1:$C$161,2,0),0)</f>
        <v>0</v>
      </c>
      <c r="I52" s="174">
        <f>IFERROR(VLOOKUP($B52,Surp3!$A$1:$B$161,2,0),0)</f>
        <v>25</v>
      </c>
      <c r="J52" s="175">
        <f>IFERROR(VLOOKUP(I52,Surp3!$B$1:$C$161,2,0),0)</f>
        <v>146.651076</v>
      </c>
      <c r="K52" s="174">
        <f>IFERROR(VLOOKUP($B52,Surp4!$A$1:$B$161,2,0),0)</f>
        <v>30</v>
      </c>
      <c r="L52" s="175">
        <f>IFERROR(VLOOKUP(K52,Surp4!$B$1:$C$161,2,0),0)</f>
        <v>122.2460111</v>
      </c>
      <c r="M52" s="174">
        <f>IFERROR(VLOOKUP($B52,Surp5!$A$1:$B$161,2,0),0)</f>
        <v>43</v>
      </c>
      <c r="N52" s="175">
        <f>IFERROR(VLOOKUP(M52,Surp5!$B$1:$C$161,2,0),0)</f>
        <v>51.68914302</v>
      </c>
      <c r="O52" s="174">
        <f>IFERROR(VLOOKUP($B52,Surp6!$A$1:$B$161,2,0),0)</f>
        <v>50</v>
      </c>
      <c r="P52" s="175">
        <f>IFERROR(VLOOKUP(O52,Surp6!$B$1:$C$161,2,0),0)</f>
        <v>32.99307127</v>
      </c>
      <c r="Q52" s="174">
        <f>IFERROR(VLOOKUP($B52,Surp7!$A$1:$B$161,2,0),0)</f>
        <v>55</v>
      </c>
      <c r="R52" s="175">
        <f>IFERROR(VLOOKUP(Q52,Surp7!$B$1:$C$161,2,0),0)</f>
        <v>9.204634106</v>
      </c>
      <c r="S52" s="174">
        <f>IFERROR(VLOOKUP($B52,Surp8!$A$1:$B$161,2,0),0)</f>
        <v>0</v>
      </c>
      <c r="T52" s="175">
        <f>IFERROR(VLOOKUP(S52,Surp8!$B$1:$C$161,2,0),0)</f>
        <v>0</v>
      </c>
      <c r="U52" s="174">
        <f>IFERROR(VLOOKUP($B52,Surp9!$A$1:$B$161,2,0),0)</f>
        <v>40</v>
      </c>
      <c r="V52" s="175">
        <f>IFERROR(VLOOKUP(U52,Surp9!$B$1:$C$161,2,0),0)</f>
        <v>29.75219208</v>
      </c>
      <c r="W52" s="174">
        <f>IFERROR(VLOOKUP($B52,Surp10!$A$1:$B$161,2,0),0)</f>
        <v>0</v>
      </c>
      <c r="X52" s="175">
        <f>IFERROR(VLOOKUP(W52,Surp10!$B$1:$C$161,2,0),0)</f>
        <v>0</v>
      </c>
      <c r="Y52" s="174">
        <f>IFERROR(VLOOKUP($B52,Surp11!$A$1:$B$161,2,0),0)</f>
        <v>7</v>
      </c>
      <c r="Z52" s="175">
        <f>IFERROR(VLOOKUP(Y52,Surp11!$B$1:$C$161,2,0),0)</f>
        <v>281.3993049</v>
      </c>
      <c r="AA52" s="175">
        <f>IFERROR(VLOOKUP(E52,Surp1!$B$1:$C$161,2,0),0)</f>
        <v>57.00253119</v>
      </c>
      <c r="AB52" s="175">
        <f>IFERROR(VLOOKUP(G52,Surp2!$B$1:$C$161,2,0),0)</f>
        <v>0</v>
      </c>
      <c r="AC52" s="175">
        <f>IFERROR(VLOOKUP(I52,Surp3!$B$1:$C$161,2,0),0)</f>
        <v>146.651076</v>
      </c>
      <c r="AD52" s="175">
        <f>IFERROR(VLOOKUP(K52,Surp4!$B$1:$C$161,2,0),0)</f>
        <v>122.2460111</v>
      </c>
      <c r="AE52" s="175">
        <f>IFERROR(VLOOKUP(M52,Surp5!$B$1:$C$161,2,0),0)</f>
        <v>51.68914302</v>
      </c>
      <c r="AF52" s="175">
        <f>IFERROR(VLOOKUP(O52,Surp6!$B$1:$C$161,2,0),0)</f>
        <v>32.99307127</v>
      </c>
      <c r="AG52" s="175">
        <f>IFERROR(VLOOKUP(Q52,Surp7!$B$1:$C$161,2,0),0)</f>
        <v>9.204634106</v>
      </c>
      <c r="AH52" s="175">
        <f>IFERROR(VLOOKUP(S52,Surp8!$B$1:$C$161,2,0),0)</f>
        <v>0</v>
      </c>
      <c r="AI52" s="175">
        <f>IFERROR(VLOOKUP(U52,Surp9!$B$1:$C$161,2,0),0)</f>
        <v>29.75219208</v>
      </c>
      <c r="AJ52" s="175">
        <f>IFERROR(VLOOKUP(W52,Surp10!$B$1:$C$161,2,0),0)</f>
        <v>0</v>
      </c>
      <c r="AK52" s="175">
        <f>IFERROR(VLOOKUP(Y52,Surp11!$B$1:$C$161,2,0),0)</f>
        <v>281.3993049</v>
      </c>
    </row>
    <row r="53" ht="15.75" customHeight="1">
      <c r="A53" s="172">
        <v>52.0</v>
      </c>
      <c r="B53" s="6" t="s">
        <v>47</v>
      </c>
      <c r="C53" s="136">
        <f t="shared" si="1"/>
        <v>728.437414</v>
      </c>
      <c r="D53" s="93"/>
      <c r="E53" s="94">
        <f>IFERROR(VLOOKUP($B53,Surp1!$A$1:$B$161,2,0),0)</f>
        <v>43</v>
      </c>
      <c r="F53" s="95">
        <f>IFERROR(VLOOKUP(E53,Surp1!$B$1:$C$161,2,0),0)</f>
        <v>72.46469989</v>
      </c>
      <c r="G53" s="94">
        <f>IFERROR(VLOOKUP($B53,Surp2!$A$1:$B$161,2,0),0)</f>
        <v>0</v>
      </c>
      <c r="H53" s="95">
        <f>IFERROR(VLOOKUP(G53,Surp2!$B$1:$C$161,2,0),0)</f>
        <v>0</v>
      </c>
      <c r="I53" s="94">
        <f>IFERROR(VLOOKUP($B53,Surp3!$A$1:$B$161,2,0),0)</f>
        <v>0</v>
      </c>
      <c r="J53" s="95">
        <f>IFERROR(VLOOKUP(I53,Surp3!$B$1:$C$161,2,0),0)</f>
        <v>0</v>
      </c>
      <c r="K53" s="94">
        <f>IFERROR(VLOOKUP($B53,Surp4!$A$1:$B$161,2,0),0)</f>
        <v>0</v>
      </c>
      <c r="L53" s="95">
        <f>IFERROR(VLOOKUP(K53,Surp4!$B$1:$C$161,2,0),0)</f>
        <v>0</v>
      </c>
      <c r="M53" s="94">
        <f>IFERROR(VLOOKUP($B53,Surp5!$A$1:$B$161,2,0),0)</f>
        <v>20</v>
      </c>
      <c r="N53" s="95">
        <f>IFERROR(VLOOKUP(M53,Surp5!$B$1:$C$161,2,0),0)</f>
        <v>206.5489001</v>
      </c>
      <c r="O53" s="94">
        <f>IFERROR(VLOOKUP($B53,Surp6!$A$1:$B$161,2,0),0)</f>
        <v>10</v>
      </c>
      <c r="P53" s="95">
        <f>IFERROR(VLOOKUP(O53,Surp6!$B$1:$C$161,2,0),0)</f>
        <v>331.2569998</v>
      </c>
      <c r="Q53" s="94">
        <f>IFERROR(VLOOKUP($B53,Surp7!$A$1:$B$161,2,0),0)</f>
        <v>0</v>
      </c>
      <c r="R53" s="95">
        <f>IFERROR(VLOOKUP(Q53,Surp7!$B$1:$C$161,2,0),0)</f>
        <v>0</v>
      </c>
      <c r="S53" s="94">
        <f>IFERROR(VLOOKUP($B53,Surp8!$A$1:$B$161,2,0),0)</f>
        <v>0</v>
      </c>
      <c r="T53" s="95">
        <f>IFERROR(VLOOKUP(S53,Surp8!$B$1:$C$161,2,0),0)</f>
        <v>0</v>
      </c>
      <c r="U53" s="94">
        <f>IFERROR(VLOOKUP($B53,Surp9!$A$1:$B$161,2,0),0)</f>
        <v>27</v>
      </c>
      <c r="V53" s="95">
        <f>IFERROR(VLOOKUP(U53,Surp9!$B$1:$C$161,2,0),0)</f>
        <v>118.1668141</v>
      </c>
      <c r="W53" s="94">
        <f>IFERROR(VLOOKUP($B53,Surp10!$A$1:$B$161,2,0),0)</f>
        <v>0</v>
      </c>
      <c r="X53" s="95">
        <f>IFERROR(VLOOKUP(W53,Surp10!$B$1:$C$161,2,0),0)</f>
        <v>0</v>
      </c>
      <c r="Y53" s="94">
        <f>IFERROR(VLOOKUP($B53,Surp11!$A$1:$B$161,2,0),0)</f>
        <v>0</v>
      </c>
      <c r="Z53" s="95">
        <f>IFERROR(VLOOKUP(Y53,Surp11!$B$1:$C$161,2,0),0)</f>
        <v>0</v>
      </c>
      <c r="AA53" s="95">
        <f>IFERROR(VLOOKUP(E53,Surp1!$B$1:$C$161,2,0),0)</f>
        <v>72.46469989</v>
      </c>
      <c r="AB53" s="95">
        <f>IFERROR(VLOOKUP(G53,Surp2!$B$1:$C$161,2,0),0)</f>
        <v>0</v>
      </c>
      <c r="AC53" s="95">
        <f>IFERROR(VLOOKUP(I53,Surp3!$B$1:$C$161,2,0),0)</f>
        <v>0</v>
      </c>
      <c r="AD53" s="95">
        <f>IFERROR(VLOOKUP(K53,Surp4!$B$1:$C$161,2,0),0)</f>
        <v>0</v>
      </c>
      <c r="AE53" s="95">
        <f>IFERROR(VLOOKUP(M53,Surp5!$B$1:$C$161,2,0),0)</f>
        <v>206.5489001</v>
      </c>
      <c r="AF53" s="95">
        <f>IFERROR(VLOOKUP(O53,Surp6!$B$1:$C$161,2,0),0)</f>
        <v>331.2569998</v>
      </c>
      <c r="AG53" s="95">
        <f>IFERROR(VLOOKUP(Q53,Surp7!$B$1:$C$161,2,0),0)</f>
        <v>0</v>
      </c>
      <c r="AH53" s="95">
        <f>IFERROR(VLOOKUP(S53,Surp8!$B$1:$C$161,2,0),0)</f>
        <v>0</v>
      </c>
      <c r="AI53" s="95">
        <f>IFERROR(VLOOKUP(U53,Surp9!$B$1:$C$161,2,0),0)</f>
        <v>118.1668141</v>
      </c>
      <c r="AJ53" s="95">
        <f>IFERROR(VLOOKUP(W53,Surp10!$B$1:$C$161,2,0),0)</f>
        <v>0</v>
      </c>
      <c r="AK53" s="95">
        <f>IFERROR(VLOOKUP(Y53,Surp11!$B$1:$C$161,2,0),0)</f>
        <v>0</v>
      </c>
    </row>
    <row r="54" ht="15.75" customHeight="1">
      <c r="A54" s="171">
        <v>53.0</v>
      </c>
      <c r="B54" s="24" t="s">
        <v>68</v>
      </c>
      <c r="C54" s="136">
        <f t="shared" si="1"/>
        <v>724.4120082</v>
      </c>
      <c r="D54" s="136"/>
      <c r="E54" s="137">
        <f>IFERROR(VLOOKUP($B54,Surp1!$A$1:$B$161,2,0),0)</f>
        <v>0</v>
      </c>
      <c r="F54" s="97">
        <f>IFERROR(VLOOKUP(E54,Surp1!$B$1:$C$161,2,0),0)</f>
        <v>0</v>
      </c>
      <c r="G54" s="137">
        <f>IFERROR(VLOOKUP($B54,Surp2!$A$1:$B$161,2,0),0)</f>
        <v>0</v>
      </c>
      <c r="H54" s="97">
        <f>IFERROR(VLOOKUP(G54,Surp2!$B$1:$C$161,2,0),0)</f>
        <v>0</v>
      </c>
      <c r="I54" s="137">
        <f>IFERROR(VLOOKUP($B54,Surp3!$A$1:$B$161,2,0),0)</f>
        <v>0</v>
      </c>
      <c r="J54" s="97">
        <f>IFERROR(VLOOKUP(I54,Surp3!$B$1:$C$161,2,0),0)</f>
        <v>0</v>
      </c>
      <c r="K54" s="137">
        <f>IFERROR(VLOOKUP($B54,Surp4!$A$1:$B$161,2,0),0)</f>
        <v>0</v>
      </c>
      <c r="L54" s="97">
        <f>IFERROR(VLOOKUP(K54,Surp4!$B$1:$C$161,2,0),0)</f>
        <v>0</v>
      </c>
      <c r="M54" s="137">
        <f>IFERROR(VLOOKUP($B54,Surp5!$A$1:$B$161,2,0),0)</f>
        <v>18</v>
      </c>
      <c r="N54" s="97">
        <f>IFERROR(VLOOKUP(M54,Surp5!$B$1:$C$161,2,0),0)</f>
        <v>224.913935</v>
      </c>
      <c r="O54" s="137">
        <f>IFERROR(VLOOKUP($B54,Surp6!$A$1:$B$161,2,0),0)</f>
        <v>47</v>
      </c>
      <c r="P54" s="97">
        <f>IFERROR(VLOOKUP(O54,Surp6!$B$1:$C$161,2,0),0)</f>
        <v>47.86771997</v>
      </c>
      <c r="Q54" s="137">
        <f>IFERROR(VLOOKUP($B54,Surp7!$A$1:$B$161,2,0),0)</f>
        <v>0</v>
      </c>
      <c r="R54" s="97">
        <f>IFERROR(VLOOKUP(Q54,Surp7!$B$1:$C$161,2,0),0)</f>
        <v>0</v>
      </c>
      <c r="S54" s="137">
        <f>IFERROR(VLOOKUP($B54,Surp8!$A$1:$B$161,2,0),0)</f>
        <v>21</v>
      </c>
      <c r="T54" s="97">
        <f>IFERROR(VLOOKUP(S54,Surp8!$B$1:$C$161,2,0),0)</f>
        <v>154.596925</v>
      </c>
      <c r="U54" s="137">
        <f>IFERROR(VLOOKUP($B54,Surp9!$A$1:$B$161,2,0),0)</f>
        <v>35</v>
      </c>
      <c r="V54" s="97">
        <f>IFERROR(VLOOKUP(U54,Surp9!$B$1:$C$161,2,0),0)</f>
        <v>61.5243383</v>
      </c>
      <c r="W54" s="137">
        <f>IFERROR(VLOOKUP($B54,Surp10!$A$1:$B$161,2,0),0)</f>
        <v>26</v>
      </c>
      <c r="X54" s="97">
        <f>IFERROR(VLOOKUP(W54,Surp10!$B$1:$C$161,2,0),0)</f>
        <v>146.9649426</v>
      </c>
      <c r="Y54" s="137">
        <f>IFERROR(VLOOKUP($B54,Surp11!$A$1:$B$161,2,0),0)</f>
        <v>20</v>
      </c>
      <c r="Z54" s="97">
        <f>IFERROR(VLOOKUP(Y54,Surp11!$B$1:$C$161,2,0),0)</f>
        <v>88.54414733</v>
      </c>
      <c r="AA54" s="97">
        <f>IFERROR(VLOOKUP(E54,Surp1!$B$1:$C$161,2,0),0)</f>
        <v>0</v>
      </c>
      <c r="AB54" s="97">
        <f>IFERROR(VLOOKUP(G54,Surp2!$B$1:$C$161,2,0),0)</f>
        <v>0</v>
      </c>
      <c r="AC54" s="97">
        <f>IFERROR(VLOOKUP(I54,Surp3!$B$1:$C$161,2,0),0)</f>
        <v>0</v>
      </c>
      <c r="AD54" s="97">
        <f>IFERROR(VLOOKUP(K54,Surp4!$B$1:$C$161,2,0),0)</f>
        <v>0</v>
      </c>
      <c r="AE54" s="97">
        <f>IFERROR(VLOOKUP(M54,Surp5!$B$1:$C$161,2,0),0)</f>
        <v>224.913935</v>
      </c>
      <c r="AF54" s="97">
        <f>IFERROR(VLOOKUP(O54,Surp6!$B$1:$C$161,2,0),0)</f>
        <v>47.86771997</v>
      </c>
      <c r="AG54" s="97">
        <f>IFERROR(VLOOKUP(Q54,Surp7!$B$1:$C$161,2,0),0)</f>
        <v>0</v>
      </c>
      <c r="AH54" s="97">
        <f>IFERROR(VLOOKUP(S54,Surp8!$B$1:$C$161,2,0),0)</f>
        <v>154.596925</v>
      </c>
      <c r="AI54" s="97">
        <f>IFERROR(VLOOKUP(U54,Surp9!$B$1:$C$161,2,0),0)</f>
        <v>61.5243383</v>
      </c>
      <c r="AJ54" s="97">
        <f>IFERROR(VLOOKUP(W54,Surp10!$B$1:$C$161,2,0),0)</f>
        <v>146.9649426</v>
      </c>
      <c r="AK54" s="97">
        <f>IFERROR(VLOOKUP(Y54,Surp11!$B$1:$C$161,2,0),0)</f>
        <v>88.54414733</v>
      </c>
    </row>
    <row r="55" ht="15.75" customHeight="1">
      <c r="A55" s="172">
        <v>54.0</v>
      </c>
      <c r="B55" s="6" t="s">
        <v>20</v>
      </c>
      <c r="C55" s="136">
        <f t="shared" si="1"/>
        <v>722.4884262</v>
      </c>
      <c r="D55" s="173"/>
      <c r="E55" s="174">
        <f>IFERROR(VLOOKUP($B55,Surp1!$A$1:$B$161,2,0),0)</f>
        <v>0</v>
      </c>
      <c r="F55" s="175">
        <f>IFERROR(VLOOKUP(E55,Surp1!$B$1:$C$161,2,0),0)</f>
        <v>0</v>
      </c>
      <c r="G55" s="174">
        <f>IFERROR(VLOOKUP($B55,Surp2!$A$1:$B$161,2,0),0)</f>
        <v>55</v>
      </c>
      <c r="H55" s="175">
        <f>IFERROR(VLOOKUP(G55,Surp2!$B$1:$C$161,2,0),0)</f>
        <v>22.14314185</v>
      </c>
      <c r="I55" s="174">
        <f>IFERROR(VLOOKUP($B55,Surp3!$A$1:$B$161,2,0),0)</f>
        <v>0</v>
      </c>
      <c r="J55" s="175">
        <f>IFERROR(VLOOKUP(I55,Surp3!$B$1:$C$161,2,0),0)</f>
        <v>0</v>
      </c>
      <c r="K55" s="174">
        <f>IFERROR(VLOOKUP($B55,Surp4!$A$1:$B$161,2,0),0)</f>
        <v>16</v>
      </c>
      <c r="L55" s="175">
        <f>IFERROR(VLOOKUP(K55,Surp4!$B$1:$C$161,2,0),0)</f>
        <v>238.4151036</v>
      </c>
      <c r="M55" s="174">
        <f>IFERROR(VLOOKUP($B55,Surp5!$A$1:$B$161,2,0),0)</f>
        <v>25</v>
      </c>
      <c r="N55" s="175">
        <f>IFERROR(VLOOKUP(M55,Surp5!$B$1:$C$161,2,0),0)</f>
        <v>165.7446332</v>
      </c>
      <c r="O55" s="174">
        <f>IFERROR(VLOOKUP($B55,Surp6!$A$1:$B$161,2,0),0)</f>
        <v>0</v>
      </c>
      <c r="P55" s="175">
        <f>IFERROR(VLOOKUP(O55,Surp6!$B$1:$C$161,2,0),0)</f>
        <v>0</v>
      </c>
      <c r="Q55" s="174">
        <f>IFERROR(VLOOKUP($B55,Surp7!$A$1:$B$161,2,0),0)</f>
        <v>54</v>
      </c>
      <c r="R55" s="175">
        <f>IFERROR(VLOOKUP(Q55,Surp7!$B$1:$C$161,2,0),0)</f>
        <v>13.87043307</v>
      </c>
      <c r="S55" s="174">
        <f>IFERROR(VLOOKUP($B55,Surp8!$A$1:$B$161,2,0),0)</f>
        <v>0</v>
      </c>
      <c r="T55" s="175">
        <f>IFERROR(VLOOKUP(S55,Surp8!$B$1:$C$161,2,0),0)</f>
        <v>0</v>
      </c>
      <c r="U55" s="174">
        <f>IFERROR(VLOOKUP($B55,Surp9!$A$1:$B$161,2,0),0)</f>
        <v>0</v>
      </c>
      <c r="V55" s="175">
        <f>IFERROR(VLOOKUP(U55,Surp9!$B$1:$C$161,2,0),0)</f>
        <v>0</v>
      </c>
      <c r="W55" s="174">
        <f>IFERROR(VLOOKUP($B55,Surp10!$A$1:$B$161,2,0),0)</f>
        <v>12</v>
      </c>
      <c r="X55" s="175">
        <f>IFERROR(VLOOKUP(W55,Surp10!$B$1:$C$161,2,0),0)</f>
        <v>282.3151145</v>
      </c>
      <c r="Y55" s="174">
        <f>IFERROR(VLOOKUP($B55,Surp11!$A$1:$B$161,2,0),0)</f>
        <v>0</v>
      </c>
      <c r="Z55" s="175">
        <f>IFERROR(VLOOKUP(Y55,Surp11!$B$1:$C$161,2,0),0)</f>
        <v>0</v>
      </c>
      <c r="AA55" s="175">
        <f>IFERROR(VLOOKUP(E55,Surp1!$B$1:$C$161,2,0),0)</f>
        <v>0</v>
      </c>
      <c r="AB55" s="175">
        <f>IFERROR(VLOOKUP(G55,Surp2!$B$1:$C$161,2,0),0)</f>
        <v>22.14314185</v>
      </c>
      <c r="AC55" s="175">
        <f>IFERROR(VLOOKUP(I55,Surp3!$B$1:$C$161,2,0),0)</f>
        <v>0</v>
      </c>
      <c r="AD55" s="175">
        <f>IFERROR(VLOOKUP(K55,Surp4!$B$1:$C$161,2,0),0)</f>
        <v>238.4151036</v>
      </c>
      <c r="AE55" s="175">
        <f>IFERROR(VLOOKUP(M55,Surp5!$B$1:$C$161,2,0),0)</f>
        <v>165.7446332</v>
      </c>
      <c r="AF55" s="175">
        <f>IFERROR(VLOOKUP(O55,Surp6!$B$1:$C$161,2,0),0)</f>
        <v>0</v>
      </c>
      <c r="AG55" s="175">
        <f>IFERROR(VLOOKUP(Q55,Surp7!$B$1:$C$161,2,0),0)</f>
        <v>13.87043307</v>
      </c>
      <c r="AH55" s="175">
        <f>IFERROR(VLOOKUP(S55,Surp8!$B$1:$C$161,2,0),0)</f>
        <v>0</v>
      </c>
      <c r="AI55" s="175">
        <f>IFERROR(VLOOKUP(U55,Surp9!$B$1:$C$161,2,0),0)</f>
        <v>0</v>
      </c>
      <c r="AJ55" s="175">
        <f>IFERROR(VLOOKUP(W55,Surp10!$B$1:$C$161,2,0),0)</f>
        <v>282.3151145</v>
      </c>
      <c r="AK55" s="175">
        <f>IFERROR(VLOOKUP(Y55,Surp11!$B$1:$C$161,2,0),0)</f>
        <v>0</v>
      </c>
    </row>
    <row r="56" ht="15.75" customHeight="1">
      <c r="A56" s="171">
        <v>55.0</v>
      </c>
      <c r="B56" s="6" t="s">
        <v>74</v>
      </c>
      <c r="C56" s="136">
        <f t="shared" si="1"/>
        <v>715.183811</v>
      </c>
      <c r="D56" s="173"/>
      <c r="E56" s="174">
        <f>IFERROR(VLOOKUP($B56,Surp1!$A$1:$B$161,2,0),0)</f>
        <v>30</v>
      </c>
      <c r="F56" s="175">
        <f>IFERROR(VLOOKUP(E56,Surp1!$B$1:$C$161,2,0),0)</f>
        <v>148.0062552</v>
      </c>
      <c r="G56" s="174">
        <f>IFERROR(VLOOKUP($B56,Surp2!$A$1:$B$161,2,0),0)</f>
        <v>35</v>
      </c>
      <c r="H56" s="175">
        <f>IFERROR(VLOOKUP(G56,Surp2!$B$1:$C$161,2,0),0)</f>
        <v>123.9603825</v>
      </c>
      <c r="I56" s="174">
        <f>IFERROR(VLOOKUP($B56,Surp3!$A$1:$B$161,2,0),0)</f>
        <v>0</v>
      </c>
      <c r="J56" s="175">
        <f>IFERROR(VLOOKUP(I56,Surp3!$B$1:$C$161,2,0),0)</f>
        <v>0</v>
      </c>
      <c r="K56" s="174">
        <f>IFERROR(VLOOKUP($B56,Surp4!$A$1:$B$161,2,0),0)</f>
        <v>0</v>
      </c>
      <c r="L56" s="175">
        <f>IFERROR(VLOOKUP(K56,Surp4!$B$1:$C$161,2,0),0)</f>
        <v>0</v>
      </c>
      <c r="M56" s="174">
        <f>IFERROR(VLOOKUP($B56,Surp5!$A$1:$B$161,2,0),0)</f>
        <v>11</v>
      </c>
      <c r="N56" s="175">
        <f>IFERROR(VLOOKUP(M56,Surp5!$B$1:$C$161,2,0),0)</f>
        <v>305.2583588</v>
      </c>
      <c r="O56" s="174">
        <f>IFERROR(VLOOKUP($B56,Surp6!$A$1:$B$161,2,0),0)</f>
        <v>53</v>
      </c>
      <c r="P56" s="175">
        <f>IFERROR(VLOOKUP(O56,Surp6!$B$1:$C$161,2,0),0)</f>
        <v>18.58053566</v>
      </c>
      <c r="Q56" s="174">
        <f>IFERROR(VLOOKUP($B56,Surp7!$A$1:$B$161,2,0),0)</f>
        <v>34</v>
      </c>
      <c r="R56" s="175">
        <f>IFERROR(VLOOKUP(Q56,Surp7!$B$1:$C$161,2,0),0)</f>
        <v>119.3782788</v>
      </c>
      <c r="S56" s="174">
        <f>IFERROR(VLOOKUP($B56,Surp8!$A$1:$B$161,2,0),0)</f>
        <v>0</v>
      </c>
      <c r="T56" s="175">
        <f>IFERROR(VLOOKUP(S56,Surp8!$B$1:$C$161,2,0),0)</f>
        <v>0</v>
      </c>
      <c r="U56" s="174">
        <f>IFERROR(VLOOKUP($B56,Surp9!$A$1:$B$161,2,0),0)</f>
        <v>0</v>
      </c>
      <c r="V56" s="175">
        <f>IFERROR(VLOOKUP(U56,Surp9!$B$1:$C$161,2,0),0)</f>
        <v>0</v>
      </c>
      <c r="W56" s="174">
        <f>IFERROR(VLOOKUP($B56,Surp10!$A$1:$B$161,2,0),0)</f>
        <v>0</v>
      </c>
      <c r="X56" s="175">
        <f>IFERROR(VLOOKUP(W56,Surp10!$B$1:$C$161,2,0),0)</f>
        <v>0</v>
      </c>
      <c r="Y56" s="174">
        <f>IFERROR(VLOOKUP($B56,Surp11!$A$1:$B$161,2,0),0)</f>
        <v>0</v>
      </c>
      <c r="Z56" s="175">
        <f>IFERROR(VLOOKUP(Y56,Surp11!$B$1:$C$161,2,0),0)</f>
        <v>0</v>
      </c>
      <c r="AA56" s="175">
        <f>IFERROR(VLOOKUP(E56,Surp1!$B$1:$C$161,2,0),0)</f>
        <v>148.0062552</v>
      </c>
      <c r="AB56" s="175">
        <f>IFERROR(VLOOKUP(G56,Surp2!$B$1:$C$161,2,0),0)</f>
        <v>123.9603825</v>
      </c>
      <c r="AC56" s="175">
        <f>IFERROR(VLOOKUP(I56,Surp3!$B$1:$C$161,2,0),0)</f>
        <v>0</v>
      </c>
      <c r="AD56" s="175">
        <f>IFERROR(VLOOKUP(K56,Surp4!$B$1:$C$161,2,0),0)</f>
        <v>0</v>
      </c>
      <c r="AE56" s="175">
        <f>IFERROR(VLOOKUP(M56,Surp5!$B$1:$C$161,2,0),0)</f>
        <v>305.2583588</v>
      </c>
      <c r="AF56" s="175">
        <f>IFERROR(VLOOKUP(O56,Surp6!$B$1:$C$161,2,0),0)</f>
        <v>18.58053566</v>
      </c>
      <c r="AG56" s="175">
        <f>IFERROR(VLOOKUP(Q56,Surp7!$B$1:$C$161,2,0),0)</f>
        <v>119.3782788</v>
      </c>
      <c r="AH56" s="175">
        <f>IFERROR(VLOOKUP(S56,Surp8!$B$1:$C$161,2,0),0)</f>
        <v>0</v>
      </c>
      <c r="AI56" s="175">
        <f>IFERROR(VLOOKUP(U56,Surp9!$B$1:$C$161,2,0),0)</f>
        <v>0</v>
      </c>
      <c r="AJ56" s="175">
        <f>IFERROR(VLOOKUP(W56,Surp10!$B$1:$C$161,2,0),0)</f>
        <v>0</v>
      </c>
      <c r="AK56" s="175">
        <f>IFERROR(VLOOKUP(Y56,Surp11!$B$1:$C$161,2,0),0)</f>
        <v>0</v>
      </c>
    </row>
    <row r="57" ht="15.75" customHeight="1">
      <c r="A57" s="172">
        <v>56.0</v>
      </c>
      <c r="B57" s="6" t="s">
        <v>76</v>
      </c>
      <c r="C57" s="136">
        <f t="shared" si="1"/>
        <v>686.3819961</v>
      </c>
      <c r="D57" s="173"/>
      <c r="E57" s="174">
        <f>IFERROR(VLOOKUP($B57,Surp1!$A$1:$B$161,2,0),0)</f>
        <v>0</v>
      </c>
      <c r="F57" s="175">
        <f>IFERROR(VLOOKUP(E57,Surp1!$B$1:$C$161,2,0),0)</f>
        <v>0</v>
      </c>
      <c r="G57" s="174">
        <f>IFERROR(VLOOKUP($B57,Surp2!$A$1:$B$161,2,0),0)</f>
        <v>0</v>
      </c>
      <c r="H57" s="175">
        <f>IFERROR(VLOOKUP(G57,Surp2!$B$1:$C$161,2,0),0)</f>
        <v>0</v>
      </c>
      <c r="I57" s="174">
        <f>IFERROR(VLOOKUP($B57,Surp3!$A$1:$B$161,2,0),0)</f>
        <v>18</v>
      </c>
      <c r="J57" s="175">
        <f>IFERROR(VLOOKUP(I57,Surp3!$B$1:$C$161,2,0),0)</f>
        <v>207.6565089</v>
      </c>
      <c r="K57" s="174">
        <f>IFERROR(VLOOKUP($B57,Surp4!$A$1:$B$161,2,0),0)</f>
        <v>0</v>
      </c>
      <c r="L57" s="175">
        <f>IFERROR(VLOOKUP(K57,Surp4!$B$1:$C$161,2,0),0)</f>
        <v>0</v>
      </c>
      <c r="M57" s="174">
        <f>IFERROR(VLOOKUP($B57,Surp5!$A$1:$B$161,2,0),0)</f>
        <v>0</v>
      </c>
      <c r="N57" s="175">
        <f>IFERROR(VLOOKUP(M57,Surp5!$B$1:$C$161,2,0),0)</f>
        <v>0</v>
      </c>
      <c r="O57" s="174">
        <f>IFERROR(VLOOKUP($B57,Surp6!$A$1:$B$161,2,0),0)</f>
        <v>0</v>
      </c>
      <c r="P57" s="175">
        <f>IFERROR(VLOOKUP(O57,Surp6!$B$1:$C$161,2,0),0)</f>
        <v>0</v>
      </c>
      <c r="Q57" s="174">
        <f>IFERROR(VLOOKUP($B57,Surp7!$A$1:$B$161,2,0),0)</f>
        <v>0</v>
      </c>
      <c r="R57" s="175">
        <f>IFERROR(VLOOKUP(Q57,Surp7!$B$1:$C$161,2,0),0)</f>
        <v>0</v>
      </c>
      <c r="S57" s="174">
        <f>IFERROR(VLOOKUP($B57,Surp8!$A$1:$B$161,2,0),0)</f>
        <v>5</v>
      </c>
      <c r="T57" s="175">
        <f>IFERROR(VLOOKUP(S57,Surp8!$B$1:$C$161,2,0),0)</f>
        <v>389.9380389</v>
      </c>
      <c r="U57" s="174">
        <f>IFERROR(VLOOKUP($B57,Surp9!$A$1:$B$161,2,0),0)</f>
        <v>31</v>
      </c>
      <c r="V57" s="175">
        <f>IFERROR(VLOOKUP(U57,Surp9!$B$1:$C$161,2,0),0)</f>
        <v>88.78744831</v>
      </c>
      <c r="W57" s="174">
        <f>IFERROR(VLOOKUP($B57,Surp10!$A$1:$B$161,2,0),0)</f>
        <v>0</v>
      </c>
      <c r="X57" s="175">
        <f>IFERROR(VLOOKUP(W57,Surp10!$B$1:$C$161,2,0),0)</f>
        <v>0</v>
      </c>
      <c r="Y57" s="174">
        <f>IFERROR(VLOOKUP($B57,Surp11!$A$1:$B$161,2,0),0)</f>
        <v>0</v>
      </c>
      <c r="Z57" s="175">
        <f>IFERROR(VLOOKUP(Y57,Surp11!$B$1:$C$161,2,0),0)</f>
        <v>0</v>
      </c>
      <c r="AA57" s="175">
        <f>IFERROR(VLOOKUP(E57,Surp1!$B$1:$C$161,2,0),0)</f>
        <v>0</v>
      </c>
      <c r="AB57" s="175">
        <f>IFERROR(VLOOKUP(G57,Surp2!$B$1:$C$161,2,0),0)</f>
        <v>0</v>
      </c>
      <c r="AC57" s="175">
        <f>IFERROR(VLOOKUP(I57,Surp3!$B$1:$C$161,2,0),0)</f>
        <v>207.6565089</v>
      </c>
      <c r="AD57" s="175">
        <f>IFERROR(VLOOKUP(K57,Surp4!$B$1:$C$161,2,0),0)</f>
        <v>0</v>
      </c>
      <c r="AE57" s="175">
        <f>IFERROR(VLOOKUP(M57,Surp5!$B$1:$C$161,2,0),0)</f>
        <v>0</v>
      </c>
      <c r="AF57" s="175">
        <f>IFERROR(VLOOKUP(O57,Surp6!$B$1:$C$161,2,0),0)</f>
        <v>0</v>
      </c>
      <c r="AG57" s="175">
        <f>IFERROR(VLOOKUP(Q57,Surp7!$B$1:$C$161,2,0),0)</f>
        <v>0</v>
      </c>
      <c r="AH57" s="175">
        <f>IFERROR(VLOOKUP(S57,Surp8!$B$1:$C$161,2,0),0)</f>
        <v>389.9380389</v>
      </c>
      <c r="AI57" s="175">
        <f>IFERROR(VLOOKUP(U57,Surp9!$B$1:$C$161,2,0),0)</f>
        <v>88.78744831</v>
      </c>
      <c r="AJ57" s="175">
        <f>IFERROR(VLOOKUP(W57,Surp10!$B$1:$C$161,2,0),0)</f>
        <v>0</v>
      </c>
      <c r="AK57" s="175">
        <f>IFERROR(VLOOKUP(Y57,Surp11!$B$1:$C$161,2,0),0)</f>
        <v>0</v>
      </c>
    </row>
    <row r="58" ht="15.75" customHeight="1">
      <c r="A58" s="171">
        <v>57.0</v>
      </c>
      <c r="B58" s="6" t="s">
        <v>85</v>
      </c>
      <c r="C58" s="136">
        <f t="shared" si="1"/>
        <v>678.257853</v>
      </c>
      <c r="D58" s="93"/>
      <c r="E58" s="94">
        <f>IFERROR(VLOOKUP($B58,Surp1!$A$1:$B$161,2,0),0)</f>
        <v>0</v>
      </c>
      <c r="F58" s="95">
        <f>IFERROR(VLOOKUP(E58,Surp1!$B$1:$C$161,2,0),0)</f>
        <v>0</v>
      </c>
      <c r="G58" s="94">
        <f>IFERROR(VLOOKUP($B58,Surp2!$A$1:$B$161,2,0),0)</f>
        <v>5</v>
      </c>
      <c r="H58" s="95">
        <f>IFERROR(VLOOKUP(G58,Surp2!$B$1:$C$161,2,0),0)</f>
        <v>443.5883162</v>
      </c>
      <c r="I58" s="94">
        <f>IFERROR(VLOOKUP($B58,Surp3!$A$1:$B$161,2,0),0)</f>
        <v>0</v>
      </c>
      <c r="J58" s="95">
        <f>IFERROR(VLOOKUP(I58,Surp3!$B$1:$C$161,2,0),0)</f>
        <v>0</v>
      </c>
      <c r="K58" s="94">
        <f>IFERROR(VLOOKUP($B58,Surp4!$A$1:$B$161,2,0),0)</f>
        <v>0</v>
      </c>
      <c r="L58" s="95">
        <f>IFERROR(VLOOKUP(K58,Surp4!$B$1:$C$161,2,0),0)</f>
        <v>0</v>
      </c>
      <c r="M58" s="94">
        <f>IFERROR(VLOOKUP($B58,Surp5!$A$1:$B$161,2,0),0)</f>
        <v>17</v>
      </c>
      <c r="N58" s="95">
        <f>IFERROR(VLOOKUP(M58,Surp5!$B$1:$C$161,2,0),0)</f>
        <v>234.6695368</v>
      </c>
      <c r="O58" s="94">
        <f>IFERROR(VLOOKUP($B58,Surp6!$A$1:$B$161,2,0),0)</f>
        <v>0</v>
      </c>
      <c r="P58" s="95">
        <f>IFERROR(VLOOKUP(O58,Surp6!$B$1:$C$161,2,0),0)</f>
        <v>0</v>
      </c>
      <c r="Q58" s="94">
        <f>IFERROR(VLOOKUP($B58,Surp7!$A$1:$B$161,2,0),0)</f>
        <v>0</v>
      </c>
      <c r="R58" s="95">
        <f>IFERROR(VLOOKUP(Q58,Surp7!$B$1:$C$161,2,0),0)</f>
        <v>0</v>
      </c>
      <c r="S58" s="94">
        <f>IFERROR(VLOOKUP($B58,Surp8!$A$1:$B$161,2,0),0)</f>
        <v>0</v>
      </c>
      <c r="T58" s="95">
        <f>IFERROR(VLOOKUP(S58,Surp8!$B$1:$C$161,2,0),0)</f>
        <v>0</v>
      </c>
      <c r="U58" s="94">
        <f>IFERROR(VLOOKUP($B58,Surp9!$A$1:$B$161,2,0),0)</f>
        <v>0</v>
      </c>
      <c r="V58" s="95">
        <f>IFERROR(VLOOKUP(U58,Surp9!$B$1:$C$161,2,0),0)</f>
        <v>0</v>
      </c>
      <c r="W58" s="94">
        <f>IFERROR(VLOOKUP($B58,Surp10!$A$1:$B$161,2,0),0)</f>
        <v>0</v>
      </c>
      <c r="X58" s="95">
        <f>IFERROR(VLOOKUP(W58,Surp10!$B$1:$C$161,2,0),0)</f>
        <v>0</v>
      </c>
      <c r="Y58" s="94">
        <f>IFERROR(VLOOKUP($B58,Surp11!$A$1:$B$161,2,0),0)</f>
        <v>0</v>
      </c>
      <c r="Z58" s="95">
        <f>IFERROR(VLOOKUP(Y58,Surp11!$B$1:$C$161,2,0),0)</f>
        <v>0</v>
      </c>
      <c r="AA58" s="95">
        <f>IFERROR(VLOOKUP(E58,Surp1!$B$1:$C$161,2,0),0)</f>
        <v>0</v>
      </c>
      <c r="AB58" s="95">
        <f>IFERROR(VLOOKUP(G58,Surp2!$B$1:$C$161,2,0),0)</f>
        <v>443.5883162</v>
      </c>
      <c r="AC58" s="95">
        <f>IFERROR(VLOOKUP(I58,Surp3!$B$1:$C$161,2,0),0)</f>
        <v>0</v>
      </c>
      <c r="AD58" s="95">
        <f>IFERROR(VLOOKUP(K58,Surp4!$B$1:$C$161,2,0),0)</f>
        <v>0</v>
      </c>
      <c r="AE58" s="95">
        <f>IFERROR(VLOOKUP(M58,Surp5!$B$1:$C$161,2,0),0)</f>
        <v>234.6695368</v>
      </c>
      <c r="AF58" s="95">
        <f>IFERROR(VLOOKUP(O58,Surp6!$B$1:$C$161,2,0),0)</f>
        <v>0</v>
      </c>
      <c r="AG58" s="95">
        <f>IFERROR(VLOOKUP(Q58,Surp7!$B$1:$C$161,2,0),0)</f>
        <v>0</v>
      </c>
      <c r="AH58" s="95">
        <f>IFERROR(VLOOKUP(S58,Surp8!$B$1:$C$161,2,0),0)</f>
        <v>0</v>
      </c>
      <c r="AI58" s="95">
        <f>IFERROR(VLOOKUP(U58,Surp9!$B$1:$C$161,2,0),0)</f>
        <v>0</v>
      </c>
      <c r="AJ58" s="95">
        <f>IFERROR(VLOOKUP(W58,Surp10!$B$1:$C$161,2,0),0)</f>
        <v>0</v>
      </c>
      <c r="AK58" s="95">
        <f>IFERROR(VLOOKUP(Y58,Surp11!$B$1:$C$161,2,0),0)</f>
        <v>0</v>
      </c>
    </row>
    <row r="59" ht="15.75" customHeight="1">
      <c r="A59" s="172">
        <v>58.0</v>
      </c>
      <c r="B59" s="24" t="s">
        <v>85</v>
      </c>
      <c r="C59" s="136">
        <f t="shared" si="1"/>
        <v>678.257853</v>
      </c>
      <c r="D59" s="136"/>
      <c r="E59" s="137">
        <f>IFERROR(VLOOKUP($B59,Surp1!$A$1:$B$161,2,0),0)</f>
        <v>0</v>
      </c>
      <c r="F59" s="97">
        <f>IFERROR(VLOOKUP(E59,Surp1!$B$1:$C$161,2,0),0)</f>
        <v>0</v>
      </c>
      <c r="G59" s="137">
        <f>IFERROR(VLOOKUP($B59,Surp2!$A$1:$B$161,2,0),0)</f>
        <v>5</v>
      </c>
      <c r="H59" s="97">
        <f>IFERROR(VLOOKUP(G59,Surp2!$B$1:$C$161,2,0),0)</f>
        <v>443.5883162</v>
      </c>
      <c r="I59" s="137">
        <f>IFERROR(VLOOKUP($B59,Surp3!$A$1:$B$161,2,0),0)</f>
        <v>0</v>
      </c>
      <c r="J59" s="97">
        <f>IFERROR(VLOOKUP(I59,Surp3!$B$1:$C$161,2,0),0)</f>
        <v>0</v>
      </c>
      <c r="K59" s="137">
        <f>IFERROR(VLOOKUP($B59,Surp4!$A$1:$B$161,2,0),0)</f>
        <v>0</v>
      </c>
      <c r="L59" s="97">
        <f>IFERROR(VLOOKUP(K59,Surp4!$B$1:$C$161,2,0),0)</f>
        <v>0</v>
      </c>
      <c r="M59" s="137">
        <f>IFERROR(VLOOKUP($B59,Surp5!$A$1:$B$161,2,0),0)</f>
        <v>17</v>
      </c>
      <c r="N59" s="97">
        <f>IFERROR(VLOOKUP(M59,Surp5!$B$1:$C$161,2,0),0)</f>
        <v>234.6695368</v>
      </c>
      <c r="O59" s="137">
        <f>IFERROR(VLOOKUP($B59,Surp6!$A$1:$B$161,2,0),0)</f>
        <v>0</v>
      </c>
      <c r="P59" s="97">
        <f>IFERROR(VLOOKUP(O59,Surp6!$B$1:$C$161,2,0),0)</f>
        <v>0</v>
      </c>
      <c r="Q59" s="137">
        <f>IFERROR(VLOOKUP($B59,Surp7!$A$1:$B$161,2,0),0)</f>
        <v>0</v>
      </c>
      <c r="R59" s="97">
        <f>IFERROR(VLOOKUP(Q59,Surp7!$B$1:$C$161,2,0),0)</f>
        <v>0</v>
      </c>
      <c r="S59" s="137">
        <f>IFERROR(VLOOKUP($B59,Surp8!$A$1:$B$161,2,0),0)</f>
        <v>0</v>
      </c>
      <c r="T59" s="97">
        <f>IFERROR(VLOOKUP(S59,Surp8!$B$1:$C$161,2,0),0)</f>
        <v>0</v>
      </c>
      <c r="U59" s="137">
        <f>IFERROR(VLOOKUP($B59,Surp9!$A$1:$B$161,2,0),0)</f>
        <v>0</v>
      </c>
      <c r="V59" s="97">
        <f>IFERROR(VLOOKUP(U59,Surp9!$B$1:$C$161,2,0),0)</f>
        <v>0</v>
      </c>
      <c r="W59" s="137">
        <f>IFERROR(VLOOKUP($B59,Surp10!$A$1:$B$161,2,0),0)</f>
        <v>0</v>
      </c>
      <c r="X59" s="97">
        <f>IFERROR(VLOOKUP(W59,Surp10!$B$1:$C$161,2,0),0)</f>
        <v>0</v>
      </c>
      <c r="Y59" s="137">
        <f>IFERROR(VLOOKUP($B59,Surp11!$A$1:$B$161,2,0),0)</f>
        <v>0</v>
      </c>
      <c r="Z59" s="97">
        <f>IFERROR(VLOOKUP(Y59,Surp11!$B$1:$C$161,2,0),0)</f>
        <v>0</v>
      </c>
      <c r="AA59" s="97">
        <f>IFERROR(VLOOKUP(E59,Surp1!$B$1:$C$161,2,0),0)</f>
        <v>0</v>
      </c>
      <c r="AB59" s="97">
        <f>IFERROR(VLOOKUP(G59,Surp2!$B$1:$C$161,2,0),0)</f>
        <v>443.5883162</v>
      </c>
      <c r="AC59" s="97">
        <f>IFERROR(VLOOKUP(I59,Surp3!$B$1:$C$161,2,0),0)</f>
        <v>0</v>
      </c>
      <c r="AD59" s="97">
        <f>IFERROR(VLOOKUP(K59,Surp4!$B$1:$C$161,2,0),0)</f>
        <v>0</v>
      </c>
      <c r="AE59" s="97">
        <f>IFERROR(VLOOKUP(M59,Surp5!$B$1:$C$161,2,0),0)</f>
        <v>234.6695368</v>
      </c>
      <c r="AF59" s="97">
        <f>IFERROR(VLOOKUP(O59,Surp6!$B$1:$C$161,2,0),0)</f>
        <v>0</v>
      </c>
      <c r="AG59" s="97">
        <f>IFERROR(VLOOKUP(Q59,Surp7!$B$1:$C$161,2,0),0)</f>
        <v>0</v>
      </c>
      <c r="AH59" s="97">
        <f>IFERROR(VLOOKUP(S59,Surp8!$B$1:$C$161,2,0),0)</f>
        <v>0</v>
      </c>
      <c r="AI59" s="97">
        <f>IFERROR(VLOOKUP(U59,Surp9!$B$1:$C$161,2,0),0)</f>
        <v>0</v>
      </c>
      <c r="AJ59" s="97">
        <f>IFERROR(VLOOKUP(W59,Surp10!$B$1:$C$161,2,0),0)</f>
        <v>0</v>
      </c>
      <c r="AK59" s="97">
        <f>IFERROR(VLOOKUP(Y59,Surp11!$B$1:$C$161,2,0),0)</f>
        <v>0</v>
      </c>
    </row>
    <row r="60" ht="15.75" customHeight="1">
      <c r="A60" s="171">
        <v>59.0</v>
      </c>
      <c r="B60" s="6" t="s">
        <v>231</v>
      </c>
      <c r="C60" s="136">
        <f t="shared" si="1"/>
        <v>670.1010183</v>
      </c>
      <c r="D60" s="93"/>
      <c r="E60" s="94">
        <f>IFERROR(VLOOKUP($B60,Surp1!$A$1:$B$161,2,0),0)</f>
        <v>0</v>
      </c>
      <c r="F60" s="95">
        <f>IFERROR(VLOOKUP(E60,Surp1!$B$1:$C$161,2,0),0)</f>
        <v>0</v>
      </c>
      <c r="G60" s="94">
        <f>IFERROR(VLOOKUP($B60,Surp2!$A$1:$B$161,2,0),0)</f>
        <v>0</v>
      </c>
      <c r="H60" s="95">
        <f>IFERROR(VLOOKUP(G60,Surp2!$B$1:$C$161,2,0),0)</f>
        <v>0</v>
      </c>
      <c r="I60" s="94">
        <f>IFERROR(VLOOKUP($B60,Surp3!$A$1:$B$161,2,0),0)</f>
        <v>1</v>
      </c>
      <c r="J60" s="95">
        <f>IFERROR(VLOOKUP(I60,Surp3!$B$1:$C$161,2,0),0)</f>
        <v>670.1010183</v>
      </c>
      <c r="K60" s="94">
        <f>IFERROR(VLOOKUP($B60,Surp4!$A$1:$B$161,2,0),0)</f>
        <v>0</v>
      </c>
      <c r="L60" s="95">
        <f>IFERROR(VLOOKUP(K60,Surp4!$B$1:$C$161,2,0),0)</f>
        <v>0</v>
      </c>
      <c r="M60" s="94">
        <f>IFERROR(VLOOKUP($B60,Surp5!$A$1:$B$161,2,0),0)</f>
        <v>0</v>
      </c>
      <c r="N60" s="95">
        <f>IFERROR(VLOOKUP(M60,Surp5!$B$1:$C$161,2,0),0)</f>
        <v>0</v>
      </c>
      <c r="O60" s="94">
        <f>IFERROR(VLOOKUP($B60,Surp6!$A$1:$B$161,2,0),0)</f>
        <v>0</v>
      </c>
      <c r="P60" s="95">
        <f>IFERROR(VLOOKUP(O60,Surp6!$B$1:$C$161,2,0),0)</f>
        <v>0</v>
      </c>
      <c r="Q60" s="94">
        <f>IFERROR(VLOOKUP($B60,Surp7!$A$1:$B$161,2,0),0)</f>
        <v>0</v>
      </c>
      <c r="R60" s="95">
        <f>IFERROR(VLOOKUP(Q60,Surp7!$B$1:$C$161,2,0),0)</f>
        <v>0</v>
      </c>
      <c r="S60" s="94">
        <f>IFERROR(VLOOKUP($B60,Surp8!$A$1:$B$161,2,0),0)</f>
        <v>0</v>
      </c>
      <c r="T60" s="95">
        <f>IFERROR(VLOOKUP(S60,Surp8!$B$1:$C$161,2,0),0)</f>
        <v>0</v>
      </c>
      <c r="U60" s="94">
        <f>IFERROR(VLOOKUP($B60,Surp9!$A$1:$B$161,2,0),0)</f>
        <v>0</v>
      </c>
      <c r="V60" s="95">
        <f>IFERROR(VLOOKUP(U60,Surp9!$B$1:$C$161,2,0),0)</f>
        <v>0</v>
      </c>
      <c r="W60" s="94">
        <f>IFERROR(VLOOKUP($B60,Surp10!$A$1:$B$161,2,0),0)</f>
        <v>0</v>
      </c>
      <c r="X60" s="95">
        <f>IFERROR(VLOOKUP(W60,Surp10!$B$1:$C$161,2,0),0)</f>
        <v>0</v>
      </c>
      <c r="Y60" s="94">
        <f>IFERROR(VLOOKUP($B60,Surp11!$A$1:$B$161,2,0),0)</f>
        <v>0</v>
      </c>
      <c r="Z60" s="95">
        <f>IFERROR(VLOOKUP(Y60,Surp11!$B$1:$C$161,2,0),0)</f>
        <v>0</v>
      </c>
      <c r="AA60" s="95">
        <f>IFERROR(VLOOKUP(E60,Surp1!$B$1:$C$161,2,0),0)</f>
        <v>0</v>
      </c>
      <c r="AB60" s="95">
        <f>IFERROR(VLOOKUP(G60,Surp2!$B$1:$C$161,2,0),0)</f>
        <v>0</v>
      </c>
      <c r="AC60" s="95">
        <f>IFERROR(VLOOKUP(I60,Surp3!$B$1:$C$161,2,0),0)</f>
        <v>670.1010183</v>
      </c>
      <c r="AD60" s="95">
        <f>IFERROR(VLOOKUP(K60,Surp4!$B$1:$C$161,2,0),0)</f>
        <v>0</v>
      </c>
      <c r="AE60" s="95">
        <f>IFERROR(VLOOKUP(M60,Surp5!$B$1:$C$161,2,0),0)</f>
        <v>0</v>
      </c>
      <c r="AF60" s="95">
        <f>IFERROR(VLOOKUP(O60,Surp6!$B$1:$C$161,2,0),0)</f>
        <v>0</v>
      </c>
      <c r="AG60" s="95">
        <f>IFERROR(VLOOKUP(Q60,Surp7!$B$1:$C$161,2,0),0)</f>
        <v>0</v>
      </c>
      <c r="AH60" s="95">
        <f>IFERROR(VLOOKUP(S60,Surp8!$B$1:$C$161,2,0),0)</f>
        <v>0</v>
      </c>
      <c r="AI60" s="95">
        <f>IFERROR(VLOOKUP(U60,Surp9!$B$1:$C$161,2,0),0)</f>
        <v>0</v>
      </c>
      <c r="AJ60" s="95">
        <f>IFERROR(VLOOKUP(W60,Surp10!$B$1:$C$161,2,0),0)</f>
        <v>0</v>
      </c>
      <c r="AK60" s="95">
        <f>IFERROR(VLOOKUP(Y60,Surp11!$B$1:$C$161,2,0),0)</f>
        <v>0</v>
      </c>
    </row>
    <row r="61" ht="15.75" customHeight="1">
      <c r="A61" s="172">
        <v>60.0</v>
      </c>
      <c r="B61" s="96" t="s">
        <v>113</v>
      </c>
      <c r="C61" s="136">
        <f t="shared" si="1"/>
        <v>667.7914722</v>
      </c>
      <c r="D61" s="93"/>
      <c r="E61" s="94">
        <f>IFERROR(VLOOKUP($B61,Surp1!$A$1:$B$161,2,0),0)</f>
        <v>15</v>
      </c>
      <c r="F61" s="95">
        <f>IFERROR(VLOOKUP(E61,Surp1!$B$1:$C$161,2,0),0)</f>
        <v>270.3012124</v>
      </c>
      <c r="G61" s="94">
        <f>IFERROR(VLOOKUP($B61,Surp2!$A$1:$B$161,2,0),0)</f>
        <v>0</v>
      </c>
      <c r="H61" s="95">
        <f>IFERROR(VLOOKUP(G61,Surp2!$B$1:$C$161,2,0),0)</f>
        <v>0</v>
      </c>
      <c r="I61" s="94">
        <f>IFERROR(VLOOKUP($B61,Surp3!$A$1:$B$161,2,0),0)</f>
        <v>0</v>
      </c>
      <c r="J61" s="95">
        <f>IFERROR(VLOOKUP(I61,Surp3!$B$1:$C$161,2,0),0)</f>
        <v>0</v>
      </c>
      <c r="K61" s="94">
        <f>IFERROR(VLOOKUP($B61,Surp4!$A$1:$B$161,2,0),0)</f>
        <v>0</v>
      </c>
      <c r="L61" s="95">
        <f>IFERROR(VLOOKUP(K61,Surp4!$B$1:$C$161,2,0),0)</f>
        <v>0</v>
      </c>
      <c r="M61" s="94">
        <f>IFERROR(VLOOKUP($B61,Surp5!$A$1:$B$161,2,0),0)</f>
        <v>6</v>
      </c>
      <c r="N61" s="95">
        <f>IFERROR(VLOOKUP(M61,Surp5!$B$1:$C$161,2,0),0)</f>
        <v>397.4902598</v>
      </c>
      <c r="O61" s="94">
        <f>IFERROR(VLOOKUP($B61,Surp6!$A$1:$B$161,2,0),0)</f>
        <v>0</v>
      </c>
      <c r="P61" s="95">
        <f>IFERROR(VLOOKUP(O61,Surp6!$B$1:$C$161,2,0),0)</f>
        <v>0</v>
      </c>
      <c r="Q61" s="94">
        <f>IFERROR(VLOOKUP($B61,Surp7!$A$1:$B$161,2,0),0)</f>
        <v>0</v>
      </c>
      <c r="R61" s="95">
        <f>IFERROR(VLOOKUP(Q61,Surp7!$B$1:$C$161,2,0),0)</f>
        <v>0</v>
      </c>
      <c r="S61" s="94">
        <f>IFERROR(VLOOKUP($B61,Surp8!$A$1:$B$161,2,0),0)</f>
        <v>0</v>
      </c>
      <c r="T61" s="95">
        <f>IFERROR(VLOOKUP(S61,Surp8!$B$1:$C$161,2,0),0)</f>
        <v>0</v>
      </c>
      <c r="U61" s="94">
        <f>IFERROR(VLOOKUP($B61,Surp9!$A$1:$B$161,2,0),0)</f>
        <v>0</v>
      </c>
      <c r="V61" s="95">
        <f>IFERROR(VLOOKUP(U61,Surp9!$B$1:$C$161,2,0),0)</f>
        <v>0</v>
      </c>
      <c r="W61" s="94">
        <f>IFERROR(VLOOKUP($B61,Surp10!$A$1:$B$161,2,0),0)</f>
        <v>0</v>
      </c>
      <c r="X61" s="95">
        <f>IFERROR(VLOOKUP(W61,Surp10!$B$1:$C$161,2,0),0)</f>
        <v>0</v>
      </c>
      <c r="Y61" s="94">
        <f>IFERROR(VLOOKUP($B61,Surp11!$A$1:$B$161,2,0),0)</f>
        <v>0</v>
      </c>
      <c r="Z61" s="95">
        <f>IFERROR(VLOOKUP(Y61,Surp11!$B$1:$C$161,2,0),0)</f>
        <v>0</v>
      </c>
      <c r="AA61" s="95">
        <f>IFERROR(VLOOKUP(E61,Surp1!$B$1:$C$161,2,0),0)</f>
        <v>270.3012124</v>
      </c>
      <c r="AB61" s="95">
        <f>IFERROR(VLOOKUP(G61,Surp2!$B$1:$C$161,2,0),0)</f>
        <v>0</v>
      </c>
      <c r="AC61" s="95">
        <f>IFERROR(VLOOKUP(I61,Surp3!$B$1:$C$161,2,0),0)</f>
        <v>0</v>
      </c>
      <c r="AD61" s="95">
        <f>IFERROR(VLOOKUP(K61,Surp4!$B$1:$C$161,2,0),0)</f>
        <v>0</v>
      </c>
      <c r="AE61" s="95">
        <f>IFERROR(VLOOKUP(M61,Surp5!$B$1:$C$161,2,0),0)</f>
        <v>397.4902598</v>
      </c>
      <c r="AF61" s="95">
        <f>IFERROR(VLOOKUP(O61,Surp6!$B$1:$C$161,2,0),0)</f>
        <v>0</v>
      </c>
      <c r="AG61" s="95">
        <f>IFERROR(VLOOKUP(Q61,Surp7!$B$1:$C$161,2,0),0)</f>
        <v>0</v>
      </c>
      <c r="AH61" s="95">
        <f>IFERROR(VLOOKUP(S61,Surp8!$B$1:$C$161,2,0),0)</f>
        <v>0</v>
      </c>
      <c r="AI61" s="95">
        <f>IFERROR(VLOOKUP(U61,Surp9!$B$1:$C$161,2,0),0)</f>
        <v>0</v>
      </c>
      <c r="AJ61" s="95">
        <f>IFERROR(VLOOKUP(W61,Surp10!$B$1:$C$161,2,0),0)</f>
        <v>0</v>
      </c>
      <c r="AK61" s="95">
        <f>IFERROR(VLOOKUP(Y61,Surp11!$B$1:$C$161,2,0),0)</f>
        <v>0</v>
      </c>
    </row>
    <row r="62" ht="15.75" customHeight="1">
      <c r="A62" s="171">
        <v>61.0</v>
      </c>
      <c r="B62" s="24" t="s">
        <v>79</v>
      </c>
      <c r="C62" s="136">
        <f t="shared" si="1"/>
        <v>623.562409</v>
      </c>
      <c r="D62" s="136"/>
      <c r="E62" s="137">
        <f>IFERROR(VLOOKUP($B62,Surp1!$A$1:$B$161,2,0),0)</f>
        <v>0</v>
      </c>
      <c r="F62" s="97">
        <f>IFERROR(VLOOKUP(E62,Surp1!$B$1:$C$161,2,0),0)</f>
        <v>0</v>
      </c>
      <c r="G62" s="137">
        <f>IFERROR(VLOOKUP($B62,Surp2!$A$1:$B$161,2,0),0)</f>
        <v>0</v>
      </c>
      <c r="H62" s="97">
        <f>IFERROR(VLOOKUP(G62,Surp2!$B$1:$C$161,2,0),0)</f>
        <v>0</v>
      </c>
      <c r="I62" s="137">
        <f>IFERROR(VLOOKUP($B62,Surp3!$A$1:$B$161,2,0),0)</f>
        <v>0</v>
      </c>
      <c r="J62" s="97">
        <f>IFERROR(VLOOKUP(I62,Surp3!$B$1:$C$161,2,0),0)</f>
        <v>0</v>
      </c>
      <c r="K62" s="137">
        <f>IFERROR(VLOOKUP($B62,Surp4!$A$1:$B$161,2,0),0)</f>
        <v>0</v>
      </c>
      <c r="L62" s="97">
        <f>IFERROR(VLOOKUP(K62,Surp4!$B$1:$C$161,2,0),0)</f>
        <v>0</v>
      </c>
      <c r="M62" s="137">
        <f>IFERROR(VLOOKUP($B62,Surp5!$A$1:$B$161,2,0),0)</f>
        <v>4</v>
      </c>
      <c r="N62" s="97">
        <f>IFERROR(VLOOKUP(M62,Surp5!$B$1:$C$161,2,0),0)</f>
        <v>458.6142321</v>
      </c>
      <c r="O62" s="137">
        <f>IFERROR(VLOOKUP($B62,Surp6!$A$1:$B$161,2,0),0)</f>
        <v>0</v>
      </c>
      <c r="P62" s="97">
        <f>IFERROR(VLOOKUP(O62,Surp6!$B$1:$C$161,2,0),0)</f>
        <v>0</v>
      </c>
      <c r="Q62" s="137">
        <f>IFERROR(VLOOKUP($B62,Surp7!$A$1:$B$161,2,0),0)</f>
        <v>27</v>
      </c>
      <c r="R62" s="97">
        <f>IFERROR(VLOOKUP(Q62,Surp7!$B$1:$C$161,2,0),0)</f>
        <v>164.9481769</v>
      </c>
      <c r="S62" s="137">
        <f>IFERROR(VLOOKUP($B62,Surp8!$A$1:$B$161,2,0),0)</f>
        <v>0</v>
      </c>
      <c r="T62" s="97">
        <f>IFERROR(VLOOKUP(S62,Surp8!$B$1:$C$161,2,0),0)</f>
        <v>0</v>
      </c>
      <c r="U62" s="137">
        <f>IFERROR(VLOOKUP($B62,Surp9!$A$1:$B$161,2,0),0)</f>
        <v>0</v>
      </c>
      <c r="V62" s="97">
        <f>IFERROR(VLOOKUP(U62,Surp9!$B$1:$C$161,2,0),0)</f>
        <v>0</v>
      </c>
      <c r="W62" s="137">
        <f>IFERROR(VLOOKUP($B62,Surp10!$A$1:$B$161,2,0),0)</f>
        <v>0</v>
      </c>
      <c r="X62" s="97">
        <f>IFERROR(VLOOKUP(W62,Surp10!$B$1:$C$161,2,0),0)</f>
        <v>0</v>
      </c>
      <c r="Y62" s="137">
        <f>IFERROR(VLOOKUP($B62,Surp11!$A$1:$B$161,2,0),0)</f>
        <v>0</v>
      </c>
      <c r="Z62" s="97">
        <f>IFERROR(VLOOKUP(Y62,Surp11!$B$1:$C$161,2,0),0)</f>
        <v>0</v>
      </c>
      <c r="AA62" s="97">
        <f>IFERROR(VLOOKUP(E62,Surp1!$B$1:$C$161,2,0),0)</f>
        <v>0</v>
      </c>
      <c r="AB62" s="97">
        <f>IFERROR(VLOOKUP(G62,Surp2!$B$1:$C$161,2,0),0)</f>
        <v>0</v>
      </c>
      <c r="AC62" s="97">
        <f>IFERROR(VLOOKUP(I62,Surp3!$B$1:$C$161,2,0),0)</f>
        <v>0</v>
      </c>
      <c r="AD62" s="97">
        <f>IFERROR(VLOOKUP(K62,Surp4!$B$1:$C$161,2,0),0)</f>
        <v>0</v>
      </c>
      <c r="AE62" s="97">
        <f>IFERROR(VLOOKUP(M62,Surp5!$B$1:$C$161,2,0),0)</f>
        <v>458.6142321</v>
      </c>
      <c r="AF62" s="97">
        <f>IFERROR(VLOOKUP(O62,Surp6!$B$1:$C$161,2,0),0)</f>
        <v>0</v>
      </c>
      <c r="AG62" s="97">
        <f>IFERROR(VLOOKUP(Q62,Surp7!$B$1:$C$161,2,0),0)</f>
        <v>164.9481769</v>
      </c>
      <c r="AH62" s="97">
        <f>IFERROR(VLOOKUP(S62,Surp8!$B$1:$C$161,2,0),0)</f>
        <v>0</v>
      </c>
      <c r="AI62" s="97">
        <f>IFERROR(VLOOKUP(U62,Surp9!$B$1:$C$161,2,0),0)</f>
        <v>0</v>
      </c>
      <c r="AJ62" s="97">
        <f>IFERROR(VLOOKUP(W62,Surp10!$B$1:$C$161,2,0),0)</f>
        <v>0</v>
      </c>
      <c r="AK62" s="97">
        <f>IFERROR(VLOOKUP(Y62,Surp11!$B$1:$C$161,2,0),0)</f>
        <v>0</v>
      </c>
    </row>
    <row r="63" ht="15.75" customHeight="1">
      <c r="A63" s="172">
        <v>62.0</v>
      </c>
      <c r="B63" s="24" t="s">
        <v>98</v>
      </c>
      <c r="C63" s="136">
        <f t="shared" si="1"/>
        <v>608.9721185</v>
      </c>
      <c r="D63" s="136"/>
      <c r="E63" s="137">
        <f>IFERROR(VLOOKUP($B63,Surp1!$A$1:$B$161,2,0),0)</f>
        <v>0</v>
      </c>
      <c r="F63" s="97">
        <f>IFERROR(VLOOKUP(E63,Surp1!$B$1:$C$161,2,0),0)</f>
        <v>0</v>
      </c>
      <c r="G63" s="137">
        <f>IFERROR(VLOOKUP($B63,Surp2!$A$1:$B$161,2,0),0)</f>
        <v>0</v>
      </c>
      <c r="H63" s="97">
        <f>IFERROR(VLOOKUP(G63,Surp2!$B$1:$C$161,2,0),0)</f>
        <v>0</v>
      </c>
      <c r="I63" s="137">
        <f>IFERROR(VLOOKUP($B63,Surp3!$A$1:$B$161,2,0),0)</f>
        <v>0</v>
      </c>
      <c r="J63" s="97">
        <f>IFERROR(VLOOKUP(I63,Surp3!$B$1:$C$161,2,0),0)</f>
        <v>0</v>
      </c>
      <c r="K63" s="137">
        <f>IFERROR(VLOOKUP($B63,Surp4!$A$1:$B$161,2,0),0)</f>
        <v>9</v>
      </c>
      <c r="L63" s="97">
        <f>IFERROR(VLOOKUP(K63,Surp4!$B$1:$C$161,2,0),0)</f>
        <v>330.3576582</v>
      </c>
      <c r="M63" s="137">
        <f>IFERROR(VLOOKUP($B63,Surp5!$A$1:$B$161,2,0),0)</f>
        <v>0</v>
      </c>
      <c r="N63" s="97">
        <f>IFERROR(VLOOKUP(M63,Surp5!$B$1:$C$161,2,0),0)</f>
        <v>0</v>
      </c>
      <c r="O63" s="137">
        <f>IFERROR(VLOOKUP($B63,Surp6!$A$1:$B$161,2,0),0)</f>
        <v>14</v>
      </c>
      <c r="P63" s="97">
        <f>IFERROR(VLOOKUP(O63,Surp6!$B$1:$C$161,2,0),0)</f>
        <v>278.6144603</v>
      </c>
      <c r="Q63" s="137">
        <f>IFERROR(VLOOKUP($B63,Surp7!$A$1:$B$161,2,0),0)</f>
        <v>0</v>
      </c>
      <c r="R63" s="97">
        <f>IFERROR(VLOOKUP(Q63,Surp7!$B$1:$C$161,2,0),0)</f>
        <v>0</v>
      </c>
      <c r="S63" s="137">
        <f>IFERROR(VLOOKUP($B63,Surp8!$A$1:$B$161,2,0),0)</f>
        <v>0</v>
      </c>
      <c r="T63" s="97">
        <f>IFERROR(VLOOKUP(S63,Surp8!$B$1:$C$161,2,0),0)</f>
        <v>0</v>
      </c>
      <c r="U63" s="137">
        <f>IFERROR(VLOOKUP($B63,Surp9!$A$1:$B$161,2,0),0)</f>
        <v>0</v>
      </c>
      <c r="V63" s="97">
        <f>IFERROR(VLOOKUP(U63,Surp9!$B$1:$C$161,2,0),0)</f>
        <v>0</v>
      </c>
      <c r="W63" s="137">
        <f>IFERROR(VLOOKUP($B63,Surp10!$A$1:$B$161,2,0),0)</f>
        <v>0</v>
      </c>
      <c r="X63" s="97">
        <f>IFERROR(VLOOKUP(W63,Surp10!$B$1:$C$161,2,0),0)</f>
        <v>0</v>
      </c>
      <c r="Y63" s="137">
        <f>IFERROR(VLOOKUP($B63,Surp11!$A$1:$B$161,2,0),0)</f>
        <v>0</v>
      </c>
      <c r="Z63" s="97">
        <f>IFERROR(VLOOKUP(Y63,Surp11!$B$1:$C$161,2,0),0)</f>
        <v>0</v>
      </c>
      <c r="AA63" s="97">
        <f>IFERROR(VLOOKUP(E63,Surp1!$B$1:$C$161,2,0),0)</f>
        <v>0</v>
      </c>
      <c r="AB63" s="97">
        <f>IFERROR(VLOOKUP(G63,Surp2!$B$1:$C$161,2,0),0)</f>
        <v>0</v>
      </c>
      <c r="AC63" s="97">
        <f>IFERROR(VLOOKUP(I63,Surp3!$B$1:$C$161,2,0),0)</f>
        <v>0</v>
      </c>
      <c r="AD63" s="97">
        <f>IFERROR(VLOOKUP(K63,Surp4!$B$1:$C$161,2,0),0)</f>
        <v>330.3576582</v>
      </c>
      <c r="AE63" s="97">
        <f>IFERROR(VLOOKUP(M63,Surp5!$B$1:$C$161,2,0),0)</f>
        <v>0</v>
      </c>
      <c r="AF63" s="97">
        <f>IFERROR(VLOOKUP(O63,Surp6!$B$1:$C$161,2,0),0)</f>
        <v>278.6144603</v>
      </c>
      <c r="AG63" s="97">
        <f>IFERROR(VLOOKUP(Q63,Surp7!$B$1:$C$161,2,0),0)</f>
        <v>0</v>
      </c>
      <c r="AH63" s="97">
        <f>IFERROR(VLOOKUP(S63,Surp8!$B$1:$C$161,2,0),0)</f>
        <v>0</v>
      </c>
      <c r="AI63" s="97">
        <f>IFERROR(VLOOKUP(U63,Surp9!$B$1:$C$161,2,0),0)</f>
        <v>0</v>
      </c>
      <c r="AJ63" s="97">
        <f>IFERROR(VLOOKUP(W63,Surp10!$B$1:$C$161,2,0),0)</f>
        <v>0</v>
      </c>
      <c r="AK63" s="97">
        <f>IFERROR(VLOOKUP(Y63,Surp11!$B$1:$C$161,2,0),0)</f>
        <v>0</v>
      </c>
    </row>
    <row r="64" ht="15.75" customHeight="1">
      <c r="A64" s="171">
        <v>63.0</v>
      </c>
      <c r="B64" s="6" t="s">
        <v>59</v>
      </c>
      <c r="C64" s="136">
        <f t="shared" si="1"/>
        <v>602.666667</v>
      </c>
      <c r="D64" s="173"/>
      <c r="E64" s="174">
        <f>IFERROR(VLOOKUP($B64,Surp1!$A$1:$B$161,2,0),0)</f>
        <v>14</v>
      </c>
      <c r="F64" s="175">
        <f>IFERROR(VLOOKUP(E64,Surp1!$B$1:$C$161,2,0),0)</f>
        <v>281.3993049</v>
      </c>
      <c r="G64" s="174">
        <f>IFERROR(VLOOKUP($B64,Surp2!$A$1:$B$161,2,0),0)</f>
        <v>22</v>
      </c>
      <c r="H64" s="175">
        <f>IFERROR(VLOOKUP(G64,Surp2!$B$1:$C$161,2,0),0)</f>
        <v>211.6108037</v>
      </c>
      <c r="I64" s="174">
        <f>IFERROR(VLOOKUP($B64,Surp3!$A$1:$B$161,2,0),0)</f>
        <v>30</v>
      </c>
      <c r="J64" s="175">
        <f>IFERROR(VLOOKUP(I64,Surp3!$B$1:$C$161,2,0),0)</f>
        <v>109.6565584</v>
      </c>
      <c r="K64" s="174">
        <f>IFERROR(VLOOKUP($B64,Surp4!$A$1:$B$161,2,0),0)</f>
        <v>0</v>
      </c>
      <c r="L64" s="175">
        <f>IFERROR(VLOOKUP(K64,Surp4!$B$1:$C$161,2,0),0)</f>
        <v>0</v>
      </c>
      <c r="M64" s="174">
        <f>IFERROR(VLOOKUP($B64,Surp5!$A$1:$B$161,2,0),0)</f>
        <v>0</v>
      </c>
      <c r="N64" s="175">
        <f>IFERROR(VLOOKUP(M64,Surp5!$B$1:$C$161,2,0),0)</f>
        <v>0</v>
      </c>
      <c r="O64" s="174">
        <f>IFERROR(VLOOKUP($B64,Surp6!$A$1:$B$161,2,0),0)</f>
        <v>0</v>
      </c>
      <c r="P64" s="175">
        <f>IFERROR(VLOOKUP(O64,Surp6!$B$1:$C$161,2,0),0)</f>
        <v>0</v>
      </c>
      <c r="Q64" s="174">
        <f>IFERROR(VLOOKUP($B64,Surp7!$A$1:$B$161,2,0),0)</f>
        <v>0</v>
      </c>
      <c r="R64" s="175">
        <f>IFERROR(VLOOKUP(Q64,Surp7!$B$1:$C$161,2,0),0)</f>
        <v>0</v>
      </c>
      <c r="S64" s="174">
        <f>IFERROR(VLOOKUP($B64,Surp8!$A$1:$B$161,2,0),0)</f>
        <v>0</v>
      </c>
      <c r="T64" s="175">
        <f>IFERROR(VLOOKUP(S64,Surp8!$B$1:$C$161,2,0),0)</f>
        <v>0</v>
      </c>
      <c r="U64" s="174">
        <f>IFERROR(VLOOKUP($B64,Surp9!$A$1:$B$161,2,0),0)</f>
        <v>0</v>
      </c>
      <c r="V64" s="175">
        <f>IFERROR(VLOOKUP(U64,Surp9!$B$1:$C$161,2,0),0)</f>
        <v>0</v>
      </c>
      <c r="W64" s="174">
        <f>IFERROR(VLOOKUP($B64,Surp10!$A$1:$B$161,2,0),0)</f>
        <v>0</v>
      </c>
      <c r="X64" s="175">
        <f>IFERROR(VLOOKUP(W64,Surp10!$B$1:$C$161,2,0),0)</f>
        <v>0</v>
      </c>
      <c r="Y64" s="174">
        <f>IFERROR(VLOOKUP($B64,Surp11!$A$1:$B$161,2,0),0)</f>
        <v>0</v>
      </c>
      <c r="Z64" s="175">
        <f>IFERROR(VLOOKUP(Y64,Surp11!$B$1:$C$161,2,0),0)</f>
        <v>0</v>
      </c>
      <c r="AA64" s="175">
        <f>IFERROR(VLOOKUP(E64,Surp1!$B$1:$C$161,2,0),0)</f>
        <v>281.3993049</v>
      </c>
      <c r="AB64" s="175">
        <f>IFERROR(VLOOKUP(G64,Surp2!$B$1:$C$161,2,0),0)</f>
        <v>211.6108037</v>
      </c>
      <c r="AC64" s="175">
        <f>IFERROR(VLOOKUP(I64,Surp3!$B$1:$C$161,2,0),0)</f>
        <v>109.6565584</v>
      </c>
      <c r="AD64" s="175">
        <f>IFERROR(VLOOKUP(K64,Surp4!$B$1:$C$161,2,0),0)</f>
        <v>0</v>
      </c>
      <c r="AE64" s="175">
        <f>IFERROR(VLOOKUP(M64,Surp5!$B$1:$C$161,2,0),0)</f>
        <v>0</v>
      </c>
      <c r="AF64" s="175">
        <f>IFERROR(VLOOKUP(O64,Surp6!$B$1:$C$161,2,0),0)</f>
        <v>0</v>
      </c>
      <c r="AG64" s="175">
        <f>IFERROR(VLOOKUP(Q64,Surp7!$B$1:$C$161,2,0),0)</f>
        <v>0</v>
      </c>
      <c r="AH64" s="175">
        <f>IFERROR(VLOOKUP(S64,Surp8!$B$1:$C$161,2,0),0)</f>
        <v>0</v>
      </c>
      <c r="AI64" s="175">
        <f>IFERROR(VLOOKUP(U64,Surp9!$B$1:$C$161,2,0),0)</f>
        <v>0</v>
      </c>
      <c r="AJ64" s="175">
        <f>IFERROR(VLOOKUP(W64,Surp10!$B$1:$C$161,2,0),0)</f>
        <v>0</v>
      </c>
      <c r="AK64" s="175">
        <f>IFERROR(VLOOKUP(Y64,Surp11!$B$1:$C$161,2,0),0)</f>
        <v>0</v>
      </c>
    </row>
    <row r="65" ht="15.75" customHeight="1">
      <c r="A65" s="172">
        <v>64.0</v>
      </c>
      <c r="B65" s="6" t="s">
        <v>84</v>
      </c>
      <c r="C65" s="136">
        <f t="shared" si="1"/>
        <v>596.3450404</v>
      </c>
      <c r="D65" s="173"/>
      <c r="E65" s="174">
        <f>IFERROR(VLOOKUP($B65,Surp1!$A$1:$B$161,2,0),0)</f>
        <v>0</v>
      </c>
      <c r="F65" s="175">
        <f>IFERROR(VLOOKUP(E65,Surp1!$B$1:$C$161,2,0),0)</f>
        <v>0</v>
      </c>
      <c r="G65" s="174">
        <f>IFERROR(VLOOKUP($B65,Surp2!$A$1:$B$161,2,0),0)</f>
        <v>17</v>
      </c>
      <c r="H65" s="175">
        <f>IFERROR(VLOOKUP(G65,Surp2!$B$1:$C$161,2,0),0)</f>
        <v>255.3972022</v>
      </c>
      <c r="I65" s="174">
        <f>IFERROR(VLOOKUP($B65,Surp3!$A$1:$B$161,2,0),0)</f>
        <v>0</v>
      </c>
      <c r="J65" s="175">
        <f>IFERROR(VLOOKUP(I65,Surp3!$B$1:$C$161,2,0),0)</f>
        <v>0</v>
      </c>
      <c r="K65" s="174">
        <f>IFERROR(VLOOKUP($B65,Surp4!$A$1:$B$161,2,0),0)</f>
        <v>0</v>
      </c>
      <c r="L65" s="175">
        <f>IFERROR(VLOOKUP(K65,Surp4!$B$1:$C$161,2,0),0)</f>
        <v>0</v>
      </c>
      <c r="M65" s="174">
        <f>IFERROR(VLOOKUP($B65,Surp5!$A$1:$B$161,2,0),0)</f>
        <v>0</v>
      </c>
      <c r="N65" s="175">
        <f>IFERROR(VLOOKUP(M65,Surp5!$B$1:$C$161,2,0),0)</f>
        <v>0</v>
      </c>
      <c r="O65" s="174">
        <f>IFERROR(VLOOKUP($B65,Surp6!$A$1:$B$161,2,0),0)</f>
        <v>0</v>
      </c>
      <c r="P65" s="175">
        <f>IFERROR(VLOOKUP(O65,Surp6!$B$1:$C$161,2,0),0)</f>
        <v>0</v>
      </c>
      <c r="Q65" s="174">
        <f>IFERROR(VLOOKUP($B65,Surp7!$A$1:$B$161,2,0),0)</f>
        <v>15</v>
      </c>
      <c r="R65" s="175">
        <f>IFERROR(VLOOKUP(Q65,Surp7!$B$1:$C$161,2,0),0)</f>
        <v>267.481458</v>
      </c>
      <c r="S65" s="174">
        <f>IFERROR(VLOOKUP($B65,Surp8!$A$1:$B$161,2,0),0)</f>
        <v>31</v>
      </c>
      <c r="T65" s="175">
        <f>IFERROR(VLOOKUP(S65,Surp8!$B$1:$C$161,2,0),0)</f>
        <v>73.46638017</v>
      </c>
      <c r="U65" s="174">
        <f>IFERROR(VLOOKUP($B65,Surp9!$A$1:$B$161,2,0),0)</f>
        <v>0</v>
      </c>
      <c r="V65" s="175">
        <f>IFERROR(VLOOKUP(U65,Surp9!$B$1:$C$161,2,0),0)</f>
        <v>0</v>
      </c>
      <c r="W65" s="174">
        <f>IFERROR(VLOOKUP($B65,Surp10!$A$1:$B$161,2,0),0)</f>
        <v>0</v>
      </c>
      <c r="X65" s="175">
        <f>IFERROR(VLOOKUP(W65,Surp10!$B$1:$C$161,2,0),0)</f>
        <v>0</v>
      </c>
      <c r="Y65" s="174">
        <f>IFERROR(VLOOKUP($B65,Surp11!$A$1:$B$161,2,0),0)</f>
        <v>0</v>
      </c>
      <c r="Z65" s="175">
        <f>IFERROR(VLOOKUP(Y65,Surp11!$B$1:$C$161,2,0),0)</f>
        <v>0</v>
      </c>
      <c r="AA65" s="175">
        <f>IFERROR(VLOOKUP(E65,Surp1!$B$1:$C$161,2,0),0)</f>
        <v>0</v>
      </c>
      <c r="AB65" s="175">
        <f>IFERROR(VLOOKUP(G65,Surp2!$B$1:$C$161,2,0),0)</f>
        <v>255.3972022</v>
      </c>
      <c r="AC65" s="175">
        <f>IFERROR(VLOOKUP(I65,Surp3!$B$1:$C$161,2,0),0)</f>
        <v>0</v>
      </c>
      <c r="AD65" s="175">
        <f>IFERROR(VLOOKUP(K65,Surp4!$B$1:$C$161,2,0),0)</f>
        <v>0</v>
      </c>
      <c r="AE65" s="175">
        <f>IFERROR(VLOOKUP(M65,Surp5!$B$1:$C$161,2,0),0)</f>
        <v>0</v>
      </c>
      <c r="AF65" s="175">
        <f>IFERROR(VLOOKUP(O65,Surp6!$B$1:$C$161,2,0),0)</f>
        <v>0</v>
      </c>
      <c r="AG65" s="175">
        <f>IFERROR(VLOOKUP(Q65,Surp7!$B$1:$C$161,2,0),0)</f>
        <v>267.481458</v>
      </c>
      <c r="AH65" s="175">
        <f>IFERROR(VLOOKUP(S65,Surp8!$B$1:$C$161,2,0),0)</f>
        <v>73.46638017</v>
      </c>
      <c r="AI65" s="175">
        <f>IFERROR(VLOOKUP(U65,Surp9!$B$1:$C$161,2,0),0)</f>
        <v>0</v>
      </c>
      <c r="AJ65" s="175">
        <f>IFERROR(VLOOKUP(W65,Surp10!$B$1:$C$161,2,0),0)</f>
        <v>0</v>
      </c>
      <c r="AK65" s="175">
        <f>IFERROR(VLOOKUP(Y65,Surp11!$B$1:$C$161,2,0),0)</f>
        <v>0</v>
      </c>
    </row>
    <row r="66" ht="15.75" customHeight="1">
      <c r="A66" s="171">
        <v>65.0</v>
      </c>
      <c r="B66" s="6" t="s">
        <v>97</v>
      </c>
      <c r="C66" s="136">
        <f t="shared" si="1"/>
        <v>581.5908126</v>
      </c>
      <c r="D66" s="93"/>
      <c r="E66" s="94">
        <f>IFERROR(VLOOKUP($B66,Surp1!$A$1:$B$161,2,0),0)</f>
        <v>9</v>
      </c>
      <c r="F66" s="95">
        <f>IFERROR(VLOOKUP(E66,Surp1!$B$1:$C$161,2,0),0)</f>
        <v>349.9756312</v>
      </c>
      <c r="G66" s="94">
        <f>IFERROR(VLOOKUP($B66,Surp2!$A$1:$B$161,2,0),0)</f>
        <v>0</v>
      </c>
      <c r="H66" s="95">
        <f>IFERROR(VLOOKUP(G66,Surp2!$B$1:$C$161,2,0),0)</f>
        <v>0</v>
      </c>
      <c r="I66" s="94">
        <f>IFERROR(VLOOKUP($B66,Surp3!$A$1:$B$161,2,0),0)</f>
        <v>0</v>
      </c>
      <c r="J66" s="95">
        <f>IFERROR(VLOOKUP(I66,Surp3!$B$1:$C$161,2,0),0)</f>
        <v>0</v>
      </c>
      <c r="K66" s="94">
        <f>IFERROR(VLOOKUP($B66,Surp4!$A$1:$B$161,2,0),0)</f>
        <v>44</v>
      </c>
      <c r="L66" s="95">
        <f>IFERROR(VLOOKUP(K66,Surp4!$B$1:$C$161,2,0),0)</f>
        <v>37.02802828</v>
      </c>
      <c r="M66" s="94">
        <f>IFERROR(VLOOKUP($B66,Surp5!$A$1:$B$161,2,0),0)</f>
        <v>0</v>
      </c>
      <c r="N66" s="95">
        <f>IFERROR(VLOOKUP(M66,Surp5!$B$1:$C$161,2,0),0)</f>
        <v>0</v>
      </c>
      <c r="O66" s="94">
        <f>IFERROR(VLOOKUP($B66,Surp6!$A$1:$B$161,2,0),0)</f>
        <v>0</v>
      </c>
      <c r="P66" s="95">
        <f>IFERROR(VLOOKUP(O66,Surp6!$B$1:$C$161,2,0),0)</f>
        <v>0</v>
      </c>
      <c r="Q66" s="94">
        <f>IFERROR(VLOOKUP($B66,Surp7!$A$1:$B$161,2,0),0)</f>
        <v>23</v>
      </c>
      <c r="R66" s="95">
        <f>IFERROR(VLOOKUP(Q66,Surp7!$B$1:$C$161,2,0),0)</f>
        <v>194.5871531</v>
      </c>
      <c r="S66" s="94">
        <f>IFERROR(VLOOKUP($B66,Surp8!$A$1:$B$161,2,0),0)</f>
        <v>0</v>
      </c>
      <c r="T66" s="95">
        <f>IFERROR(VLOOKUP(S66,Surp8!$B$1:$C$161,2,0),0)</f>
        <v>0</v>
      </c>
      <c r="U66" s="94">
        <f>IFERROR(VLOOKUP($B66,Surp9!$A$1:$B$161,2,0),0)</f>
        <v>0</v>
      </c>
      <c r="V66" s="95">
        <f>IFERROR(VLOOKUP(U66,Surp9!$B$1:$C$161,2,0),0)</f>
        <v>0</v>
      </c>
      <c r="W66" s="94">
        <f>IFERROR(VLOOKUP($B66,Surp10!$A$1:$B$161,2,0),0)</f>
        <v>0</v>
      </c>
      <c r="X66" s="95">
        <f>IFERROR(VLOOKUP(W66,Surp10!$B$1:$C$161,2,0),0)</f>
        <v>0</v>
      </c>
      <c r="Y66" s="94">
        <f>IFERROR(VLOOKUP($B66,Surp11!$A$1:$B$161,2,0),0)</f>
        <v>0</v>
      </c>
      <c r="Z66" s="95">
        <f>IFERROR(VLOOKUP(Y66,Surp11!$B$1:$C$161,2,0),0)</f>
        <v>0</v>
      </c>
      <c r="AA66" s="95">
        <f>IFERROR(VLOOKUP(E66,Surp1!$B$1:$C$161,2,0),0)</f>
        <v>349.9756312</v>
      </c>
      <c r="AB66" s="95">
        <f>IFERROR(VLOOKUP(G66,Surp2!$B$1:$C$161,2,0),0)</f>
        <v>0</v>
      </c>
      <c r="AC66" s="95">
        <f>IFERROR(VLOOKUP(I66,Surp3!$B$1:$C$161,2,0),0)</f>
        <v>0</v>
      </c>
      <c r="AD66" s="95">
        <f>IFERROR(VLOOKUP(K66,Surp4!$B$1:$C$161,2,0),0)</f>
        <v>37.02802828</v>
      </c>
      <c r="AE66" s="95">
        <f>IFERROR(VLOOKUP(M66,Surp5!$B$1:$C$161,2,0),0)</f>
        <v>0</v>
      </c>
      <c r="AF66" s="95">
        <f>IFERROR(VLOOKUP(O66,Surp6!$B$1:$C$161,2,0),0)</f>
        <v>0</v>
      </c>
      <c r="AG66" s="95">
        <f>IFERROR(VLOOKUP(Q66,Surp7!$B$1:$C$161,2,0),0)</f>
        <v>194.5871531</v>
      </c>
      <c r="AH66" s="95">
        <f>IFERROR(VLOOKUP(S66,Surp8!$B$1:$C$161,2,0),0)</f>
        <v>0</v>
      </c>
      <c r="AI66" s="95">
        <f>IFERROR(VLOOKUP(U66,Surp9!$B$1:$C$161,2,0),0)</f>
        <v>0</v>
      </c>
      <c r="AJ66" s="95">
        <f>IFERROR(VLOOKUP(W66,Surp10!$B$1:$C$161,2,0),0)</f>
        <v>0</v>
      </c>
      <c r="AK66" s="95">
        <f>IFERROR(VLOOKUP(Y66,Surp11!$B$1:$C$161,2,0),0)</f>
        <v>0</v>
      </c>
    </row>
    <row r="67" ht="15.75" customHeight="1">
      <c r="A67" s="172">
        <v>66.0</v>
      </c>
      <c r="B67" s="6" t="s">
        <v>66</v>
      </c>
      <c r="C67" s="136">
        <f t="shared" si="1"/>
        <v>580.1505604</v>
      </c>
      <c r="D67" s="93"/>
      <c r="E67" s="94">
        <f>IFERROR(VLOOKUP($B67,Surp1!$A$1:$B$161,2,0),0)</f>
        <v>0</v>
      </c>
      <c r="F67" s="95">
        <f>IFERROR(VLOOKUP(E67,Surp1!$B$1:$C$161,2,0),0)</f>
        <v>0</v>
      </c>
      <c r="G67" s="94">
        <f>IFERROR(VLOOKUP($B67,Surp2!$A$1:$B$161,2,0),0)</f>
        <v>0</v>
      </c>
      <c r="H67" s="95">
        <f>IFERROR(VLOOKUP(G67,Surp2!$B$1:$C$161,2,0),0)</f>
        <v>0</v>
      </c>
      <c r="I67" s="94">
        <f>IFERROR(VLOOKUP($B67,Surp3!$A$1:$B$161,2,0),0)</f>
        <v>0</v>
      </c>
      <c r="J67" s="95">
        <f>IFERROR(VLOOKUP(I67,Surp3!$B$1:$C$161,2,0),0)</f>
        <v>0</v>
      </c>
      <c r="K67" s="94">
        <f>IFERROR(VLOOKUP($B67,Surp4!$A$1:$B$161,2,0),0)</f>
        <v>0</v>
      </c>
      <c r="L67" s="95">
        <f>IFERROR(VLOOKUP(K67,Surp4!$B$1:$C$161,2,0),0)</f>
        <v>0</v>
      </c>
      <c r="M67" s="94">
        <f>IFERROR(VLOOKUP($B67,Surp5!$A$1:$B$161,2,0),0)</f>
        <v>0</v>
      </c>
      <c r="N67" s="95">
        <f>IFERROR(VLOOKUP(M67,Surp5!$B$1:$C$161,2,0),0)</f>
        <v>0</v>
      </c>
      <c r="O67" s="94">
        <f>IFERROR(VLOOKUP($B67,Surp6!$A$1:$B$161,2,0),0)</f>
        <v>41</v>
      </c>
      <c r="P67" s="95">
        <f>IFERROR(VLOOKUP(O67,Surp6!$B$1:$C$161,2,0),0)</f>
        <v>79.24853174</v>
      </c>
      <c r="Q67" s="94">
        <f>IFERROR(VLOOKUP($B67,Surp7!$A$1:$B$161,2,0),0)</f>
        <v>52</v>
      </c>
      <c r="R67" s="95">
        <f>IFERROR(VLOOKUP(Q67,Surp7!$B$1:$C$161,2,0),0)</f>
        <v>23.33653511</v>
      </c>
      <c r="S67" s="94">
        <f>IFERROR(VLOOKUP($B67,Surp8!$A$1:$B$161,2,0),0)</f>
        <v>0</v>
      </c>
      <c r="T67" s="95">
        <f>IFERROR(VLOOKUP(S67,Surp8!$B$1:$C$161,2,0),0)</f>
        <v>0</v>
      </c>
      <c r="U67" s="94">
        <f>IFERROR(VLOOKUP($B67,Surp9!$A$1:$B$161,2,0),0)</f>
        <v>3</v>
      </c>
      <c r="V67" s="95">
        <f>IFERROR(VLOOKUP(U67,Surp9!$B$1:$C$161,2,0),0)</f>
        <v>477.5654936</v>
      </c>
      <c r="W67" s="94">
        <f>IFERROR(VLOOKUP($B67,Surp10!$A$1:$B$161,2,0),0)</f>
        <v>0</v>
      </c>
      <c r="X67" s="95">
        <f>IFERROR(VLOOKUP(W67,Surp10!$B$1:$C$161,2,0),0)</f>
        <v>0</v>
      </c>
      <c r="Y67" s="94">
        <f>IFERROR(VLOOKUP($B67,Surp11!$A$1:$B$161,2,0),0)</f>
        <v>0</v>
      </c>
      <c r="Z67" s="95">
        <f>IFERROR(VLOOKUP(Y67,Surp11!$B$1:$C$161,2,0),0)</f>
        <v>0</v>
      </c>
      <c r="AA67" s="95">
        <f>IFERROR(VLOOKUP(E67,Surp1!$B$1:$C$161,2,0),0)</f>
        <v>0</v>
      </c>
      <c r="AB67" s="95">
        <f>IFERROR(VLOOKUP(G67,Surp2!$B$1:$C$161,2,0),0)</f>
        <v>0</v>
      </c>
      <c r="AC67" s="95">
        <f>IFERROR(VLOOKUP(I67,Surp3!$B$1:$C$161,2,0),0)</f>
        <v>0</v>
      </c>
      <c r="AD67" s="95">
        <f>IFERROR(VLOOKUP(K67,Surp4!$B$1:$C$161,2,0),0)</f>
        <v>0</v>
      </c>
      <c r="AE67" s="95">
        <f>IFERROR(VLOOKUP(M67,Surp5!$B$1:$C$161,2,0),0)</f>
        <v>0</v>
      </c>
      <c r="AF67" s="95">
        <f>IFERROR(VLOOKUP(O67,Surp6!$B$1:$C$161,2,0),0)</f>
        <v>79.24853174</v>
      </c>
      <c r="AG67" s="95">
        <f>IFERROR(VLOOKUP(Q67,Surp7!$B$1:$C$161,2,0),0)</f>
        <v>23.33653511</v>
      </c>
      <c r="AH67" s="95">
        <f>IFERROR(VLOOKUP(S67,Surp8!$B$1:$C$161,2,0),0)</f>
        <v>0</v>
      </c>
      <c r="AI67" s="95">
        <f>IFERROR(VLOOKUP(U67,Surp9!$B$1:$C$161,2,0),0)</f>
        <v>477.5654936</v>
      </c>
      <c r="AJ67" s="95">
        <f>IFERROR(VLOOKUP(W67,Surp10!$B$1:$C$161,2,0),0)</f>
        <v>0</v>
      </c>
      <c r="AK67" s="95">
        <f>IFERROR(VLOOKUP(Y67,Surp11!$B$1:$C$161,2,0),0)</f>
        <v>0</v>
      </c>
    </row>
    <row r="68" ht="15.75" customHeight="1">
      <c r="A68" s="171">
        <v>67.0</v>
      </c>
      <c r="B68" s="6" t="s">
        <v>100</v>
      </c>
      <c r="C68" s="136">
        <f t="shared" si="1"/>
        <v>559.790961</v>
      </c>
      <c r="D68" s="173"/>
      <c r="E68" s="174">
        <f>IFERROR(VLOOKUP($B68,Surp1!$A$1:$B$161,2,0),0)</f>
        <v>36</v>
      </c>
      <c r="F68" s="175">
        <f>IFERROR(VLOOKUP(E68,Surp1!$B$1:$C$161,2,0),0)</f>
        <v>111.1090434</v>
      </c>
      <c r="G68" s="174">
        <f>IFERROR(VLOOKUP($B68,Surp2!$A$1:$B$161,2,0),0)</f>
        <v>39</v>
      </c>
      <c r="H68" s="175">
        <f>IFERROR(VLOOKUP(G68,Surp2!$B$1:$C$161,2,0),0)</f>
        <v>101.347503</v>
      </c>
      <c r="I68" s="174">
        <f>IFERROR(VLOOKUP($B68,Surp3!$A$1:$B$161,2,0),0)</f>
        <v>0</v>
      </c>
      <c r="J68" s="175">
        <f>IFERROR(VLOOKUP(I68,Surp3!$B$1:$C$161,2,0),0)</f>
        <v>0</v>
      </c>
      <c r="K68" s="174">
        <f>IFERROR(VLOOKUP($B68,Surp4!$A$1:$B$161,2,0),0)</f>
        <v>0</v>
      </c>
      <c r="L68" s="175">
        <f>IFERROR(VLOOKUP(K68,Surp4!$B$1:$C$161,2,0),0)</f>
        <v>0</v>
      </c>
      <c r="M68" s="174">
        <f>IFERROR(VLOOKUP($B68,Surp5!$A$1:$B$161,2,0),0)</f>
        <v>0</v>
      </c>
      <c r="N68" s="175">
        <f>IFERROR(VLOOKUP(M68,Surp5!$B$1:$C$161,2,0),0)</f>
        <v>0</v>
      </c>
      <c r="O68" s="174">
        <f>IFERROR(VLOOKUP($B68,Surp6!$A$1:$B$161,2,0),0)</f>
        <v>9</v>
      </c>
      <c r="P68" s="175">
        <f>IFERROR(VLOOKUP(O68,Surp6!$B$1:$C$161,2,0),0)</f>
        <v>347.3344146</v>
      </c>
      <c r="Q68" s="174">
        <f>IFERROR(VLOOKUP($B68,Surp7!$A$1:$B$161,2,0),0)</f>
        <v>0</v>
      </c>
      <c r="R68" s="175">
        <f>IFERROR(VLOOKUP(Q68,Surp7!$B$1:$C$161,2,0),0)</f>
        <v>0</v>
      </c>
      <c r="S68" s="174">
        <f>IFERROR(VLOOKUP($B68,Surp8!$A$1:$B$161,2,0),0)</f>
        <v>0</v>
      </c>
      <c r="T68" s="175">
        <f>IFERROR(VLOOKUP(S68,Surp8!$B$1:$C$161,2,0),0)</f>
        <v>0</v>
      </c>
      <c r="U68" s="174">
        <f>IFERROR(VLOOKUP($B68,Surp9!$A$1:$B$161,2,0),0)</f>
        <v>0</v>
      </c>
      <c r="V68" s="175">
        <f>IFERROR(VLOOKUP(U68,Surp9!$B$1:$C$161,2,0),0)</f>
        <v>0</v>
      </c>
      <c r="W68" s="174">
        <f>IFERROR(VLOOKUP($B68,Surp10!$A$1:$B$161,2,0),0)</f>
        <v>0</v>
      </c>
      <c r="X68" s="175">
        <f>IFERROR(VLOOKUP(W68,Surp10!$B$1:$C$161,2,0),0)</f>
        <v>0</v>
      </c>
      <c r="Y68" s="174">
        <f>IFERROR(VLOOKUP($B68,Surp11!$A$1:$B$161,2,0),0)</f>
        <v>0</v>
      </c>
      <c r="Z68" s="175">
        <f>IFERROR(VLOOKUP(Y68,Surp11!$B$1:$C$161,2,0),0)</f>
        <v>0</v>
      </c>
      <c r="AA68" s="175">
        <f>IFERROR(VLOOKUP(E68,Surp1!$B$1:$C$161,2,0),0)</f>
        <v>111.1090434</v>
      </c>
      <c r="AB68" s="175">
        <f>IFERROR(VLOOKUP(G68,Surp2!$B$1:$C$161,2,0),0)</f>
        <v>101.347503</v>
      </c>
      <c r="AC68" s="175">
        <f>IFERROR(VLOOKUP(I68,Surp3!$B$1:$C$161,2,0),0)</f>
        <v>0</v>
      </c>
      <c r="AD68" s="175">
        <f>IFERROR(VLOOKUP(K68,Surp4!$B$1:$C$161,2,0),0)</f>
        <v>0</v>
      </c>
      <c r="AE68" s="175">
        <f>IFERROR(VLOOKUP(M68,Surp5!$B$1:$C$161,2,0),0)</f>
        <v>0</v>
      </c>
      <c r="AF68" s="175">
        <f>IFERROR(VLOOKUP(O68,Surp6!$B$1:$C$161,2,0),0)</f>
        <v>347.3344146</v>
      </c>
      <c r="AG68" s="175">
        <f>IFERROR(VLOOKUP(Q68,Surp7!$B$1:$C$161,2,0),0)</f>
        <v>0</v>
      </c>
      <c r="AH68" s="175">
        <f>IFERROR(VLOOKUP(S68,Surp8!$B$1:$C$161,2,0),0)</f>
        <v>0</v>
      </c>
      <c r="AI68" s="175">
        <f>IFERROR(VLOOKUP(U68,Surp9!$B$1:$C$161,2,0),0)</f>
        <v>0</v>
      </c>
      <c r="AJ68" s="175">
        <f>IFERROR(VLOOKUP(W68,Surp10!$B$1:$C$161,2,0),0)</f>
        <v>0</v>
      </c>
      <c r="AK68" s="175">
        <f>IFERROR(VLOOKUP(Y68,Surp11!$B$1:$C$161,2,0),0)</f>
        <v>0</v>
      </c>
    </row>
    <row r="69" ht="15.75" customHeight="1">
      <c r="A69" s="172">
        <v>68.0</v>
      </c>
      <c r="B69" s="6" t="s">
        <v>51</v>
      </c>
      <c r="C69" s="136">
        <f t="shared" si="1"/>
        <v>559.0755185</v>
      </c>
      <c r="D69" s="93"/>
      <c r="E69" s="94">
        <f>IFERROR(VLOOKUP($B69,Surp1!$A$1:$B$161,2,0),0)</f>
        <v>0</v>
      </c>
      <c r="F69" s="95">
        <f>IFERROR(VLOOKUP(E69,Surp1!$B$1:$C$161,2,0),0)</f>
        <v>0</v>
      </c>
      <c r="G69" s="94">
        <f>IFERROR(VLOOKUP($B69,Surp2!$A$1:$B$161,2,0),0)</f>
        <v>21</v>
      </c>
      <c r="H69" s="95">
        <f>IFERROR(VLOOKUP(G69,Surp2!$B$1:$C$161,2,0),0)</f>
        <v>219.7200522</v>
      </c>
      <c r="I69" s="94">
        <f>IFERROR(VLOOKUP($B69,Surp3!$A$1:$B$161,2,0),0)</f>
        <v>20</v>
      </c>
      <c r="J69" s="95">
        <f>IFERROR(VLOOKUP(I69,Surp3!$B$1:$C$161,2,0),0)</f>
        <v>188.7743364</v>
      </c>
      <c r="K69" s="94">
        <f>IFERROR(VLOOKUP($B69,Surp4!$A$1:$B$161,2,0),0)</f>
        <v>0</v>
      </c>
      <c r="L69" s="95">
        <f>IFERROR(VLOOKUP(K69,Surp4!$B$1:$C$161,2,0),0)</f>
        <v>0</v>
      </c>
      <c r="M69" s="94">
        <f>IFERROR(VLOOKUP($B69,Surp5!$A$1:$B$161,2,0),0)</f>
        <v>0</v>
      </c>
      <c r="N69" s="95">
        <f>IFERROR(VLOOKUP(M69,Surp5!$B$1:$C$161,2,0),0)</f>
        <v>0</v>
      </c>
      <c r="O69" s="94">
        <f>IFERROR(VLOOKUP($B69,Surp6!$A$1:$B$161,2,0),0)</f>
        <v>35</v>
      </c>
      <c r="P69" s="95">
        <f>IFERROR(VLOOKUP(O69,Surp6!$B$1:$C$161,2,0),0)</f>
        <v>113.3634034</v>
      </c>
      <c r="Q69" s="94">
        <f>IFERROR(VLOOKUP($B69,Surp7!$A$1:$B$161,2,0),0)</f>
        <v>0</v>
      </c>
      <c r="R69" s="95">
        <f>IFERROR(VLOOKUP(Q69,Surp7!$B$1:$C$161,2,0),0)</f>
        <v>0</v>
      </c>
      <c r="S69" s="94">
        <f>IFERROR(VLOOKUP($B69,Surp8!$A$1:$B$161,2,0),0)</f>
        <v>0</v>
      </c>
      <c r="T69" s="95">
        <f>IFERROR(VLOOKUP(S69,Surp8!$B$1:$C$161,2,0),0)</f>
        <v>0</v>
      </c>
      <c r="U69" s="94">
        <f>IFERROR(VLOOKUP($B69,Surp9!$A$1:$B$161,2,0),0)</f>
        <v>0</v>
      </c>
      <c r="V69" s="95">
        <f>IFERROR(VLOOKUP(U69,Surp9!$B$1:$C$161,2,0),0)</f>
        <v>0</v>
      </c>
      <c r="W69" s="94">
        <f>IFERROR(VLOOKUP($B69,Surp10!$A$1:$B$161,2,0),0)</f>
        <v>0</v>
      </c>
      <c r="X69" s="95">
        <f>IFERROR(VLOOKUP(W69,Surp10!$B$1:$C$161,2,0),0)</f>
        <v>0</v>
      </c>
      <c r="Y69" s="94">
        <f>IFERROR(VLOOKUP($B69,Surp11!$A$1:$B$161,2,0),0)</f>
        <v>25</v>
      </c>
      <c r="Z69" s="95">
        <f>IFERROR(VLOOKUP(Y69,Surp11!$B$1:$C$161,2,0),0)</f>
        <v>37.21772638</v>
      </c>
      <c r="AA69" s="95">
        <f>IFERROR(VLOOKUP(E69,Surp1!$B$1:$C$161,2,0),0)</f>
        <v>0</v>
      </c>
      <c r="AB69" s="95">
        <f>IFERROR(VLOOKUP(G69,Surp2!$B$1:$C$161,2,0),0)</f>
        <v>219.7200522</v>
      </c>
      <c r="AC69" s="95">
        <f>IFERROR(VLOOKUP(I69,Surp3!$B$1:$C$161,2,0),0)</f>
        <v>188.7743364</v>
      </c>
      <c r="AD69" s="95">
        <f>IFERROR(VLOOKUP(K69,Surp4!$B$1:$C$161,2,0),0)</f>
        <v>0</v>
      </c>
      <c r="AE69" s="95">
        <f>IFERROR(VLOOKUP(M69,Surp5!$B$1:$C$161,2,0),0)</f>
        <v>0</v>
      </c>
      <c r="AF69" s="95">
        <f>IFERROR(VLOOKUP(O69,Surp6!$B$1:$C$161,2,0),0)</f>
        <v>113.3634034</v>
      </c>
      <c r="AG69" s="95">
        <f>IFERROR(VLOOKUP(Q69,Surp7!$B$1:$C$161,2,0),0)</f>
        <v>0</v>
      </c>
      <c r="AH69" s="95">
        <f>IFERROR(VLOOKUP(S69,Surp8!$B$1:$C$161,2,0),0)</f>
        <v>0</v>
      </c>
      <c r="AI69" s="95">
        <f>IFERROR(VLOOKUP(U69,Surp9!$B$1:$C$161,2,0),0)</f>
        <v>0</v>
      </c>
      <c r="AJ69" s="95">
        <f>IFERROR(VLOOKUP(W69,Surp10!$B$1:$C$161,2,0),0)</f>
        <v>0</v>
      </c>
      <c r="AK69" s="95">
        <f>IFERROR(VLOOKUP(Y69,Surp11!$B$1:$C$161,2,0),0)</f>
        <v>37.21772638</v>
      </c>
    </row>
    <row r="70" ht="15.75" customHeight="1">
      <c r="A70" s="171">
        <v>69.0</v>
      </c>
      <c r="B70" s="6" t="s">
        <v>42</v>
      </c>
      <c r="C70" s="136">
        <f t="shared" si="1"/>
        <v>551.6737055</v>
      </c>
      <c r="D70" s="173"/>
      <c r="E70" s="174">
        <f>IFERROR(VLOOKUP($B70,Surp1!$A$1:$B$161,2,0),0)</f>
        <v>48</v>
      </c>
      <c r="F70" s="175">
        <f>IFERROR(VLOOKUP(E70,Surp1!$B$1:$C$161,2,0),0)</f>
        <v>46.99937075</v>
      </c>
      <c r="G70" s="174">
        <f>IFERROR(VLOOKUP($B70,Surp2!$A$1:$B$161,2,0),0)</f>
        <v>58</v>
      </c>
      <c r="H70" s="175">
        <f>IFERROR(VLOOKUP(G70,Surp2!$B$1:$C$161,2,0),0)</f>
        <v>8.740432183</v>
      </c>
      <c r="I70" s="174">
        <f>IFERROR(VLOOKUP($B70,Surp3!$A$1:$B$161,2,0),0)</f>
        <v>0</v>
      </c>
      <c r="J70" s="175">
        <f>IFERROR(VLOOKUP(I70,Surp3!$B$1:$C$161,2,0),0)</f>
        <v>0</v>
      </c>
      <c r="K70" s="174">
        <f>IFERROR(VLOOKUP($B70,Surp4!$A$1:$B$161,2,0),0)</f>
        <v>25</v>
      </c>
      <c r="L70" s="175">
        <f>IFERROR(VLOOKUP(K70,Surp4!$B$1:$C$161,2,0),0)</f>
        <v>158.4105354</v>
      </c>
      <c r="M70" s="174">
        <f>IFERROR(VLOOKUP($B70,Surp5!$A$1:$B$161,2,0),0)</f>
        <v>42</v>
      </c>
      <c r="N70" s="175">
        <f>IFERROR(VLOOKUP(M70,Surp5!$B$1:$C$161,2,0),0)</f>
        <v>57.19351764</v>
      </c>
      <c r="O70" s="174">
        <f>IFERROR(VLOOKUP($B70,Surp6!$A$1:$B$161,2,0),0)</f>
        <v>0</v>
      </c>
      <c r="P70" s="175">
        <f>IFERROR(VLOOKUP(O70,Surp6!$B$1:$C$161,2,0),0)</f>
        <v>0</v>
      </c>
      <c r="Q70" s="174">
        <f>IFERROR(VLOOKUP($B70,Surp7!$A$1:$B$161,2,0),0)</f>
        <v>19</v>
      </c>
      <c r="R70" s="175">
        <f>IFERROR(VLOOKUP(Q70,Surp7!$B$1:$C$161,2,0),0)</f>
        <v>228.1194956</v>
      </c>
      <c r="S70" s="174">
        <f>IFERROR(VLOOKUP($B70,Surp8!$A$1:$B$161,2,0),0)</f>
        <v>34</v>
      </c>
      <c r="T70" s="175">
        <f>IFERROR(VLOOKUP(S70,Surp8!$B$1:$C$161,2,0),0)</f>
        <v>52.21035401</v>
      </c>
      <c r="U70" s="174">
        <f>IFERROR(VLOOKUP($B70,Surp9!$A$1:$B$161,2,0),0)</f>
        <v>0</v>
      </c>
      <c r="V70" s="175">
        <f>IFERROR(VLOOKUP(U70,Surp9!$B$1:$C$161,2,0),0)</f>
        <v>0</v>
      </c>
      <c r="W70" s="174">
        <f>IFERROR(VLOOKUP($B70,Surp10!$A$1:$B$161,2,0),0)</f>
        <v>0</v>
      </c>
      <c r="X70" s="175">
        <f>IFERROR(VLOOKUP(W70,Surp10!$B$1:$C$161,2,0),0)</f>
        <v>0</v>
      </c>
      <c r="Y70" s="174">
        <f>IFERROR(VLOOKUP($B70,Surp11!$A$1:$B$161,2,0),0)</f>
        <v>0</v>
      </c>
      <c r="Z70" s="175">
        <f>IFERROR(VLOOKUP(Y70,Surp11!$B$1:$C$161,2,0),0)</f>
        <v>0</v>
      </c>
      <c r="AA70" s="175">
        <f>IFERROR(VLOOKUP(E70,Surp1!$B$1:$C$161,2,0),0)</f>
        <v>46.99937075</v>
      </c>
      <c r="AB70" s="175">
        <f>IFERROR(VLOOKUP(G70,Surp2!$B$1:$C$161,2,0),0)</f>
        <v>8.740432183</v>
      </c>
      <c r="AC70" s="175">
        <f>IFERROR(VLOOKUP(I70,Surp3!$B$1:$C$161,2,0),0)</f>
        <v>0</v>
      </c>
      <c r="AD70" s="175">
        <f>IFERROR(VLOOKUP(K70,Surp4!$B$1:$C$161,2,0),0)</f>
        <v>158.4105354</v>
      </c>
      <c r="AE70" s="175">
        <f>IFERROR(VLOOKUP(M70,Surp5!$B$1:$C$161,2,0),0)</f>
        <v>57.19351764</v>
      </c>
      <c r="AF70" s="175">
        <f>IFERROR(VLOOKUP(O70,Surp6!$B$1:$C$161,2,0),0)</f>
        <v>0</v>
      </c>
      <c r="AG70" s="175">
        <f>IFERROR(VLOOKUP(Q70,Surp7!$B$1:$C$161,2,0),0)</f>
        <v>228.1194956</v>
      </c>
      <c r="AH70" s="175">
        <f>IFERROR(VLOOKUP(S70,Surp8!$B$1:$C$161,2,0),0)</f>
        <v>52.21035401</v>
      </c>
      <c r="AI70" s="175">
        <f>IFERROR(VLOOKUP(U70,Surp9!$B$1:$C$161,2,0),0)</f>
        <v>0</v>
      </c>
      <c r="AJ70" s="175">
        <f>IFERROR(VLOOKUP(W70,Surp10!$B$1:$C$161,2,0),0)</f>
        <v>0</v>
      </c>
      <c r="AK70" s="175">
        <f>IFERROR(VLOOKUP(Y70,Surp11!$B$1:$C$161,2,0),0)</f>
        <v>0</v>
      </c>
    </row>
    <row r="71" ht="15.75" customHeight="1">
      <c r="A71" s="172">
        <v>70.0</v>
      </c>
      <c r="B71" s="6" t="s">
        <v>16</v>
      </c>
      <c r="C71" s="136">
        <f t="shared" si="1"/>
        <v>547.3237046</v>
      </c>
      <c r="D71" s="93"/>
      <c r="E71" s="94">
        <f>IFERROR(VLOOKUP($B71,Surp1!$A$1:$B$161,2,0),0)</f>
        <v>45</v>
      </c>
      <c r="F71" s="95">
        <f>IFERROR(VLOOKUP(E71,Surp1!$B$1:$C$161,2,0),0)</f>
        <v>62.0929905</v>
      </c>
      <c r="G71" s="94">
        <f>IFERROR(VLOOKUP($B71,Surp2!$A$1:$B$161,2,0),0)</f>
        <v>32</v>
      </c>
      <c r="H71" s="95">
        <f>IFERROR(VLOOKUP(G71,Surp2!$B$1:$C$161,2,0),0)</f>
        <v>141.9810707</v>
      </c>
      <c r="I71" s="94">
        <f>IFERROR(VLOOKUP($B71,Surp3!$A$1:$B$161,2,0),0)</f>
        <v>0</v>
      </c>
      <c r="J71" s="95">
        <f>IFERROR(VLOOKUP(I71,Surp3!$B$1:$C$161,2,0),0)</f>
        <v>0</v>
      </c>
      <c r="K71" s="94">
        <f>IFERROR(VLOOKUP($B71,Surp4!$A$1:$B$161,2,0),0)</f>
        <v>46</v>
      </c>
      <c r="L71" s="95">
        <f>IFERROR(VLOOKUP(K71,Surp4!$B$1:$C$161,2,0),0)</f>
        <v>26.15629714</v>
      </c>
      <c r="M71" s="94">
        <f>IFERROR(VLOOKUP($B71,Surp5!$A$1:$B$161,2,0),0)</f>
        <v>0</v>
      </c>
      <c r="N71" s="95">
        <f>IFERROR(VLOOKUP(M71,Surp5!$B$1:$C$161,2,0),0)</f>
        <v>0</v>
      </c>
      <c r="O71" s="94">
        <f>IFERROR(VLOOKUP($B71,Surp6!$A$1:$B$161,2,0),0)</f>
        <v>21</v>
      </c>
      <c r="P71" s="95">
        <f>IFERROR(VLOOKUP(O71,Surp6!$B$1:$C$161,2,0),0)</f>
        <v>210.7729545</v>
      </c>
      <c r="Q71" s="94">
        <f>IFERROR(VLOOKUP($B71,Surp7!$A$1:$B$161,2,0),0)</f>
        <v>43</v>
      </c>
      <c r="R71" s="95">
        <f>IFERROR(VLOOKUP(Q71,Surp7!$B$1:$C$161,2,0),0)</f>
        <v>68.52169982</v>
      </c>
      <c r="S71" s="94">
        <f>IFERROR(VLOOKUP($B71,Surp8!$A$1:$B$161,2,0),0)</f>
        <v>0</v>
      </c>
      <c r="T71" s="95">
        <f>IFERROR(VLOOKUP(S71,Surp8!$B$1:$C$161,2,0),0)</f>
        <v>0</v>
      </c>
      <c r="U71" s="94">
        <f>IFERROR(VLOOKUP($B71,Surp9!$A$1:$B$161,2,0),0)</f>
        <v>0</v>
      </c>
      <c r="V71" s="95">
        <f>IFERROR(VLOOKUP(U71,Surp9!$B$1:$C$161,2,0),0)</f>
        <v>0</v>
      </c>
      <c r="W71" s="94">
        <f>IFERROR(VLOOKUP($B71,Surp10!$A$1:$B$161,2,0),0)</f>
        <v>43</v>
      </c>
      <c r="X71" s="95">
        <f>IFERROR(VLOOKUP(W71,Surp10!$B$1:$C$161,2,0),0)</f>
        <v>37.79869193</v>
      </c>
      <c r="Y71" s="94">
        <f>IFERROR(VLOOKUP($B71,Surp11!$A$1:$B$161,2,0),0)</f>
        <v>0</v>
      </c>
      <c r="Z71" s="95">
        <f>IFERROR(VLOOKUP(Y71,Surp11!$B$1:$C$161,2,0),0)</f>
        <v>0</v>
      </c>
      <c r="AA71" s="95">
        <f>IFERROR(VLOOKUP(E71,Surp1!$B$1:$C$161,2,0),0)</f>
        <v>62.0929905</v>
      </c>
      <c r="AB71" s="95">
        <f>IFERROR(VLOOKUP(G71,Surp2!$B$1:$C$161,2,0),0)</f>
        <v>141.9810707</v>
      </c>
      <c r="AC71" s="95">
        <f>IFERROR(VLOOKUP(I71,Surp3!$B$1:$C$161,2,0),0)</f>
        <v>0</v>
      </c>
      <c r="AD71" s="95">
        <f>IFERROR(VLOOKUP(K71,Surp4!$B$1:$C$161,2,0),0)</f>
        <v>26.15629714</v>
      </c>
      <c r="AE71" s="95">
        <f>IFERROR(VLOOKUP(M71,Surp5!$B$1:$C$161,2,0),0)</f>
        <v>0</v>
      </c>
      <c r="AF71" s="95">
        <f>IFERROR(VLOOKUP(O71,Surp6!$B$1:$C$161,2,0),0)</f>
        <v>210.7729545</v>
      </c>
      <c r="AG71" s="95">
        <f>IFERROR(VLOOKUP(Q71,Surp7!$B$1:$C$161,2,0),0)</f>
        <v>68.52169982</v>
      </c>
      <c r="AH71" s="95">
        <f>IFERROR(VLOOKUP(S71,Surp8!$B$1:$C$161,2,0),0)</f>
        <v>0</v>
      </c>
      <c r="AI71" s="95">
        <f>IFERROR(VLOOKUP(U71,Surp9!$B$1:$C$161,2,0),0)</f>
        <v>0</v>
      </c>
      <c r="AJ71" s="95">
        <f>IFERROR(VLOOKUP(W71,Surp10!$B$1:$C$161,2,0),0)</f>
        <v>37.79869193</v>
      </c>
      <c r="AK71" s="95">
        <f>IFERROR(VLOOKUP(Y71,Surp11!$B$1:$C$161,2,0),0)</f>
        <v>0</v>
      </c>
    </row>
    <row r="72" ht="15.75" customHeight="1">
      <c r="A72" s="171">
        <v>71.0</v>
      </c>
      <c r="B72" s="24" t="s">
        <v>117</v>
      </c>
      <c r="C72" s="136">
        <f t="shared" si="1"/>
        <v>541.0967424</v>
      </c>
      <c r="D72" s="136"/>
      <c r="E72" s="137">
        <f>IFERROR(VLOOKUP($B72,Surp1!$A$1:$B$161,2,0),0)</f>
        <v>0</v>
      </c>
      <c r="F72" s="97">
        <f>IFERROR(VLOOKUP(E72,Surp1!$B$1:$C$161,2,0),0)</f>
        <v>0</v>
      </c>
      <c r="G72" s="137">
        <f>IFERROR(VLOOKUP($B72,Surp2!$A$1:$B$161,2,0),0)</f>
        <v>0</v>
      </c>
      <c r="H72" s="97">
        <f>IFERROR(VLOOKUP(G72,Surp2!$B$1:$C$161,2,0),0)</f>
        <v>0</v>
      </c>
      <c r="I72" s="137">
        <f>IFERROR(VLOOKUP($B72,Surp3!$A$1:$B$161,2,0),0)</f>
        <v>0</v>
      </c>
      <c r="J72" s="97">
        <f>IFERROR(VLOOKUP(I72,Surp3!$B$1:$C$161,2,0),0)</f>
        <v>0</v>
      </c>
      <c r="K72" s="137">
        <f>IFERROR(VLOOKUP($B72,Surp4!$A$1:$B$161,2,0),0)</f>
        <v>0</v>
      </c>
      <c r="L72" s="97">
        <f>IFERROR(VLOOKUP(K72,Surp4!$B$1:$C$161,2,0),0)</f>
        <v>0</v>
      </c>
      <c r="M72" s="137">
        <f>IFERROR(VLOOKUP($B72,Surp5!$A$1:$B$161,2,0),0)</f>
        <v>0</v>
      </c>
      <c r="N72" s="97">
        <f>IFERROR(VLOOKUP(M72,Surp5!$B$1:$C$161,2,0),0)</f>
        <v>0</v>
      </c>
      <c r="O72" s="137">
        <f>IFERROR(VLOOKUP($B72,Surp6!$A$1:$B$161,2,0),0)</f>
        <v>0</v>
      </c>
      <c r="P72" s="97">
        <f>IFERROR(VLOOKUP(O72,Surp6!$B$1:$C$161,2,0),0)</f>
        <v>0</v>
      </c>
      <c r="Q72" s="137">
        <f>IFERROR(VLOOKUP($B72,Surp7!$A$1:$B$161,2,0),0)</f>
        <v>0</v>
      </c>
      <c r="R72" s="97">
        <f>IFERROR(VLOOKUP(Q72,Surp7!$B$1:$C$161,2,0),0)</f>
        <v>0</v>
      </c>
      <c r="S72" s="137">
        <f>IFERROR(VLOOKUP($B72,Surp8!$A$1:$B$161,2,0),0)</f>
        <v>0</v>
      </c>
      <c r="T72" s="97">
        <f>IFERROR(VLOOKUP(S72,Surp8!$B$1:$C$161,2,0),0)</f>
        <v>0</v>
      </c>
      <c r="U72" s="137">
        <f>IFERROR(VLOOKUP($B72,Surp9!$A$1:$B$161,2,0),0)</f>
        <v>2</v>
      </c>
      <c r="V72" s="97">
        <f>IFERROR(VLOOKUP(U72,Surp9!$B$1:$C$161,2,0),0)</f>
        <v>541.0967424</v>
      </c>
      <c r="W72" s="137">
        <f>IFERROR(VLOOKUP($B72,Surp10!$A$1:$B$161,2,0),0)</f>
        <v>0</v>
      </c>
      <c r="X72" s="97">
        <f>IFERROR(VLOOKUP(W72,Surp10!$B$1:$C$161,2,0),0)</f>
        <v>0</v>
      </c>
      <c r="Y72" s="137">
        <f>IFERROR(VLOOKUP($B72,Surp11!$A$1:$B$161,2,0),0)</f>
        <v>0</v>
      </c>
      <c r="Z72" s="97">
        <f>IFERROR(VLOOKUP(Y72,Surp11!$B$1:$C$161,2,0),0)</f>
        <v>0</v>
      </c>
      <c r="AA72" s="97">
        <f>IFERROR(VLOOKUP(E72,Surp1!$B$1:$C$161,2,0),0)</f>
        <v>0</v>
      </c>
      <c r="AB72" s="97">
        <f>IFERROR(VLOOKUP(G72,Surp2!$B$1:$C$161,2,0),0)</f>
        <v>0</v>
      </c>
      <c r="AC72" s="97">
        <f>IFERROR(VLOOKUP(I72,Surp3!$B$1:$C$161,2,0),0)</f>
        <v>0</v>
      </c>
      <c r="AD72" s="97">
        <f>IFERROR(VLOOKUP(K72,Surp4!$B$1:$C$161,2,0),0)</f>
        <v>0</v>
      </c>
      <c r="AE72" s="97">
        <f>IFERROR(VLOOKUP(M72,Surp5!$B$1:$C$161,2,0),0)</f>
        <v>0</v>
      </c>
      <c r="AF72" s="97">
        <f>IFERROR(VLOOKUP(O72,Surp6!$B$1:$C$161,2,0),0)</f>
        <v>0</v>
      </c>
      <c r="AG72" s="97">
        <f>IFERROR(VLOOKUP(Q72,Surp7!$B$1:$C$161,2,0),0)</f>
        <v>0</v>
      </c>
      <c r="AH72" s="97">
        <f>IFERROR(VLOOKUP(S72,Surp8!$B$1:$C$161,2,0),0)</f>
        <v>0</v>
      </c>
      <c r="AI72" s="97">
        <f>IFERROR(VLOOKUP(U72,Surp9!$B$1:$C$161,2,0),0)</f>
        <v>541.0967424</v>
      </c>
      <c r="AJ72" s="97">
        <f>IFERROR(VLOOKUP(W72,Surp10!$B$1:$C$161,2,0),0)</f>
        <v>0</v>
      </c>
      <c r="AK72" s="97">
        <f>IFERROR(VLOOKUP(Y72,Surp11!$B$1:$C$161,2,0),0)</f>
        <v>0</v>
      </c>
    </row>
    <row r="73" ht="15.75" customHeight="1">
      <c r="A73" s="172">
        <v>72.0</v>
      </c>
      <c r="B73" s="25" t="s">
        <v>118</v>
      </c>
      <c r="C73" s="136">
        <f t="shared" si="1"/>
        <v>540.8175573</v>
      </c>
      <c r="D73" s="136"/>
      <c r="E73" s="137">
        <f>IFERROR(VLOOKUP($B73,Surp1!$A$1:$B$161,2,0),0)</f>
        <v>0</v>
      </c>
      <c r="F73" s="97">
        <f>IFERROR(VLOOKUP(E73,Surp1!$B$1:$C$161,2,0),0)</f>
        <v>0</v>
      </c>
      <c r="G73" s="137">
        <f>IFERROR(VLOOKUP($B73,Surp2!$A$1:$B$161,2,0),0)</f>
        <v>0</v>
      </c>
      <c r="H73" s="97">
        <f>IFERROR(VLOOKUP(G73,Surp2!$B$1:$C$161,2,0),0)</f>
        <v>0</v>
      </c>
      <c r="I73" s="137">
        <f>IFERROR(VLOOKUP($B73,Surp3!$A$1:$B$161,2,0),0)</f>
        <v>0</v>
      </c>
      <c r="J73" s="97">
        <f>IFERROR(VLOOKUP(I73,Surp3!$B$1:$C$161,2,0),0)</f>
        <v>0</v>
      </c>
      <c r="K73" s="137">
        <f>IFERROR(VLOOKUP($B73,Surp4!$A$1:$B$161,2,0),0)</f>
        <v>0</v>
      </c>
      <c r="L73" s="97">
        <f>IFERROR(VLOOKUP(K73,Surp4!$B$1:$C$161,2,0),0)</f>
        <v>0</v>
      </c>
      <c r="M73" s="137">
        <f>IFERROR(VLOOKUP($B73,Surp5!$A$1:$B$161,2,0),0)</f>
        <v>0</v>
      </c>
      <c r="N73" s="97">
        <f>IFERROR(VLOOKUP(M73,Surp5!$B$1:$C$161,2,0),0)</f>
        <v>0</v>
      </c>
      <c r="O73" s="137">
        <f>IFERROR(VLOOKUP($B73,Surp6!$A$1:$B$161,2,0),0)</f>
        <v>0</v>
      </c>
      <c r="P73" s="97">
        <f>IFERROR(VLOOKUP(O73,Surp6!$B$1:$C$161,2,0),0)</f>
        <v>0</v>
      </c>
      <c r="Q73" s="137">
        <f>IFERROR(VLOOKUP($B73,Surp7!$A$1:$B$161,2,0),0)</f>
        <v>0</v>
      </c>
      <c r="R73" s="97">
        <f>IFERROR(VLOOKUP(Q73,Surp7!$B$1:$C$161,2,0),0)</f>
        <v>0</v>
      </c>
      <c r="S73" s="137">
        <f>IFERROR(VLOOKUP($B73,Surp8!$A$1:$B$161,2,0),0)</f>
        <v>0</v>
      </c>
      <c r="T73" s="97">
        <f>IFERROR(VLOOKUP(S73,Surp8!$B$1:$C$161,2,0),0)</f>
        <v>0</v>
      </c>
      <c r="U73" s="137">
        <f>IFERROR(VLOOKUP($B73,Surp9!$A$1:$B$161,2,0),0)</f>
        <v>0</v>
      </c>
      <c r="V73" s="97">
        <f>IFERROR(VLOOKUP(U73,Surp9!$B$1:$C$161,2,0),0)</f>
        <v>0</v>
      </c>
      <c r="W73" s="137">
        <f>IFERROR(VLOOKUP($B73,Surp10!$A$1:$B$161,2,0),0)</f>
        <v>16</v>
      </c>
      <c r="X73" s="97">
        <f>IFERROR(VLOOKUP(W73,Surp10!$B$1:$C$161,2,0),0)</f>
        <v>235.0686786</v>
      </c>
      <c r="Y73" s="137">
        <f>IFERROR(VLOOKUP($B73,Surp11!$A$1:$B$161,2,0),0)</f>
        <v>6</v>
      </c>
      <c r="Z73" s="97">
        <f>IFERROR(VLOOKUP(Y73,Surp11!$B$1:$C$161,2,0),0)</f>
        <v>305.7488787</v>
      </c>
      <c r="AA73" s="97">
        <f>IFERROR(VLOOKUP(E73,Surp1!$B$1:$C$161,2,0),0)</f>
        <v>0</v>
      </c>
      <c r="AB73" s="97">
        <f>IFERROR(VLOOKUP(G73,Surp2!$B$1:$C$161,2,0),0)</f>
        <v>0</v>
      </c>
      <c r="AC73" s="97">
        <f>IFERROR(VLOOKUP(I73,Surp3!$B$1:$C$161,2,0),0)</f>
        <v>0</v>
      </c>
      <c r="AD73" s="97">
        <f>IFERROR(VLOOKUP(K73,Surp4!$B$1:$C$161,2,0),0)</f>
        <v>0</v>
      </c>
      <c r="AE73" s="97">
        <f>IFERROR(VLOOKUP(M73,Surp5!$B$1:$C$161,2,0),0)</f>
        <v>0</v>
      </c>
      <c r="AF73" s="97">
        <f>IFERROR(VLOOKUP(O73,Surp6!$B$1:$C$161,2,0),0)</f>
        <v>0</v>
      </c>
      <c r="AG73" s="97">
        <f>IFERROR(VLOOKUP(Q73,Surp7!$B$1:$C$161,2,0),0)</f>
        <v>0</v>
      </c>
      <c r="AH73" s="97">
        <f>IFERROR(VLOOKUP(S73,Surp8!$B$1:$C$161,2,0),0)</f>
        <v>0</v>
      </c>
      <c r="AI73" s="97">
        <f>IFERROR(VLOOKUP(U73,Surp9!$B$1:$C$161,2,0),0)</f>
        <v>0</v>
      </c>
      <c r="AJ73" s="97">
        <f>IFERROR(VLOOKUP(W73,Surp10!$B$1:$C$161,2,0),0)</f>
        <v>235.0686786</v>
      </c>
      <c r="AK73" s="97">
        <f>IFERROR(VLOOKUP(Y73,Surp11!$B$1:$C$161,2,0),0)</f>
        <v>305.7488787</v>
      </c>
    </row>
    <row r="74" ht="15.75" customHeight="1">
      <c r="A74" s="171">
        <v>73.0</v>
      </c>
      <c r="B74" s="25" t="s">
        <v>120</v>
      </c>
      <c r="C74" s="136">
        <f t="shared" si="1"/>
        <v>493.8139893</v>
      </c>
      <c r="D74" s="136"/>
      <c r="E74" s="137">
        <f>IFERROR(VLOOKUP($B74,Surp1!$A$1:$B$161,2,0),0)</f>
        <v>0</v>
      </c>
      <c r="F74" s="97">
        <f>IFERROR(VLOOKUP(E74,Surp1!$B$1:$C$161,2,0),0)</f>
        <v>0</v>
      </c>
      <c r="G74" s="137">
        <f>IFERROR(VLOOKUP($B74,Surp2!$A$1:$B$161,2,0),0)</f>
        <v>0</v>
      </c>
      <c r="H74" s="97">
        <f>IFERROR(VLOOKUP(G74,Surp2!$B$1:$C$161,2,0),0)</f>
        <v>0</v>
      </c>
      <c r="I74" s="137">
        <f>IFERROR(VLOOKUP($B74,Surp3!$A$1:$B$161,2,0),0)</f>
        <v>0</v>
      </c>
      <c r="J74" s="97">
        <f>IFERROR(VLOOKUP(I74,Surp3!$B$1:$C$161,2,0),0)</f>
        <v>0</v>
      </c>
      <c r="K74" s="137">
        <f>IFERROR(VLOOKUP($B74,Surp4!$A$1:$B$161,2,0),0)</f>
        <v>0</v>
      </c>
      <c r="L74" s="97">
        <f>IFERROR(VLOOKUP(K74,Surp4!$B$1:$C$161,2,0),0)</f>
        <v>0</v>
      </c>
      <c r="M74" s="137">
        <f>IFERROR(VLOOKUP($B74,Surp5!$A$1:$B$161,2,0),0)</f>
        <v>0</v>
      </c>
      <c r="N74" s="97">
        <f>IFERROR(VLOOKUP(M74,Surp5!$B$1:$C$161,2,0),0)</f>
        <v>0</v>
      </c>
      <c r="O74" s="137">
        <f>IFERROR(VLOOKUP($B74,Surp6!$A$1:$B$161,2,0),0)</f>
        <v>0</v>
      </c>
      <c r="P74" s="97">
        <f>IFERROR(VLOOKUP(O74,Surp6!$B$1:$C$161,2,0),0)</f>
        <v>0</v>
      </c>
      <c r="Q74" s="137">
        <f>IFERROR(VLOOKUP($B74,Surp7!$A$1:$B$161,2,0),0)</f>
        <v>0</v>
      </c>
      <c r="R74" s="97">
        <f>IFERROR(VLOOKUP(Q74,Surp7!$B$1:$C$161,2,0),0)</f>
        <v>0</v>
      </c>
      <c r="S74" s="137">
        <f>IFERROR(VLOOKUP($B74,Surp8!$A$1:$B$161,2,0),0)</f>
        <v>0</v>
      </c>
      <c r="T74" s="97">
        <f>IFERROR(VLOOKUP(S74,Surp8!$B$1:$C$161,2,0),0)</f>
        <v>0</v>
      </c>
      <c r="U74" s="137">
        <f>IFERROR(VLOOKUP($B74,Surp9!$A$1:$B$161,2,0),0)</f>
        <v>0</v>
      </c>
      <c r="V74" s="97">
        <f>IFERROR(VLOOKUP(U74,Surp9!$B$1:$C$161,2,0),0)</f>
        <v>0</v>
      </c>
      <c r="W74" s="137">
        <f>IFERROR(VLOOKUP($B74,Surp10!$A$1:$B$161,2,0),0)</f>
        <v>3</v>
      </c>
      <c r="X74" s="97">
        <f>IFERROR(VLOOKUP(W74,Surp10!$B$1:$C$161,2,0),0)</f>
        <v>493.8139893</v>
      </c>
      <c r="Y74" s="137">
        <f>IFERROR(VLOOKUP($B74,Surp11!$A$1:$B$161,2,0),0)</f>
        <v>0</v>
      </c>
      <c r="Z74" s="97">
        <f>IFERROR(VLOOKUP(Y74,Surp11!$B$1:$C$161,2,0),0)</f>
        <v>0</v>
      </c>
      <c r="AA74" s="97">
        <f>IFERROR(VLOOKUP(E74,Surp1!$B$1:$C$161,2,0),0)</f>
        <v>0</v>
      </c>
      <c r="AB74" s="97">
        <f>IFERROR(VLOOKUP(G74,Surp2!$B$1:$C$161,2,0),0)</f>
        <v>0</v>
      </c>
      <c r="AC74" s="97">
        <f>IFERROR(VLOOKUP(I74,Surp3!$B$1:$C$161,2,0),0)</f>
        <v>0</v>
      </c>
      <c r="AD74" s="97">
        <f>IFERROR(VLOOKUP(K74,Surp4!$B$1:$C$161,2,0),0)</f>
        <v>0</v>
      </c>
      <c r="AE74" s="97">
        <f>IFERROR(VLOOKUP(M74,Surp5!$B$1:$C$161,2,0),0)</f>
        <v>0</v>
      </c>
      <c r="AF74" s="97">
        <f>IFERROR(VLOOKUP(O74,Surp6!$B$1:$C$161,2,0),0)</f>
        <v>0</v>
      </c>
      <c r="AG74" s="97">
        <f>IFERROR(VLOOKUP(Q74,Surp7!$B$1:$C$161,2,0),0)</f>
        <v>0</v>
      </c>
      <c r="AH74" s="97">
        <f>IFERROR(VLOOKUP(S74,Surp8!$B$1:$C$161,2,0),0)</f>
        <v>0</v>
      </c>
      <c r="AI74" s="97">
        <f>IFERROR(VLOOKUP(U74,Surp9!$B$1:$C$161,2,0),0)</f>
        <v>0</v>
      </c>
      <c r="AJ74" s="97">
        <f>IFERROR(VLOOKUP(W74,Surp10!$B$1:$C$161,2,0),0)</f>
        <v>493.8139893</v>
      </c>
      <c r="AK74" s="97">
        <f>IFERROR(VLOOKUP(Y74,Surp11!$B$1:$C$161,2,0),0)</f>
        <v>0</v>
      </c>
    </row>
    <row r="75" ht="15.75" customHeight="1">
      <c r="A75" s="172">
        <v>74.0</v>
      </c>
      <c r="B75" s="17" t="s">
        <v>61</v>
      </c>
      <c r="C75" s="136">
        <f t="shared" si="1"/>
        <v>493.4827755</v>
      </c>
      <c r="D75" s="136"/>
      <c r="E75" s="137">
        <f>IFERROR(VLOOKUP($B75,Surp1!$A$1:$B$161,2,0),0)</f>
        <v>0</v>
      </c>
      <c r="F75" s="97">
        <f>IFERROR(VLOOKUP(E75,Surp1!$B$1:$C$161,2,0),0)</f>
        <v>0</v>
      </c>
      <c r="G75" s="137">
        <f>IFERROR(VLOOKUP($B75,Surp2!$A$1:$B$161,2,0),0)</f>
        <v>0</v>
      </c>
      <c r="H75" s="97">
        <f>IFERROR(VLOOKUP(G75,Surp2!$B$1:$C$161,2,0),0)</f>
        <v>0</v>
      </c>
      <c r="I75" s="137">
        <f>IFERROR(VLOOKUP($B75,Surp3!$A$1:$B$161,2,0),0)</f>
        <v>0</v>
      </c>
      <c r="J75" s="97">
        <f>IFERROR(VLOOKUP(I75,Surp3!$B$1:$C$161,2,0),0)</f>
        <v>0</v>
      </c>
      <c r="K75" s="137">
        <f>IFERROR(VLOOKUP($B75,Surp4!$A$1:$B$161,2,0),0)</f>
        <v>0</v>
      </c>
      <c r="L75" s="97">
        <f>IFERROR(VLOOKUP(K75,Surp4!$B$1:$C$161,2,0),0)</f>
        <v>0</v>
      </c>
      <c r="M75" s="137">
        <f>IFERROR(VLOOKUP($B75,Surp5!$A$1:$B$161,2,0),0)</f>
        <v>0</v>
      </c>
      <c r="N75" s="97">
        <f>IFERROR(VLOOKUP(M75,Surp5!$B$1:$C$161,2,0),0)</f>
        <v>0</v>
      </c>
      <c r="O75" s="137">
        <f>IFERROR(VLOOKUP($B75,Surp6!$A$1:$B$161,2,0),0)</f>
        <v>11</v>
      </c>
      <c r="P75" s="97">
        <f>IFERROR(VLOOKUP(O75,Surp6!$B$1:$C$161,2,0),0)</f>
        <v>316.575183</v>
      </c>
      <c r="Q75" s="137">
        <f>IFERROR(VLOOKUP($B75,Surp7!$A$1:$B$161,2,0),0)</f>
        <v>0</v>
      </c>
      <c r="R75" s="97">
        <f>IFERROR(VLOOKUP(Q75,Surp7!$B$1:$C$161,2,0),0)</f>
        <v>0</v>
      </c>
      <c r="S75" s="137">
        <f>IFERROR(VLOOKUP($B75,Surp8!$A$1:$B$161,2,0),0)</f>
        <v>0</v>
      </c>
      <c r="T75" s="97">
        <f>IFERROR(VLOOKUP(S75,Surp8!$B$1:$C$161,2,0),0)</f>
        <v>0</v>
      </c>
      <c r="U75" s="137">
        <f>IFERROR(VLOOKUP($B75,Surp9!$A$1:$B$161,2,0),0)</f>
        <v>20</v>
      </c>
      <c r="V75" s="97">
        <f>IFERROR(VLOOKUP(U75,Surp9!$B$1:$C$161,2,0),0)</f>
        <v>176.9075925</v>
      </c>
      <c r="W75" s="137">
        <f>IFERROR(VLOOKUP($B75,Surp10!$A$1:$B$161,2,0),0)</f>
        <v>0</v>
      </c>
      <c r="X75" s="97">
        <f>IFERROR(VLOOKUP(W75,Surp10!$B$1:$C$161,2,0),0)</f>
        <v>0</v>
      </c>
      <c r="Y75" s="137">
        <f>IFERROR(VLOOKUP($B75,Surp11!$A$1:$B$161,2,0),0)</f>
        <v>0</v>
      </c>
      <c r="Z75" s="97">
        <f>IFERROR(VLOOKUP(Y75,Surp11!$B$1:$C$161,2,0),0)</f>
        <v>0</v>
      </c>
      <c r="AA75" s="97">
        <f>IFERROR(VLOOKUP(E75,Surp1!$B$1:$C$161,2,0),0)</f>
        <v>0</v>
      </c>
      <c r="AB75" s="97">
        <f>IFERROR(VLOOKUP(G75,Surp2!$B$1:$C$161,2,0),0)</f>
        <v>0</v>
      </c>
      <c r="AC75" s="97">
        <f>IFERROR(VLOOKUP(I75,Surp3!$B$1:$C$161,2,0),0)</f>
        <v>0</v>
      </c>
      <c r="AD75" s="97">
        <f>IFERROR(VLOOKUP(K75,Surp4!$B$1:$C$161,2,0),0)</f>
        <v>0</v>
      </c>
      <c r="AE75" s="97">
        <f>IFERROR(VLOOKUP(M75,Surp5!$B$1:$C$161,2,0),0)</f>
        <v>0</v>
      </c>
      <c r="AF75" s="97">
        <f>IFERROR(VLOOKUP(O75,Surp6!$B$1:$C$161,2,0),0)</f>
        <v>316.575183</v>
      </c>
      <c r="AG75" s="97">
        <f>IFERROR(VLOOKUP(Q75,Surp7!$B$1:$C$161,2,0),0)</f>
        <v>0</v>
      </c>
      <c r="AH75" s="97">
        <f>IFERROR(VLOOKUP(S75,Surp8!$B$1:$C$161,2,0),0)</f>
        <v>0</v>
      </c>
      <c r="AI75" s="97">
        <f>IFERROR(VLOOKUP(U75,Surp9!$B$1:$C$161,2,0),0)</f>
        <v>176.9075925</v>
      </c>
      <c r="AJ75" s="97">
        <f>IFERROR(VLOOKUP(W75,Surp10!$B$1:$C$161,2,0),0)</f>
        <v>0</v>
      </c>
      <c r="AK75" s="97">
        <f>IFERROR(VLOOKUP(Y75,Surp11!$B$1:$C$161,2,0),0)</f>
        <v>0</v>
      </c>
    </row>
    <row r="76" ht="15.75" customHeight="1">
      <c r="A76" s="171">
        <v>75.0</v>
      </c>
      <c r="B76" s="6" t="s">
        <v>88</v>
      </c>
      <c r="C76" s="136">
        <f t="shared" si="1"/>
        <v>490.0001551</v>
      </c>
      <c r="D76" s="93"/>
      <c r="E76" s="94">
        <f>IFERROR(VLOOKUP($B76,Surp1!$A$1:$B$161,2,0),0)</f>
        <v>0</v>
      </c>
      <c r="F76" s="95">
        <f>IFERROR(VLOOKUP(E76,Surp1!$B$1:$C$161,2,0),0)</f>
        <v>0</v>
      </c>
      <c r="G76" s="94">
        <f>IFERROR(VLOOKUP($B76,Surp2!$A$1:$B$161,2,0),0)</f>
        <v>0</v>
      </c>
      <c r="H76" s="95">
        <f>IFERROR(VLOOKUP(G76,Surp2!$B$1:$C$161,2,0),0)</f>
        <v>0</v>
      </c>
      <c r="I76" s="94">
        <f>IFERROR(VLOOKUP($B76,Surp3!$A$1:$B$161,2,0),0)</f>
        <v>0</v>
      </c>
      <c r="J76" s="95">
        <f>IFERROR(VLOOKUP(I76,Surp3!$B$1:$C$161,2,0),0)</f>
        <v>0</v>
      </c>
      <c r="K76" s="94">
        <f>IFERROR(VLOOKUP($B76,Surp4!$A$1:$B$161,2,0),0)</f>
        <v>0</v>
      </c>
      <c r="L76" s="95">
        <f>IFERROR(VLOOKUP(K76,Surp4!$B$1:$C$161,2,0),0)</f>
        <v>0</v>
      </c>
      <c r="M76" s="94">
        <f>IFERROR(VLOOKUP($B76,Surp5!$A$1:$B$161,2,0),0)</f>
        <v>24</v>
      </c>
      <c r="N76" s="95">
        <f>IFERROR(VLOOKUP(M76,Surp5!$B$1:$C$161,2,0),0)</f>
        <v>173.4249721</v>
      </c>
      <c r="O76" s="94">
        <f>IFERROR(VLOOKUP($B76,Surp6!$A$1:$B$161,2,0),0)</f>
        <v>0</v>
      </c>
      <c r="P76" s="95">
        <f>IFERROR(VLOOKUP(O76,Surp6!$B$1:$C$161,2,0),0)</f>
        <v>0</v>
      </c>
      <c r="Q76" s="94">
        <f>IFERROR(VLOOKUP($B76,Surp7!$A$1:$B$161,2,0),0)</f>
        <v>11</v>
      </c>
      <c r="R76" s="95">
        <f>IFERROR(VLOOKUP(Q76,Surp7!$B$1:$C$161,2,0),0)</f>
        <v>316.575183</v>
      </c>
      <c r="S76" s="94">
        <f>IFERROR(VLOOKUP($B76,Surp8!$A$1:$B$161,2,0),0)</f>
        <v>0</v>
      </c>
      <c r="T76" s="95">
        <f>IFERROR(VLOOKUP(S76,Surp8!$B$1:$C$161,2,0),0)</f>
        <v>0</v>
      </c>
      <c r="U76" s="94">
        <f>IFERROR(VLOOKUP($B76,Surp9!$A$1:$B$161,2,0),0)</f>
        <v>0</v>
      </c>
      <c r="V76" s="95">
        <f>IFERROR(VLOOKUP(U76,Surp9!$B$1:$C$161,2,0),0)</f>
        <v>0</v>
      </c>
      <c r="W76" s="94">
        <f>IFERROR(VLOOKUP($B76,Surp10!$A$1:$B$161,2,0),0)</f>
        <v>0</v>
      </c>
      <c r="X76" s="95">
        <f>IFERROR(VLOOKUP(W76,Surp10!$B$1:$C$161,2,0),0)</f>
        <v>0</v>
      </c>
      <c r="Y76" s="94">
        <f>IFERROR(VLOOKUP($B76,Surp11!$A$1:$B$161,2,0),0)</f>
        <v>0</v>
      </c>
      <c r="Z76" s="95">
        <f>IFERROR(VLOOKUP(Y76,Surp11!$B$1:$C$161,2,0),0)</f>
        <v>0</v>
      </c>
      <c r="AA76" s="95">
        <f>IFERROR(VLOOKUP(E76,Surp1!$B$1:$C$161,2,0),0)</f>
        <v>0</v>
      </c>
      <c r="AB76" s="95">
        <f>IFERROR(VLOOKUP(G76,Surp2!$B$1:$C$161,2,0),0)</f>
        <v>0</v>
      </c>
      <c r="AC76" s="95">
        <f>IFERROR(VLOOKUP(I76,Surp3!$B$1:$C$161,2,0),0)</f>
        <v>0</v>
      </c>
      <c r="AD76" s="95">
        <f>IFERROR(VLOOKUP(K76,Surp4!$B$1:$C$161,2,0),0)</f>
        <v>0</v>
      </c>
      <c r="AE76" s="95">
        <f>IFERROR(VLOOKUP(M76,Surp5!$B$1:$C$161,2,0),0)</f>
        <v>173.4249721</v>
      </c>
      <c r="AF76" s="95">
        <f>IFERROR(VLOOKUP(O76,Surp6!$B$1:$C$161,2,0),0)</f>
        <v>0</v>
      </c>
      <c r="AG76" s="95">
        <f>IFERROR(VLOOKUP(Q76,Surp7!$B$1:$C$161,2,0),0)</f>
        <v>316.575183</v>
      </c>
      <c r="AH76" s="95">
        <f>IFERROR(VLOOKUP(S76,Surp8!$B$1:$C$161,2,0),0)</f>
        <v>0</v>
      </c>
      <c r="AI76" s="95">
        <f>IFERROR(VLOOKUP(U76,Surp9!$B$1:$C$161,2,0),0)</f>
        <v>0</v>
      </c>
      <c r="AJ76" s="95">
        <f>IFERROR(VLOOKUP(W76,Surp10!$B$1:$C$161,2,0),0)</f>
        <v>0</v>
      </c>
      <c r="AK76" s="95">
        <f>IFERROR(VLOOKUP(Y76,Surp11!$B$1:$C$161,2,0),0)</f>
        <v>0</v>
      </c>
    </row>
    <row r="77" ht="15.75" customHeight="1">
      <c r="A77" s="172">
        <v>76.0</v>
      </c>
      <c r="B77" s="6" t="s">
        <v>52</v>
      </c>
      <c r="C77" s="136">
        <f t="shared" si="1"/>
        <v>487.8729536</v>
      </c>
      <c r="D77" s="173"/>
      <c r="E77" s="174">
        <f>IFERROR(VLOOKUP($B77,Surp1!$A$1:$B$161,2,0),0)</f>
        <v>0</v>
      </c>
      <c r="F77" s="175">
        <f>IFERROR(VLOOKUP(E77,Surp1!$B$1:$C$161,2,0),0)</f>
        <v>0</v>
      </c>
      <c r="G77" s="174">
        <f>IFERROR(VLOOKUP($B77,Surp2!$A$1:$B$161,2,0),0)</f>
        <v>45</v>
      </c>
      <c r="H77" s="175">
        <f>IFERROR(VLOOKUP(G77,Surp2!$B$1:$C$161,2,0),0)</f>
        <v>69.84704557</v>
      </c>
      <c r="I77" s="174">
        <f>IFERROR(VLOOKUP($B77,Surp3!$A$1:$B$161,2,0),0)</f>
        <v>0</v>
      </c>
      <c r="J77" s="175">
        <f>IFERROR(VLOOKUP(I77,Surp3!$B$1:$C$161,2,0),0)</f>
        <v>0</v>
      </c>
      <c r="K77" s="174">
        <f>IFERROR(VLOOKUP($B77,Surp4!$A$1:$B$161,2,0),0)</f>
        <v>20</v>
      </c>
      <c r="L77" s="175">
        <f>IFERROR(VLOOKUP(K77,Surp4!$B$1:$C$161,2,0),0)</f>
        <v>199.7100456</v>
      </c>
      <c r="M77" s="174">
        <f>IFERROR(VLOOKUP($B77,Surp5!$A$1:$B$161,2,0),0)</f>
        <v>44</v>
      </c>
      <c r="N77" s="175">
        <f>IFERROR(VLOOKUP(M77,Surp5!$B$1:$C$161,2,0),0)</f>
        <v>46.25362618</v>
      </c>
      <c r="O77" s="174">
        <f>IFERROR(VLOOKUP($B77,Surp6!$A$1:$B$161,2,0),0)</f>
        <v>0</v>
      </c>
      <c r="P77" s="175">
        <f>IFERROR(VLOOKUP(O77,Surp6!$B$1:$C$161,2,0),0)</f>
        <v>0</v>
      </c>
      <c r="Q77" s="174">
        <f>IFERROR(VLOOKUP($B77,Surp7!$A$1:$B$161,2,0),0)</f>
        <v>26</v>
      </c>
      <c r="R77" s="175">
        <f>IFERROR(VLOOKUP(Q77,Surp7!$B$1:$C$161,2,0),0)</f>
        <v>172.0622363</v>
      </c>
      <c r="S77" s="174">
        <f>IFERROR(VLOOKUP($B77,Surp8!$A$1:$B$161,2,0),0)</f>
        <v>0</v>
      </c>
      <c r="T77" s="175">
        <f>IFERROR(VLOOKUP(S77,Surp8!$B$1:$C$161,2,0),0)</f>
        <v>0</v>
      </c>
      <c r="U77" s="174">
        <f>IFERROR(VLOOKUP($B77,Surp9!$A$1:$B$161,2,0),0)</f>
        <v>0</v>
      </c>
      <c r="V77" s="175">
        <f>IFERROR(VLOOKUP(U77,Surp9!$B$1:$C$161,2,0),0)</f>
        <v>0</v>
      </c>
      <c r="W77" s="174">
        <f>IFERROR(VLOOKUP($B77,Surp10!$A$1:$B$161,2,0),0)</f>
        <v>0</v>
      </c>
      <c r="X77" s="175">
        <f>IFERROR(VLOOKUP(W77,Surp10!$B$1:$C$161,2,0),0)</f>
        <v>0</v>
      </c>
      <c r="Y77" s="174">
        <f>IFERROR(VLOOKUP($B77,Surp11!$A$1:$B$161,2,0),0)</f>
        <v>0</v>
      </c>
      <c r="Z77" s="175">
        <f>IFERROR(VLOOKUP(Y77,Surp11!$B$1:$C$161,2,0),0)</f>
        <v>0</v>
      </c>
      <c r="AA77" s="175">
        <f>IFERROR(VLOOKUP(E77,Surp1!$B$1:$C$161,2,0),0)</f>
        <v>0</v>
      </c>
      <c r="AB77" s="175">
        <f>IFERROR(VLOOKUP(G77,Surp2!$B$1:$C$161,2,0),0)</f>
        <v>69.84704557</v>
      </c>
      <c r="AC77" s="175">
        <f>IFERROR(VLOOKUP(I77,Surp3!$B$1:$C$161,2,0),0)</f>
        <v>0</v>
      </c>
      <c r="AD77" s="175">
        <f>IFERROR(VLOOKUP(K77,Surp4!$B$1:$C$161,2,0),0)</f>
        <v>199.7100456</v>
      </c>
      <c r="AE77" s="175">
        <f>IFERROR(VLOOKUP(M77,Surp5!$B$1:$C$161,2,0),0)</f>
        <v>46.25362618</v>
      </c>
      <c r="AF77" s="175">
        <f>IFERROR(VLOOKUP(O77,Surp6!$B$1:$C$161,2,0),0)</f>
        <v>0</v>
      </c>
      <c r="AG77" s="175">
        <f>IFERROR(VLOOKUP(Q77,Surp7!$B$1:$C$161,2,0),0)</f>
        <v>172.0622363</v>
      </c>
      <c r="AH77" s="175">
        <f>IFERROR(VLOOKUP(S77,Surp8!$B$1:$C$161,2,0),0)</f>
        <v>0</v>
      </c>
      <c r="AI77" s="175">
        <f>IFERROR(VLOOKUP(U77,Surp9!$B$1:$C$161,2,0),0)</f>
        <v>0</v>
      </c>
      <c r="AJ77" s="175">
        <f>IFERROR(VLOOKUP(W77,Surp10!$B$1:$C$161,2,0),0)</f>
        <v>0</v>
      </c>
      <c r="AK77" s="175">
        <f>IFERROR(VLOOKUP(Y77,Surp11!$B$1:$C$161,2,0),0)</f>
        <v>0</v>
      </c>
    </row>
    <row r="78" ht="15.75" customHeight="1">
      <c r="A78" s="171">
        <v>77.0</v>
      </c>
      <c r="B78" s="6" t="s">
        <v>121</v>
      </c>
      <c r="C78" s="136">
        <f t="shared" si="1"/>
        <v>472.3687022</v>
      </c>
      <c r="D78" s="173"/>
      <c r="E78" s="174">
        <f>IFERROR(VLOOKUP($B78,Surp1!$A$1:$B$161,2,0),0)</f>
        <v>4</v>
      </c>
      <c r="F78" s="175">
        <f>IFERROR(VLOOKUP(E78,Surp1!$B$1:$C$161,2,0),0)</f>
        <v>472.3687022</v>
      </c>
      <c r="G78" s="174">
        <f>IFERROR(VLOOKUP($B78,Surp2!$A$1:$B$161,2,0),0)</f>
        <v>0</v>
      </c>
      <c r="H78" s="175">
        <f>IFERROR(VLOOKUP(G78,Surp2!$B$1:$C$161,2,0),0)</f>
        <v>0</v>
      </c>
      <c r="I78" s="174">
        <f>IFERROR(VLOOKUP($B78,Surp3!$A$1:$B$161,2,0),0)</f>
        <v>0</v>
      </c>
      <c r="J78" s="175">
        <f>IFERROR(VLOOKUP(I78,Surp3!$B$1:$C$161,2,0),0)</f>
        <v>0</v>
      </c>
      <c r="K78" s="174">
        <f>IFERROR(VLOOKUP($B78,Surp4!$A$1:$B$161,2,0),0)</f>
        <v>0</v>
      </c>
      <c r="L78" s="175">
        <f>IFERROR(VLOOKUP(K78,Surp4!$B$1:$C$161,2,0),0)</f>
        <v>0</v>
      </c>
      <c r="M78" s="174">
        <f>IFERROR(VLOOKUP($B78,Surp5!$A$1:$B$161,2,0),0)</f>
        <v>0</v>
      </c>
      <c r="N78" s="175">
        <f>IFERROR(VLOOKUP(M78,Surp5!$B$1:$C$161,2,0),0)</f>
        <v>0</v>
      </c>
      <c r="O78" s="174">
        <f>IFERROR(VLOOKUP($B78,Surp6!$A$1:$B$161,2,0),0)</f>
        <v>0</v>
      </c>
      <c r="P78" s="175">
        <f>IFERROR(VLOOKUP(O78,Surp6!$B$1:$C$161,2,0),0)</f>
        <v>0</v>
      </c>
      <c r="Q78" s="174">
        <f>IFERROR(VLOOKUP($B78,Surp7!$A$1:$B$161,2,0),0)</f>
        <v>0</v>
      </c>
      <c r="R78" s="175">
        <f>IFERROR(VLOOKUP(Q78,Surp7!$B$1:$C$161,2,0),0)</f>
        <v>0</v>
      </c>
      <c r="S78" s="174">
        <f>IFERROR(VLOOKUP($B78,Surp8!$A$1:$B$161,2,0),0)</f>
        <v>0</v>
      </c>
      <c r="T78" s="175">
        <f>IFERROR(VLOOKUP(S78,Surp8!$B$1:$C$161,2,0),0)</f>
        <v>0</v>
      </c>
      <c r="U78" s="174">
        <f>IFERROR(VLOOKUP($B78,Surp9!$A$1:$B$161,2,0),0)</f>
        <v>0</v>
      </c>
      <c r="V78" s="175">
        <f>IFERROR(VLOOKUP(U78,Surp9!$B$1:$C$161,2,0),0)</f>
        <v>0</v>
      </c>
      <c r="W78" s="174">
        <f>IFERROR(VLOOKUP($B78,Surp10!$A$1:$B$161,2,0),0)</f>
        <v>0</v>
      </c>
      <c r="X78" s="175">
        <f>IFERROR(VLOOKUP(W78,Surp10!$B$1:$C$161,2,0),0)</f>
        <v>0</v>
      </c>
      <c r="Y78" s="174">
        <f>IFERROR(VLOOKUP($B78,Surp11!$A$1:$B$161,2,0),0)</f>
        <v>0</v>
      </c>
      <c r="Z78" s="175">
        <f>IFERROR(VLOOKUP(Y78,Surp11!$B$1:$C$161,2,0),0)</f>
        <v>0</v>
      </c>
      <c r="AA78" s="175">
        <f>IFERROR(VLOOKUP(E78,Surp1!$B$1:$C$161,2,0),0)</f>
        <v>472.3687022</v>
      </c>
      <c r="AB78" s="175">
        <f>IFERROR(VLOOKUP(G78,Surp2!$B$1:$C$161,2,0),0)</f>
        <v>0</v>
      </c>
      <c r="AC78" s="175">
        <f>IFERROR(VLOOKUP(I78,Surp3!$B$1:$C$161,2,0),0)</f>
        <v>0</v>
      </c>
      <c r="AD78" s="175">
        <f>IFERROR(VLOOKUP(K78,Surp4!$B$1:$C$161,2,0),0)</f>
        <v>0</v>
      </c>
      <c r="AE78" s="175">
        <f>IFERROR(VLOOKUP(M78,Surp5!$B$1:$C$161,2,0),0)</f>
        <v>0</v>
      </c>
      <c r="AF78" s="175">
        <f>IFERROR(VLOOKUP(O78,Surp6!$B$1:$C$161,2,0),0)</f>
        <v>0</v>
      </c>
      <c r="AG78" s="175">
        <f>IFERROR(VLOOKUP(Q78,Surp7!$B$1:$C$161,2,0),0)</f>
        <v>0</v>
      </c>
      <c r="AH78" s="175">
        <f>IFERROR(VLOOKUP(S78,Surp8!$B$1:$C$161,2,0),0)</f>
        <v>0</v>
      </c>
      <c r="AI78" s="175">
        <f>IFERROR(VLOOKUP(U78,Surp9!$B$1:$C$161,2,0),0)</f>
        <v>0</v>
      </c>
      <c r="AJ78" s="175">
        <f>IFERROR(VLOOKUP(W78,Surp10!$B$1:$C$161,2,0),0)</f>
        <v>0</v>
      </c>
      <c r="AK78" s="175">
        <f>IFERROR(VLOOKUP(Y78,Surp11!$B$1:$C$161,2,0),0)</f>
        <v>0</v>
      </c>
    </row>
    <row r="79" ht="15.75" customHeight="1">
      <c r="A79" s="172">
        <v>78.0</v>
      </c>
      <c r="B79" s="24" t="s">
        <v>232</v>
      </c>
      <c r="C79" s="136">
        <f t="shared" si="1"/>
        <v>448.3313257</v>
      </c>
      <c r="D79" s="136"/>
      <c r="E79" s="137">
        <f>IFERROR(VLOOKUP($B79,Surp1!$A$1:$B$161,2,0),0)</f>
        <v>0</v>
      </c>
      <c r="F79" s="97">
        <f>IFERROR(VLOOKUP(E79,Surp1!$B$1:$C$161,2,0),0)</f>
        <v>0</v>
      </c>
      <c r="G79" s="137">
        <f>IFERROR(VLOOKUP($B79,Surp2!$A$1:$B$161,2,0),0)</f>
        <v>0</v>
      </c>
      <c r="H79" s="97">
        <f>IFERROR(VLOOKUP(G79,Surp2!$B$1:$C$161,2,0),0)</f>
        <v>0</v>
      </c>
      <c r="I79" s="137">
        <f>IFERROR(VLOOKUP($B79,Surp3!$A$1:$B$161,2,0),0)</f>
        <v>0</v>
      </c>
      <c r="J79" s="97">
        <f>IFERROR(VLOOKUP(I79,Surp3!$B$1:$C$161,2,0),0)</f>
        <v>0</v>
      </c>
      <c r="K79" s="137">
        <f>IFERROR(VLOOKUP($B79,Surp4!$A$1:$B$161,2,0),0)</f>
        <v>40</v>
      </c>
      <c r="L79" s="97">
        <f>IFERROR(VLOOKUP(K79,Surp4!$B$1:$C$161,2,0),0)</f>
        <v>59.59000244</v>
      </c>
      <c r="M79" s="137">
        <f>IFERROR(VLOOKUP($B79,Surp5!$A$1:$B$161,2,0),0)</f>
        <v>0</v>
      </c>
      <c r="N79" s="97">
        <f>IFERROR(VLOOKUP(M79,Surp5!$B$1:$C$161,2,0),0)</f>
        <v>0</v>
      </c>
      <c r="O79" s="137">
        <f>IFERROR(VLOOKUP($B79,Surp6!$A$1:$B$161,2,0),0)</f>
        <v>0</v>
      </c>
      <c r="P79" s="97">
        <f>IFERROR(VLOOKUP(O79,Surp6!$B$1:$C$161,2,0),0)</f>
        <v>0</v>
      </c>
      <c r="Q79" s="137">
        <f>IFERROR(VLOOKUP($B79,Surp7!$A$1:$B$161,2,0),0)</f>
        <v>0</v>
      </c>
      <c r="R79" s="97">
        <f>IFERROR(VLOOKUP(Q79,Surp7!$B$1:$C$161,2,0),0)</f>
        <v>0</v>
      </c>
      <c r="S79" s="137">
        <f>IFERROR(VLOOKUP($B79,Surp8!$A$1:$B$161,2,0),0)</f>
        <v>0</v>
      </c>
      <c r="T79" s="97">
        <f>IFERROR(VLOOKUP(S79,Surp8!$B$1:$C$161,2,0),0)</f>
        <v>0</v>
      </c>
      <c r="U79" s="137">
        <f>IFERROR(VLOOKUP($B79,Surp9!$A$1:$B$161,2,0),0)</f>
        <v>0</v>
      </c>
      <c r="V79" s="97">
        <f>IFERROR(VLOOKUP(U79,Surp9!$B$1:$C$161,2,0),0)</f>
        <v>0</v>
      </c>
      <c r="W79" s="137">
        <f>IFERROR(VLOOKUP($B79,Surp10!$A$1:$B$161,2,0),0)</f>
        <v>6</v>
      </c>
      <c r="X79" s="97">
        <f>IFERROR(VLOOKUP(W79,Surp10!$B$1:$C$161,2,0),0)</f>
        <v>388.7413232</v>
      </c>
      <c r="Y79" s="137">
        <f>IFERROR(VLOOKUP($B79,Surp11!$A$1:$B$161,2,0),0)</f>
        <v>0</v>
      </c>
      <c r="Z79" s="97">
        <f>IFERROR(VLOOKUP(Y79,Surp11!$B$1:$C$161,2,0),0)</f>
        <v>0</v>
      </c>
      <c r="AA79" s="97">
        <f>IFERROR(VLOOKUP(E79,Surp1!$B$1:$C$161,2,0),0)</f>
        <v>0</v>
      </c>
      <c r="AB79" s="97">
        <f>IFERROR(VLOOKUP(G79,Surp2!$B$1:$C$161,2,0),0)</f>
        <v>0</v>
      </c>
      <c r="AC79" s="97">
        <f>IFERROR(VLOOKUP(I79,Surp3!$B$1:$C$161,2,0),0)</f>
        <v>0</v>
      </c>
      <c r="AD79" s="97">
        <f>IFERROR(VLOOKUP(K79,Surp4!$B$1:$C$161,2,0),0)</f>
        <v>59.59000244</v>
      </c>
      <c r="AE79" s="97">
        <f>IFERROR(VLOOKUP(M79,Surp5!$B$1:$C$161,2,0),0)</f>
        <v>0</v>
      </c>
      <c r="AF79" s="97">
        <f>IFERROR(VLOOKUP(O79,Surp6!$B$1:$C$161,2,0),0)</f>
        <v>0</v>
      </c>
      <c r="AG79" s="97">
        <f>IFERROR(VLOOKUP(Q79,Surp7!$B$1:$C$161,2,0),0)</f>
        <v>0</v>
      </c>
      <c r="AH79" s="97">
        <f>IFERROR(VLOOKUP(S79,Surp8!$B$1:$C$161,2,0),0)</f>
        <v>0</v>
      </c>
      <c r="AI79" s="97">
        <f>IFERROR(VLOOKUP(U79,Surp9!$B$1:$C$161,2,0),0)</f>
        <v>0</v>
      </c>
      <c r="AJ79" s="97">
        <f>IFERROR(VLOOKUP(W79,Surp10!$B$1:$C$161,2,0),0)</f>
        <v>388.7413232</v>
      </c>
      <c r="AK79" s="97">
        <f>IFERROR(VLOOKUP(Y79,Surp11!$B$1:$C$161,2,0),0)</f>
        <v>0</v>
      </c>
    </row>
    <row r="80" ht="15.75" customHeight="1">
      <c r="A80" s="171">
        <v>79.0</v>
      </c>
      <c r="B80" s="6" t="s">
        <v>75</v>
      </c>
      <c r="C80" s="136">
        <f t="shared" si="1"/>
        <v>418.5960229</v>
      </c>
      <c r="D80" s="93"/>
      <c r="E80" s="94">
        <f>IFERROR(VLOOKUP($B80,Surp1!$A$1:$B$161,2,0),0)</f>
        <v>0</v>
      </c>
      <c r="F80" s="95">
        <f>IFERROR(VLOOKUP(E80,Surp1!$B$1:$C$161,2,0),0)</f>
        <v>0</v>
      </c>
      <c r="G80" s="94">
        <f>IFERROR(VLOOKUP($B80,Surp2!$A$1:$B$161,2,0),0)</f>
        <v>0</v>
      </c>
      <c r="H80" s="95">
        <f>IFERROR(VLOOKUP(G80,Surp2!$B$1:$C$161,2,0),0)</f>
        <v>0</v>
      </c>
      <c r="I80" s="94">
        <f>IFERROR(VLOOKUP($B80,Surp3!$A$1:$B$161,2,0),0)</f>
        <v>0</v>
      </c>
      <c r="J80" s="95">
        <f>IFERROR(VLOOKUP(I80,Surp3!$B$1:$C$161,2,0),0)</f>
        <v>0</v>
      </c>
      <c r="K80" s="94">
        <f>IFERROR(VLOOKUP($B80,Surp4!$A$1:$B$161,2,0),0)</f>
        <v>0</v>
      </c>
      <c r="L80" s="95">
        <f>IFERROR(VLOOKUP(K80,Surp4!$B$1:$C$161,2,0),0)</f>
        <v>0</v>
      </c>
      <c r="M80" s="94">
        <f>IFERROR(VLOOKUP($B80,Surp5!$A$1:$B$161,2,0),0)</f>
        <v>0</v>
      </c>
      <c r="N80" s="95">
        <f>IFERROR(VLOOKUP(M80,Surp5!$B$1:$C$161,2,0),0)</f>
        <v>0</v>
      </c>
      <c r="O80" s="94">
        <f>IFERROR(VLOOKUP($B80,Surp6!$A$1:$B$161,2,0),0)</f>
        <v>0</v>
      </c>
      <c r="P80" s="95">
        <f>IFERROR(VLOOKUP(O80,Surp6!$B$1:$C$161,2,0),0)</f>
        <v>0</v>
      </c>
      <c r="Q80" s="94">
        <f>IFERROR(VLOOKUP($B80,Surp7!$A$1:$B$161,2,0),0)</f>
        <v>0</v>
      </c>
      <c r="R80" s="95">
        <f>IFERROR(VLOOKUP(Q80,Surp7!$B$1:$C$161,2,0),0)</f>
        <v>0</v>
      </c>
      <c r="S80" s="94">
        <f>IFERROR(VLOOKUP($B80,Surp8!$A$1:$B$161,2,0),0)</f>
        <v>0</v>
      </c>
      <c r="T80" s="95">
        <f>IFERROR(VLOOKUP(S80,Surp8!$B$1:$C$161,2,0),0)</f>
        <v>0</v>
      </c>
      <c r="U80" s="94">
        <f>IFERROR(VLOOKUP($B80,Surp9!$A$1:$B$161,2,0),0)</f>
        <v>14</v>
      </c>
      <c r="V80" s="95">
        <f>IFERROR(VLOOKUP(U80,Surp9!$B$1:$C$161,2,0),0)</f>
        <v>239.8245551</v>
      </c>
      <c r="W80" s="94">
        <f>IFERROR(VLOOKUP($B80,Surp10!$A$1:$B$161,2,0),0)</f>
        <v>22</v>
      </c>
      <c r="X80" s="95">
        <f>IFERROR(VLOOKUP(W80,Surp10!$B$1:$C$161,2,0),0)</f>
        <v>178.7714678</v>
      </c>
      <c r="Y80" s="94">
        <f>IFERROR(VLOOKUP($B80,Surp11!$A$1:$B$161,2,0),0)</f>
        <v>0</v>
      </c>
      <c r="Z80" s="95">
        <f>IFERROR(VLOOKUP(Y80,Surp11!$B$1:$C$161,2,0),0)</f>
        <v>0</v>
      </c>
      <c r="AA80" s="95">
        <f>IFERROR(VLOOKUP(E80,Surp1!$B$1:$C$161,2,0),0)</f>
        <v>0</v>
      </c>
      <c r="AB80" s="95">
        <f>IFERROR(VLOOKUP(G80,Surp2!$B$1:$C$161,2,0),0)</f>
        <v>0</v>
      </c>
      <c r="AC80" s="95">
        <f>IFERROR(VLOOKUP(I80,Surp3!$B$1:$C$161,2,0),0)</f>
        <v>0</v>
      </c>
      <c r="AD80" s="95">
        <f>IFERROR(VLOOKUP(K80,Surp4!$B$1:$C$161,2,0),0)</f>
        <v>0</v>
      </c>
      <c r="AE80" s="95">
        <f>IFERROR(VLOOKUP(M80,Surp5!$B$1:$C$161,2,0),0)</f>
        <v>0</v>
      </c>
      <c r="AF80" s="95">
        <f>IFERROR(VLOOKUP(O80,Surp6!$B$1:$C$161,2,0),0)</f>
        <v>0</v>
      </c>
      <c r="AG80" s="95">
        <f>IFERROR(VLOOKUP(Q80,Surp7!$B$1:$C$161,2,0),0)</f>
        <v>0</v>
      </c>
      <c r="AH80" s="95">
        <f>IFERROR(VLOOKUP(S80,Surp8!$B$1:$C$161,2,0),0)</f>
        <v>0</v>
      </c>
      <c r="AI80" s="95">
        <f>IFERROR(VLOOKUP(U80,Surp9!$B$1:$C$161,2,0),0)</f>
        <v>239.8245551</v>
      </c>
      <c r="AJ80" s="95">
        <f>IFERROR(VLOOKUP(W80,Surp10!$B$1:$C$161,2,0),0)</f>
        <v>178.7714678</v>
      </c>
      <c r="AK80" s="95">
        <f>IFERROR(VLOOKUP(Y80,Surp11!$B$1:$C$161,2,0),0)</f>
        <v>0</v>
      </c>
    </row>
    <row r="81" ht="15.75" customHeight="1">
      <c r="A81" s="172">
        <v>80.0</v>
      </c>
      <c r="B81" s="25" t="s">
        <v>123</v>
      </c>
      <c r="C81" s="136">
        <f t="shared" si="1"/>
        <v>416.1173819</v>
      </c>
      <c r="D81" s="136"/>
      <c r="E81" s="137">
        <f>IFERROR(VLOOKUP($B81,Surp1!$A$1:$B$161,2,0),0)</f>
        <v>0</v>
      </c>
      <c r="F81" s="97">
        <f>IFERROR(VLOOKUP(E81,Surp1!$B$1:$C$161,2,0),0)</f>
        <v>0</v>
      </c>
      <c r="G81" s="137">
        <f>IFERROR(VLOOKUP($B81,Surp2!$A$1:$B$161,2,0),0)</f>
        <v>0</v>
      </c>
      <c r="H81" s="97">
        <f>IFERROR(VLOOKUP(G81,Surp2!$B$1:$C$161,2,0),0)</f>
        <v>0</v>
      </c>
      <c r="I81" s="137">
        <f>IFERROR(VLOOKUP($B81,Surp3!$A$1:$B$161,2,0),0)</f>
        <v>0</v>
      </c>
      <c r="J81" s="97">
        <f>IFERROR(VLOOKUP(I81,Surp3!$B$1:$C$161,2,0),0)</f>
        <v>0</v>
      </c>
      <c r="K81" s="137">
        <f>IFERROR(VLOOKUP($B81,Surp4!$A$1:$B$161,2,0),0)</f>
        <v>0</v>
      </c>
      <c r="L81" s="97">
        <f>IFERROR(VLOOKUP(K81,Surp4!$B$1:$C$161,2,0),0)</f>
        <v>0</v>
      </c>
      <c r="M81" s="137">
        <f>IFERROR(VLOOKUP($B81,Surp5!$A$1:$B$161,2,0),0)</f>
        <v>0</v>
      </c>
      <c r="N81" s="97">
        <f>IFERROR(VLOOKUP(M81,Surp5!$B$1:$C$161,2,0),0)</f>
        <v>0</v>
      </c>
      <c r="O81" s="137">
        <f>IFERROR(VLOOKUP($B81,Surp6!$A$1:$B$161,2,0),0)</f>
        <v>0</v>
      </c>
      <c r="P81" s="97">
        <f>IFERROR(VLOOKUP(O81,Surp6!$B$1:$C$161,2,0),0)</f>
        <v>0</v>
      </c>
      <c r="Q81" s="137">
        <f>IFERROR(VLOOKUP($B81,Surp7!$A$1:$B$161,2,0),0)</f>
        <v>0</v>
      </c>
      <c r="R81" s="97">
        <f>IFERROR(VLOOKUP(Q81,Surp7!$B$1:$C$161,2,0),0)</f>
        <v>0</v>
      </c>
      <c r="S81" s="137">
        <f>IFERROR(VLOOKUP($B81,Surp8!$A$1:$B$161,2,0),0)</f>
        <v>0</v>
      </c>
      <c r="T81" s="97">
        <f>IFERROR(VLOOKUP(S81,Surp8!$B$1:$C$161,2,0),0)</f>
        <v>0</v>
      </c>
      <c r="U81" s="137">
        <f>IFERROR(VLOOKUP($B81,Surp9!$A$1:$B$161,2,0),0)</f>
        <v>0</v>
      </c>
      <c r="V81" s="97">
        <f>IFERROR(VLOOKUP(U81,Surp9!$B$1:$C$161,2,0),0)</f>
        <v>0</v>
      </c>
      <c r="W81" s="137">
        <f>IFERROR(VLOOKUP($B81,Surp10!$A$1:$B$161,2,0),0)</f>
        <v>5</v>
      </c>
      <c r="X81" s="97">
        <f>IFERROR(VLOOKUP(W81,Surp10!$B$1:$C$161,2,0),0)</f>
        <v>416.1173819</v>
      </c>
      <c r="Y81" s="137">
        <f>IFERROR(VLOOKUP($B81,Surp11!$A$1:$B$161,2,0),0)</f>
        <v>0</v>
      </c>
      <c r="Z81" s="97">
        <f>IFERROR(VLOOKUP(Y81,Surp11!$B$1:$C$161,2,0),0)</f>
        <v>0</v>
      </c>
      <c r="AA81" s="97">
        <f>IFERROR(VLOOKUP(E81,Surp1!$B$1:$C$161,2,0),0)</f>
        <v>0</v>
      </c>
      <c r="AB81" s="97">
        <f>IFERROR(VLOOKUP(G81,Surp2!$B$1:$C$161,2,0),0)</f>
        <v>0</v>
      </c>
      <c r="AC81" s="97">
        <f>IFERROR(VLOOKUP(I81,Surp3!$B$1:$C$161,2,0),0)</f>
        <v>0</v>
      </c>
      <c r="AD81" s="97">
        <f>IFERROR(VLOOKUP(K81,Surp4!$B$1:$C$161,2,0),0)</f>
        <v>0</v>
      </c>
      <c r="AE81" s="97">
        <f>IFERROR(VLOOKUP(M81,Surp5!$B$1:$C$161,2,0),0)</f>
        <v>0</v>
      </c>
      <c r="AF81" s="97">
        <f>IFERROR(VLOOKUP(O81,Surp6!$B$1:$C$161,2,0),0)</f>
        <v>0</v>
      </c>
      <c r="AG81" s="97">
        <f>IFERROR(VLOOKUP(Q81,Surp7!$B$1:$C$161,2,0),0)</f>
        <v>0</v>
      </c>
      <c r="AH81" s="97">
        <f>IFERROR(VLOOKUP(S81,Surp8!$B$1:$C$161,2,0),0)</f>
        <v>0</v>
      </c>
      <c r="AI81" s="97">
        <f>IFERROR(VLOOKUP(U81,Surp9!$B$1:$C$161,2,0),0)</f>
        <v>0</v>
      </c>
      <c r="AJ81" s="97">
        <f>IFERROR(VLOOKUP(W81,Surp10!$B$1:$C$161,2,0),0)</f>
        <v>416.1173819</v>
      </c>
      <c r="AK81" s="97">
        <f>IFERROR(VLOOKUP(Y81,Surp11!$B$1:$C$161,2,0),0)</f>
        <v>0</v>
      </c>
    </row>
    <row r="82" ht="15.75" customHeight="1">
      <c r="A82" s="171">
        <v>81.0</v>
      </c>
      <c r="B82" s="6" t="s">
        <v>96</v>
      </c>
      <c r="C82" s="136">
        <f t="shared" si="1"/>
        <v>411.5435316</v>
      </c>
      <c r="D82" s="173"/>
      <c r="E82" s="174">
        <f>IFERROR(VLOOKUP($B82,Surp1!$A$1:$B$161,2,0),0)</f>
        <v>50</v>
      </c>
      <c r="F82" s="175">
        <f>IFERROR(VLOOKUP(E82,Surp1!$B$1:$C$161,2,0),0)</f>
        <v>37.21772638</v>
      </c>
      <c r="G82" s="174">
        <f>IFERROR(VLOOKUP($B82,Surp2!$A$1:$B$161,2,0),0)</f>
        <v>0</v>
      </c>
      <c r="H82" s="175">
        <f>IFERROR(VLOOKUP(G82,Surp2!$B$1:$C$161,2,0),0)</f>
        <v>0</v>
      </c>
      <c r="I82" s="174">
        <f>IFERROR(VLOOKUP($B82,Surp3!$A$1:$B$161,2,0),0)</f>
        <v>0</v>
      </c>
      <c r="J82" s="175">
        <f>IFERROR(VLOOKUP(I82,Surp3!$B$1:$C$161,2,0),0)</f>
        <v>0</v>
      </c>
      <c r="K82" s="174">
        <f>IFERROR(VLOOKUP($B82,Surp4!$A$1:$B$161,2,0),0)</f>
        <v>0</v>
      </c>
      <c r="L82" s="175">
        <f>IFERROR(VLOOKUP(K82,Surp4!$B$1:$C$161,2,0),0)</f>
        <v>0</v>
      </c>
      <c r="M82" s="174">
        <f>IFERROR(VLOOKUP($B82,Surp5!$A$1:$B$161,2,0),0)</f>
        <v>7</v>
      </c>
      <c r="N82" s="175">
        <f>IFERROR(VLOOKUP(M82,Surp5!$B$1:$C$161,2,0),0)</f>
        <v>374.3258052</v>
      </c>
      <c r="O82" s="174">
        <f>IFERROR(VLOOKUP($B82,Surp6!$A$1:$B$161,2,0),0)</f>
        <v>0</v>
      </c>
      <c r="P82" s="175">
        <f>IFERROR(VLOOKUP(O82,Surp6!$B$1:$C$161,2,0),0)</f>
        <v>0</v>
      </c>
      <c r="Q82" s="174">
        <f>IFERROR(VLOOKUP($B82,Surp7!$A$1:$B$161,2,0),0)</f>
        <v>0</v>
      </c>
      <c r="R82" s="175">
        <f>IFERROR(VLOOKUP(Q82,Surp7!$B$1:$C$161,2,0),0)</f>
        <v>0</v>
      </c>
      <c r="S82" s="174">
        <f>IFERROR(VLOOKUP($B82,Surp8!$A$1:$B$161,2,0),0)</f>
        <v>0</v>
      </c>
      <c r="T82" s="175">
        <f>IFERROR(VLOOKUP(S82,Surp8!$B$1:$C$161,2,0),0)</f>
        <v>0</v>
      </c>
      <c r="U82" s="174">
        <f>IFERROR(VLOOKUP($B82,Surp9!$A$1:$B$161,2,0),0)</f>
        <v>0</v>
      </c>
      <c r="V82" s="175">
        <f>IFERROR(VLOOKUP(U82,Surp9!$B$1:$C$161,2,0),0)</f>
        <v>0</v>
      </c>
      <c r="W82" s="174">
        <f>IFERROR(VLOOKUP($B82,Surp10!$A$1:$B$161,2,0),0)</f>
        <v>0</v>
      </c>
      <c r="X82" s="175">
        <f>IFERROR(VLOOKUP(W82,Surp10!$B$1:$C$161,2,0),0)</f>
        <v>0</v>
      </c>
      <c r="Y82" s="174">
        <f>IFERROR(VLOOKUP($B82,Surp11!$A$1:$B$161,2,0),0)</f>
        <v>0</v>
      </c>
      <c r="Z82" s="175">
        <f>IFERROR(VLOOKUP(Y82,Surp11!$B$1:$C$161,2,0),0)</f>
        <v>0</v>
      </c>
      <c r="AA82" s="175">
        <f>IFERROR(VLOOKUP(E82,Surp1!$B$1:$C$161,2,0),0)</f>
        <v>37.21772638</v>
      </c>
      <c r="AB82" s="175">
        <f>IFERROR(VLOOKUP(G82,Surp2!$B$1:$C$161,2,0),0)</f>
        <v>0</v>
      </c>
      <c r="AC82" s="175">
        <f>IFERROR(VLOOKUP(I82,Surp3!$B$1:$C$161,2,0),0)</f>
        <v>0</v>
      </c>
      <c r="AD82" s="175">
        <f>IFERROR(VLOOKUP(K82,Surp4!$B$1:$C$161,2,0),0)</f>
        <v>0</v>
      </c>
      <c r="AE82" s="175">
        <f>IFERROR(VLOOKUP(M82,Surp5!$B$1:$C$161,2,0),0)</f>
        <v>374.3258052</v>
      </c>
      <c r="AF82" s="175">
        <f>IFERROR(VLOOKUP(O82,Surp6!$B$1:$C$161,2,0),0)</f>
        <v>0</v>
      </c>
      <c r="AG82" s="175">
        <f>IFERROR(VLOOKUP(Q82,Surp7!$B$1:$C$161,2,0),0)</f>
        <v>0</v>
      </c>
      <c r="AH82" s="175">
        <f>IFERROR(VLOOKUP(S82,Surp8!$B$1:$C$161,2,0),0)</f>
        <v>0</v>
      </c>
      <c r="AI82" s="175">
        <f>IFERROR(VLOOKUP(U82,Surp9!$B$1:$C$161,2,0),0)</f>
        <v>0</v>
      </c>
      <c r="AJ82" s="175">
        <f>IFERROR(VLOOKUP(W82,Surp10!$B$1:$C$161,2,0),0)</f>
        <v>0</v>
      </c>
      <c r="AK82" s="175">
        <f>IFERROR(VLOOKUP(Y82,Surp11!$B$1:$C$161,2,0),0)</f>
        <v>0</v>
      </c>
    </row>
    <row r="83" ht="15.75" customHeight="1">
      <c r="A83" s="172">
        <v>82.0</v>
      </c>
      <c r="B83" s="101" t="s">
        <v>40</v>
      </c>
      <c r="C83" s="136">
        <f t="shared" si="1"/>
        <v>409.2277554</v>
      </c>
      <c r="D83" s="136"/>
      <c r="E83" s="137">
        <f>IFERROR(VLOOKUP($B83,Surp1!$A$1:$B$161,2,0),0)</f>
        <v>0</v>
      </c>
      <c r="F83" s="97">
        <f>IFERROR(VLOOKUP(E83,Surp1!$B$1:$C$161,2,0),0)</f>
        <v>0</v>
      </c>
      <c r="G83" s="137">
        <f>IFERROR(VLOOKUP($B83,Surp2!$A$1:$B$161,2,0),0)</f>
        <v>0</v>
      </c>
      <c r="H83" s="97">
        <f>IFERROR(VLOOKUP(G83,Surp2!$B$1:$C$161,2,0),0)</f>
        <v>0</v>
      </c>
      <c r="I83" s="137">
        <f>IFERROR(VLOOKUP($B83,Surp3!$A$1:$B$161,2,0),0)</f>
        <v>41</v>
      </c>
      <c r="J83" s="97">
        <f>IFERROR(VLOOKUP(I83,Surp3!$B$1:$C$161,2,0),0)</f>
        <v>39.44068924</v>
      </c>
      <c r="K83" s="137">
        <f>IFERROR(VLOOKUP($B83,Surp4!$A$1:$B$161,2,0),0)</f>
        <v>0</v>
      </c>
      <c r="L83" s="97">
        <f>IFERROR(VLOOKUP(K83,Surp4!$B$1:$C$161,2,0),0)</f>
        <v>0</v>
      </c>
      <c r="M83" s="137">
        <f>IFERROR(VLOOKUP($B83,Surp5!$A$1:$B$161,2,0),0)</f>
        <v>47</v>
      </c>
      <c r="N83" s="97">
        <f>IFERROR(VLOOKUP(M83,Surp5!$B$1:$C$161,2,0),0)</f>
        <v>30.33145414</v>
      </c>
      <c r="O83" s="137">
        <f>IFERROR(VLOOKUP($B83,Surp6!$A$1:$B$161,2,0),0)</f>
        <v>24</v>
      </c>
      <c r="P83" s="97">
        <f>IFERROR(VLOOKUP(O83,Surp6!$B$1:$C$161,2,0),0)</f>
        <v>186.8651594</v>
      </c>
      <c r="Q83" s="137">
        <f>IFERROR(VLOOKUP($B83,Surp7!$A$1:$B$161,2,0),0)</f>
        <v>46</v>
      </c>
      <c r="R83" s="97">
        <f>IFERROR(VLOOKUP(Q83,Surp7!$B$1:$C$161,2,0),0)</f>
        <v>52.93835396</v>
      </c>
      <c r="S83" s="137">
        <f>IFERROR(VLOOKUP($B83,Surp8!$A$1:$B$161,2,0),0)</f>
        <v>0</v>
      </c>
      <c r="T83" s="97">
        <f>IFERROR(VLOOKUP(S83,Surp8!$B$1:$C$161,2,0),0)</f>
        <v>0</v>
      </c>
      <c r="U83" s="137">
        <f>IFERROR(VLOOKUP($B83,Surp9!$A$1:$B$161,2,0),0)</f>
        <v>0</v>
      </c>
      <c r="V83" s="97">
        <f>IFERROR(VLOOKUP(U83,Surp9!$B$1:$C$161,2,0),0)</f>
        <v>0</v>
      </c>
      <c r="W83" s="137">
        <f>IFERROR(VLOOKUP($B83,Surp10!$A$1:$B$161,2,0),0)</f>
        <v>0</v>
      </c>
      <c r="X83" s="97">
        <f>IFERROR(VLOOKUP(W83,Surp10!$B$1:$C$161,2,0),0)</f>
        <v>0</v>
      </c>
      <c r="Y83" s="137">
        <f>IFERROR(VLOOKUP($B83,Surp11!$A$1:$B$161,2,0),0)</f>
        <v>19</v>
      </c>
      <c r="Z83" s="97">
        <f>IFERROR(VLOOKUP(Y83,Surp11!$B$1:$C$161,2,0),0)</f>
        <v>99.65209866</v>
      </c>
      <c r="AA83" s="97">
        <f>IFERROR(VLOOKUP(E83,Surp1!$B$1:$C$161,2,0),0)</f>
        <v>0</v>
      </c>
      <c r="AB83" s="97">
        <f>IFERROR(VLOOKUP(G83,Surp2!$B$1:$C$161,2,0),0)</f>
        <v>0</v>
      </c>
      <c r="AC83" s="97">
        <f>IFERROR(VLOOKUP(I83,Surp3!$B$1:$C$161,2,0),0)</f>
        <v>39.44068924</v>
      </c>
      <c r="AD83" s="97">
        <f>IFERROR(VLOOKUP(K83,Surp4!$B$1:$C$161,2,0),0)</f>
        <v>0</v>
      </c>
      <c r="AE83" s="97">
        <f>IFERROR(VLOOKUP(M83,Surp5!$B$1:$C$161,2,0),0)</f>
        <v>30.33145414</v>
      </c>
      <c r="AF83" s="97">
        <f>IFERROR(VLOOKUP(O83,Surp6!$B$1:$C$161,2,0),0)</f>
        <v>186.8651594</v>
      </c>
      <c r="AG83" s="97">
        <f>IFERROR(VLOOKUP(Q83,Surp7!$B$1:$C$161,2,0),0)</f>
        <v>52.93835396</v>
      </c>
      <c r="AH83" s="97">
        <f>IFERROR(VLOOKUP(S83,Surp8!$B$1:$C$161,2,0),0)</f>
        <v>0</v>
      </c>
      <c r="AI83" s="97">
        <f>IFERROR(VLOOKUP(U83,Surp9!$B$1:$C$161,2,0),0)</f>
        <v>0</v>
      </c>
      <c r="AJ83" s="97">
        <f>IFERROR(VLOOKUP(W83,Surp10!$B$1:$C$161,2,0),0)</f>
        <v>0</v>
      </c>
      <c r="AK83" s="97">
        <f>IFERROR(VLOOKUP(Y83,Surp11!$B$1:$C$161,2,0),0)</f>
        <v>99.65209866</v>
      </c>
    </row>
    <row r="84" ht="15.75" customHeight="1">
      <c r="A84" s="171">
        <v>83.0</v>
      </c>
      <c r="B84" s="101" t="s">
        <v>69</v>
      </c>
      <c r="C84" s="136">
        <f t="shared" si="1"/>
        <v>395.0486797</v>
      </c>
      <c r="D84" s="136"/>
      <c r="E84" s="137">
        <f>IFERROR(VLOOKUP($B84,Surp1!$A$1:$B$161,2,0),0)</f>
        <v>0</v>
      </c>
      <c r="F84" s="97">
        <f>IFERROR(VLOOKUP(E84,Surp1!$B$1:$C$161,2,0),0)</f>
        <v>0</v>
      </c>
      <c r="G84" s="137">
        <f>IFERROR(VLOOKUP($B84,Surp2!$A$1:$B$161,2,0),0)</f>
        <v>0</v>
      </c>
      <c r="H84" s="97">
        <f>IFERROR(VLOOKUP(G84,Surp2!$B$1:$C$161,2,0),0)</f>
        <v>0</v>
      </c>
      <c r="I84" s="137">
        <f>IFERROR(VLOOKUP($B84,Surp3!$A$1:$B$161,2,0),0)</f>
        <v>37</v>
      </c>
      <c r="J84" s="97">
        <f>IFERROR(VLOOKUP(I84,Surp3!$B$1:$C$161,2,0),0)</f>
        <v>63.58939222</v>
      </c>
      <c r="K84" s="137">
        <f>IFERROR(VLOOKUP($B84,Surp4!$A$1:$B$161,2,0),0)</f>
        <v>0</v>
      </c>
      <c r="L84" s="97">
        <f>IFERROR(VLOOKUP(K84,Surp4!$B$1:$C$161,2,0),0)</f>
        <v>0</v>
      </c>
      <c r="M84" s="137">
        <f>IFERROR(VLOOKUP($B84,Surp5!$A$1:$B$161,2,0),0)</f>
        <v>0</v>
      </c>
      <c r="N84" s="97">
        <f>IFERROR(VLOOKUP(M84,Surp5!$B$1:$C$161,2,0),0)</f>
        <v>0</v>
      </c>
      <c r="O84" s="137">
        <f>IFERROR(VLOOKUP($B84,Surp6!$A$1:$B$161,2,0),0)</f>
        <v>30</v>
      </c>
      <c r="P84" s="97">
        <f>IFERROR(VLOOKUP(O84,Surp6!$B$1:$C$161,2,0),0)</f>
        <v>144.5941281</v>
      </c>
      <c r="Q84" s="137">
        <f>IFERROR(VLOOKUP($B84,Surp7!$A$1:$B$161,2,0),0)</f>
        <v>24</v>
      </c>
      <c r="R84" s="97">
        <f>IFERROR(VLOOKUP(Q84,Surp7!$B$1:$C$161,2,0),0)</f>
        <v>186.8651594</v>
      </c>
      <c r="S84" s="137">
        <f>IFERROR(VLOOKUP($B84,Surp8!$A$1:$B$161,2,0),0)</f>
        <v>0</v>
      </c>
      <c r="T84" s="97">
        <f>IFERROR(VLOOKUP(S84,Surp8!$B$1:$C$161,2,0),0)</f>
        <v>0</v>
      </c>
      <c r="U84" s="137">
        <f>IFERROR(VLOOKUP($B84,Surp9!$A$1:$B$161,2,0),0)</f>
        <v>0</v>
      </c>
      <c r="V84" s="97">
        <f>IFERROR(VLOOKUP(U84,Surp9!$B$1:$C$161,2,0),0)</f>
        <v>0</v>
      </c>
      <c r="W84" s="137">
        <f>IFERROR(VLOOKUP($B84,Surp10!$A$1:$B$161,2,0),0)</f>
        <v>0</v>
      </c>
      <c r="X84" s="97">
        <f>IFERROR(VLOOKUP(W84,Surp10!$B$1:$C$161,2,0),0)</f>
        <v>0</v>
      </c>
      <c r="Y84" s="137">
        <f>IFERROR(VLOOKUP($B84,Surp11!$A$1:$B$161,2,0),0)</f>
        <v>0</v>
      </c>
      <c r="Z84" s="97">
        <f>IFERROR(VLOOKUP(Y84,Surp11!$B$1:$C$161,2,0),0)</f>
        <v>0</v>
      </c>
      <c r="AA84" s="97">
        <f>IFERROR(VLOOKUP(E84,Surp1!$B$1:$C$161,2,0),0)</f>
        <v>0</v>
      </c>
      <c r="AB84" s="97">
        <f>IFERROR(VLOOKUP(G84,Surp2!$B$1:$C$161,2,0),0)</f>
        <v>0</v>
      </c>
      <c r="AC84" s="97">
        <f>IFERROR(VLOOKUP(I84,Surp3!$B$1:$C$161,2,0),0)</f>
        <v>63.58939222</v>
      </c>
      <c r="AD84" s="97">
        <f>IFERROR(VLOOKUP(K84,Surp4!$B$1:$C$161,2,0),0)</f>
        <v>0</v>
      </c>
      <c r="AE84" s="97">
        <f>IFERROR(VLOOKUP(M84,Surp5!$B$1:$C$161,2,0),0)</f>
        <v>0</v>
      </c>
      <c r="AF84" s="97">
        <f>IFERROR(VLOOKUP(O84,Surp6!$B$1:$C$161,2,0),0)</f>
        <v>144.5941281</v>
      </c>
      <c r="AG84" s="97">
        <f>IFERROR(VLOOKUP(Q84,Surp7!$B$1:$C$161,2,0),0)</f>
        <v>186.8651594</v>
      </c>
      <c r="AH84" s="97">
        <f>IFERROR(VLOOKUP(S84,Surp8!$B$1:$C$161,2,0),0)</f>
        <v>0</v>
      </c>
      <c r="AI84" s="97">
        <f>IFERROR(VLOOKUP(U84,Surp9!$B$1:$C$161,2,0),0)</f>
        <v>0</v>
      </c>
      <c r="AJ84" s="97">
        <f>IFERROR(VLOOKUP(W84,Surp10!$B$1:$C$161,2,0),0)</f>
        <v>0</v>
      </c>
      <c r="AK84" s="97">
        <f>IFERROR(VLOOKUP(Y84,Surp11!$B$1:$C$161,2,0),0)</f>
        <v>0</v>
      </c>
    </row>
    <row r="85" ht="15.75" customHeight="1">
      <c r="A85" s="172">
        <v>84.0</v>
      </c>
      <c r="B85" s="15" t="s">
        <v>70</v>
      </c>
      <c r="C85" s="136">
        <f t="shared" si="1"/>
        <v>373.6535289</v>
      </c>
      <c r="D85" s="93"/>
      <c r="E85" s="94">
        <f>IFERROR(VLOOKUP($B85,Surp1!$A$1:$B$161,2,0),0)</f>
        <v>0</v>
      </c>
      <c r="F85" s="95">
        <f>IFERROR(VLOOKUP(E85,Surp1!$B$1:$C$161,2,0),0)</f>
        <v>0</v>
      </c>
      <c r="G85" s="94">
        <f>IFERROR(VLOOKUP($B85,Surp2!$A$1:$B$161,2,0),0)</f>
        <v>0</v>
      </c>
      <c r="H85" s="95">
        <f>IFERROR(VLOOKUP(G85,Surp2!$B$1:$C$161,2,0),0)</f>
        <v>0</v>
      </c>
      <c r="I85" s="94">
        <f>IFERROR(VLOOKUP($B85,Surp3!$A$1:$B$161,2,0),0)</f>
        <v>0</v>
      </c>
      <c r="J85" s="95">
        <f>IFERROR(VLOOKUP(I85,Surp3!$B$1:$C$161,2,0),0)</f>
        <v>0</v>
      </c>
      <c r="K85" s="94">
        <f>IFERROR(VLOOKUP($B85,Surp4!$A$1:$B$161,2,0),0)</f>
        <v>50</v>
      </c>
      <c r="L85" s="95">
        <f>IFERROR(VLOOKUP(K85,Surp4!$B$1:$C$161,2,0),0)</f>
        <v>5.123340435</v>
      </c>
      <c r="M85" s="94">
        <f>IFERROR(VLOOKUP($B85,Surp5!$A$1:$B$161,2,0),0)</f>
        <v>0</v>
      </c>
      <c r="N85" s="95">
        <f>IFERROR(VLOOKUP(M85,Surp5!$B$1:$C$161,2,0),0)</f>
        <v>0</v>
      </c>
      <c r="O85" s="94">
        <f>IFERROR(VLOOKUP($B85,Surp6!$A$1:$B$161,2,0),0)</f>
        <v>0</v>
      </c>
      <c r="P85" s="95">
        <f>IFERROR(VLOOKUP(O85,Surp6!$B$1:$C$161,2,0),0)</f>
        <v>0</v>
      </c>
      <c r="Q85" s="94">
        <f>IFERROR(VLOOKUP($B85,Surp7!$A$1:$B$161,2,0),0)</f>
        <v>0</v>
      </c>
      <c r="R85" s="95">
        <f>IFERROR(VLOOKUP(Q85,Surp7!$B$1:$C$161,2,0),0)</f>
        <v>0</v>
      </c>
      <c r="S85" s="94">
        <f>IFERROR(VLOOKUP($B85,Surp8!$A$1:$B$161,2,0),0)</f>
        <v>41</v>
      </c>
      <c r="T85" s="95">
        <f>IFERROR(VLOOKUP(S85,Surp8!$B$1:$C$161,2,0),0)</f>
        <v>6.227882582</v>
      </c>
      <c r="U85" s="94">
        <f>IFERROR(VLOOKUP($B85,Surp9!$A$1:$B$161,2,0),0)</f>
        <v>30</v>
      </c>
      <c r="V85" s="95">
        <f>IFERROR(VLOOKUP(U85,Surp9!$B$1:$C$161,2,0),0)</f>
        <v>95.91243304</v>
      </c>
      <c r="W85" s="94">
        <f>IFERROR(VLOOKUP($B85,Surp10!$A$1:$B$161,2,0),0)</f>
        <v>14</v>
      </c>
      <c r="X85" s="95">
        <f>IFERROR(VLOOKUP(W85,Surp10!$B$1:$C$161,2,0),0)</f>
        <v>257.3453566</v>
      </c>
      <c r="Y85" s="94">
        <f>IFERROR(VLOOKUP($B85,Surp11!$A$1:$B$161,2,0),0)</f>
        <v>28</v>
      </c>
      <c r="Z85" s="95">
        <f>IFERROR(VLOOKUP(Y85,Surp11!$B$1:$C$161,2,0),0)</f>
        <v>9.044516215</v>
      </c>
      <c r="AA85" s="95">
        <f>IFERROR(VLOOKUP(E85,Surp1!$B$1:$C$161,2,0),0)</f>
        <v>0</v>
      </c>
      <c r="AB85" s="95">
        <f>IFERROR(VLOOKUP(G85,Surp2!$B$1:$C$161,2,0),0)</f>
        <v>0</v>
      </c>
      <c r="AC85" s="95">
        <f>IFERROR(VLOOKUP(I85,Surp3!$B$1:$C$161,2,0),0)</f>
        <v>0</v>
      </c>
      <c r="AD85" s="95">
        <f>IFERROR(VLOOKUP(K85,Surp4!$B$1:$C$161,2,0),0)</f>
        <v>5.123340435</v>
      </c>
      <c r="AE85" s="95">
        <f>IFERROR(VLOOKUP(M85,Surp5!$B$1:$C$161,2,0),0)</f>
        <v>0</v>
      </c>
      <c r="AF85" s="95">
        <f>IFERROR(VLOOKUP(O85,Surp6!$B$1:$C$161,2,0),0)</f>
        <v>0</v>
      </c>
      <c r="AG85" s="95">
        <f>IFERROR(VLOOKUP(Q85,Surp7!$B$1:$C$161,2,0),0)</f>
        <v>0</v>
      </c>
      <c r="AH85" s="95">
        <f>IFERROR(VLOOKUP(S85,Surp8!$B$1:$C$161,2,0),0)</f>
        <v>6.227882582</v>
      </c>
      <c r="AI85" s="95">
        <f>IFERROR(VLOOKUP(U85,Surp9!$B$1:$C$161,2,0),0)</f>
        <v>95.91243304</v>
      </c>
      <c r="AJ85" s="95">
        <f>IFERROR(VLOOKUP(W85,Surp10!$B$1:$C$161,2,0),0)</f>
        <v>257.3453566</v>
      </c>
      <c r="AK85" s="95">
        <f>IFERROR(VLOOKUP(Y85,Surp11!$B$1:$C$161,2,0),0)</f>
        <v>9.044516215</v>
      </c>
    </row>
    <row r="86" ht="15.75" customHeight="1">
      <c r="A86" s="171">
        <v>85.0</v>
      </c>
      <c r="B86" s="24" t="s">
        <v>126</v>
      </c>
      <c r="C86" s="136">
        <f t="shared" si="1"/>
        <v>372.8986036</v>
      </c>
      <c r="D86" s="136"/>
      <c r="E86" s="137">
        <f>IFERROR(VLOOKUP($B86,Surp1!$A$1:$B$161,2,0),0)</f>
        <v>0</v>
      </c>
      <c r="F86" s="97">
        <f>IFERROR(VLOOKUP(E86,Surp1!$B$1:$C$161,2,0),0)</f>
        <v>0</v>
      </c>
      <c r="G86" s="137">
        <f>IFERROR(VLOOKUP($B86,Surp2!$A$1:$B$161,2,0),0)</f>
        <v>0</v>
      </c>
      <c r="H86" s="97">
        <f>IFERROR(VLOOKUP(G86,Surp2!$B$1:$C$161,2,0),0)</f>
        <v>0</v>
      </c>
      <c r="I86" s="137">
        <f>IFERROR(VLOOKUP($B86,Surp3!$A$1:$B$161,2,0),0)</f>
        <v>0</v>
      </c>
      <c r="J86" s="97">
        <f>IFERROR(VLOOKUP(I86,Surp3!$B$1:$C$161,2,0),0)</f>
        <v>0</v>
      </c>
      <c r="K86" s="137">
        <f>IFERROR(VLOOKUP($B86,Surp4!$A$1:$B$161,2,0),0)</f>
        <v>0</v>
      </c>
      <c r="L86" s="97">
        <f>IFERROR(VLOOKUP(K86,Surp4!$B$1:$C$161,2,0),0)</f>
        <v>0</v>
      </c>
      <c r="M86" s="137">
        <f>IFERROR(VLOOKUP($B86,Surp5!$A$1:$B$161,2,0),0)</f>
        <v>0</v>
      </c>
      <c r="N86" s="97">
        <f>IFERROR(VLOOKUP(M86,Surp5!$B$1:$C$161,2,0),0)</f>
        <v>0</v>
      </c>
      <c r="O86" s="137">
        <f>IFERROR(VLOOKUP($B86,Surp6!$A$1:$B$161,2,0),0)</f>
        <v>0</v>
      </c>
      <c r="P86" s="97">
        <f>IFERROR(VLOOKUP(O86,Surp6!$B$1:$C$161,2,0),0)</f>
        <v>0</v>
      </c>
      <c r="Q86" s="137">
        <f>IFERROR(VLOOKUP($B86,Surp7!$A$1:$B$161,2,0),0)</f>
        <v>0</v>
      </c>
      <c r="R86" s="97">
        <f>IFERROR(VLOOKUP(Q86,Surp7!$B$1:$C$161,2,0),0)</f>
        <v>0</v>
      </c>
      <c r="S86" s="137">
        <f>IFERROR(VLOOKUP($B86,Surp8!$A$1:$B$161,2,0),0)</f>
        <v>0</v>
      </c>
      <c r="T86" s="97">
        <f>IFERROR(VLOOKUP(S86,Surp8!$B$1:$C$161,2,0),0)</f>
        <v>0</v>
      </c>
      <c r="U86" s="137">
        <f>IFERROR(VLOOKUP($B86,Surp9!$A$1:$B$161,2,0),0)</f>
        <v>6</v>
      </c>
      <c r="V86" s="97">
        <f>IFERROR(VLOOKUP(U86,Surp9!$B$1:$C$161,2,0),0)</f>
        <v>372.8986036</v>
      </c>
      <c r="W86" s="137">
        <f>IFERROR(VLOOKUP($B86,Surp10!$A$1:$B$161,2,0),0)</f>
        <v>0</v>
      </c>
      <c r="X86" s="97">
        <f>IFERROR(VLOOKUP(W86,Surp10!$B$1:$C$161,2,0),0)</f>
        <v>0</v>
      </c>
      <c r="Y86" s="137">
        <f>IFERROR(VLOOKUP($B86,Surp11!$A$1:$B$161,2,0),0)</f>
        <v>0</v>
      </c>
      <c r="Z86" s="97">
        <f>IFERROR(VLOOKUP(Y86,Surp11!$B$1:$C$161,2,0),0)</f>
        <v>0</v>
      </c>
      <c r="AA86" s="97">
        <f>IFERROR(VLOOKUP(E86,Surp1!$B$1:$C$161,2,0),0)</f>
        <v>0</v>
      </c>
      <c r="AB86" s="97">
        <f>IFERROR(VLOOKUP(G86,Surp2!$B$1:$C$161,2,0),0)</f>
        <v>0</v>
      </c>
      <c r="AC86" s="97">
        <f>IFERROR(VLOOKUP(I86,Surp3!$B$1:$C$161,2,0),0)</f>
        <v>0</v>
      </c>
      <c r="AD86" s="97">
        <f>IFERROR(VLOOKUP(K86,Surp4!$B$1:$C$161,2,0),0)</f>
        <v>0</v>
      </c>
      <c r="AE86" s="97">
        <f>IFERROR(VLOOKUP(M86,Surp5!$B$1:$C$161,2,0),0)</f>
        <v>0</v>
      </c>
      <c r="AF86" s="97">
        <f>IFERROR(VLOOKUP(O86,Surp6!$B$1:$C$161,2,0),0)</f>
        <v>0</v>
      </c>
      <c r="AG86" s="97">
        <f>IFERROR(VLOOKUP(Q86,Surp7!$B$1:$C$161,2,0),0)</f>
        <v>0</v>
      </c>
      <c r="AH86" s="97">
        <f>IFERROR(VLOOKUP(S86,Surp8!$B$1:$C$161,2,0),0)</f>
        <v>0</v>
      </c>
      <c r="AI86" s="97">
        <f>IFERROR(VLOOKUP(U86,Surp9!$B$1:$C$161,2,0),0)</f>
        <v>372.8986036</v>
      </c>
      <c r="AJ86" s="97">
        <f>IFERROR(VLOOKUP(W86,Surp10!$B$1:$C$161,2,0),0)</f>
        <v>0</v>
      </c>
      <c r="AK86" s="97">
        <f>IFERROR(VLOOKUP(Y86,Surp11!$B$1:$C$161,2,0),0)</f>
        <v>0</v>
      </c>
    </row>
    <row r="87" ht="15.75" customHeight="1">
      <c r="A87" s="172">
        <v>86.0</v>
      </c>
      <c r="B87" s="6" t="s">
        <v>233</v>
      </c>
      <c r="C87" s="136">
        <f t="shared" si="1"/>
        <v>365.0633333</v>
      </c>
      <c r="D87" s="173"/>
      <c r="E87" s="174">
        <f>IFERROR(VLOOKUP($B87,Surp1!$A$1:$B$161,2,0),0)</f>
        <v>0</v>
      </c>
      <c r="F87" s="175">
        <f>IFERROR(VLOOKUP(E87,Surp1!$B$1:$C$161,2,0),0)</f>
        <v>0</v>
      </c>
      <c r="G87" s="174">
        <f>IFERROR(VLOOKUP($B87,Surp2!$A$1:$B$161,2,0),0)</f>
        <v>36</v>
      </c>
      <c r="H87" s="175">
        <f>IFERROR(VLOOKUP(G87,Surp2!$B$1:$C$161,2,0),0)</f>
        <v>118.1668141</v>
      </c>
      <c r="I87" s="174">
        <f>IFERROR(VLOOKUP($B87,Surp3!$A$1:$B$161,2,0),0)</f>
        <v>0</v>
      </c>
      <c r="J87" s="175">
        <f>IFERROR(VLOOKUP(I87,Surp3!$B$1:$C$161,2,0),0)</f>
        <v>0</v>
      </c>
      <c r="K87" s="174">
        <f>IFERROR(VLOOKUP($B87,Surp4!$A$1:$B$161,2,0),0)</f>
        <v>0</v>
      </c>
      <c r="L87" s="175">
        <f>IFERROR(VLOOKUP(K87,Surp4!$B$1:$C$161,2,0),0)</f>
        <v>0</v>
      </c>
      <c r="M87" s="174">
        <f>IFERROR(VLOOKUP($B87,Surp5!$A$1:$B$161,2,0),0)</f>
        <v>0</v>
      </c>
      <c r="N87" s="175">
        <f>IFERROR(VLOOKUP(M87,Surp5!$B$1:$C$161,2,0),0)</f>
        <v>0</v>
      </c>
      <c r="O87" s="174">
        <f>IFERROR(VLOOKUP($B87,Surp6!$A$1:$B$161,2,0),0)</f>
        <v>0</v>
      </c>
      <c r="P87" s="175">
        <f>IFERROR(VLOOKUP(O87,Surp6!$B$1:$C$161,2,0),0)</f>
        <v>0</v>
      </c>
      <c r="Q87" s="174">
        <f>IFERROR(VLOOKUP($B87,Surp7!$A$1:$B$161,2,0),0)</f>
        <v>17</v>
      </c>
      <c r="R87" s="175">
        <f>IFERROR(VLOOKUP(Q87,Surp7!$B$1:$C$161,2,0),0)</f>
        <v>246.8965192</v>
      </c>
      <c r="S87" s="174">
        <f>IFERROR(VLOOKUP($B87,Surp8!$A$1:$B$161,2,0),0)</f>
        <v>0</v>
      </c>
      <c r="T87" s="175">
        <f>IFERROR(VLOOKUP(S87,Surp8!$B$1:$C$161,2,0),0)</f>
        <v>0</v>
      </c>
      <c r="U87" s="174">
        <f>IFERROR(VLOOKUP($B87,Surp9!$A$1:$B$161,2,0),0)</f>
        <v>0</v>
      </c>
      <c r="V87" s="175">
        <f>IFERROR(VLOOKUP(U87,Surp9!$B$1:$C$161,2,0),0)</f>
        <v>0</v>
      </c>
      <c r="W87" s="174">
        <f>IFERROR(VLOOKUP($B87,Surp10!$A$1:$B$161,2,0),0)</f>
        <v>0</v>
      </c>
      <c r="X87" s="175">
        <f>IFERROR(VLOOKUP(W87,Surp10!$B$1:$C$161,2,0),0)</f>
        <v>0</v>
      </c>
      <c r="Y87" s="174">
        <f>IFERROR(VLOOKUP($B87,Surp11!$A$1:$B$161,2,0),0)</f>
        <v>0</v>
      </c>
      <c r="Z87" s="175">
        <f>IFERROR(VLOOKUP(Y87,Surp11!$B$1:$C$161,2,0),0)</f>
        <v>0</v>
      </c>
      <c r="AA87" s="175">
        <f>IFERROR(VLOOKUP(E87,Surp1!$B$1:$C$161,2,0),0)</f>
        <v>0</v>
      </c>
      <c r="AB87" s="175">
        <f>IFERROR(VLOOKUP(G87,Surp2!$B$1:$C$161,2,0),0)</f>
        <v>118.1668141</v>
      </c>
      <c r="AC87" s="175">
        <f>IFERROR(VLOOKUP(I87,Surp3!$B$1:$C$161,2,0),0)</f>
        <v>0</v>
      </c>
      <c r="AD87" s="175">
        <f>IFERROR(VLOOKUP(K87,Surp4!$B$1:$C$161,2,0),0)</f>
        <v>0</v>
      </c>
      <c r="AE87" s="175">
        <f>IFERROR(VLOOKUP(M87,Surp5!$B$1:$C$161,2,0),0)</f>
        <v>0</v>
      </c>
      <c r="AF87" s="175">
        <f>IFERROR(VLOOKUP(O87,Surp6!$B$1:$C$161,2,0),0)</f>
        <v>0</v>
      </c>
      <c r="AG87" s="175">
        <f>IFERROR(VLOOKUP(Q87,Surp7!$B$1:$C$161,2,0),0)</f>
        <v>246.8965192</v>
      </c>
      <c r="AH87" s="175">
        <f>IFERROR(VLOOKUP(S87,Surp8!$B$1:$C$161,2,0),0)</f>
        <v>0</v>
      </c>
      <c r="AI87" s="175">
        <f>IFERROR(VLOOKUP(U87,Surp9!$B$1:$C$161,2,0),0)</f>
        <v>0</v>
      </c>
      <c r="AJ87" s="175">
        <f>IFERROR(VLOOKUP(W87,Surp10!$B$1:$C$161,2,0),0)</f>
        <v>0</v>
      </c>
      <c r="AK87" s="175">
        <f>IFERROR(VLOOKUP(Y87,Surp11!$B$1:$C$161,2,0),0)</f>
        <v>0</v>
      </c>
    </row>
    <row r="88" ht="15.75" customHeight="1">
      <c r="A88" s="171">
        <v>87.0</v>
      </c>
      <c r="B88" s="101" t="s">
        <v>60</v>
      </c>
      <c r="C88" s="136">
        <f t="shared" si="1"/>
        <v>365.0633333</v>
      </c>
      <c r="D88" s="136"/>
      <c r="E88" s="137">
        <f>IFERROR(VLOOKUP($B88,Surp1!$A$1:$B$161,2,0),0)</f>
        <v>0</v>
      </c>
      <c r="F88" s="97">
        <f>IFERROR(VLOOKUP(E88,Surp1!$B$1:$C$161,2,0),0)</f>
        <v>0</v>
      </c>
      <c r="G88" s="137">
        <f>IFERROR(VLOOKUP($B88,Surp2!$A$1:$B$161,2,0),0)</f>
        <v>36</v>
      </c>
      <c r="H88" s="97">
        <f>IFERROR(VLOOKUP(G88,Surp2!$B$1:$C$161,2,0),0)</f>
        <v>118.1668141</v>
      </c>
      <c r="I88" s="137">
        <f>IFERROR(VLOOKUP($B88,Surp3!$A$1:$B$161,2,0),0)</f>
        <v>0</v>
      </c>
      <c r="J88" s="97">
        <f>IFERROR(VLOOKUP(I88,Surp3!$B$1:$C$161,2,0),0)</f>
        <v>0</v>
      </c>
      <c r="K88" s="137">
        <f>IFERROR(VLOOKUP($B88,Surp4!$A$1:$B$161,2,0),0)</f>
        <v>0</v>
      </c>
      <c r="L88" s="97">
        <f>IFERROR(VLOOKUP(K88,Surp4!$B$1:$C$161,2,0),0)</f>
        <v>0</v>
      </c>
      <c r="M88" s="137">
        <f>IFERROR(VLOOKUP($B88,Surp5!$A$1:$B$161,2,0),0)</f>
        <v>0</v>
      </c>
      <c r="N88" s="97">
        <f>IFERROR(VLOOKUP(M88,Surp5!$B$1:$C$161,2,0),0)</f>
        <v>0</v>
      </c>
      <c r="O88" s="137">
        <f>IFERROR(VLOOKUP($B88,Surp6!$A$1:$B$161,2,0),0)</f>
        <v>0</v>
      </c>
      <c r="P88" s="97">
        <f>IFERROR(VLOOKUP(O88,Surp6!$B$1:$C$161,2,0),0)</f>
        <v>0</v>
      </c>
      <c r="Q88" s="137">
        <f>IFERROR(VLOOKUP($B88,Surp7!$A$1:$B$161,2,0),0)</f>
        <v>17</v>
      </c>
      <c r="R88" s="97">
        <f>IFERROR(VLOOKUP(Q88,Surp7!$B$1:$C$161,2,0),0)</f>
        <v>246.8965192</v>
      </c>
      <c r="S88" s="137">
        <f>IFERROR(VLOOKUP($B88,Surp8!$A$1:$B$161,2,0),0)</f>
        <v>0</v>
      </c>
      <c r="T88" s="97">
        <f>IFERROR(VLOOKUP(S88,Surp8!$B$1:$C$161,2,0),0)</f>
        <v>0</v>
      </c>
      <c r="U88" s="137">
        <f>IFERROR(VLOOKUP($B88,Surp9!$A$1:$B$161,2,0),0)</f>
        <v>0</v>
      </c>
      <c r="V88" s="97">
        <f>IFERROR(VLOOKUP(U88,Surp9!$B$1:$C$161,2,0),0)</f>
        <v>0</v>
      </c>
      <c r="W88" s="137">
        <f>IFERROR(VLOOKUP($B88,Surp10!$A$1:$B$161,2,0),0)</f>
        <v>0</v>
      </c>
      <c r="X88" s="97">
        <f>IFERROR(VLOOKUP(W88,Surp10!$B$1:$C$161,2,0),0)</f>
        <v>0</v>
      </c>
      <c r="Y88" s="137">
        <f>IFERROR(VLOOKUP($B88,Surp11!$A$1:$B$161,2,0),0)</f>
        <v>0</v>
      </c>
      <c r="Z88" s="97">
        <f>IFERROR(VLOOKUP(Y88,Surp11!$B$1:$C$161,2,0),0)</f>
        <v>0</v>
      </c>
      <c r="AA88" s="97">
        <f>IFERROR(VLOOKUP(E88,Surp1!$B$1:$C$161,2,0),0)</f>
        <v>0</v>
      </c>
      <c r="AB88" s="97">
        <f>IFERROR(VLOOKUP(G88,Surp2!$B$1:$C$161,2,0),0)</f>
        <v>118.1668141</v>
      </c>
      <c r="AC88" s="97">
        <f>IFERROR(VLOOKUP(I88,Surp3!$B$1:$C$161,2,0),0)</f>
        <v>0</v>
      </c>
      <c r="AD88" s="97">
        <f>IFERROR(VLOOKUP(K88,Surp4!$B$1:$C$161,2,0),0)</f>
        <v>0</v>
      </c>
      <c r="AE88" s="97">
        <f>IFERROR(VLOOKUP(M88,Surp5!$B$1:$C$161,2,0),0)</f>
        <v>0</v>
      </c>
      <c r="AF88" s="97">
        <f>IFERROR(VLOOKUP(O88,Surp6!$B$1:$C$161,2,0),0)</f>
        <v>0</v>
      </c>
      <c r="AG88" s="97">
        <f>IFERROR(VLOOKUP(Q88,Surp7!$B$1:$C$161,2,0),0)</f>
        <v>246.8965192</v>
      </c>
      <c r="AH88" s="97">
        <f>IFERROR(VLOOKUP(S88,Surp8!$B$1:$C$161,2,0),0)</f>
        <v>0</v>
      </c>
      <c r="AI88" s="97">
        <f>IFERROR(VLOOKUP(U88,Surp9!$B$1:$C$161,2,0),0)</f>
        <v>0</v>
      </c>
      <c r="AJ88" s="97">
        <f>IFERROR(VLOOKUP(W88,Surp10!$B$1:$C$161,2,0),0)</f>
        <v>0</v>
      </c>
      <c r="AK88" s="97">
        <f>IFERROR(VLOOKUP(Y88,Surp11!$B$1:$C$161,2,0),0)</f>
        <v>0</v>
      </c>
    </row>
    <row r="89" ht="15.75" customHeight="1">
      <c r="A89" s="172">
        <v>88.0</v>
      </c>
      <c r="B89" s="6" t="s">
        <v>35</v>
      </c>
      <c r="C89" s="136">
        <f t="shared" si="1"/>
        <v>352.8782865</v>
      </c>
      <c r="D89" s="173"/>
      <c r="E89" s="174">
        <f>IFERROR(VLOOKUP($B89,Surp1!$A$1:$B$161,2,0),0)</f>
        <v>0</v>
      </c>
      <c r="F89" s="175">
        <f>IFERROR(VLOOKUP(E89,Surp1!$B$1:$C$161,2,0),0)</f>
        <v>0</v>
      </c>
      <c r="G89" s="174">
        <f>IFERROR(VLOOKUP($B89,Surp2!$A$1:$B$161,2,0),0)</f>
        <v>56</v>
      </c>
      <c r="H89" s="175">
        <f>IFERROR(VLOOKUP(G89,Surp2!$B$1:$C$161,2,0),0)</f>
        <v>17.63489567</v>
      </c>
      <c r="I89" s="174">
        <f>IFERROR(VLOOKUP($B89,Surp3!$A$1:$B$161,2,0),0)</f>
        <v>0</v>
      </c>
      <c r="J89" s="175">
        <f>IFERROR(VLOOKUP(I89,Surp3!$B$1:$C$161,2,0),0)</f>
        <v>0</v>
      </c>
      <c r="K89" s="174">
        <f>IFERROR(VLOOKUP($B89,Surp4!$A$1:$B$161,2,0),0)</f>
        <v>17</v>
      </c>
      <c r="L89" s="175">
        <f>IFERROR(VLOOKUP(K89,Surp4!$B$1:$C$161,2,0),0)</f>
        <v>228.1194956</v>
      </c>
      <c r="M89" s="174">
        <f>IFERROR(VLOOKUP($B89,Surp5!$A$1:$B$161,2,0),0)</f>
        <v>0</v>
      </c>
      <c r="N89" s="175">
        <f>IFERROR(VLOOKUP(M89,Surp5!$B$1:$C$161,2,0),0)</f>
        <v>0</v>
      </c>
      <c r="O89" s="174">
        <f>IFERROR(VLOOKUP($B89,Surp6!$A$1:$B$161,2,0),0)</f>
        <v>43</v>
      </c>
      <c r="P89" s="175">
        <f>IFERROR(VLOOKUP(O89,Surp6!$B$1:$C$161,2,0),0)</f>
        <v>68.52169982</v>
      </c>
      <c r="Q89" s="174">
        <f>IFERROR(VLOOKUP($B89,Surp7!$A$1:$B$161,2,0),0)</f>
        <v>0</v>
      </c>
      <c r="R89" s="175">
        <f>IFERROR(VLOOKUP(Q89,Surp7!$B$1:$C$161,2,0),0)</f>
        <v>0</v>
      </c>
      <c r="S89" s="174">
        <f>IFERROR(VLOOKUP($B89,Surp8!$A$1:$B$161,2,0),0)</f>
        <v>36</v>
      </c>
      <c r="T89" s="175">
        <f>IFERROR(VLOOKUP(S89,Surp8!$B$1:$C$161,2,0),0)</f>
        <v>38.60219545</v>
      </c>
      <c r="U89" s="174">
        <f>IFERROR(VLOOKUP($B89,Surp9!$A$1:$B$161,2,0),0)</f>
        <v>0</v>
      </c>
      <c r="V89" s="175">
        <f>IFERROR(VLOOKUP(U89,Surp9!$B$1:$C$161,2,0),0)</f>
        <v>0</v>
      </c>
      <c r="W89" s="174">
        <f>IFERROR(VLOOKUP($B89,Surp10!$A$1:$B$161,2,0),0)</f>
        <v>0</v>
      </c>
      <c r="X89" s="175">
        <f>IFERROR(VLOOKUP(W89,Surp10!$B$1:$C$161,2,0),0)</f>
        <v>0</v>
      </c>
      <c r="Y89" s="174">
        <f>IFERROR(VLOOKUP($B89,Surp11!$A$1:$B$161,2,0),0)</f>
        <v>0</v>
      </c>
      <c r="Z89" s="175">
        <f>IFERROR(VLOOKUP(Y89,Surp11!$B$1:$C$161,2,0),0)</f>
        <v>0</v>
      </c>
      <c r="AA89" s="175">
        <f>IFERROR(VLOOKUP(E89,Surp1!$B$1:$C$161,2,0),0)</f>
        <v>0</v>
      </c>
      <c r="AB89" s="175">
        <f>IFERROR(VLOOKUP(G89,Surp2!$B$1:$C$161,2,0),0)</f>
        <v>17.63489567</v>
      </c>
      <c r="AC89" s="175">
        <f>IFERROR(VLOOKUP(I89,Surp3!$B$1:$C$161,2,0),0)</f>
        <v>0</v>
      </c>
      <c r="AD89" s="175">
        <f>IFERROR(VLOOKUP(K89,Surp4!$B$1:$C$161,2,0),0)</f>
        <v>228.1194956</v>
      </c>
      <c r="AE89" s="175">
        <f>IFERROR(VLOOKUP(M89,Surp5!$B$1:$C$161,2,0),0)</f>
        <v>0</v>
      </c>
      <c r="AF89" s="175">
        <f>IFERROR(VLOOKUP(O89,Surp6!$B$1:$C$161,2,0),0)</f>
        <v>68.52169982</v>
      </c>
      <c r="AG89" s="175">
        <f>IFERROR(VLOOKUP(Q89,Surp7!$B$1:$C$161,2,0),0)</f>
        <v>0</v>
      </c>
      <c r="AH89" s="175">
        <f>IFERROR(VLOOKUP(S89,Surp8!$B$1:$C$161,2,0),0)</f>
        <v>38.60219545</v>
      </c>
      <c r="AI89" s="175">
        <f>IFERROR(VLOOKUP(U89,Surp9!$B$1:$C$161,2,0),0)</f>
        <v>0</v>
      </c>
      <c r="AJ89" s="175">
        <f>IFERROR(VLOOKUP(W89,Surp10!$B$1:$C$161,2,0),0)</f>
        <v>0</v>
      </c>
      <c r="AK89" s="175">
        <f>IFERROR(VLOOKUP(Y89,Surp11!$B$1:$C$161,2,0),0)</f>
        <v>0</v>
      </c>
    </row>
    <row r="90" ht="15.75" customHeight="1">
      <c r="A90" s="171">
        <v>89.0</v>
      </c>
      <c r="B90" s="25" t="s">
        <v>127</v>
      </c>
      <c r="C90" s="136">
        <f t="shared" si="1"/>
        <v>345.3207205</v>
      </c>
      <c r="D90" s="136"/>
      <c r="E90" s="137">
        <f>IFERROR(VLOOKUP($B90,Surp1!$A$1:$B$161,2,0),0)</f>
        <v>0</v>
      </c>
      <c r="F90" s="97">
        <f>IFERROR(VLOOKUP(E90,Surp1!$B$1:$C$161,2,0),0)</f>
        <v>0</v>
      </c>
      <c r="G90" s="137">
        <f>IFERROR(VLOOKUP($B90,Surp2!$A$1:$B$161,2,0),0)</f>
        <v>0</v>
      </c>
      <c r="H90" s="97">
        <f>IFERROR(VLOOKUP(G90,Surp2!$B$1:$C$161,2,0),0)</f>
        <v>0</v>
      </c>
      <c r="I90" s="137">
        <f>IFERROR(VLOOKUP($B90,Surp3!$A$1:$B$161,2,0),0)</f>
        <v>0</v>
      </c>
      <c r="J90" s="97">
        <f>IFERROR(VLOOKUP(I90,Surp3!$B$1:$C$161,2,0),0)</f>
        <v>0</v>
      </c>
      <c r="K90" s="137">
        <f>IFERROR(VLOOKUP($B90,Surp4!$A$1:$B$161,2,0),0)</f>
        <v>0</v>
      </c>
      <c r="L90" s="97">
        <f>IFERROR(VLOOKUP(K90,Surp4!$B$1:$C$161,2,0),0)</f>
        <v>0</v>
      </c>
      <c r="M90" s="137">
        <f>IFERROR(VLOOKUP($B90,Surp5!$A$1:$B$161,2,0),0)</f>
        <v>0</v>
      </c>
      <c r="N90" s="97">
        <f>IFERROR(VLOOKUP(M90,Surp5!$B$1:$C$161,2,0),0)</f>
        <v>0</v>
      </c>
      <c r="O90" s="137">
        <f>IFERROR(VLOOKUP($B90,Surp6!$A$1:$B$161,2,0),0)</f>
        <v>0</v>
      </c>
      <c r="P90" s="97">
        <f>IFERROR(VLOOKUP(O90,Surp6!$B$1:$C$161,2,0),0)</f>
        <v>0</v>
      </c>
      <c r="Q90" s="137">
        <f>IFERROR(VLOOKUP($B90,Surp7!$A$1:$B$161,2,0),0)</f>
        <v>0</v>
      </c>
      <c r="R90" s="97">
        <f>IFERROR(VLOOKUP(Q90,Surp7!$B$1:$C$161,2,0),0)</f>
        <v>0</v>
      </c>
      <c r="S90" s="137">
        <f>IFERROR(VLOOKUP($B90,Surp8!$A$1:$B$161,2,0),0)</f>
        <v>0</v>
      </c>
      <c r="T90" s="97">
        <f>IFERROR(VLOOKUP(S90,Surp8!$B$1:$C$161,2,0),0)</f>
        <v>0</v>
      </c>
      <c r="U90" s="137">
        <f>IFERROR(VLOOKUP($B90,Surp9!$A$1:$B$161,2,0),0)</f>
        <v>0</v>
      </c>
      <c r="V90" s="97">
        <f>IFERROR(VLOOKUP(U90,Surp9!$B$1:$C$161,2,0),0)</f>
        <v>0</v>
      </c>
      <c r="W90" s="137">
        <f>IFERROR(VLOOKUP($B90,Surp10!$A$1:$B$161,2,0),0)</f>
        <v>8</v>
      </c>
      <c r="X90" s="97">
        <f>IFERROR(VLOOKUP(W90,Surp10!$B$1:$C$161,2,0),0)</f>
        <v>345.3207205</v>
      </c>
      <c r="Y90" s="137">
        <f>IFERROR(VLOOKUP($B90,Surp11!$A$1:$B$161,2,0),0)</f>
        <v>0</v>
      </c>
      <c r="Z90" s="97">
        <f>IFERROR(VLOOKUP(Y90,Surp11!$B$1:$C$161,2,0),0)</f>
        <v>0</v>
      </c>
      <c r="AA90" s="97">
        <f>IFERROR(VLOOKUP(E90,Surp1!$B$1:$C$161,2,0),0)</f>
        <v>0</v>
      </c>
      <c r="AB90" s="97">
        <f>IFERROR(VLOOKUP(G90,Surp2!$B$1:$C$161,2,0),0)</f>
        <v>0</v>
      </c>
      <c r="AC90" s="97">
        <f>IFERROR(VLOOKUP(I90,Surp3!$B$1:$C$161,2,0),0)</f>
        <v>0</v>
      </c>
      <c r="AD90" s="97">
        <f>IFERROR(VLOOKUP(K90,Surp4!$B$1:$C$161,2,0),0)</f>
        <v>0</v>
      </c>
      <c r="AE90" s="97">
        <f>IFERROR(VLOOKUP(M90,Surp5!$B$1:$C$161,2,0),0)</f>
        <v>0</v>
      </c>
      <c r="AF90" s="97">
        <f>IFERROR(VLOOKUP(O90,Surp6!$B$1:$C$161,2,0),0)</f>
        <v>0</v>
      </c>
      <c r="AG90" s="97">
        <f>IFERROR(VLOOKUP(Q90,Surp7!$B$1:$C$161,2,0),0)</f>
        <v>0</v>
      </c>
      <c r="AH90" s="97">
        <f>IFERROR(VLOOKUP(S90,Surp8!$B$1:$C$161,2,0),0)</f>
        <v>0</v>
      </c>
      <c r="AI90" s="97">
        <f>IFERROR(VLOOKUP(U90,Surp9!$B$1:$C$161,2,0),0)</f>
        <v>0</v>
      </c>
      <c r="AJ90" s="97">
        <f>IFERROR(VLOOKUP(W90,Surp10!$B$1:$C$161,2,0),0)</f>
        <v>345.3207205</v>
      </c>
      <c r="AK90" s="97">
        <f>IFERROR(VLOOKUP(Y90,Surp11!$B$1:$C$161,2,0),0)</f>
        <v>0</v>
      </c>
    </row>
    <row r="91" ht="15.75" customHeight="1">
      <c r="A91" s="172">
        <v>90.0</v>
      </c>
      <c r="B91" s="17" t="s">
        <v>234</v>
      </c>
      <c r="C91" s="136">
        <f t="shared" si="1"/>
        <v>327.794898</v>
      </c>
      <c r="D91" s="136"/>
      <c r="E91" s="137">
        <f>IFERROR(VLOOKUP($B91,Surp1!$A$1:$B$161,2,0),0)</f>
        <v>0</v>
      </c>
      <c r="F91" s="97">
        <f>IFERROR(VLOOKUP(E91,Surp1!$B$1:$C$161,2,0),0)</f>
        <v>0</v>
      </c>
      <c r="G91" s="137">
        <f>IFERROR(VLOOKUP($B91,Surp2!$A$1:$B$161,2,0),0)</f>
        <v>0</v>
      </c>
      <c r="H91" s="97">
        <f>IFERROR(VLOOKUP(G91,Surp2!$B$1:$C$161,2,0),0)</f>
        <v>0</v>
      </c>
      <c r="I91" s="137">
        <f>IFERROR(VLOOKUP($B91,Surp3!$A$1:$B$161,2,0),0)</f>
        <v>0</v>
      </c>
      <c r="J91" s="97">
        <f>IFERROR(VLOOKUP(I91,Surp3!$B$1:$C$161,2,0),0)</f>
        <v>0</v>
      </c>
      <c r="K91" s="137">
        <f>IFERROR(VLOOKUP($B91,Surp4!$A$1:$B$161,2,0),0)</f>
        <v>0</v>
      </c>
      <c r="L91" s="97">
        <f>IFERROR(VLOOKUP(K91,Surp4!$B$1:$C$161,2,0),0)</f>
        <v>0</v>
      </c>
      <c r="M91" s="137">
        <f>IFERROR(VLOOKUP($B91,Surp5!$A$1:$B$161,2,0),0)</f>
        <v>0</v>
      </c>
      <c r="N91" s="97">
        <f>IFERROR(VLOOKUP(M91,Surp5!$B$1:$C$161,2,0),0)</f>
        <v>0</v>
      </c>
      <c r="O91" s="137">
        <f>IFERROR(VLOOKUP($B91,Surp6!$A$1:$B$161,2,0),0)</f>
        <v>0</v>
      </c>
      <c r="P91" s="97">
        <f>IFERROR(VLOOKUP(O91,Surp6!$B$1:$C$161,2,0),0)</f>
        <v>0</v>
      </c>
      <c r="Q91" s="137">
        <f>IFERROR(VLOOKUP($B91,Surp7!$A$1:$B$161,2,0),0)</f>
        <v>14</v>
      </c>
      <c r="R91" s="97">
        <f>IFERROR(VLOOKUP(Q91,Surp7!$B$1:$C$161,2,0),0)</f>
        <v>278.6144603</v>
      </c>
      <c r="S91" s="137">
        <f>IFERROR(VLOOKUP($B91,Surp8!$A$1:$B$161,2,0),0)</f>
        <v>0</v>
      </c>
      <c r="T91" s="97">
        <f>IFERROR(VLOOKUP(S91,Surp8!$B$1:$C$161,2,0),0)</f>
        <v>0</v>
      </c>
      <c r="U91" s="137">
        <f>IFERROR(VLOOKUP($B91,Surp9!$A$1:$B$161,2,0),0)</f>
        <v>0</v>
      </c>
      <c r="V91" s="97">
        <f>IFERROR(VLOOKUP(U91,Surp9!$B$1:$C$161,2,0),0)</f>
        <v>0</v>
      </c>
      <c r="W91" s="137">
        <f>IFERROR(VLOOKUP($B91,Surp10!$A$1:$B$161,2,0),0)</f>
        <v>41</v>
      </c>
      <c r="X91" s="97">
        <f>IFERROR(VLOOKUP(W91,Surp10!$B$1:$C$161,2,0),0)</f>
        <v>49.18043774</v>
      </c>
      <c r="Y91" s="137">
        <f>IFERROR(VLOOKUP($B91,Surp11!$A$1:$B$161,2,0),0)</f>
        <v>0</v>
      </c>
      <c r="Z91" s="97">
        <f>IFERROR(VLOOKUP(Y91,Surp11!$B$1:$C$161,2,0),0)</f>
        <v>0</v>
      </c>
      <c r="AA91" s="97">
        <f>IFERROR(VLOOKUP(E91,Surp1!$B$1:$C$161,2,0),0)</f>
        <v>0</v>
      </c>
      <c r="AB91" s="97">
        <f>IFERROR(VLOOKUP(G91,Surp2!$B$1:$C$161,2,0),0)</f>
        <v>0</v>
      </c>
      <c r="AC91" s="97">
        <f>IFERROR(VLOOKUP(I91,Surp3!$B$1:$C$161,2,0),0)</f>
        <v>0</v>
      </c>
      <c r="AD91" s="97">
        <f>IFERROR(VLOOKUP(K91,Surp4!$B$1:$C$161,2,0),0)</f>
        <v>0</v>
      </c>
      <c r="AE91" s="97">
        <f>IFERROR(VLOOKUP(M91,Surp5!$B$1:$C$161,2,0),0)</f>
        <v>0</v>
      </c>
      <c r="AF91" s="97">
        <f>IFERROR(VLOOKUP(O91,Surp6!$B$1:$C$161,2,0),0)</f>
        <v>0</v>
      </c>
      <c r="AG91" s="97">
        <f>IFERROR(VLOOKUP(Q91,Surp7!$B$1:$C$161,2,0),0)</f>
        <v>278.6144603</v>
      </c>
      <c r="AH91" s="97">
        <f>IFERROR(VLOOKUP(S91,Surp8!$B$1:$C$161,2,0),0)</f>
        <v>0</v>
      </c>
      <c r="AI91" s="97">
        <f>IFERROR(VLOOKUP(U91,Surp9!$B$1:$C$161,2,0),0)</f>
        <v>0</v>
      </c>
      <c r="AJ91" s="97">
        <f>IFERROR(VLOOKUP(W91,Surp10!$B$1:$C$161,2,0),0)</f>
        <v>49.18043774</v>
      </c>
      <c r="AK91" s="97">
        <f>IFERROR(VLOOKUP(Y91,Surp11!$B$1:$C$161,2,0),0)</f>
        <v>0</v>
      </c>
    </row>
    <row r="92" ht="15.75" customHeight="1">
      <c r="A92" s="171">
        <v>91.0</v>
      </c>
      <c r="B92" s="6" t="s">
        <v>235</v>
      </c>
      <c r="C92" s="136">
        <f t="shared" si="1"/>
        <v>305.7488787</v>
      </c>
      <c r="D92" s="173"/>
      <c r="E92" s="174">
        <f>IFERROR(VLOOKUP($B92,Surp1!$A$1:$B$161,2,0),0)</f>
        <v>12</v>
      </c>
      <c r="F92" s="175">
        <f>IFERROR(VLOOKUP(E92,Surp1!$B$1:$C$161,2,0),0)</f>
        <v>305.7488787</v>
      </c>
      <c r="G92" s="174">
        <f>IFERROR(VLOOKUP($B92,Surp2!$A$1:$B$161,2,0),0)</f>
        <v>0</v>
      </c>
      <c r="H92" s="175">
        <f>IFERROR(VLOOKUP(G92,Surp2!$B$1:$C$161,2,0),0)</f>
        <v>0</v>
      </c>
      <c r="I92" s="174">
        <f>IFERROR(VLOOKUP($B92,Surp3!$A$1:$B$161,2,0),0)</f>
        <v>0</v>
      </c>
      <c r="J92" s="175">
        <f>IFERROR(VLOOKUP(I92,Surp3!$B$1:$C$161,2,0),0)</f>
        <v>0</v>
      </c>
      <c r="K92" s="174">
        <f>IFERROR(VLOOKUP($B92,Surp4!$A$1:$B$161,2,0),0)</f>
        <v>0</v>
      </c>
      <c r="L92" s="175">
        <f>IFERROR(VLOOKUP(K92,Surp4!$B$1:$C$161,2,0),0)</f>
        <v>0</v>
      </c>
      <c r="M92" s="174">
        <f>IFERROR(VLOOKUP($B92,Surp5!$A$1:$B$161,2,0),0)</f>
        <v>0</v>
      </c>
      <c r="N92" s="175">
        <f>IFERROR(VLOOKUP(M92,Surp5!$B$1:$C$161,2,0),0)</f>
        <v>0</v>
      </c>
      <c r="O92" s="174">
        <f>IFERROR(VLOOKUP($B92,Surp6!$A$1:$B$161,2,0),0)</f>
        <v>0</v>
      </c>
      <c r="P92" s="175">
        <f>IFERROR(VLOOKUP(O92,Surp6!$B$1:$C$161,2,0),0)</f>
        <v>0</v>
      </c>
      <c r="Q92" s="174">
        <f>IFERROR(VLOOKUP($B92,Surp7!$A$1:$B$161,2,0),0)</f>
        <v>0</v>
      </c>
      <c r="R92" s="175">
        <f>IFERROR(VLOOKUP(Q92,Surp7!$B$1:$C$161,2,0),0)</f>
        <v>0</v>
      </c>
      <c r="S92" s="174">
        <f>IFERROR(VLOOKUP($B92,Surp8!$A$1:$B$161,2,0),0)</f>
        <v>0</v>
      </c>
      <c r="T92" s="175">
        <f>IFERROR(VLOOKUP(S92,Surp8!$B$1:$C$161,2,0),0)</f>
        <v>0</v>
      </c>
      <c r="U92" s="174">
        <f>IFERROR(VLOOKUP($B92,Surp9!$A$1:$B$161,2,0),0)</f>
        <v>0</v>
      </c>
      <c r="V92" s="175">
        <f>IFERROR(VLOOKUP(U92,Surp9!$B$1:$C$161,2,0),0)</f>
        <v>0</v>
      </c>
      <c r="W92" s="174">
        <f>IFERROR(VLOOKUP($B92,Surp10!$A$1:$B$161,2,0),0)</f>
        <v>0</v>
      </c>
      <c r="X92" s="175">
        <f>IFERROR(VLOOKUP(W92,Surp10!$B$1:$C$161,2,0),0)</f>
        <v>0</v>
      </c>
      <c r="Y92" s="174">
        <f>IFERROR(VLOOKUP($B92,Surp11!$A$1:$B$161,2,0),0)</f>
        <v>0</v>
      </c>
      <c r="Z92" s="175">
        <f>IFERROR(VLOOKUP(Y92,Surp11!$B$1:$C$161,2,0),0)</f>
        <v>0</v>
      </c>
      <c r="AA92" s="175">
        <f>IFERROR(VLOOKUP(E92,Surp1!$B$1:$C$161,2,0),0)</f>
        <v>305.7488787</v>
      </c>
      <c r="AB92" s="175">
        <f>IFERROR(VLOOKUP(G92,Surp2!$B$1:$C$161,2,0),0)</f>
        <v>0</v>
      </c>
      <c r="AC92" s="175">
        <f>IFERROR(VLOOKUP(I92,Surp3!$B$1:$C$161,2,0),0)</f>
        <v>0</v>
      </c>
      <c r="AD92" s="175">
        <f>IFERROR(VLOOKUP(K92,Surp4!$B$1:$C$161,2,0),0)</f>
        <v>0</v>
      </c>
      <c r="AE92" s="175">
        <f>IFERROR(VLOOKUP(M92,Surp5!$B$1:$C$161,2,0),0)</f>
        <v>0</v>
      </c>
      <c r="AF92" s="175">
        <f>IFERROR(VLOOKUP(O92,Surp6!$B$1:$C$161,2,0),0)</f>
        <v>0</v>
      </c>
      <c r="AG92" s="175">
        <f>IFERROR(VLOOKUP(Q92,Surp7!$B$1:$C$161,2,0),0)</f>
        <v>0</v>
      </c>
      <c r="AH92" s="175">
        <f>IFERROR(VLOOKUP(S92,Surp8!$B$1:$C$161,2,0),0)</f>
        <v>0</v>
      </c>
      <c r="AI92" s="175">
        <f>IFERROR(VLOOKUP(U92,Surp9!$B$1:$C$161,2,0),0)</f>
        <v>0</v>
      </c>
      <c r="AJ92" s="175">
        <f>IFERROR(VLOOKUP(W92,Surp10!$B$1:$C$161,2,0),0)</f>
        <v>0</v>
      </c>
      <c r="AK92" s="175">
        <f>IFERROR(VLOOKUP(Y92,Surp11!$B$1:$C$161,2,0),0)</f>
        <v>0</v>
      </c>
    </row>
    <row r="93" ht="15.75" customHeight="1">
      <c r="A93" s="172">
        <v>92.0</v>
      </c>
      <c r="B93" s="101" t="s">
        <v>72</v>
      </c>
      <c r="C93" s="136">
        <f t="shared" si="1"/>
        <v>296.8134787</v>
      </c>
      <c r="D93" s="136"/>
      <c r="E93" s="137">
        <f>IFERROR(VLOOKUP($B93,Surp1!$A$1:$B$161,2,0),0)</f>
        <v>0</v>
      </c>
      <c r="F93" s="97">
        <f>IFERROR(VLOOKUP(E93,Surp1!$B$1:$C$161,2,0),0)</f>
        <v>0</v>
      </c>
      <c r="G93" s="137">
        <f>IFERROR(VLOOKUP($B93,Surp2!$A$1:$B$161,2,0),0)</f>
        <v>0</v>
      </c>
      <c r="H93" s="97">
        <f>IFERROR(VLOOKUP(G93,Surp2!$B$1:$C$161,2,0),0)</f>
        <v>0</v>
      </c>
      <c r="I93" s="137">
        <f>IFERROR(VLOOKUP($B93,Surp3!$A$1:$B$161,2,0),0)</f>
        <v>34</v>
      </c>
      <c r="J93" s="97">
        <f>IFERROR(VLOOKUP(I93,Surp3!$B$1:$C$161,2,0),0)</f>
        <v>82.6610136</v>
      </c>
      <c r="K93" s="137">
        <f>IFERROR(VLOOKUP($B93,Surp4!$A$1:$B$161,2,0),0)</f>
        <v>0</v>
      </c>
      <c r="L93" s="97">
        <f>IFERROR(VLOOKUP(K93,Surp4!$B$1:$C$161,2,0),0)</f>
        <v>0</v>
      </c>
      <c r="M93" s="137">
        <f>IFERROR(VLOOKUP($B93,Surp5!$A$1:$B$161,2,0),0)</f>
        <v>33</v>
      </c>
      <c r="N93" s="97">
        <f>IFERROR(VLOOKUP(M93,Surp5!$B$1:$C$161,2,0),0)</f>
        <v>110.4505687</v>
      </c>
      <c r="O93" s="137">
        <f>IFERROR(VLOOKUP($B93,Surp6!$A$1:$B$161,2,0),0)</f>
        <v>0</v>
      </c>
      <c r="P93" s="97">
        <f>IFERROR(VLOOKUP(O93,Surp6!$B$1:$C$161,2,0),0)</f>
        <v>0</v>
      </c>
      <c r="Q93" s="137">
        <f>IFERROR(VLOOKUP($B93,Surp7!$A$1:$B$161,2,0),0)</f>
        <v>0</v>
      </c>
      <c r="R93" s="97">
        <f>IFERROR(VLOOKUP(Q93,Surp7!$B$1:$C$161,2,0),0)</f>
        <v>0</v>
      </c>
      <c r="S93" s="137">
        <f>IFERROR(VLOOKUP($B93,Surp8!$A$1:$B$161,2,0),0)</f>
        <v>27</v>
      </c>
      <c r="T93" s="97">
        <f>IFERROR(VLOOKUP(S93,Surp8!$B$1:$C$161,2,0),0)</f>
        <v>103.7018963</v>
      </c>
      <c r="U93" s="137">
        <f>IFERROR(VLOOKUP($B93,Surp9!$A$1:$B$161,2,0),0)</f>
        <v>0</v>
      </c>
      <c r="V93" s="97">
        <f>IFERROR(VLOOKUP(U93,Surp9!$B$1:$C$161,2,0),0)</f>
        <v>0</v>
      </c>
      <c r="W93" s="137">
        <f>IFERROR(VLOOKUP($B93,Surp10!$A$1:$B$161,2,0),0)</f>
        <v>0</v>
      </c>
      <c r="X93" s="97">
        <f>IFERROR(VLOOKUP(W93,Surp10!$B$1:$C$161,2,0),0)</f>
        <v>0</v>
      </c>
      <c r="Y93" s="137">
        <f>IFERROR(VLOOKUP($B93,Surp11!$A$1:$B$161,2,0),0)</f>
        <v>0</v>
      </c>
      <c r="Z93" s="97">
        <f>IFERROR(VLOOKUP(Y93,Surp11!$B$1:$C$161,2,0),0)</f>
        <v>0</v>
      </c>
      <c r="AA93" s="97">
        <f>IFERROR(VLOOKUP(E93,Surp1!$B$1:$C$161,2,0),0)</f>
        <v>0</v>
      </c>
      <c r="AB93" s="97">
        <f>IFERROR(VLOOKUP(G93,Surp2!$B$1:$C$161,2,0),0)</f>
        <v>0</v>
      </c>
      <c r="AC93" s="97">
        <f>IFERROR(VLOOKUP(I93,Surp3!$B$1:$C$161,2,0),0)</f>
        <v>82.6610136</v>
      </c>
      <c r="AD93" s="97">
        <f>IFERROR(VLOOKUP(K93,Surp4!$B$1:$C$161,2,0),0)</f>
        <v>0</v>
      </c>
      <c r="AE93" s="97">
        <f>IFERROR(VLOOKUP(M93,Surp5!$B$1:$C$161,2,0),0)</f>
        <v>110.4505687</v>
      </c>
      <c r="AF93" s="97">
        <f>IFERROR(VLOOKUP(O93,Surp6!$B$1:$C$161,2,0),0)</f>
        <v>0</v>
      </c>
      <c r="AG93" s="97">
        <f>IFERROR(VLOOKUP(Q93,Surp7!$B$1:$C$161,2,0),0)</f>
        <v>0</v>
      </c>
      <c r="AH93" s="97">
        <f>IFERROR(VLOOKUP(S93,Surp8!$B$1:$C$161,2,0),0)</f>
        <v>103.7018963</v>
      </c>
      <c r="AI93" s="97">
        <f>IFERROR(VLOOKUP(U93,Surp9!$B$1:$C$161,2,0),0)</f>
        <v>0</v>
      </c>
      <c r="AJ93" s="97">
        <f>IFERROR(VLOOKUP(W93,Surp10!$B$1:$C$161,2,0),0)</f>
        <v>0</v>
      </c>
      <c r="AK93" s="97">
        <f>IFERROR(VLOOKUP(Y93,Surp11!$B$1:$C$161,2,0),0)</f>
        <v>0</v>
      </c>
    </row>
    <row r="94" ht="15.75" customHeight="1">
      <c r="A94" s="171">
        <v>93.0</v>
      </c>
      <c r="B94" s="25" t="s">
        <v>128</v>
      </c>
      <c r="C94" s="136">
        <f t="shared" si="1"/>
        <v>296.116277</v>
      </c>
      <c r="D94" s="136"/>
      <c r="E94" s="137">
        <f>IFERROR(VLOOKUP($B94,Surp1!$A$1:$B$161,2,0),0)</f>
        <v>0</v>
      </c>
      <c r="F94" s="97">
        <f>IFERROR(VLOOKUP(E94,Surp1!$B$1:$C$161,2,0),0)</f>
        <v>0</v>
      </c>
      <c r="G94" s="137">
        <f>IFERROR(VLOOKUP($B94,Surp2!$A$1:$B$161,2,0),0)</f>
        <v>0</v>
      </c>
      <c r="H94" s="97">
        <f>IFERROR(VLOOKUP(G94,Surp2!$B$1:$C$161,2,0),0)</f>
        <v>0</v>
      </c>
      <c r="I94" s="137">
        <f>IFERROR(VLOOKUP($B94,Surp3!$A$1:$B$161,2,0),0)</f>
        <v>0</v>
      </c>
      <c r="J94" s="97">
        <f>IFERROR(VLOOKUP(I94,Surp3!$B$1:$C$161,2,0),0)</f>
        <v>0</v>
      </c>
      <c r="K94" s="137">
        <f>IFERROR(VLOOKUP($B94,Surp4!$A$1:$B$161,2,0),0)</f>
        <v>0</v>
      </c>
      <c r="L94" s="97">
        <f>IFERROR(VLOOKUP(K94,Surp4!$B$1:$C$161,2,0),0)</f>
        <v>0</v>
      </c>
      <c r="M94" s="137">
        <f>IFERROR(VLOOKUP($B94,Surp5!$A$1:$B$161,2,0),0)</f>
        <v>0</v>
      </c>
      <c r="N94" s="97">
        <f>IFERROR(VLOOKUP(M94,Surp5!$B$1:$C$161,2,0),0)</f>
        <v>0</v>
      </c>
      <c r="O94" s="137">
        <f>IFERROR(VLOOKUP($B94,Surp6!$A$1:$B$161,2,0),0)</f>
        <v>0</v>
      </c>
      <c r="P94" s="97">
        <f>IFERROR(VLOOKUP(O94,Surp6!$B$1:$C$161,2,0),0)</f>
        <v>0</v>
      </c>
      <c r="Q94" s="137">
        <f>IFERROR(VLOOKUP($B94,Surp7!$A$1:$B$161,2,0),0)</f>
        <v>0</v>
      </c>
      <c r="R94" s="97">
        <f>IFERROR(VLOOKUP(Q94,Surp7!$B$1:$C$161,2,0),0)</f>
        <v>0</v>
      </c>
      <c r="S94" s="137">
        <f>IFERROR(VLOOKUP($B94,Surp8!$A$1:$B$161,2,0),0)</f>
        <v>0</v>
      </c>
      <c r="T94" s="97">
        <f>IFERROR(VLOOKUP(S94,Surp8!$B$1:$C$161,2,0),0)</f>
        <v>0</v>
      </c>
      <c r="U94" s="137">
        <f>IFERROR(VLOOKUP($B94,Surp9!$A$1:$B$161,2,0),0)</f>
        <v>0</v>
      </c>
      <c r="V94" s="97">
        <f>IFERROR(VLOOKUP(U94,Surp9!$B$1:$C$161,2,0),0)</f>
        <v>0</v>
      </c>
      <c r="W94" s="137">
        <f>IFERROR(VLOOKUP($B94,Surp10!$A$1:$B$161,2,0),0)</f>
        <v>11</v>
      </c>
      <c r="X94" s="97">
        <f>IFERROR(VLOOKUP(W94,Surp10!$B$1:$C$161,2,0),0)</f>
        <v>296.116277</v>
      </c>
      <c r="Y94" s="137">
        <f>IFERROR(VLOOKUP($B94,Surp11!$A$1:$B$161,2,0),0)</f>
        <v>0</v>
      </c>
      <c r="Z94" s="97">
        <f>IFERROR(VLOOKUP(Y94,Surp11!$B$1:$C$161,2,0),0)</f>
        <v>0</v>
      </c>
      <c r="AA94" s="97">
        <f>IFERROR(VLOOKUP(E94,Surp1!$B$1:$C$161,2,0),0)</f>
        <v>0</v>
      </c>
      <c r="AB94" s="97">
        <f>IFERROR(VLOOKUP(G94,Surp2!$B$1:$C$161,2,0),0)</f>
        <v>0</v>
      </c>
      <c r="AC94" s="97">
        <f>IFERROR(VLOOKUP(I94,Surp3!$B$1:$C$161,2,0),0)</f>
        <v>0</v>
      </c>
      <c r="AD94" s="97">
        <f>IFERROR(VLOOKUP(K94,Surp4!$B$1:$C$161,2,0),0)</f>
        <v>0</v>
      </c>
      <c r="AE94" s="97">
        <f>IFERROR(VLOOKUP(M94,Surp5!$B$1:$C$161,2,0),0)</f>
        <v>0</v>
      </c>
      <c r="AF94" s="97">
        <f>IFERROR(VLOOKUP(O94,Surp6!$B$1:$C$161,2,0),0)</f>
        <v>0</v>
      </c>
      <c r="AG94" s="97">
        <f>IFERROR(VLOOKUP(Q94,Surp7!$B$1:$C$161,2,0),0)</f>
        <v>0</v>
      </c>
      <c r="AH94" s="97">
        <f>IFERROR(VLOOKUP(S94,Surp8!$B$1:$C$161,2,0),0)</f>
        <v>0</v>
      </c>
      <c r="AI94" s="97">
        <f>IFERROR(VLOOKUP(U94,Surp9!$B$1:$C$161,2,0),0)</f>
        <v>0</v>
      </c>
      <c r="AJ94" s="97">
        <f>IFERROR(VLOOKUP(W94,Surp10!$B$1:$C$161,2,0),0)</f>
        <v>296.116277</v>
      </c>
      <c r="AK94" s="97">
        <f>IFERROR(VLOOKUP(Y94,Surp11!$B$1:$C$161,2,0),0)</f>
        <v>0</v>
      </c>
    </row>
    <row r="95" ht="15.75" customHeight="1">
      <c r="A95" s="172">
        <v>94.0</v>
      </c>
      <c r="B95" s="17" t="s">
        <v>122</v>
      </c>
      <c r="C95" s="136">
        <f t="shared" si="1"/>
        <v>290.4250312</v>
      </c>
      <c r="D95" s="136"/>
      <c r="E95" s="137">
        <f>IFERROR(VLOOKUP($B95,Surp1!$A$1:$B$161,2,0),0)</f>
        <v>0</v>
      </c>
      <c r="F95" s="97">
        <f>IFERROR(VLOOKUP(E95,Surp1!$B$1:$C$161,2,0),0)</f>
        <v>0</v>
      </c>
      <c r="G95" s="137">
        <f>IFERROR(VLOOKUP($B95,Surp2!$A$1:$B$161,2,0),0)</f>
        <v>0</v>
      </c>
      <c r="H95" s="97">
        <f>IFERROR(VLOOKUP(G95,Surp2!$B$1:$C$161,2,0),0)</f>
        <v>0</v>
      </c>
      <c r="I95" s="137">
        <f>IFERROR(VLOOKUP($B95,Surp3!$A$1:$B$161,2,0),0)</f>
        <v>0</v>
      </c>
      <c r="J95" s="97">
        <f>IFERROR(VLOOKUP(I95,Surp3!$B$1:$C$161,2,0),0)</f>
        <v>0</v>
      </c>
      <c r="K95" s="137">
        <f>IFERROR(VLOOKUP($B95,Surp4!$A$1:$B$161,2,0),0)</f>
        <v>0</v>
      </c>
      <c r="L95" s="97">
        <f>IFERROR(VLOOKUP(K95,Surp4!$B$1:$C$161,2,0),0)</f>
        <v>0</v>
      </c>
      <c r="M95" s="137">
        <f>IFERROR(VLOOKUP($B95,Surp5!$A$1:$B$161,2,0),0)</f>
        <v>0</v>
      </c>
      <c r="N95" s="97">
        <f>IFERROR(VLOOKUP(M95,Surp5!$B$1:$C$161,2,0),0)</f>
        <v>0</v>
      </c>
      <c r="O95" s="137">
        <f>IFERROR(VLOOKUP($B95,Surp6!$A$1:$B$161,2,0),0)</f>
        <v>13</v>
      </c>
      <c r="P95" s="97">
        <f>IFERROR(VLOOKUP(O95,Surp6!$B$1:$C$161,2,0),0)</f>
        <v>290.4250312</v>
      </c>
      <c r="Q95" s="137">
        <f>IFERROR(VLOOKUP($B95,Surp7!$A$1:$B$161,2,0),0)</f>
        <v>0</v>
      </c>
      <c r="R95" s="97">
        <f>IFERROR(VLOOKUP(Q95,Surp7!$B$1:$C$161,2,0),0)</f>
        <v>0</v>
      </c>
      <c r="S95" s="137">
        <f>IFERROR(VLOOKUP($B95,Surp8!$A$1:$B$161,2,0),0)</f>
        <v>0</v>
      </c>
      <c r="T95" s="97">
        <f>IFERROR(VLOOKUP(S95,Surp8!$B$1:$C$161,2,0),0)</f>
        <v>0</v>
      </c>
      <c r="U95" s="137">
        <f>IFERROR(VLOOKUP($B95,Surp9!$A$1:$B$161,2,0),0)</f>
        <v>0</v>
      </c>
      <c r="V95" s="97">
        <f>IFERROR(VLOOKUP(U95,Surp9!$B$1:$C$161,2,0),0)</f>
        <v>0</v>
      </c>
      <c r="W95" s="137">
        <f>IFERROR(VLOOKUP($B95,Surp10!$A$1:$B$161,2,0),0)</f>
        <v>0</v>
      </c>
      <c r="X95" s="97">
        <f>IFERROR(VLOOKUP(W95,Surp10!$B$1:$C$161,2,0),0)</f>
        <v>0</v>
      </c>
      <c r="Y95" s="137">
        <f>IFERROR(VLOOKUP($B95,Surp11!$A$1:$B$161,2,0),0)</f>
        <v>0</v>
      </c>
      <c r="Z95" s="97">
        <f>IFERROR(VLOOKUP(Y95,Surp11!$B$1:$C$161,2,0),0)</f>
        <v>0</v>
      </c>
      <c r="AA95" s="97">
        <f>IFERROR(VLOOKUP(E95,Surp1!$B$1:$C$161,2,0),0)</f>
        <v>0</v>
      </c>
      <c r="AB95" s="97">
        <f>IFERROR(VLOOKUP(G95,Surp2!$B$1:$C$161,2,0),0)</f>
        <v>0</v>
      </c>
      <c r="AC95" s="97">
        <f>IFERROR(VLOOKUP(I95,Surp3!$B$1:$C$161,2,0),0)</f>
        <v>0</v>
      </c>
      <c r="AD95" s="97">
        <f>IFERROR(VLOOKUP(K95,Surp4!$B$1:$C$161,2,0),0)</f>
        <v>0</v>
      </c>
      <c r="AE95" s="97">
        <f>IFERROR(VLOOKUP(M95,Surp5!$B$1:$C$161,2,0),0)</f>
        <v>0</v>
      </c>
      <c r="AF95" s="97">
        <f>IFERROR(VLOOKUP(O95,Surp6!$B$1:$C$161,2,0),0)</f>
        <v>290.4250312</v>
      </c>
      <c r="AG95" s="97">
        <f>IFERROR(VLOOKUP(Q95,Surp7!$B$1:$C$161,2,0),0)</f>
        <v>0</v>
      </c>
      <c r="AH95" s="97">
        <f>IFERROR(VLOOKUP(S95,Surp8!$B$1:$C$161,2,0),0)</f>
        <v>0</v>
      </c>
      <c r="AI95" s="97">
        <f>IFERROR(VLOOKUP(U95,Surp9!$B$1:$C$161,2,0),0)</f>
        <v>0</v>
      </c>
      <c r="AJ95" s="97">
        <f>IFERROR(VLOOKUP(W95,Surp10!$B$1:$C$161,2,0),0)</f>
        <v>0</v>
      </c>
      <c r="AK95" s="97">
        <f>IFERROR(VLOOKUP(Y95,Surp11!$B$1:$C$161,2,0),0)</f>
        <v>0</v>
      </c>
    </row>
    <row r="96" ht="15.75" customHeight="1">
      <c r="A96" s="171">
        <v>95.0</v>
      </c>
      <c r="B96" s="6" t="s">
        <v>57</v>
      </c>
      <c r="C96" s="136">
        <f t="shared" si="1"/>
        <v>284.3552239</v>
      </c>
      <c r="D96" s="173"/>
      <c r="E96" s="174">
        <f>IFERROR(VLOOKUP($B96,Surp1!$A$1:$B$161,2,0),0)</f>
        <v>42</v>
      </c>
      <c r="F96" s="175">
        <f>IFERROR(VLOOKUP(E96,Surp1!$B$1:$C$161,2,0),0)</f>
        <v>77.75172138</v>
      </c>
      <c r="G96" s="174">
        <f>IFERROR(VLOOKUP($B96,Surp2!$A$1:$B$161,2,0),0)</f>
        <v>0</v>
      </c>
      <c r="H96" s="175">
        <f>IFERROR(VLOOKUP(G96,Surp2!$B$1:$C$161,2,0),0)</f>
        <v>0</v>
      </c>
      <c r="I96" s="174">
        <f>IFERROR(VLOOKUP($B96,Surp3!$A$1:$B$161,2,0),0)</f>
        <v>0</v>
      </c>
      <c r="J96" s="175">
        <f>IFERROR(VLOOKUP(I96,Surp3!$B$1:$C$161,2,0),0)</f>
        <v>0</v>
      </c>
      <c r="K96" s="174">
        <f>IFERROR(VLOOKUP($B96,Surp4!$A$1:$B$161,2,0),0)</f>
        <v>0</v>
      </c>
      <c r="L96" s="175">
        <f>IFERROR(VLOOKUP(K96,Surp4!$B$1:$C$161,2,0),0)</f>
        <v>0</v>
      </c>
      <c r="M96" s="174">
        <f>IFERROR(VLOOKUP($B96,Surp5!$A$1:$B$161,2,0),0)</f>
        <v>0</v>
      </c>
      <c r="N96" s="175">
        <f>IFERROR(VLOOKUP(M96,Surp5!$B$1:$C$161,2,0),0)</f>
        <v>0</v>
      </c>
      <c r="O96" s="174">
        <f>IFERROR(VLOOKUP($B96,Surp6!$A$1:$B$161,2,0),0)</f>
        <v>0</v>
      </c>
      <c r="P96" s="175">
        <f>IFERROR(VLOOKUP(O96,Surp6!$B$1:$C$161,2,0),0)</f>
        <v>0</v>
      </c>
      <c r="Q96" s="174">
        <f>IFERROR(VLOOKUP($B96,Surp7!$A$1:$B$161,2,0),0)</f>
        <v>50</v>
      </c>
      <c r="R96" s="175">
        <f>IFERROR(VLOOKUP(Q96,Surp7!$B$1:$C$161,2,0),0)</f>
        <v>32.99307127</v>
      </c>
      <c r="S96" s="174">
        <f>IFERROR(VLOOKUP($B96,Surp8!$A$1:$B$161,2,0),0)</f>
        <v>19</v>
      </c>
      <c r="T96" s="175">
        <f>IFERROR(VLOOKUP(S96,Surp8!$B$1:$C$161,2,0),0)</f>
        <v>173.6104313</v>
      </c>
      <c r="U96" s="174">
        <f>IFERROR(VLOOKUP($B96,Surp9!$A$1:$B$161,2,0),0)</f>
        <v>0</v>
      </c>
      <c r="V96" s="175">
        <f>IFERROR(VLOOKUP(U96,Surp9!$B$1:$C$161,2,0),0)</f>
        <v>0</v>
      </c>
      <c r="W96" s="174">
        <f>IFERROR(VLOOKUP($B96,Surp10!$A$1:$B$161,2,0),0)</f>
        <v>0</v>
      </c>
      <c r="X96" s="175">
        <f>IFERROR(VLOOKUP(W96,Surp10!$B$1:$C$161,2,0),0)</f>
        <v>0</v>
      </c>
      <c r="Y96" s="174">
        <f>IFERROR(VLOOKUP($B96,Surp11!$A$1:$B$161,2,0),0)</f>
        <v>0</v>
      </c>
      <c r="Z96" s="175">
        <f>IFERROR(VLOOKUP(Y96,Surp11!$B$1:$C$161,2,0),0)</f>
        <v>0</v>
      </c>
      <c r="AA96" s="175">
        <f>IFERROR(VLOOKUP(E96,Surp1!$B$1:$C$161,2,0),0)</f>
        <v>77.75172138</v>
      </c>
      <c r="AB96" s="175">
        <f>IFERROR(VLOOKUP(G96,Surp2!$B$1:$C$161,2,0),0)</f>
        <v>0</v>
      </c>
      <c r="AC96" s="175">
        <f>IFERROR(VLOOKUP(I96,Surp3!$B$1:$C$161,2,0),0)</f>
        <v>0</v>
      </c>
      <c r="AD96" s="175">
        <f>IFERROR(VLOOKUP(K96,Surp4!$B$1:$C$161,2,0),0)</f>
        <v>0</v>
      </c>
      <c r="AE96" s="175">
        <f>IFERROR(VLOOKUP(M96,Surp5!$B$1:$C$161,2,0),0)</f>
        <v>0</v>
      </c>
      <c r="AF96" s="175">
        <f>IFERROR(VLOOKUP(O96,Surp6!$B$1:$C$161,2,0),0)</f>
        <v>0</v>
      </c>
      <c r="AG96" s="175">
        <f>IFERROR(VLOOKUP(Q96,Surp7!$B$1:$C$161,2,0),0)</f>
        <v>32.99307127</v>
      </c>
      <c r="AH96" s="175">
        <f>IFERROR(VLOOKUP(S96,Surp8!$B$1:$C$161,2,0),0)</f>
        <v>173.6104313</v>
      </c>
      <c r="AI96" s="175">
        <f>IFERROR(VLOOKUP(U96,Surp9!$B$1:$C$161,2,0),0)</f>
        <v>0</v>
      </c>
      <c r="AJ96" s="175">
        <f>IFERROR(VLOOKUP(W96,Surp10!$B$1:$C$161,2,0),0)</f>
        <v>0</v>
      </c>
      <c r="AK96" s="175">
        <f>IFERROR(VLOOKUP(Y96,Surp11!$B$1:$C$161,2,0),0)</f>
        <v>0</v>
      </c>
    </row>
    <row r="97" ht="15.75" customHeight="1">
      <c r="A97" s="172">
        <v>96.0</v>
      </c>
      <c r="B97" s="101" t="s">
        <v>129</v>
      </c>
      <c r="C97" s="136">
        <f t="shared" si="1"/>
        <v>279.5708298</v>
      </c>
      <c r="D97" s="136"/>
      <c r="E97" s="137">
        <f>IFERROR(VLOOKUP($B97,Surp1!$A$1:$B$161,2,0),0)</f>
        <v>0</v>
      </c>
      <c r="F97" s="97">
        <f>IFERROR(VLOOKUP(E97,Surp1!$B$1:$C$161,2,0),0)</f>
        <v>0</v>
      </c>
      <c r="G97" s="137">
        <f>IFERROR(VLOOKUP($B97,Surp2!$A$1:$B$161,2,0),0)</f>
        <v>31</v>
      </c>
      <c r="H97" s="97">
        <f>IFERROR(VLOOKUP(G97,Surp2!$B$1:$C$161,2,0),0)</f>
        <v>148.2236435</v>
      </c>
      <c r="I97" s="137">
        <f>IFERROR(VLOOKUP($B97,Surp3!$A$1:$B$161,2,0),0)</f>
        <v>27</v>
      </c>
      <c r="J97" s="97">
        <f>IFERROR(VLOOKUP(I97,Surp3!$B$1:$C$161,2,0),0)</f>
        <v>131.3471862</v>
      </c>
      <c r="K97" s="137">
        <f>IFERROR(VLOOKUP($B97,Surp4!$A$1:$B$161,2,0),0)</f>
        <v>0</v>
      </c>
      <c r="L97" s="97">
        <f>IFERROR(VLOOKUP(K97,Surp4!$B$1:$C$161,2,0),0)</f>
        <v>0</v>
      </c>
      <c r="M97" s="137">
        <f>IFERROR(VLOOKUP($B97,Surp5!$A$1:$B$161,2,0),0)</f>
        <v>0</v>
      </c>
      <c r="N97" s="97">
        <f>IFERROR(VLOOKUP(M97,Surp5!$B$1:$C$161,2,0),0)</f>
        <v>0</v>
      </c>
      <c r="O97" s="137">
        <f>IFERROR(VLOOKUP($B97,Surp6!$A$1:$B$161,2,0),0)</f>
        <v>0</v>
      </c>
      <c r="P97" s="97">
        <f>IFERROR(VLOOKUP(O97,Surp6!$B$1:$C$161,2,0),0)</f>
        <v>0</v>
      </c>
      <c r="Q97" s="137">
        <f>IFERROR(VLOOKUP($B97,Surp7!$A$1:$B$161,2,0),0)</f>
        <v>0</v>
      </c>
      <c r="R97" s="97">
        <f>IFERROR(VLOOKUP(Q97,Surp7!$B$1:$C$161,2,0),0)</f>
        <v>0</v>
      </c>
      <c r="S97" s="137">
        <f>IFERROR(VLOOKUP($B97,Surp8!$A$1:$B$161,2,0),0)</f>
        <v>0</v>
      </c>
      <c r="T97" s="97">
        <f>IFERROR(VLOOKUP(S97,Surp8!$B$1:$C$161,2,0),0)</f>
        <v>0</v>
      </c>
      <c r="U97" s="137">
        <f>IFERROR(VLOOKUP($B97,Surp9!$A$1:$B$161,2,0),0)</f>
        <v>0</v>
      </c>
      <c r="V97" s="97">
        <f>IFERROR(VLOOKUP(U97,Surp9!$B$1:$C$161,2,0),0)</f>
        <v>0</v>
      </c>
      <c r="W97" s="137">
        <f>IFERROR(VLOOKUP($B97,Surp10!$A$1:$B$161,2,0),0)</f>
        <v>0</v>
      </c>
      <c r="X97" s="97">
        <f>IFERROR(VLOOKUP(W97,Surp10!$B$1:$C$161,2,0),0)</f>
        <v>0</v>
      </c>
      <c r="Y97" s="137">
        <f>IFERROR(VLOOKUP($B97,Surp11!$A$1:$B$161,2,0),0)</f>
        <v>0</v>
      </c>
      <c r="Z97" s="97">
        <f>IFERROR(VLOOKUP(Y97,Surp11!$B$1:$C$161,2,0),0)</f>
        <v>0</v>
      </c>
      <c r="AA97" s="97">
        <f>IFERROR(VLOOKUP(E97,Surp1!$B$1:$C$161,2,0),0)</f>
        <v>0</v>
      </c>
      <c r="AB97" s="97">
        <f>IFERROR(VLOOKUP(G97,Surp2!$B$1:$C$161,2,0),0)</f>
        <v>148.2236435</v>
      </c>
      <c r="AC97" s="97">
        <f>IFERROR(VLOOKUP(I97,Surp3!$B$1:$C$161,2,0),0)</f>
        <v>131.3471862</v>
      </c>
      <c r="AD97" s="97">
        <f>IFERROR(VLOOKUP(K97,Surp4!$B$1:$C$161,2,0),0)</f>
        <v>0</v>
      </c>
      <c r="AE97" s="97">
        <f>IFERROR(VLOOKUP(M97,Surp5!$B$1:$C$161,2,0),0)</f>
        <v>0</v>
      </c>
      <c r="AF97" s="97">
        <f>IFERROR(VLOOKUP(O97,Surp6!$B$1:$C$161,2,0),0)</f>
        <v>0</v>
      </c>
      <c r="AG97" s="97">
        <f>IFERROR(VLOOKUP(Q97,Surp7!$B$1:$C$161,2,0),0)</f>
        <v>0</v>
      </c>
      <c r="AH97" s="97">
        <f>IFERROR(VLOOKUP(S97,Surp8!$B$1:$C$161,2,0),0)</f>
        <v>0</v>
      </c>
      <c r="AI97" s="97">
        <f>IFERROR(VLOOKUP(U97,Surp9!$B$1:$C$161,2,0),0)</f>
        <v>0</v>
      </c>
      <c r="AJ97" s="97">
        <f>IFERROR(VLOOKUP(W97,Surp10!$B$1:$C$161,2,0),0)</f>
        <v>0</v>
      </c>
      <c r="AK97" s="97">
        <f>IFERROR(VLOOKUP(Y97,Surp11!$B$1:$C$161,2,0),0)</f>
        <v>0</v>
      </c>
    </row>
    <row r="98" ht="15.75" customHeight="1">
      <c r="A98" s="171">
        <v>97.0</v>
      </c>
      <c r="B98" s="24" t="s">
        <v>109</v>
      </c>
      <c r="C98" s="136">
        <f t="shared" si="1"/>
        <v>274.5543377</v>
      </c>
      <c r="D98" s="136"/>
      <c r="E98" s="137">
        <f>IFERROR(VLOOKUP($B98,Surp1!$A$1:$B$161,2,0),0)</f>
        <v>0</v>
      </c>
      <c r="F98" s="97">
        <f>IFERROR(VLOOKUP(E98,Surp1!$B$1:$C$161,2,0),0)</f>
        <v>0</v>
      </c>
      <c r="G98" s="137">
        <f>IFERROR(VLOOKUP($B98,Surp2!$A$1:$B$161,2,0),0)</f>
        <v>0</v>
      </c>
      <c r="H98" s="97">
        <f>IFERROR(VLOOKUP(G98,Surp2!$B$1:$C$161,2,0),0)</f>
        <v>0</v>
      </c>
      <c r="I98" s="137">
        <f>IFERROR(VLOOKUP($B98,Surp3!$A$1:$B$161,2,0),0)</f>
        <v>0</v>
      </c>
      <c r="J98" s="97">
        <f>IFERROR(VLOOKUP(I98,Surp3!$B$1:$C$161,2,0),0)</f>
        <v>0</v>
      </c>
      <c r="K98" s="137">
        <f>IFERROR(VLOOKUP($B98,Surp4!$A$1:$B$161,2,0),0)</f>
        <v>0</v>
      </c>
      <c r="L98" s="97">
        <f>IFERROR(VLOOKUP(K98,Surp4!$B$1:$C$161,2,0),0)</f>
        <v>0</v>
      </c>
      <c r="M98" s="137">
        <f>IFERROR(VLOOKUP($B98,Surp5!$A$1:$B$161,2,0),0)</f>
        <v>38</v>
      </c>
      <c r="N98" s="97">
        <f>IFERROR(VLOOKUP(M98,Surp5!$B$1:$C$161,2,0),0)</f>
        <v>79.96718452</v>
      </c>
      <c r="O98" s="137">
        <f>IFERROR(VLOOKUP($B98,Surp6!$A$1:$B$161,2,0),0)</f>
        <v>23</v>
      </c>
      <c r="P98" s="97">
        <f>IFERROR(VLOOKUP(O98,Surp6!$B$1:$C$161,2,0),0)</f>
        <v>194.5871531</v>
      </c>
      <c r="Q98" s="137">
        <f>IFERROR(VLOOKUP($B98,Surp7!$A$1:$B$161,2,0),0)</f>
        <v>0</v>
      </c>
      <c r="R98" s="97">
        <f>IFERROR(VLOOKUP(Q98,Surp7!$B$1:$C$161,2,0),0)</f>
        <v>0</v>
      </c>
      <c r="S98" s="137">
        <f>IFERROR(VLOOKUP($B98,Surp8!$A$1:$B$161,2,0),0)</f>
        <v>0</v>
      </c>
      <c r="T98" s="97">
        <f>IFERROR(VLOOKUP(S98,Surp8!$B$1:$C$161,2,0),0)</f>
        <v>0</v>
      </c>
      <c r="U98" s="137">
        <f>IFERROR(VLOOKUP($B98,Surp9!$A$1:$B$161,2,0),0)</f>
        <v>0</v>
      </c>
      <c r="V98" s="97">
        <f>IFERROR(VLOOKUP(U98,Surp9!$B$1:$C$161,2,0),0)</f>
        <v>0</v>
      </c>
      <c r="W98" s="137">
        <f>IFERROR(VLOOKUP($B98,Surp10!$A$1:$B$161,2,0),0)</f>
        <v>0</v>
      </c>
      <c r="X98" s="97">
        <f>IFERROR(VLOOKUP(W98,Surp10!$B$1:$C$161,2,0),0)</f>
        <v>0</v>
      </c>
      <c r="Y98" s="137">
        <f>IFERROR(VLOOKUP($B98,Surp11!$A$1:$B$161,2,0),0)</f>
        <v>0</v>
      </c>
      <c r="Z98" s="97">
        <f>IFERROR(VLOOKUP(Y98,Surp11!$B$1:$C$161,2,0),0)</f>
        <v>0</v>
      </c>
      <c r="AA98" s="97">
        <f>IFERROR(VLOOKUP(E98,Surp1!$B$1:$C$161,2,0),0)</f>
        <v>0</v>
      </c>
      <c r="AB98" s="97">
        <f>IFERROR(VLOOKUP(G98,Surp2!$B$1:$C$161,2,0),0)</f>
        <v>0</v>
      </c>
      <c r="AC98" s="97">
        <f>IFERROR(VLOOKUP(I98,Surp3!$B$1:$C$161,2,0),0)</f>
        <v>0</v>
      </c>
      <c r="AD98" s="97">
        <f>IFERROR(VLOOKUP(K98,Surp4!$B$1:$C$161,2,0),0)</f>
        <v>0</v>
      </c>
      <c r="AE98" s="97">
        <f>IFERROR(VLOOKUP(M98,Surp5!$B$1:$C$161,2,0),0)</f>
        <v>79.96718452</v>
      </c>
      <c r="AF98" s="97">
        <f>IFERROR(VLOOKUP(O98,Surp6!$B$1:$C$161,2,0),0)</f>
        <v>194.5871531</v>
      </c>
      <c r="AG98" s="97">
        <f>IFERROR(VLOOKUP(Q98,Surp7!$B$1:$C$161,2,0),0)</f>
        <v>0</v>
      </c>
      <c r="AH98" s="97">
        <f>IFERROR(VLOOKUP(S98,Surp8!$B$1:$C$161,2,0),0)</f>
        <v>0</v>
      </c>
      <c r="AI98" s="97">
        <f>IFERROR(VLOOKUP(U98,Surp9!$B$1:$C$161,2,0),0)</f>
        <v>0</v>
      </c>
      <c r="AJ98" s="97">
        <f>IFERROR(VLOOKUP(W98,Surp10!$B$1:$C$161,2,0),0)</f>
        <v>0</v>
      </c>
      <c r="AK98" s="97">
        <f>IFERROR(VLOOKUP(Y98,Surp11!$B$1:$C$161,2,0),0)</f>
        <v>0</v>
      </c>
    </row>
    <row r="99" ht="15.75" customHeight="1">
      <c r="A99" s="172">
        <v>98.0</v>
      </c>
      <c r="B99" s="24" t="s">
        <v>236</v>
      </c>
      <c r="C99" s="136">
        <f t="shared" si="1"/>
        <v>260.5946114</v>
      </c>
      <c r="D99" s="136"/>
      <c r="E99" s="137">
        <f>IFERROR(VLOOKUP($B99,Surp1!$A$1:$B$161,2,0),0)</f>
        <v>0</v>
      </c>
      <c r="F99" s="97">
        <f>IFERROR(VLOOKUP(E99,Surp1!$B$1:$C$161,2,0),0)</f>
        <v>0</v>
      </c>
      <c r="G99" s="137">
        <f>IFERROR(VLOOKUP($B99,Surp2!$A$1:$B$161,2,0),0)</f>
        <v>0</v>
      </c>
      <c r="H99" s="97">
        <f>IFERROR(VLOOKUP(G99,Surp2!$B$1:$C$161,2,0),0)</f>
        <v>0</v>
      </c>
      <c r="I99" s="137">
        <f>IFERROR(VLOOKUP($B99,Surp3!$A$1:$B$161,2,0),0)</f>
        <v>0</v>
      </c>
      <c r="J99" s="97">
        <f>IFERROR(VLOOKUP(I99,Surp3!$B$1:$C$161,2,0),0)</f>
        <v>0</v>
      </c>
      <c r="K99" s="137">
        <f>IFERROR(VLOOKUP($B99,Surp4!$A$1:$B$161,2,0),0)</f>
        <v>14</v>
      </c>
      <c r="L99" s="97">
        <f>IFERROR(VLOOKUP(K99,Surp4!$B$1:$C$161,2,0),0)</f>
        <v>260.5946114</v>
      </c>
      <c r="M99" s="137">
        <f>IFERROR(VLOOKUP($B99,Surp5!$A$1:$B$161,2,0),0)</f>
        <v>0</v>
      </c>
      <c r="N99" s="97">
        <f>IFERROR(VLOOKUP(M99,Surp5!$B$1:$C$161,2,0),0)</f>
        <v>0</v>
      </c>
      <c r="O99" s="137">
        <f>IFERROR(VLOOKUP($B99,Surp6!$A$1:$B$161,2,0),0)</f>
        <v>0</v>
      </c>
      <c r="P99" s="97">
        <f>IFERROR(VLOOKUP(O99,Surp6!$B$1:$C$161,2,0),0)</f>
        <v>0</v>
      </c>
      <c r="Q99" s="137">
        <f>IFERROR(VLOOKUP($B99,Surp7!$A$1:$B$161,2,0),0)</f>
        <v>0</v>
      </c>
      <c r="R99" s="97">
        <f>IFERROR(VLOOKUP(Q99,Surp7!$B$1:$C$161,2,0),0)</f>
        <v>0</v>
      </c>
      <c r="S99" s="137">
        <f>IFERROR(VLOOKUP($B99,Surp8!$A$1:$B$161,2,0),0)</f>
        <v>0</v>
      </c>
      <c r="T99" s="97">
        <f>IFERROR(VLOOKUP(S99,Surp8!$B$1:$C$161,2,0),0)</f>
        <v>0</v>
      </c>
      <c r="U99" s="137">
        <f>IFERROR(VLOOKUP($B99,Surp9!$A$1:$B$161,2,0),0)</f>
        <v>0</v>
      </c>
      <c r="V99" s="97">
        <f>IFERROR(VLOOKUP(U99,Surp9!$B$1:$C$161,2,0),0)</f>
        <v>0</v>
      </c>
      <c r="W99" s="137">
        <f>IFERROR(VLOOKUP($B99,Surp10!$A$1:$B$161,2,0),0)</f>
        <v>0</v>
      </c>
      <c r="X99" s="97">
        <f>IFERROR(VLOOKUP(W99,Surp10!$B$1:$C$161,2,0),0)</f>
        <v>0</v>
      </c>
      <c r="Y99" s="137">
        <f>IFERROR(VLOOKUP($B99,Surp11!$A$1:$B$161,2,0),0)</f>
        <v>0</v>
      </c>
      <c r="Z99" s="97">
        <f>IFERROR(VLOOKUP(Y99,Surp11!$B$1:$C$161,2,0),0)</f>
        <v>0</v>
      </c>
      <c r="AA99" s="97">
        <f>IFERROR(VLOOKUP(E99,Surp1!$B$1:$C$161,2,0),0)</f>
        <v>0</v>
      </c>
      <c r="AB99" s="97">
        <f>IFERROR(VLOOKUP(G99,Surp2!$B$1:$C$161,2,0),0)</f>
        <v>0</v>
      </c>
      <c r="AC99" s="97">
        <f>IFERROR(VLOOKUP(I99,Surp3!$B$1:$C$161,2,0),0)</f>
        <v>0</v>
      </c>
      <c r="AD99" s="97">
        <f>IFERROR(VLOOKUP(K99,Surp4!$B$1:$C$161,2,0),0)</f>
        <v>260.5946114</v>
      </c>
      <c r="AE99" s="97">
        <f>IFERROR(VLOOKUP(M99,Surp5!$B$1:$C$161,2,0),0)</f>
        <v>0</v>
      </c>
      <c r="AF99" s="97">
        <f>IFERROR(VLOOKUP(O99,Surp6!$B$1:$C$161,2,0),0)</f>
        <v>0</v>
      </c>
      <c r="AG99" s="97">
        <f>IFERROR(VLOOKUP(Q99,Surp7!$B$1:$C$161,2,0),0)</f>
        <v>0</v>
      </c>
      <c r="AH99" s="97">
        <f>IFERROR(VLOOKUP(S99,Surp8!$B$1:$C$161,2,0),0)</f>
        <v>0</v>
      </c>
      <c r="AI99" s="97">
        <f>IFERROR(VLOOKUP(U99,Surp9!$B$1:$C$161,2,0),0)</f>
        <v>0</v>
      </c>
      <c r="AJ99" s="97">
        <f>IFERROR(VLOOKUP(W99,Surp10!$B$1:$C$161,2,0),0)</f>
        <v>0</v>
      </c>
      <c r="AK99" s="97">
        <f>IFERROR(VLOOKUP(Y99,Surp11!$B$1:$C$161,2,0),0)</f>
        <v>0</v>
      </c>
    </row>
    <row r="100" ht="15.75" customHeight="1">
      <c r="A100" s="171">
        <v>99.0</v>
      </c>
      <c r="B100" s="25" t="s">
        <v>131</v>
      </c>
      <c r="C100" s="136">
        <f t="shared" si="1"/>
        <v>259.0737952</v>
      </c>
      <c r="D100" s="136"/>
      <c r="E100" s="137">
        <f>IFERROR(VLOOKUP($B100,Surp1!$A$1:$B$161,2,0),0)</f>
        <v>0</v>
      </c>
      <c r="F100" s="97">
        <f>IFERROR(VLOOKUP(E100,Surp1!$B$1:$C$161,2,0),0)</f>
        <v>0</v>
      </c>
      <c r="G100" s="137">
        <f>IFERROR(VLOOKUP($B100,Surp2!$A$1:$B$161,2,0),0)</f>
        <v>0</v>
      </c>
      <c r="H100" s="97">
        <f>IFERROR(VLOOKUP(G100,Surp2!$B$1:$C$161,2,0),0)</f>
        <v>0</v>
      </c>
      <c r="I100" s="137">
        <f>IFERROR(VLOOKUP($B100,Surp3!$A$1:$B$161,2,0),0)</f>
        <v>0</v>
      </c>
      <c r="J100" s="97">
        <f>IFERROR(VLOOKUP(I100,Surp3!$B$1:$C$161,2,0),0)</f>
        <v>0</v>
      </c>
      <c r="K100" s="137">
        <f>IFERROR(VLOOKUP($B100,Surp4!$A$1:$B$161,2,0),0)</f>
        <v>0</v>
      </c>
      <c r="L100" s="97">
        <f>IFERROR(VLOOKUP(K100,Surp4!$B$1:$C$161,2,0),0)</f>
        <v>0</v>
      </c>
      <c r="M100" s="137">
        <f>IFERROR(VLOOKUP($B100,Surp5!$A$1:$B$161,2,0),0)</f>
        <v>0</v>
      </c>
      <c r="N100" s="97">
        <f>IFERROR(VLOOKUP(M100,Surp5!$B$1:$C$161,2,0),0)</f>
        <v>0</v>
      </c>
      <c r="O100" s="137">
        <f>IFERROR(VLOOKUP($B100,Surp6!$A$1:$B$161,2,0),0)</f>
        <v>0</v>
      </c>
      <c r="P100" s="97">
        <f>IFERROR(VLOOKUP(O100,Surp6!$B$1:$C$161,2,0),0)</f>
        <v>0</v>
      </c>
      <c r="Q100" s="137">
        <f>IFERROR(VLOOKUP($B100,Surp7!$A$1:$B$161,2,0),0)</f>
        <v>39</v>
      </c>
      <c r="R100" s="97">
        <f>IFERROR(VLOOKUP(Q100,Surp7!$B$1:$C$161,2,0),0)</f>
        <v>90.27626019</v>
      </c>
      <c r="S100" s="137">
        <f>IFERROR(VLOOKUP($B100,Surp8!$A$1:$B$161,2,0),0)</f>
        <v>28</v>
      </c>
      <c r="T100" s="97">
        <f>IFERROR(VLOOKUP(S100,Surp8!$B$1:$C$161,2,0),0)</f>
        <v>95.91243304</v>
      </c>
      <c r="U100" s="137">
        <f>IFERROR(VLOOKUP($B100,Surp9!$A$1:$B$161,2,0),0)</f>
        <v>0</v>
      </c>
      <c r="V100" s="97">
        <f>IFERROR(VLOOKUP(U100,Surp9!$B$1:$C$161,2,0),0)</f>
        <v>0</v>
      </c>
      <c r="W100" s="137">
        <f>IFERROR(VLOOKUP($B100,Surp10!$A$1:$B$161,2,0),0)</f>
        <v>37</v>
      </c>
      <c r="X100" s="97">
        <f>IFERROR(VLOOKUP(W100,Surp10!$B$1:$C$161,2,0),0)</f>
        <v>72.88510202</v>
      </c>
      <c r="Y100" s="137">
        <f>IFERROR(VLOOKUP($B100,Surp11!$A$1:$B$161,2,0),0)</f>
        <v>0</v>
      </c>
      <c r="Z100" s="97">
        <f>IFERROR(VLOOKUP(Y100,Surp11!$B$1:$C$161,2,0),0)</f>
        <v>0</v>
      </c>
      <c r="AA100" s="97">
        <f>IFERROR(VLOOKUP(E100,Surp1!$B$1:$C$161,2,0),0)</f>
        <v>0</v>
      </c>
      <c r="AB100" s="97">
        <f>IFERROR(VLOOKUP(G100,Surp2!$B$1:$C$161,2,0),0)</f>
        <v>0</v>
      </c>
      <c r="AC100" s="97">
        <f>IFERROR(VLOOKUP(I100,Surp3!$B$1:$C$161,2,0),0)</f>
        <v>0</v>
      </c>
      <c r="AD100" s="97">
        <f>IFERROR(VLOOKUP(K100,Surp4!$B$1:$C$161,2,0),0)</f>
        <v>0</v>
      </c>
      <c r="AE100" s="97">
        <f>IFERROR(VLOOKUP(M100,Surp5!$B$1:$C$161,2,0),0)</f>
        <v>0</v>
      </c>
      <c r="AF100" s="97">
        <f>IFERROR(VLOOKUP(O100,Surp6!$B$1:$C$161,2,0),0)</f>
        <v>0</v>
      </c>
      <c r="AG100" s="97">
        <f>IFERROR(VLOOKUP(Q100,Surp7!$B$1:$C$161,2,0),0)</f>
        <v>90.27626019</v>
      </c>
      <c r="AH100" s="97">
        <f>IFERROR(VLOOKUP(S100,Surp8!$B$1:$C$161,2,0),0)</f>
        <v>95.91243304</v>
      </c>
      <c r="AI100" s="97">
        <f>IFERROR(VLOOKUP(U100,Surp9!$B$1:$C$161,2,0),0)</f>
        <v>0</v>
      </c>
      <c r="AJ100" s="97">
        <f>IFERROR(VLOOKUP(W100,Surp10!$B$1:$C$161,2,0),0)</f>
        <v>72.88510202</v>
      </c>
      <c r="AK100" s="97">
        <f>IFERROR(VLOOKUP(Y100,Surp11!$B$1:$C$161,2,0),0)</f>
        <v>0</v>
      </c>
    </row>
    <row r="101" ht="15.75" customHeight="1">
      <c r="A101" s="172">
        <v>100.0</v>
      </c>
      <c r="B101" s="96" t="s">
        <v>132</v>
      </c>
      <c r="C101" s="136">
        <f t="shared" si="1"/>
        <v>249.7893853</v>
      </c>
      <c r="D101" s="93"/>
      <c r="E101" s="94">
        <f>IFERROR(VLOOKUP($B101,Surp1!$A$1:$B$161,2,0),0)</f>
        <v>17</v>
      </c>
      <c r="F101" s="95">
        <f>IFERROR(VLOOKUP(E101,Surp1!$B$1:$C$161,2,0),0)</f>
        <v>249.7893853</v>
      </c>
      <c r="G101" s="94">
        <f>IFERROR(VLOOKUP($B101,Surp2!$A$1:$B$161,2,0),0)</f>
        <v>0</v>
      </c>
      <c r="H101" s="95">
        <f>IFERROR(VLOOKUP(G101,Surp2!$B$1:$C$161,2,0),0)</f>
        <v>0</v>
      </c>
      <c r="I101" s="94">
        <f>IFERROR(VLOOKUP($B101,Surp3!$A$1:$B$161,2,0),0)</f>
        <v>0</v>
      </c>
      <c r="J101" s="95">
        <f>IFERROR(VLOOKUP(I101,Surp3!$B$1:$C$161,2,0),0)</f>
        <v>0</v>
      </c>
      <c r="K101" s="94">
        <f>IFERROR(VLOOKUP($B101,Surp4!$A$1:$B$161,2,0),0)</f>
        <v>0</v>
      </c>
      <c r="L101" s="95">
        <f>IFERROR(VLOOKUP(K101,Surp4!$B$1:$C$161,2,0),0)</f>
        <v>0</v>
      </c>
      <c r="M101" s="94">
        <f>IFERROR(VLOOKUP($B101,Surp5!$A$1:$B$161,2,0),0)</f>
        <v>0</v>
      </c>
      <c r="N101" s="95">
        <f>IFERROR(VLOOKUP(M101,Surp5!$B$1:$C$161,2,0),0)</f>
        <v>0</v>
      </c>
      <c r="O101" s="94">
        <f>IFERROR(VLOOKUP($B101,Surp6!$A$1:$B$161,2,0),0)</f>
        <v>0</v>
      </c>
      <c r="P101" s="95">
        <f>IFERROR(VLOOKUP(O101,Surp6!$B$1:$C$161,2,0),0)</f>
        <v>0</v>
      </c>
      <c r="Q101" s="94">
        <f>IFERROR(VLOOKUP($B101,Surp7!$A$1:$B$161,2,0),0)</f>
        <v>0</v>
      </c>
      <c r="R101" s="95">
        <f>IFERROR(VLOOKUP(Q101,Surp7!$B$1:$C$161,2,0),0)</f>
        <v>0</v>
      </c>
      <c r="S101" s="94">
        <f>IFERROR(VLOOKUP($B101,Surp8!$A$1:$B$161,2,0),0)</f>
        <v>0</v>
      </c>
      <c r="T101" s="95">
        <f>IFERROR(VLOOKUP(S101,Surp8!$B$1:$C$161,2,0),0)</f>
        <v>0</v>
      </c>
      <c r="U101" s="94">
        <f>IFERROR(VLOOKUP($B101,Surp9!$A$1:$B$161,2,0),0)</f>
        <v>0</v>
      </c>
      <c r="V101" s="95">
        <f>IFERROR(VLOOKUP(U101,Surp9!$B$1:$C$161,2,0),0)</f>
        <v>0</v>
      </c>
      <c r="W101" s="94">
        <f>IFERROR(VLOOKUP($B101,Surp10!$A$1:$B$161,2,0),0)</f>
        <v>0</v>
      </c>
      <c r="X101" s="95">
        <f>IFERROR(VLOOKUP(W101,Surp10!$B$1:$C$161,2,0),0)</f>
        <v>0</v>
      </c>
      <c r="Y101" s="94">
        <f>IFERROR(VLOOKUP($B101,Surp11!$A$1:$B$161,2,0),0)</f>
        <v>0</v>
      </c>
      <c r="Z101" s="95">
        <f>IFERROR(VLOOKUP(Y101,Surp11!$B$1:$C$161,2,0),0)</f>
        <v>0</v>
      </c>
      <c r="AA101" s="95">
        <f>IFERROR(VLOOKUP(E101,Surp1!$B$1:$C$161,2,0),0)</f>
        <v>249.7893853</v>
      </c>
      <c r="AB101" s="95">
        <f>IFERROR(VLOOKUP(G101,Surp2!$B$1:$C$161,2,0),0)</f>
        <v>0</v>
      </c>
      <c r="AC101" s="95">
        <f>IFERROR(VLOOKUP(I101,Surp3!$B$1:$C$161,2,0),0)</f>
        <v>0</v>
      </c>
      <c r="AD101" s="95">
        <f>IFERROR(VLOOKUP(K101,Surp4!$B$1:$C$161,2,0),0)</f>
        <v>0</v>
      </c>
      <c r="AE101" s="95">
        <f>IFERROR(VLOOKUP(M101,Surp5!$B$1:$C$161,2,0),0)</f>
        <v>0</v>
      </c>
      <c r="AF101" s="95">
        <f>IFERROR(VLOOKUP(O101,Surp6!$B$1:$C$161,2,0),0)</f>
        <v>0</v>
      </c>
      <c r="AG101" s="95">
        <f>IFERROR(VLOOKUP(Q101,Surp7!$B$1:$C$161,2,0),0)</f>
        <v>0</v>
      </c>
      <c r="AH101" s="95">
        <f>IFERROR(VLOOKUP(S101,Surp8!$B$1:$C$161,2,0),0)</f>
        <v>0</v>
      </c>
      <c r="AI101" s="95">
        <f>IFERROR(VLOOKUP(U101,Surp9!$B$1:$C$161,2,0),0)</f>
        <v>0</v>
      </c>
      <c r="AJ101" s="95">
        <f>IFERROR(VLOOKUP(W101,Surp10!$B$1:$C$161,2,0),0)</f>
        <v>0</v>
      </c>
      <c r="AK101" s="95">
        <f>IFERROR(VLOOKUP(Y101,Surp11!$B$1:$C$161,2,0),0)</f>
        <v>0</v>
      </c>
    </row>
    <row r="102" ht="15.75" customHeight="1">
      <c r="A102" s="171">
        <v>101.0</v>
      </c>
      <c r="B102" s="6" t="s">
        <v>133</v>
      </c>
      <c r="C102" s="136">
        <f t="shared" si="1"/>
        <v>245.9184282</v>
      </c>
      <c r="D102" s="136"/>
      <c r="E102" s="137">
        <f>IFERROR(VLOOKUP($B102,Surp1!$A$1:$B$161,2,0),0)</f>
        <v>0</v>
      </c>
      <c r="F102" s="97">
        <f>IFERROR(VLOOKUP(E102,Surp1!$B$1:$C$161,2,0),0)</f>
        <v>0</v>
      </c>
      <c r="G102" s="137">
        <f>IFERROR(VLOOKUP($B102,Surp2!$A$1:$B$161,2,0),0)</f>
        <v>0</v>
      </c>
      <c r="H102" s="97">
        <f>IFERROR(VLOOKUP(G102,Surp2!$B$1:$C$161,2,0),0)</f>
        <v>0</v>
      </c>
      <c r="I102" s="137">
        <f>IFERROR(VLOOKUP($B102,Surp3!$A$1:$B$161,2,0),0)</f>
        <v>0</v>
      </c>
      <c r="J102" s="97">
        <f>IFERROR(VLOOKUP(I102,Surp3!$B$1:$C$161,2,0),0)</f>
        <v>0</v>
      </c>
      <c r="K102" s="137">
        <f>IFERROR(VLOOKUP($B102,Surp4!$A$1:$B$161,2,0),0)</f>
        <v>0</v>
      </c>
      <c r="L102" s="97">
        <f>IFERROR(VLOOKUP(K102,Surp4!$B$1:$C$161,2,0),0)</f>
        <v>0</v>
      </c>
      <c r="M102" s="137">
        <f>IFERROR(VLOOKUP($B102,Surp5!$A$1:$B$161,2,0),0)</f>
        <v>0</v>
      </c>
      <c r="N102" s="97">
        <f>IFERROR(VLOOKUP(M102,Surp5!$B$1:$C$161,2,0),0)</f>
        <v>0</v>
      </c>
      <c r="O102" s="137">
        <f>IFERROR(VLOOKUP($B102,Surp6!$A$1:$B$161,2,0),0)</f>
        <v>0</v>
      </c>
      <c r="P102" s="97">
        <f>IFERROR(VLOOKUP(O102,Surp6!$B$1:$C$161,2,0),0)</f>
        <v>0</v>
      </c>
      <c r="Q102" s="137">
        <f>IFERROR(VLOOKUP($B102,Surp7!$A$1:$B$161,2,0),0)</f>
        <v>0</v>
      </c>
      <c r="R102" s="97">
        <f>IFERROR(VLOOKUP(Q102,Surp7!$B$1:$C$161,2,0),0)</f>
        <v>0</v>
      </c>
      <c r="S102" s="137">
        <f>IFERROR(VLOOKUP($B102,Surp8!$A$1:$B$161,2,0),0)</f>
        <v>0</v>
      </c>
      <c r="T102" s="97">
        <f>IFERROR(VLOOKUP(S102,Surp8!$B$1:$C$161,2,0),0)</f>
        <v>0</v>
      </c>
      <c r="U102" s="137">
        <f>IFERROR(VLOOKUP($B102,Surp9!$A$1:$B$161,2,0),0)</f>
        <v>0</v>
      </c>
      <c r="V102" s="97">
        <f>IFERROR(VLOOKUP(U102,Surp9!$B$1:$C$161,2,0),0)</f>
        <v>0</v>
      </c>
      <c r="W102" s="137">
        <f>IFERROR(VLOOKUP($B102,Surp10!$A$1:$B$161,2,0),0)</f>
        <v>15</v>
      </c>
      <c r="X102" s="97">
        <f>IFERROR(VLOOKUP(W102,Surp10!$B$1:$C$161,2,0),0)</f>
        <v>245.9184282</v>
      </c>
      <c r="Y102" s="137">
        <f>IFERROR(VLOOKUP($B102,Surp11!$A$1:$B$161,2,0),0)</f>
        <v>0</v>
      </c>
      <c r="Z102" s="97">
        <f>IFERROR(VLOOKUP(Y102,Surp11!$B$1:$C$161,2,0),0)</f>
        <v>0</v>
      </c>
      <c r="AA102" s="97">
        <f>IFERROR(VLOOKUP(E102,Surp1!$B$1:$C$161,2,0),0)</f>
        <v>0</v>
      </c>
      <c r="AB102" s="97">
        <f>IFERROR(VLOOKUP(G102,Surp2!$B$1:$C$161,2,0),0)</f>
        <v>0</v>
      </c>
      <c r="AC102" s="97">
        <f>IFERROR(VLOOKUP(I102,Surp3!$B$1:$C$161,2,0),0)</f>
        <v>0</v>
      </c>
      <c r="AD102" s="97">
        <f>IFERROR(VLOOKUP(K102,Surp4!$B$1:$C$161,2,0),0)</f>
        <v>0</v>
      </c>
      <c r="AE102" s="97">
        <f>IFERROR(VLOOKUP(M102,Surp5!$B$1:$C$161,2,0),0)</f>
        <v>0</v>
      </c>
      <c r="AF102" s="97">
        <f>IFERROR(VLOOKUP(O102,Surp6!$B$1:$C$161,2,0),0)</f>
        <v>0</v>
      </c>
      <c r="AG102" s="97">
        <f>IFERROR(VLOOKUP(Q102,Surp7!$B$1:$C$161,2,0),0)</f>
        <v>0</v>
      </c>
      <c r="AH102" s="97">
        <f>IFERROR(VLOOKUP(S102,Surp8!$B$1:$C$161,2,0),0)</f>
        <v>0</v>
      </c>
      <c r="AI102" s="97">
        <f>IFERROR(VLOOKUP(U102,Surp9!$B$1:$C$161,2,0),0)</f>
        <v>0</v>
      </c>
      <c r="AJ102" s="97">
        <f>IFERROR(VLOOKUP(W102,Surp10!$B$1:$C$161,2,0),0)</f>
        <v>245.9184282</v>
      </c>
      <c r="AK102" s="97">
        <f>IFERROR(VLOOKUP(Y102,Surp11!$B$1:$C$161,2,0),0)</f>
        <v>0</v>
      </c>
    </row>
    <row r="103" ht="15.75" customHeight="1">
      <c r="A103" s="172">
        <v>102.0</v>
      </c>
      <c r="B103" s="25" t="s">
        <v>133</v>
      </c>
      <c r="C103" s="136">
        <f t="shared" si="1"/>
        <v>245.9184282</v>
      </c>
      <c r="D103" s="136"/>
      <c r="E103" s="137">
        <f>IFERROR(VLOOKUP($B103,Surp1!$A$1:$B$161,2,0),0)</f>
        <v>0</v>
      </c>
      <c r="F103" s="97">
        <f>IFERROR(VLOOKUP(E103,Surp1!$B$1:$C$161,2,0),0)</f>
        <v>0</v>
      </c>
      <c r="G103" s="137">
        <f>IFERROR(VLOOKUP($B103,Surp2!$A$1:$B$161,2,0),0)</f>
        <v>0</v>
      </c>
      <c r="H103" s="97">
        <f>IFERROR(VLOOKUP(G103,Surp2!$B$1:$C$161,2,0),0)</f>
        <v>0</v>
      </c>
      <c r="I103" s="137">
        <f>IFERROR(VLOOKUP($B103,Surp3!$A$1:$B$161,2,0),0)</f>
        <v>0</v>
      </c>
      <c r="J103" s="97">
        <f>IFERROR(VLOOKUP(I103,Surp3!$B$1:$C$161,2,0),0)</f>
        <v>0</v>
      </c>
      <c r="K103" s="137">
        <f>IFERROR(VLOOKUP($B103,Surp4!$A$1:$B$161,2,0),0)</f>
        <v>0</v>
      </c>
      <c r="L103" s="97">
        <f>IFERROR(VLOOKUP(K103,Surp4!$B$1:$C$161,2,0),0)</f>
        <v>0</v>
      </c>
      <c r="M103" s="137">
        <f>IFERROR(VLOOKUP($B103,Surp5!$A$1:$B$161,2,0),0)</f>
        <v>0</v>
      </c>
      <c r="N103" s="97">
        <f>IFERROR(VLOOKUP(M103,Surp5!$B$1:$C$161,2,0),0)</f>
        <v>0</v>
      </c>
      <c r="O103" s="137">
        <f>IFERROR(VLOOKUP($B103,Surp6!$A$1:$B$161,2,0),0)</f>
        <v>0</v>
      </c>
      <c r="P103" s="97">
        <f>IFERROR(VLOOKUP(O103,Surp6!$B$1:$C$161,2,0),0)</f>
        <v>0</v>
      </c>
      <c r="Q103" s="137">
        <f>IFERROR(VLOOKUP($B103,Surp7!$A$1:$B$161,2,0),0)</f>
        <v>0</v>
      </c>
      <c r="R103" s="97">
        <f>IFERROR(VLOOKUP(Q103,Surp7!$B$1:$C$161,2,0),0)</f>
        <v>0</v>
      </c>
      <c r="S103" s="137">
        <f>IFERROR(VLOOKUP($B103,Surp8!$A$1:$B$161,2,0),0)</f>
        <v>0</v>
      </c>
      <c r="T103" s="97">
        <f>IFERROR(VLOOKUP(S103,Surp8!$B$1:$C$161,2,0),0)</f>
        <v>0</v>
      </c>
      <c r="U103" s="137">
        <f>IFERROR(VLOOKUP($B103,Surp9!$A$1:$B$161,2,0),0)</f>
        <v>0</v>
      </c>
      <c r="V103" s="97">
        <f>IFERROR(VLOOKUP(U103,Surp9!$B$1:$C$161,2,0),0)</f>
        <v>0</v>
      </c>
      <c r="W103" s="137">
        <f>IFERROR(VLOOKUP($B103,Surp10!$A$1:$B$161,2,0),0)</f>
        <v>15</v>
      </c>
      <c r="X103" s="97">
        <f>IFERROR(VLOOKUP(W103,Surp10!$B$1:$C$161,2,0),0)</f>
        <v>245.9184282</v>
      </c>
      <c r="Y103" s="137">
        <f>IFERROR(VLOOKUP($B103,Surp11!$A$1:$B$161,2,0),0)</f>
        <v>0</v>
      </c>
      <c r="Z103" s="97">
        <f>IFERROR(VLOOKUP(Y103,Surp11!$B$1:$C$161,2,0),0)</f>
        <v>0</v>
      </c>
      <c r="AA103" s="97">
        <f>IFERROR(VLOOKUP(E103,Surp1!$B$1:$C$161,2,0),0)</f>
        <v>0</v>
      </c>
      <c r="AB103" s="97">
        <f>IFERROR(VLOOKUP(G103,Surp2!$B$1:$C$161,2,0),0)</f>
        <v>0</v>
      </c>
      <c r="AC103" s="97">
        <f>IFERROR(VLOOKUP(I103,Surp3!$B$1:$C$161,2,0),0)</f>
        <v>0</v>
      </c>
      <c r="AD103" s="97">
        <f>IFERROR(VLOOKUP(K103,Surp4!$B$1:$C$161,2,0),0)</f>
        <v>0</v>
      </c>
      <c r="AE103" s="97">
        <f>IFERROR(VLOOKUP(M103,Surp5!$B$1:$C$161,2,0),0)</f>
        <v>0</v>
      </c>
      <c r="AF103" s="97">
        <f>IFERROR(VLOOKUP(O103,Surp6!$B$1:$C$161,2,0),0)</f>
        <v>0</v>
      </c>
      <c r="AG103" s="97">
        <f>IFERROR(VLOOKUP(Q103,Surp7!$B$1:$C$161,2,0),0)</f>
        <v>0</v>
      </c>
      <c r="AH103" s="97">
        <f>IFERROR(VLOOKUP(S103,Surp8!$B$1:$C$161,2,0),0)</f>
        <v>0</v>
      </c>
      <c r="AI103" s="97">
        <f>IFERROR(VLOOKUP(U103,Surp9!$B$1:$C$161,2,0),0)</f>
        <v>0</v>
      </c>
      <c r="AJ103" s="97">
        <f>IFERROR(VLOOKUP(W103,Surp10!$B$1:$C$161,2,0),0)</f>
        <v>245.9184282</v>
      </c>
      <c r="AK103" s="97">
        <f>IFERROR(VLOOKUP(Y103,Surp11!$B$1:$C$161,2,0),0)</f>
        <v>0</v>
      </c>
    </row>
    <row r="104" ht="15.75" customHeight="1">
      <c r="A104" s="171">
        <v>103.0</v>
      </c>
      <c r="B104" s="176" t="s">
        <v>39</v>
      </c>
      <c r="C104" s="136">
        <f t="shared" si="1"/>
        <v>237.3653869</v>
      </c>
      <c r="D104" s="136"/>
      <c r="E104" s="137">
        <f>IFERROR(VLOOKUP($B104,Surp1!$A$1:$B$161,2,0),0)</f>
        <v>0</v>
      </c>
      <c r="F104" s="97">
        <f>IFERROR(VLOOKUP(E104,Surp1!$B$1:$C$161,2,0),0)</f>
        <v>0</v>
      </c>
      <c r="G104" s="137">
        <f>IFERROR(VLOOKUP($B104,Surp2!$A$1:$B$161,2,0),0)</f>
        <v>27</v>
      </c>
      <c r="H104" s="97">
        <f>IFERROR(VLOOKUP(G104,Surp2!$B$1:$C$161,2,0),0)</f>
        <v>174.5954449</v>
      </c>
      <c r="I104" s="137">
        <f>IFERROR(VLOOKUP($B104,Surp3!$A$1:$B$161,2,0),0)</f>
        <v>0</v>
      </c>
      <c r="J104" s="97">
        <f>IFERROR(VLOOKUP(I104,Surp3!$B$1:$C$161,2,0),0)</f>
        <v>0</v>
      </c>
      <c r="K104" s="137">
        <f>IFERROR(VLOOKUP($B104,Surp4!$A$1:$B$161,2,0),0)</f>
        <v>0</v>
      </c>
      <c r="L104" s="97">
        <f>IFERROR(VLOOKUP(K104,Surp4!$B$1:$C$161,2,0),0)</f>
        <v>0</v>
      </c>
      <c r="M104" s="137">
        <f>IFERROR(VLOOKUP($B104,Surp5!$A$1:$B$161,2,0),0)</f>
        <v>41</v>
      </c>
      <c r="N104" s="97">
        <f>IFERROR(VLOOKUP(M104,Surp5!$B$1:$C$161,2,0),0)</f>
        <v>62.76994204</v>
      </c>
      <c r="O104" s="137">
        <f>IFERROR(VLOOKUP($B104,Surp6!$A$1:$B$161,2,0),0)</f>
        <v>0</v>
      </c>
      <c r="P104" s="97">
        <f>IFERROR(VLOOKUP(O104,Surp6!$B$1:$C$161,2,0),0)</f>
        <v>0</v>
      </c>
      <c r="Q104" s="137">
        <f>IFERROR(VLOOKUP($B104,Surp7!$A$1:$B$161,2,0),0)</f>
        <v>0</v>
      </c>
      <c r="R104" s="97">
        <f>IFERROR(VLOOKUP(Q104,Surp7!$B$1:$C$161,2,0),0)</f>
        <v>0</v>
      </c>
      <c r="S104" s="137">
        <f>IFERROR(VLOOKUP($B104,Surp8!$A$1:$B$161,2,0),0)</f>
        <v>0</v>
      </c>
      <c r="T104" s="97">
        <f>IFERROR(VLOOKUP(S104,Surp8!$B$1:$C$161,2,0),0)</f>
        <v>0</v>
      </c>
      <c r="U104" s="137">
        <f>IFERROR(VLOOKUP($B104,Surp9!$A$1:$B$161,2,0),0)</f>
        <v>0</v>
      </c>
      <c r="V104" s="97">
        <f>IFERROR(VLOOKUP(U104,Surp9!$B$1:$C$161,2,0),0)</f>
        <v>0</v>
      </c>
      <c r="W104" s="137">
        <f>IFERROR(VLOOKUP($B104,Surp10!$A$1:$B$161,2,0),0)</f>
        <v>0</v>
      </c>
      <c r="X104" s="97">
        <f>IFERROR(VLOOKUP(W104,Surp10!$B$1:$C$161,2,0),0)</f>
        <v>0</v>
      </c>
      <c r="Y104" s="137">
        <f>IFERROR(VLOOKUP($B104,Surp11!$A$1:$B$161,2,0),0)</f>
        <v>0</v>
      </c>
      <c r="Z104" s="97">
        <f>IFERROR(VLOOKUP(Y104,Surp11!$B$1:$C$161,2,0),0)</f>
        <v>0</v>
      </c>
      <c r="AA104" s="97">
        <f>IFERROR(VLOOKUP(E104,Surp1!$B$1:$C$161,2,0),0)</f>
        <v>0</v>
      </c>
      <c r="AB104" s="97">
        <f>IFERROR(VLOOKUP(G104,Surp2!$B$1:$C$161,2,0),0)</f>
        <v>174.5954449</v>
      </c>
      <c r="AC104" s="97">
        <f>IFERROR(VLOOKUP(I104,Surp3!$B$1:$C$161,2,0),0)</f>
        <v>0</v>
      </c>
      <c r="AD104" s="97">
        <f>IFERROR(VLOOKUP(K104,Surp4!$B$1:$C$161,2,0),0)</f>
        <v>0</v>
      </c>
      <c r="AE104" s="97">
        <f>IFERROR(VLOOKUP(M104,Surp5!$B$1:$C$161,2,0),0)</f>
        <v>62.76994204</v>
      </c>
      <c r="AF104" s="97">
        <f>IFERROR(VLOOKUP(O104,Surp6!$B$1:$C$161,2,0),0)</f>
        <v>0</v>
      </c>
      <c r="AG104" s="97">
        <f>IFERROR(VLOOKUP(Q104,Surp7!$B$1:$C$161,2,0),0)</f>
        <v>0</v>
      </c>
      <c r="AH104" s="97">
        <f>IFERROR(VLOOKUP(S104,Surp8!$B$1:$C$161,2,0),0)</f>
        <v>0</v>
      </c>
      <c r="AI104" s="97">
        <f>IFERROR(VLOOKUP(U104,Surp9!$B$1:$C$161,2,0),0)</f>
        <v>0</v>
      </c>
      <c r="AJ104" s="97">
        <f>IFERROR(VLOOKUP(W104,Surp10!$B$1:$C$161,2,0),0)</f>
        <v>0</v>
      </c>
      <c r="AK104" s="97">
        <f>IFERROR(VLOOKUP(Y104,Surp11!$B$1:$C$161,2,0),0)</f>
        <v>0</v>
      </c>
    </row>
    <row r="105" ht="15.75" customHeight="1">
      <c r="A105" s="172">
        <v>104.0</v>
      </c>
      <c r="B105" s="17" t="s">
        <v>99</v>
      </c>
      <c r="C105" s="136">
        <f t="shared" si="1"/>
        <v>237.3087146</v>
      </c>
      <c r="D105" s="136"/>
      <c r="E105" s="137">
        <f>IFERROR(VLOOKUP($B105,Surp1!$A$1:$B$161,2,0),0)</f>
        <v>0</v>
      </c>
      <c r="F105" s="97">
        <f>IFERROR(VLOOKUP(E105,Surp1!$B$1:$C$161,2,0),0)</f>
        <v>0</v>
      </c>
      <c r="G105" s="137">
        <f>IFERROR(VLOOKUP($B105,Surp2!$A$1:$B$161,2,0),0)</f>
        <v>0</v>
      </c>
      <c r="H105" s="97">
        <f>IFERROR(VLOOKUP(G105,Surp2!$B$1:$C$161,2,0),0)</f>
        <v>0</v>
      </c>
      <c r="I105" s="137">
        <f>IFERROR(VLOOKUP($B105,Surp3!$A$1:$B$161,2,0),0)</f>
        <v>0</v>
      </c>
      <c r="J105" s="97">
        <f>IFERROR(VLOOKUP(I105,Surp3!$B$1:$C$161,2,0),0)</f>
        <v>0</v>
      </c>
      <c r="K105" s="137">
        <f>IFERROR(VLOOKUP($B105,Surp4!$A$1:$B$161,2,0),0)</f>
        <v>0</v>
      </c>
      <c r="L105" s="97">
        <f>IFERROR(VLOOKUP(K105,Surp4!$B$1:$C$161,2,0),0)</f>
        <v>0</v>
      </c>
      <c r="M105" s="137">
        <f>IFERROR(VLOOKUP($B105,Surp5!$A$1:$B$161,2,0),0)</f>
        <v>0</v>
      </c>
      <c r="N105" s="97">
        <f>IFERROR(VLOOKUP(M105,Surp5!$B$1:$C$161,2,0),0)</f>
        <v>0</v>
      </c>
      <c r="O105" s="137">
        <f>IFERROR(VLOOKUP($B105,Surp6!$A$1:$B$161,2,0),0)</f>
        <v>18</v>
      </c>
      <c r="P105" s="97">
        <f>IFERROR(VLOOKUP(O105,Surp6!$B$1:$C$161,2,0),0)</f>
        <v>237.3087146</v>
      </c>
      <c r="Q105" s="137">
        <f>IFERROR(VLOOKUP($B105,Surp7!$A$1:$B$161,2,0),0)</f>
        <v>0</v>
      </c>
      <c r="R105" s="97">
        <f>IFERROR(VLOOKUP(Q105,Surp7!$B$1:$C$161,2,0),0)</f>
        <v>0</v>
      </c>
      <c r="S105" s="137">
        <f>IFERROR(VLOOKUP($B105,Surp8!$A$1:$B$161,2,0),0)</f>
        <v>0</v>
      </c>
      <c r="T105" s="97">
        <f>IFERROR(VLOOKUP(S105,Surp8!$B$1:$C$161,2,0),0)</f>
        <v>0</v>
      </c>
      <c r="U105" s="137">
        <f>IFERROR(VLOOKUP($B105,Surp9!$A$1:$B$161,2,0),0)</f>
        <v>0</v>
      </c>
      <c r="V105" s="97">
        <f>IFERROR(VLOOKUP(U105,Surp9!$B$1:$C$161,2,0),0)</f>
        <v>0</v>
      </c>
      <c r="W105" s="137">
        <f>IFERROR(VLOOKUP($B105,Surp10!$A$1:$B$161,2,0),0)</f>
        <v>0</v>
      </c>
      <c r="X105" s="97">
        <f>IFERROR(VLOOKUP(W105,Surp10!$B$1:$C$161,2,0),0)</f>
        <v>0</v>
      </c>
      <c r="Y105" s="137">
        <f>IFERROR(VLOOKUP($B105,Surp11!$A$1:$B$161,2,0),0)</f>
        <v>0</v>
      </c>
      <c r="Z105" s="97">
        <f>IFERROR(VLOOKUP(Y105,Surp11!$B$1:$C$161,2,0),0)</f>
        <v>0</v>
      </c>
      <c r="AA105" s="97">
        <f>IFERROR(VLOOKUP(E105,Surp1!$B$1:$C$161,2,0),0)</f>
        <v>0</v>
      </c>
      <c r="AB105" s="97">
        <f>IFERROR(VLOOKUP(G105,Surp2!$B$1:$C$161,2,0),0)</f>
        <v>0</v>
      </c>
      <c r="AC105" s="97">
        <f>IFERROR(VLOOKUP(I105,Surp3!$B$1:$C$161,2,0),0)</f>
        <v>0</v>
      </c>
      <c r="AD105" s="97">
        <f>IFERROR(VLOOKUP(K105,Surp4!$B$1:$C$161,2,0),0)</f>
        <v>0</v>
      </c>
      <c r="AE105" s="97">
        <f>IFERROR(VLOOKUP(M105,Surp5!$B$1:$C$161,2,0),0)</f>
        <v>0</v>
      </c>
      <c r="AF105" s="97">
        <f>IFERROR(VLOOKUP(O105,Surp6!$B$1:$C$161,2,0),0)</f>
        <v>237.3087146</v>
      </c>
      <c r="AG105" s="97">
        <f>IFERROR(VLOOKUP(Q105,Surp7!$B$1:$C$161,2,0),0)</f>
        <v>0</v>
      </c>
      <c r="AH105" s="97">
        <f>IFERROR(VLOOKUP(S105,Surp8!$B$1:$C$161,2,0),0)</f>
        <v>0</v>
      </c>
      <c r="AI105" s="97">
        <f>IFERROR(VLOOKUP(U105,Surp9!$B$1:$C$161,2,0),0)</f>
        <v>0</v>
      </c>
      <c r="AJ105" s="97">
        <f>IFERROR(VLOOKUP(W105,Surp10!$B$1:$C$161,2,0),0)</f>
        <v>0</v>
      </c>
      <c r="AK105" s="97">
        <f>IFERROR(VLOOKUP(Y105,Surp11!$B$1:$C$161,2,0),0)</f>
        <v>0</v>
      </c>
    </row>
    <row r="106" ht="15.75" customHeight="1">
      <c r="A106" s="171">
        <v>105.0</v>
      </c>
      <c r="B106" s="6" t="s">
        <v>106</v>
      </c>
      <c r="C106" s="136">
        <f t="shared" si="1"/>
        <v>231.0886203</v>
      </c>
      <c r="D106" s="93"/>
      <c r="E106" s="94">
        <f>IFERROR(VLOOKUP($B106,Surp1!$A$1:$B$161,2,0),0)</f>
        <v>19</v>
      </c>
      <c r="F106" s="95">
        <f>IFERROR(VLOOKUP(E106,Surp1!$B$1:$C$161,2,0),0)</f>
        <v>231.0886203</v>
      </c>
      <c r="G106" s="94">
        <f>IFERROR(VLOOKUP($B106,Surp2!$A$1:$B$161,2,0),0)</f>
        <v>0</v>
      </c>
      <c r="H106" s="95">
        <f>IFERROR(VLOOKUP(G106,Surp2!$B$1:$C$161,2,0),0)</f>
        <v>0</v>
      </c>
      <c r="I106" s="94">
        <f>IFERROR(VLOOKUP($B106,Surp3!$A$1:$B$161,2,0),0)</f>
        <v>0</v>
      </c>
      <c r="J106" s="95">
        <f>IFERROR(VLOOKUP(I106,Surp3!$B$1:$C$161,2,0),0)</f>
        <v>0</v>
      </c>
      <c r="K106" s="94">
        <f>IFERROR(VLOOKUP($B106,Surp4!$A$1:$B$161,2,0),0)</f>
        <v>0</v>
      </c>
      <c r="L106" s="95">
        <f>IFERROR(VLOOKUP(K106,Surp4!$B$1:$C$161,2,0),0)</f>
        <v>0</v>
      </c>
      <c r="M106" s="94">
        <f>IFERROR(VLOOKUP($B106,Surp5!$A$1:$B$161,2,0),0)</f>
        <v>0</v>
      </c>
      <c r="N106" s="95">
        <f>IFERROR(VLOOKUP(M106,Surp5!$B$1:$C$161,2,0),0)</f>
        <v>0</v>
      </c>
      <c r="O106" s="94">
        <f>IFERROR(VLOOKUP($B106,Surp6!$A$1:$B$161,2,0),0)</f>
        <v>0</v>
      </c>
      <c r="P106" s="95">
        <f>IFERROR(VLOOKUP(O106,Surp6!$B$1:$C$161,2,0),0)</f>
        <v>0</v>
      </c>
      <c r="Q106" s="94">
        <f>IFERROR(VLOOKUP($B106,Surp7!$A$1:$B$161,2,0),0)</f>
        <v>0</v>
      </c>
      <c r="R106" s="95">
        <f>IFERROR(VLOOKUP(Q106,Surp7!$B$1:$C$161,2,0),0)</f>
        <v>0</v>
      </c>
      <c r="S106" s="94">
        <f>IFERROR(VLOOKUP($B106,Surp8!$A$1:$B$161,2,0),0)</f>
        <v>0</v>
      </c>
      <c r="T106" s="95">
        <f>IFERROR(VLOOKUP(S106,Surp8!$B$1:$C$161,2,0),0)</f>
        <v>0</v>
      </c>
      <c r="U106" s="94">
        <f>IFERROR(VLOOKUP($B106,Surp9!$A$1:$B$161,2,0),0)</f>
        <v>0</v>
      </c>
      <c r="V106" s="95">
        <f>IFERROR(VLOOKUP(U106,Surp9!$B$1:$C$161,2,0),0)</f>
        <v>0</v>
      </c>
      <c r="W106" s="94">
        <f>IFERROR(VLOOKUP($B106,Surp10!$A$1:$B$161,2,0),0)</f>
        <v>0</v>
      </c>
      <c r="X106" s="95">
        <f>IFERROR(VLOOKUP(W106,Surp10!$B$1:$C$161,2,0),0)</f>
        <v>0</v>
      </c>
      <c r="Y106" s="94">
        <f>IFERROR(VLOOKUP($B106,Surp11!$A$1:$B$161,2,0),0)</f>
        <v>0</v>
      </c>
      <c r="Z106" s="95">
        <f>IFERROR(VLOOKUP(Y106,Surp11!$B$1:$C$161,2,0),0)</f>
        <v>0</v>
      </c>
      <c r="AA106" s="95">
        <f>IFERROR(VLOOKUP(E106,Surp1!$B$1:$C$161,2,0),0)</f>
        <v>231.0886203</v>
      </c>
      <c r="AB106" s="95">
        <f>IFERROR(VLOOKUP(G106,Surp2!$B$1:$C$161,2,0),0)</f>
        <v>0</v>
      </c>
      <c r="AC106" s="95">
        <f>IFERROR(VLOOKUP(I106,Surp3!$B$1:$C$161,2,0),0)</f>
        <v>0</v>
      </c>
      <c r="AD106" s="95">
        <f>IFERROR(VLOOKUP(K106,Surp4!$B$1:$C$161,2,0),0)</f>
        <v>0</v>
      </c>
      <c r="AE106" s="95">
        <f>IFERROR(VLOOKUP(M106,Surp5!$B$1:$C$161,2,0),0)</f>
        <v>0</v>
      </c>
      <c r="AF106" s="95">
        <f>IFERROR(VLOOKUP(O106,Surp6!$B$1:$C$161,2,0),0)</f>
        <v>0</v>
      </c>
      <c r="AG106" s="95">
        <f>IFERROR(VLOOKUP(Q106,Surp7!$B$1:$C$161,2,0),0)</f>
        <v>0</v>
      </c>
      <c r="AH106" s="95">
        <f>IFERROR(VLOOKUP(S106,Surp8!$B$1:$C$161,2,0),0)</f>
        <v>0</v>
      </c>
      <c r="AI106" s="95">
        <f>IFERROR(VLOOKUP(U106,Surp9!$B$1:$C$161,2,0),0)</f>
        <v>0</v>
      </c>
      <c r="AJ106" s="95">
        <f>IFERROR(VLOOKUP(W106,Surp10!$B$1:$C$161,2,0),0)</f>
        <v>0</v>
      </c>
      <c r="AK106" s="95">
        <f>IFERROR(VLOOKUP(Y106,Surp11!$B$1:$C$161,2,0),0)</f>
        <v>0</v>
      </c>
    </row>
    <row r="107" ht="15.75" customHeight="1">
      <c r="A107" s="172">
        <v>106.0</v>
      </c>
      <c r="B107" s="17" t="s">
        <v>115</v>
      </c>
      <c r="C107" s="136">
        <f t="shared" si="1"/>
        <v>228.1194956</v>
      </c>
      <c r="D107" s="136"/>
      <c r="E107" s="137">
        <f>IFERROR(VLOOKUP($B107,Surp1!$A$1:$B$161,2,0),0)</f>
        <v>0</v>
      </c>
      <c r="F107" s="97">
        <f>IFERROR(VLOOKUP(E107,Surp1!$B$1:$C$161,2,0),0)</f>
        <v>0</v>
      </c>
      <c r="G107" s="137">
        <f>IFERROR(VLOOKUP($B107,Surp2!$A$1:$B$161,2,0),0)</f>
        <v>0</v>
      </c>
      <c r="H107" s="97">
        <f>IFERROR(VLOOKUP(G107,Surp2!$B$1:$C$161,2,0),0)</f>
        <v>0</v>
      </c>
      <c r="I107" s="137">
        <f>IFERROR(VLOOKUP($B107,Surp3!$A$1:$B$161,2,0),0)</f>
        <v>0</v>
      </c>
      <c r="J107" s="97">
        <f>IFERROR(VLOOKUP(I107,Surp3!$B$1:$C$161,2,0),0)</f>
        <v>0</v>
      </c>
      <c r="K107" s="137">
        <f>IFERROR(VLOOKUP($B107,Surp4!$A$1:$B$161,2,0),0)</f>
        <v>0</v>
      </c>
      <c r="L107" s="97">
        <f>IFERROR(VLOOKUP(K107,Surp4!$B$1:$C$161,2,0),0)</f>
        <v>0</v>
      </c>
      <c r="M107" s="137">
        <f>IFERROR(VLOOKUP($B107,Surp5!$A$1:$B$161,2,0),0)</f>
        <v>0</v>
      </c>
      <c r="N107" s="97">
        <f>IFERROR(VLOOKUP(M107,Surp5!$B$1:$C$161,2,0),0)</f>
        <v>0</v>
      </c>
      <c r="O107" s="137">
        <f>IFERROR(VLOOKUP($B107,Surp6!$A$1:$B$161,2,0),0)</f>
        <v>19</v>
      </c>
      <c r="P107" s="97">
        <f>IFERROR(VLOOKUP(O107,Surp6!$B$1:$C$161,2,0),0)</f>
        <v>228.1194956</v>
      </c>
      <c r="Q107" s="137">
        <f>IFERROR(VLOOKUP($B107,Surp7!$A$1:$B$161,2,0),0)</f>
        <v>0</v>
      </c>
      <c r="R107" s="97">
        <f>IFERROR(VLOOKUP(Q107,Surp7!$B$1:$C$161,2,0),0)</f>
        <v>0</v>
      </c>
      <c r="S107" s="137">
        <f>IFERROR(VLOOKUP($B107,Surp8!$A$1:$B$161,2,0),0)</f>
        <v>0</v>
      </c>
      <c r="T107" s="97">
        <f>IFERROR(VLOOKUP(S107,Surp8!$B$1:$C$161,2,0),0)</f>
        <v>0</v>
      </c>
      <c r="U107" s="137">
        <f>IFERROR(VLOOKUP($B107,Surp9!$A$1:$B$161,2,0),0)</f>
        <v>0</v>
      </c>
      <c r="V107" s="97">
        <f>IFERROR(VLOOKUP(U107,Surp9!$B$1:$C$161,2,0),0)</f>
        <v>0</v>
      </c>
      <c r="W107" s="137">
        <f>IFERROR(VLOOKUP($B107,Surp10!$A$1:$B$161,2,0),0)</f>
        <v>0</v>
      </c>
      <c r="X107" s="97">
        <f>IFERROR(VLOOKUP(W107,Surp10!$B$1:$C$161,2,0),0)</f>
        <v>0</v>
      </c>
      <c r="Y107" s="137">
        <f>IFERROR(VLOOKUP($B107,Surp11!$A$1:$B$161,2,0),0)</f>
        <v>0</v>
      </c>
      <c r="Z107" s="97">
        <f>IFERROR(VLOOKUP(Y107,Surp11!$B$1:$C$161,2,0),0)</f>
        <v>0</v>
      </c>
      <c r="AA107" s="97">
        <f>IFERROR(VLOOKUP(E107,Surp1!$B$1:$C$161,2,0),0)</f>
        <v>0</v>
      </c>
      <c r="AB107" s="97">
        <f>IFERROR(VLOOKUP(G107,Surp2!$B$1:$C$161,2,0),0)</f>
        <v>0</v>
      </c>
      <c r="AC107" s="97">
        <f>IFERROR(VLOOKUP(I107,Surp3!$B$1:$C$161,2,0),0)</f>
        <v>0</v>
      </c>
      <c r="AD107" s="97">
        <f>IFERROR(VLOOKUP(K107,Surp4!$B$1:$C$161,2,0),0)</f>
        <v>0</v>
      </c>
      <c r="AE107" s="97">
        <f>IFERROR(VLOOKUP(M107,Surp5!$B$1:$C$161,2,0),0)</f>
        <v>0</v>
      </c>
      <c r="AF107" s="97">
        <f>IFERROR(VLOOKUP(O107,Surp6!$B$1:$C$161,2,0),0)</f>
        <v>228.1194956</v>
      </c>
      <c r="AG107" s="97">
        <f>IFERROR(VLOOKUP(Q107,Surp7!$B$1:$C$161,2,0),0)</f>
        <v>0</v>
      </c>
      <c r="AH107" s="97">
        <f>IFERROR(VLOOKUP(S107,Surp8!$B$1:$C$161,2,0),0)</f>
        <v>0</v>
      </c>
      <c r="AI107" s="97">
        <f>IFERROR(VLOOKUP(U107,Surp9!$B$1:$C$161,2,0),0)</f>
        <v>0</v>
      </c>
      <c r="AJ107" s="97">
        <f>IFERROR(VLOOKUP(W107,Surp10!$B$1:$C$161,2,0),0)</f>
        <v>0</v>
      </c>
      <c r="AK107" s="97">
        <f>IFERROR(VLOOKUP(Y107,Surp11!$B$1:$C$161,2,0),0)</f>
        <v>0</v>
      </c>
    </row>
    <row r="108" ht="15.75" customHeight="1">
      <c r="A108" s="171">
        <v>107.0</v>
      </c>
      <c r="B108" s="6" t="s">
        <v>71</v>
      </c>
      <c r="C108" s="136">
        <f t="shared" si="1"/>
        <v>225.0697151</v>
      </c>
      <c r="D108" s="173"/>
      <c r="E108" s="174">
        <f>IFERROR(VLOOKUP($B108,Surp1!$A$1:$B$161,2,0),0)</f>
        <v>0</v>
      </c>
      <c r="F108" s="175">
        <f>IFERROR(VLOOKUP(E108,Surp1!$B$1:$C$161,2,0),0)</f>
        <v>0</v>
      </c>
      <c r="G108" s="174">
        <f>IFERROR(VLOOKUP($B108,Surp2!$A$1:$B$161,2,0),0)</f>
        <v>40</v>
      </c>
      <c r="H108" s="175">
        <f>IFERROR(VLOOKUP(G108,Surp2!$B$1:$C$161,2,0),0)</f>
        <v>95.91243304</v>
      </c>
      <c r="I108" s="174">
        <f>IFERROR(VLOOKUP($B108,Surp3!$A$1:$B$161,2,0),0)</f>
        <v>0</v>
      </c>
      <c r="J108" s="175">
        <f>IFERROR(VLOOKUP(I108,Surp3!$B$1:$C$161,2,0),0)</f>
        <v>0</v>
      </c>
      <c r="K108" s="174">
        <f>IFERROR(VLOOKUP($B108,Surp4!$A$1:$B$161,2,0),0)</f>
        <v>29</v>
      </c>
      <c r="L108" s="175">
        <f>IFERROR(VLOOKUP(K108,Surp4!$B$1:$C$161,2,0),0)</f>
        <v>129.157282</v>
      </c>
      <c r="M108" s="174">
        <f>IFERROR(VLOOKUP($B108,Surp5!$A$1:$B$161,2,0),0)</f>
        <v>0</v>
      </c>
      <c r="N108" s="175">
        <f>IFERROR(VLOOKUP(M108,Surp5!$B$1:$C$161,2,0),0)</f>
        <v>0</v>
      </c>
      <c r="O108" s="174">
        <f>IFERROR(VLOOKUP($B108,Surp6!$A$1:$B$161,2,0),0)</f>
        <v>0</v>
      </c>
      <c r="P108" s="175">
        <f>IFERROR(VLOOKUP(O108,Surp6!$B$1:$C$161,2,0),0)</f>
        <v>0</v>
      </c>
      <c r="Q108" s="174">
        <f>IFERROR(VLOOKUP($B108,Surp7!$A$1:$B$161,2,0),0)</f>
        <v>0</v>
      </c>
      <c r="R108" s="175">
        <f>IFERROR(VLOOKUP(Q108,Surp7!$B$1:$C$161,2,0),0)</f>
        <v>0</v>
      </c>
      <c r="S108" s="174">
        <f>IFERROR(VLOOKUP($B108,Surp8!$A$1:$B$161,2,0),0)</f>
        <v>0</v>
      </c>
      <c r="T108" s="175">
        <f>IFERROR(VLOOKUP(S108,Surp8!$B$1:$C$161,2,0),0)</f>
        <v>0</v>
      </c>
      <c r="U108" s="174">
        <f>IFERROR(VLOOKUP($B108,Surp9!$A$1:$B$161,2,0),0)</f>
        <v>0</v>
      </c>
      <c r="V108" s="175">
        <f>IFERROR(VLOOKUP(U108,Surp9!$B$1:$C$161,2,0),0)</f>
        <v>0</v>
      </c>
      <c r="W108" s="174">
        <f>IFERROR(VLOOKUP($B108,Surp10!$A$1:$B$161,2,0),0)</f>
        <v>0</v>
      </c>
      <c r="X108" s="175">
        <f>IFERROR(VLOOKUP(W108,Surp10!$B$1:$C$161,2,0),0)</f>
        <v>0</v>
      </c>
      <c r="Y108" s="174">
        <f>IFERROR(VLOOKUP($B108,Surp11!$A$1:$B$161,2,0),0)</f>
        <v>0</v>
      </c>
      <c r="Z108" s="175">
        <f>IFERROR(VLOOKUP(Y108,Surp11!$B$1:$C$161,2,0),0)</f>
        <v>0</v>
      </c>
      <c r="AA108" s="175">
        <f>IFERROR(VLOOKUP(E108,Surp1!$B$1:$C$161,2,0),0)</f>
        <v>0</v>
      </c>
      <c r="AB108" s="175">
        <f>IFERROR(VLOOKUP(G108,Surp2!$B$1:$C$161,2,0),0)</f>
        <v>95.91243304</v>
      </c>
      <c r="AC108" s="175">
        <f>IFERROR(VLOOKUP(I108,Surp3!$B$1:$C$161,2,0),0)</f>
        <v>0</v>
      </c>
      <c r="AD108" s="175">
        <f>IFERROR(VLOOKUP(K108,Surp4!$B$1:$C$161,2,0),0)</f>
        <v>129.157282</v>
      </c>
      <c r="AE108" s="175">
        <f>IFERROR(VLOOKUP(M108,Surp5!$B$1:$C$161,2,0),0)</f>
        <v>0</v>
      </c>
      <c r="AF108" s="175">
        <f>IFERROR(VLOOKUP(O108,Surp6!$B$1:$C$161,2,0),0)</f>
        <v>0</v>
      </c>
      <c r="AG108" s="175">
        <f>IFERROR(VLOOKUP(Q108,Surp7!$B$1:$C$161,2,0),0)</f>
        <v>0</v>
      </c>
      <c r="AH108" s="175">
        <f>IFERROR(VLOOKUP(S108,Surp8!$B$1:$C$161,2,0),0)</f>
        <v>0</v>
      </c>
      <c r="AI108" s="175">
        <f>IFERROR(VLOOKUP(U108,Surp9!$B$1:$C$161,2,0),0)</f>
        <v>0</v>
      </c>
      <c r="AJ108" s="175">
        <f>IFERROR(VLOOKUP(W108,Surp10!$B$1:$C$161,2,0),0)</f>
        <v>0</v>
      </c>
      <c r="AK108" s="175">
        <f>IFERROR(VLOOKUP(Y108,Surp11!$B$1:$C$161,2,0),0)</f>
        <v>0</v>
      </c>
    </row>
    <row r="109" ht="15.75" customHeight="1">
      <c r="A109" s="172">
        <v>108.0</v>
      </c>
      <c r="B109" s="6" t="s">
        <v>95</v>
      </c>
      <c r="C109" s="136">
        <f t="shared" si="1"/>
        <v>210.9704703</v>
      </c>
      <c r="D109" s="173"/>
      <c r="E109" s="174">
        <f>IFERROR(VLOOKUP($B109,Surp1!$A$1:$B$161,2,0),0)</f>
        <v>0</v>
      </c>
      <c r="F109" s="175">
        <f>IFERROR(VLOOKUP(E109,Surp1!$B$1:$C$161,2,0),0)</f>
        <v>0</v>
      </c>
      <c r="G109" s="174">
        <f>IFERROR(VLOOKUP($B109,Surp2!$A$1:$B$161,2,0),0)</f>
        <v>0</v>
      </c>
      <c r="H109" s="175">
        <f>IFERROR(VLOOKUP(G109,Surp2!$B$1:$C$161,2,0),0)</f>
        <v>0</v>
      </c>
      <c r="I109" s="174">
        <f>IFERROR(VLOOKUP($B109,Surp3!$A$1:$B$161,2,0),0)</f>
        <v>0</v>
      </c>
      <c r="J109" s="175">
        <f>IFERROR(VLOOKUP(I109,Surp3!$B$1:$C$161,2,0),0)</f>
        <v>0</v>
      </c>
      <c r="K109" s="174">
        <f>IFERROR(VLOOKUP($B109,Surp4!$A$1:$B$161,2,0),0)</f>
        <v>0</v>
      </c>
      <c r="L109" s="175">
        <f>IFERROR(VLOOKUP(K109,Surp4!$B$1:$C$161,2,0),0)</f>
        <v>0</v>
      </c>
      <c r="M109" s="174">
        <f>IFERROR(VLOOKUP($B109,Surp5!$A$1:$B$161,2,0),0)</f>
        <v>0</v>
      </c>
      <c r="N109" s="175">
        <f>IFERROR(VLOOKUP(M109,Surp5!$B$1:$C$161,2,0),0)</f>
        <v>0</v>
      </c>
      <c r="O109" s="174">
        <f>IFERROR(VLOOKUP($B109,Surp6!$A$1:$B$161,2,0),0)</f>
        <v>0</v>
      </c>
      <c r="P109" s="175">
        <f>IFERROR(VLOOKUP(O109,Surp6!$B$1:$C$161,2,0),0)</f>
        <v>0</v>
      </c>
      <c r="Q109" s="174">
        <f>IFERROR(VLOOKUP($B109,Surp7!$A$1:$B$161,2,0),0)</f>
        <v>0</v>
      </c>
      <c r="R109" s="175">
        <f>IFERROR(VLOOKUP(Q109,Surp7!$B$1:$C$161,2,0),0)</f>
        <v>0</v>
      </c>
      <c r="S109" s="174">
        <f>IFERROR(VLOOKUP($B109,Surp8!$A$1:$B$161,2,0),0)</f>
        <v>0</v>
      </c>
      <c r="T109" s="175">
        <f>IFERROR(VLOOKUP(S109,Surp8!$B$1:$C$161,2,0),0)</f>
        <v>0</v>
      </c>
      <c r="U109" s="174">
        <f>IFERROR(VLOOKUP($B109,Surp9!$A$1:$B$161,2,0),0)</f>
        <v>37</v>
      </c>
      <c r="V109" s="175">
        <f>IFERROR(VLOOKUP(U109,Surp9!$B$1:$C$161,2,0),0)</f>
        <v>48.54041875</v>
      </c>
      <c r="W109" s="174">
        <f>IFERROR(VLOOKUP($B109,Surp10!$A$1:$B$161,2,0),0)</f>
        <v>24</v>
      </c>
      <c r="X109" s="175">
        <f>IFERROR(VLOOKUP(W109,Surp10!$B$1:$C$161,2,0),0)</f>
        <v>162.4300516</v>
      </c>
      <c r="Y109" s="174">
        <f>IFERROR(VLOOKUP($B109,Surp11!$A$1:$B$161,2,0),0)</f>
        <v>0</v>
      </c>
      <c r="Z109" s="175">
        <f>IFERROR(VLOOKUP(Y109,Surp11!$B$1:$C$161,2,0),0)</f>
        <v>0</v>
      </c>
      <c r="AA109" s="175">
        <f>IFERROR(VLOOKUP(E109,Surp1!$B$1:$C$161,2,0),0)</f>
        <v>0</v>
      </c>
      <c r="AB109" s="175">
        <f>IFERROR(VLOOKUP(G109,Surp2!$B$1:$C$161,2,0),0)</f>
        <v>0</v>
      </c>
      <c r="AC109" s="175">
        <f>IFERROR(VLOOKUP(I109,Surp3!$B$1:$C$161,2,0),0)</f>
        <v>0</v>
      </c>
      <c r="AD109" s="175">
        <f>IFERROR(VLOOKUP(K109,Surp4!$B$1:$C$161,2,0),0)</f>
        <v>0</v>
      </c>
      <c r="AE109" s="175">
        <f>IFERROR(VLOOKUP(M109,Surp5!$B$1:$C$161,2,0),0)</f>
        <v>0</v>
      </c>
      <c r="AF109" s="175">
        <f>IFERROR(VLOOKUP(O109,Surp6!$B$1:$C$161,2,0),0)</f>
        <v>0</v>
      </c>
      <c r="AG109" s="175">
        <f>IFERROR(VLOOKUP(Q109,Surp7!$B$1:$C$161,2,0),0)</f>
        <v>0</v>
      </c>
      <c r="AH109" s="175">
        <f>IFERROR(VLOOKUP(S109,Surp8!$B$1:$C$161,2,0),0)</f>
        <v>0</v>
      </c>
      <c r="AI109" s="175">
        <f>IFERROR(VLOOKUP(U109,Surp9!$B$1:$C$161,2,0),0)</f>
        <v>48.54041875</v>
      </c>
      <c r="AJ109" s="175">
        <f>IFERROR(VLOOKUP(W109,Surp10!$B$1:$C$161,2,0),0)</f>
        <v>162.4300516</v>
      </c>
      <c r="AK109" s="175">
        <f>IFERROR(VLOOKUP(Y109,Surp11!$B$1:$C$161,2,0),0)</f>
        <v>0</v>
      </c>
    </row>
    <row r="110" ht="15.75" customHeight="1">
      <c r="A110" s="171">
        <v>109.0</v>
      </c>
      <c r="B110" s="177" t="s">
        <v>136</v>
      </c>
      <c r="C110" s="136">
        <f t="shared" si="1"/>
        <v>205.636017</v>
      </c>
      <c r="D110" s="173"/>
      <c r="E110" s="174">
        <f>IFERROR(VLOOKUP($B110,Surp1!$A$1:$B$161,2,0),0)</f>
        <v>22</v>
      </c>
      <c r="F110" s="175">
        <f>IFERROR(VLOOKUP(E110,Surp1!$B$1:$C$161,2,0),0)</f>
        <v>205.636017</v>
      </c>
      <c r="G110" s="174">
        <f>IFERROR(VLOOKUP($B110,Surp2!$A$1:$B$161,2,0),0)</f>
        <v>0</v>
      </c>
      <c r="H110" s="175">
        <f>IFERROR(VLOOKUP(G110,Surp2!$B$1:$C$161,2,0),0)</f>
        <v>0</v>
      </c>
      <c r="I110" s="174">
        <f>IFERROR(VLOOKUP($B110,Surp3!$A$1:$B$161,2,0),0)</f>
        <v>0</v>
      </c>
      <c r="J110" s="175">
        <f>IFERROR(VLOOKUP(I110,Surp3!$B$1:$C$161,2,0),0)</f>
        <v>0</v>
      </c>
      <c r="K110" s="174">
        <f>IFERROR(VLOOKUP($B110,Surp4!$A$1:$B$161,2,0),0)</f>
        <v>0</v>
      </c>
      <c r="L110" s="175">
        <f>IFERROR(VLOOKUP(K110,Surp4!$B$1:$C$161,2,0),0)</f>
        <v>0</v>
      </c>
      <c r="M110" s="174">
        <f>IFERROR(VLOOKUP($B110,Surp5!$A$1:$B$161,2,0),0)</f>
        <v>0</v>
      </c>
      <c r="N110" s="175">
        <f>IFERROR(VLOOKUP(M110,Surp5!$B$1:$C$161,2,0),0)</f>
        <v>0</v>
      </c>
      <c r="O110" s="174">
        <f>IFERROR(VLOOKUP($B110,Surp6!$A$1:$B$161,2,0),0)</f>
        <v>0</v>
      </c>
      <c r="P110" s="175">
        <f>IFERROR(VLOOKUP(O110,Surp6!$B$1:$C$161,2,0),0)</f>
        <v>0</v>
      </c>
      <c r="Q110" s="174">
        <f>IFERROR(VLOOKUP($B110,Surp7!$A$1:$B$161,2,0),0)</f>
        <v>0</v>
      </c>
      <c r="R110" s="175">
        <f>IFERROR(VLOOKUP(Q110,Surp7!$B$1:$C$161,2,0),0)</f>
        <v>0</v>
      </c>
      <c r="S110" s="174">
        <f>IFERROR(VLOOKUP($B110,Surp8!$A$1:$B$161,2,0),0)</f>
        <v>0</v>
      </c>
      <c r="T110" s="175">
        <f>IFERROR(VLOOKUP(S110,Surp8!$B$1:$C$161,2,0),0)</f>
        <v>0</v>
      </c>
      <c r="U110" s="174">
        <f>IFERROR(VLOOKUP($B110,Surp9!$A$1:$B$161,2,0),0)</f>
        <v>0</v>
      </c>
      <c r="V110" s="175">
        <f>IFERROR(VLOOKUP(U110,Surp9!$B$1:$C$161,2,0),0)</f>
        <v>0</v>
      </c>
      <c r="W110" s="174">
        <f>IFERROR(VLOOKUP($B110,Surp10!$A$1:$B$161,2,0),0)</f>
        <v>0</v>
      </c>
      <c r="X110" s="175">
        <f>IFERROR(VLOOKUP(W110,Surp10!$B$1:$C$161,2,0),0)</f>
        <v>0</v>
      </c>
      <c r="Y110" s="174">
        <f>IFERROR(VLOOKUP($B110,Surp11!$A$1:$B$161,2,0),0)</f>
        <v>0</v>
      </c>
      <c r="Z110" s="175">
        <f>IFERROR(VLOOKUP(Y110,Surp11!$B$1:$C$161,2,0),0)</f>
        <v>0</v>
      </c>
      <c r="AA110" s="175">
        <f>IFERROR(VLOOKUP(E110,Surp1!$B$1:$C$161,2,0),0)</f>
        <v>205.636017</v>
      </c>
      <c r="AB110" s="175">
        <f>IFERROR(VLOOKUP(G110,Surp2!$B$1:$C$161,2,0),0)</f>
        <v>0</v>
      </c>
      <c r="AC110" s="175">
        <f>IFERROR(VLOOKUP(I110,Surp3!$B$1:$C$161,2,0),0)</f>
        <v>0</v>
      </c>
      <c r="AD110" s="175">
        <f>IFERROR(VLOOKUP(K110,Surp4!$B$1:$C$161,2,0),0)</f>
        <v>0</v>
      </c>
      <c r="AE110" s="175">
        <f>IFERROR(VLOOKUP(M110,Surp5!$B$1:$C$161,2,0),0)</f>
        <v>0</v>
      </c>
      <c r="AF110" s="175">
        <f>IFERROR(VLOOKUP(O110,Surp6!$B$1:$C$161,2,0),0)</f>
        <v>0</v>
      </c>
      <c r="AG110" s="175">
        <f>IFERROR(VLOOKUP(Q110,Surp7!$B$1:$C$161,2,0),0)</f>
        <v>0</v>
      </c>
      <c r="AH110" s="175">
        <f>IFERROR(VLOOKUP(S110,Surp8!$B$1:$C$161,2,0),0)</f>
        <v>0</v>
      </c>
      <c r="AI110" s="175">
        <f>IFERROR(VLOOKUP(U110,Surp9!$B$1:$C$161,2,0),0)</f>
        <v>0</v>
      </c>
      <c r="AJ110" s="175">
        <f>IFERROR(VLOOKUP(W110,Surp10!$B$1:$C$161,2,0),0)</f>
        <v>0</v>
      </c>
      <c r="AK110" s="175">
        <f>IFERROR(VLOOKUP(Y110,Surp11!$B$1:$C$161,2,0),0)</f>
        <v>0</v>
      </c>
    </row>
    <row r="111" ht="15.75" customHeight="1">
      <c r="A111" s="172">
        <v>110.0</v>
      </c>
      <c r="B111" s="101" t="s">
        <v>137</v>
      </c>
      <c r="C111" s="136">
        <f t="shared" si="1"/>
        <v>203.7650405</v>
      </c>
      <c r="D111" s="136"/>
      <c r="E111" s="137">
        <f>IFERROR(VLOOKUP($B111,Surp1!$A$1:$B$161,2,0),0)</f>
        <v>0</v>
      </c>
      <c r="F111" s="97">
        <f>IFERROR(VLOOKUP(E111,Surp1!$B$1:$C$161,2,0),0)</f>
        <v>0</v>
      </c>
      <c r="G111" s="137">
        <f>IFERROR(VLOOKUP($B111,Surp2!$A$1:$B$161,2,0),0)</f>
        <v>23</v>
      </c>
      <c r="H111" s="97">
        <f>IFERROR(VLOOKUP(G111,Surp2!$B$1:$C$161,2,0),0)</f>
        <v>203.7650405</v>
      </c>
      <c r="I111" s="137">
        <f>IFERROR(VLOOKUP($B111,Surp3!$A$1:$B$161,2,0),0)</f>
        <v>0</v>
      </c>
      <c r="J111" s="97">
        <f>IFERROR(VLOOKUP(I111,Surp3!$B$1:$C$161,2,0),0)</f>
        <v>0</v>
      </c>
      <c r="K111" s="137">
        <f>IFERROR(VLOOKUP($B111,Surp4!$A$1:$B$161,2,0),0)</f>
        <v>0</v>
      </c>
      <c r="L111" s="97">
        <f>IFERROR(VLOOKUP(K111,Surp4!$B$1:$C$161,2,0),0)</f>
        <v>0</v>
      </c>
      <c r="M111" s="137">
        <f>IFERROR(VLOOKUP($B111,Surp5!$A$1:$B$161,2,0),0)</f>
        <v>0</v>
      </c>
      <c r="N111" s="97">
        <f>IFERROR(VLOOKUP(M111,Surp5!$B$1:$C$161,2,0),0)</f>
        <v>0</v>
      </c>
      <c r="O111" s="137">
        <f>IFERROR(VLOOKUP($B111,Surp6!$A$1:$B$161,2,0),0)</f>
        <v>0</v>
      </c>
      <c r="P111" s="97">
        <f>IFERROR(VLOOKUP(O111,Surp6!$B$1:$C$161,2,0),0)</f>
        <v>0</v>
      </c>
      <c r="Q111" s="137">
        <f>IFERROR(VLOOKUP($B111,Surp7!$A$1:$B$161,2,0),0)</f>
        <v>0</v>
      </c>
      <c r="R111" s="97">
        <f>IFERROR(VLOOKUP(Q111,Surp7!$B$1:$C$161,2,0),0)</f>
        <v>0</v>
      </c>
      <c r="S111" s="137">
        <f>IFERROR(VLOOKUP($B111,Surp8!$A$1:$B$161,2,0),0)</f>
        <v>0</v>
      </c>
      <c r="T111" s="97">
        <f>IFERROR(VLOOKUP(S111,Surp8!$B$1:$C$161,2,0),0)</f>
        <v>0</v>
      </c>
      <c r="U111" s="137">
        <f>IFERROR(VLOOKUP($B111,Surp9!$A$1:$B$161,2,0),0)</f>
        <v>0</v>
      </c>
      <c r="V111" s="97">
        <f>IFERROR(VLOOKUP(U111,Surp9!$B$1:$C$161,2,0),0)</f>
        <v>0</v>
      </c>
      <c r="W111" s="137">
        <f>IFERROR(VLOOKUP($B111,Surp10!$A$1:$B$161,2,0),0)</f>
        <v>0</v>
      </c>
      <c r="X111" s="97">
        <f>IFERROR(VLOOKUP(W111,Surp10!$B$1:$C$161,2,0),0)</f>
        <v>0</v>
      </c>
      <c r="Y111" s="137">
        <f>IFERROR(VLOOKUP($B111,Surp11!$A$1:$B$161,2,0),0)</f>
        <v>0</v>
      </c>
      <c r="Z111" s="97">
        <f>IFERROR(VLOOKUP(Y111,Surp11!$B$1:$C$161,2,0),0)</f>
        <v>0</v>
      </c>
      <c r="AA111" s="97">
        <f>IFERROR(VLOOKUP(E111,Surp1!$B$1:$C$161,2,0),0)</f>
        <v>0</v>
      </c>
      <c r="AB111" s="97">
        <f>IFERROR(VLOOKUP(G111,Surp2!$B$1:$C$161,2,0),0)</f>
        <v>203.7650405</v>
      </c>
      <c r="AC111" s="97">
        <f>IFERROR(VLOOKUP(I111,Surp3!$B$1:$C$161,2,0),0)</f>
        <v>0</v>
      </c>
      <c r="AD111" s="97">
        <f>IFERROR(VLOOKUP(K111,Surp4!$B$1:$C$161,2,0),0)</f>
        <v>0</v>
      </c>
      <c r="AE111" s="97">
        <f>IFERROR(VLOOKUP(M111,Surp5!$B$1:$C$161,2,0),0)</f>
        <v>0</v>
      </c>
      <c r="AF111" s="97">
        <f>IFERROR(VLOOKUP(O111,Surp6!$B$1:$C$161,2,0),0)</f>
        <v>0</v>
      </c>
      <c r="AG111" s="97">
        <f>IFERROR(VLOOKUP(Q111,Surp7!$B$1:$C$161,2,0),0)</f>
        <v>0</v>
      </c>
      <c r="AH111" s="97">
        <f>IFERROR(VLOOKUP(S111,Surp8!$B$1:$C$161,2,0),0)</f>
        <v>0</v>
      </c>
      <c r="AI111" s="97">
        <f>IFERROR(VLOOKUP(U111,Surp9!$B$1:$C$161,2,0),0)</f>
        <v>0</v>
      </c>
      <c r="AJ111" s="97">
        <f>IFERROR(VLOOKUP(W111,Surp10!$B$1:$C$161,2,0),0)</f>
        <v>0</v>
      </c>
      <c r="AK111" s="97">
        <f>IFERROR(VLOOKUP(Y111,Surp11!$B$1:$C$161,2,0),0)</f>
        <v>0</v>
      </c>
    </row>
    <row r="112" ht="15.75" customHeight="1">
      <c r="A112" s="171">
        <v>111.0</v>
      </c>
      <c r="B112" s="6" t="s">
        <v>237</v>
      </c>
      <c r="C112" s="136">
        <f t="shared" si="1"/>
        <v>202.761297</v>
      </c>
      <c r="D112" s="136"/>
      <c r="E112" s="137">
        <f>IFERROR(VLOOKUP($B112,Surp1!$A$1:$B$161,2,0),0)</f>
        <v>0</v>
      </c>
      <c r="F112" s="97">
        <f>IFERROR(VLOOKUP(E112,Surp1!$B$1:$C$161,2,0),0)</f>
        <v>0</v>
      </c>
      <c r="G112" s="137">
        <f>IFERROR(VLOOKUP($B112,Surp2!$A$1:$B$161,2,0),0)</f>
        <v>0</v>
      </c>
      <c r="H112" s="97">
        <f>IFERROR(VLOOKUP(G112,Surp2!$B$1:$C$161,2,0),0)</f>
        <v>0</v>
      </c>
      <c r="I112" s="137">
        <f>IFERROR(VLOOKUP($B112,Surp3!$A$1:$B$161,2,0),0)</f>
        <v>0</v>
      </c>
      <c r="J112" s="97">
        <f>IFERROR(VLOOKUP(I112,Surp3!$B$1:$C$161,2,0),0)</f>
        <v>0</v>
      </c>
      <c r="K112" s="137">
        <f>IFERROR(VLOOKUP($B112,Surp4!$A$1:$B$161,2,0),0)</f>
        <v>42</v>
      </c>
      <c r="L112" s="97">
        <f>IFERROR(VLOOKUP(K112,Surp4!$B$1:$C$161,2,0),0)</f>
        <v>48.16437208</v>
      </c>
      <c r="M112" s="137">
        <f>IFERROR(VLOOKUP($B112,Surp5!$A$1:$B$161,2,0),0)</f>
        <v>0</v>
      </c>
      <c r="N112" s="97">
        <f>IFERROR(VLOOKUP(M112,Surp5!$B$1:$C$161,2,0),0)</f>
        <v>0</v>
      </c>
      <c r="O112" s="137">
        <f>IFERROR(VLOOKUP($B112,Surp6!$A$1:$B$161,2,0),0)</f>
        <v>0</v>
      </c>
      <c r="P112" s="97">
        <f>IFERROR(VLOOKUP(O112,Surp6!$B$1:$C$161,2,0),0)</f>
        <v>0</v>
      </c>
      <c r="Q112" s="137">
        <f>IFERROR(VLOOKUP($B112,Surp7!$A$1:$B$161,2,0),0)</f>
        <v>0</v>
      </c>
      <c r="R112" s="97">
        <f>IFERROR(VLOOKUP(Q112,Surp7!$B$1:$C$161,2,0),0)</f>
        <v>0</v>
      </c>
      <c r="S112" s="137">
        <f>IFERROR(VLOOKUP($B112,Surp8!$A$1:$B$161,2,0),0)</f>
        <v>0</v>
      </c>
      <c r="T112" s="97">
        <f>IFERROR(VLOOKUP(S112,Surp8!$B$1:$C$161,2,0),0)</f>
        <v>0</v>
      </c>
      <c r="U112" s="137">
        <f>IFERROR(VLOOKUP($B112,Surp9!$A$1:$B$161,2,0),0)</f>
        <v>0</v>
      </c>
      <c r="V112" s="97">
        <f>IFERROR(VLOOKUP(U112,Surp9!$B$1:$C$161,2,0),0)</f>
        <v>0</v>
      </c>
      <c r="W112" s="137">
        <f>IFERROR(VLOOKUP($B112,Surp10!$A$1:$B$161,2,0),0)</f>
        <v>25</v>
      </c>
      <c r="X112" s="97">
        <f>IFERROR(VLOOKUP(W112,Surp10!$B$1:$C$161,2,0),0)</f>
        <v>154.596925</v>
      </c>
      <c r="Y112" s="137">
        <f>IFERROR(VLOOKUP($B112,Surp11!$A$1:$B$161,2,0),0)</f>
        <v>0</v>
      </c>
      <c r="Z112" s="97">
        <f>IFERROR(VLOOKUP(Y112,Surp11!$B$1:$C$161,2,0),0)</f>
        <v>0</v>
      </c>
      <c r="AA112" s="97">
        <f>IFERROR(VLOOKUP(E112,Surp1!$B$1:$C$161,2,0),0)</f>
        <v>0</v>
      </c>
      <c r="AB112" s="97">
        <f>IFERROR(VLOOKUP(G112,Surp2!$B$1:$C$161,2,0),0)</f>
        <v>0</v>
      </c>
      <c r="AC112" s="97">
        <f>IFERROR(VLOOKUP(I112,Surp3!$B$1:$C$161,2,0),0)</f>
        <v>0</v>
      </c>
      <c r="AD112" s="97">
        <f>IFERROR(VLOOKUP(K112,Surp4!$B$1:$C$161,2,0),0)</f>
        <v>48.16437208</v>
      </c>
      <c r="AE112" s="97">
        <f>IFERROR(VLOOKUP(M112,Surp5!$B$1:$C$161,2,0),0)</f>
        <v>0</v>
      </c>
      <c r="AF112" s="97">
        <f>IFERROR(VLOOKUP(O112,Surp6!$B$1:$C$161,2,0),0)</f>
        <v>0</v>
      </c>
      <c r="AG112" s="97">
        <f>IFERROR(VLOOKUP(Q112,Surp7!$B$1:$C$161,2,0),0)</f>
        <v>0</v>
      </c>
      <c r="AH112" s="97">
        <f>IFERROR(VLOOKUP(S112,Surp8!$B$1:$C$161,2,0),0)</f>
        <v>0</v>
      </c>
      <c r="AI112" s="97">
        <f>IFERROR(VLOOKUP(U112,Surp9!$B$1:$C$161,2,0),0)</f>
        <v>0</v>
      </c>
      <c r="AJ112" s="97">
        <f>IFERROR(VLOOKUP(W112,Surp10!$B$1:$C$161,2,0),0)</f>
        <v>154.596925</v>
      </c>
      <c r="AK112" s="97">
        <f>IFERROR(VLOOKUP(Y112,Surp11!$B$1:$C$161,2,0),0)</f>
        <v>0</v>
      </c>
    </row>
    <row r="113" ht="15.75" customHeight="1">
      <c r="A113" s="172">
        <v>112.0</v>
      </c>
      <c r="B113" s="17" t="s">
        <v>116</v>
      </c>
      <c r="C113" s="136">
        <f t="shared" si="1"/>
        <v>202.5487561</v>
      </c>
      <c r="D113" s="136"/>
      <c r="E113" s="137">
        <f>IFERROR(VLOOKUP($B113,Surp1!$A$1:$B$161,2,0),0)</f>
        <v>0</v>
      </c>
      <c r="F113" s="97">
        <f>IFERROR(VLOOKUP(E113,Surp1!$B$1:$C$161,2,0),0)</f>
        <v>0</v>
      </c>
      <c r="G113" s="137">
        <f>IFERROR(VLOOKUP($B113,Surp2!$A$1:$B$161,2,0),0)</f>
        <v>0</v>
      </c>
      <c r="H113" s="97">
        <f>IFERROR(VLOOKUP(G113,Surp2!$B$1:$C$161,2,0),0)</f>
        <v>0</v>
      </c>
      <c r="I113" s="137">
        <f>IFERROR(VLOOKUP($B113,Surp3!$A$1:$B$161,2,0),0)</f>
        <v>0</v>
      </c>
      <c r="J113" s="97">
        <f>IFERROR(VLOOKUP(I113,Surp3!$B$1:$C$161,2,0),0)</f>
        <v>0</v>
      </c>
      <c r="K113" s="137">
        <f>IFERROR(VLOOKUP($B113,Surp4!$A$1:$B$161,2,0),0)</f>
        <v>0</v>
      </c>
      <c r="L113" s="97">
        <f>IFERROR(VLOOKUP(K113,Surp4!$B$1:$C$161,2,0),0)</f>
        <v>0</v>
      </c>
      <c r="M113" s="137">
        <f>IFERROR(VLOOKUP($B113,Surp5!$A$1:$B$161,2,0),0)</f>
        <v>0</v>
      </c>
      <c r="N113" s="97">
        <f>IFERROR(VLOOKUP(M113,Surp5!$B$1:$C$161,2,0),0)</f>
        <v>0</v>
      </c>
      <c r="O113" s="137">
        <f>IFERROR(VLOOKUP($B113,Surp6!$A$1:$B$161,2,0),0)</f>
        <v>22</v>
      </c>
      <c r="P113" s="97">
        <f>IFERROR(VLOOKUP(O113,Surp6!$B$1:$C$161,2,0),0)</f>
        <v>202.5487561</v>
      </c>
      <c r="Q113" s="137">
        <f>IFERROR(VLOOKUP($B113,Surp7!$A$1:$B$161,2,0),0)</f>
        <v>0</v>
      </c>
      <c r="R113" s="97">
        <f>IFERROR(VLOOKUP(Q113,Surp7!$B$1:$C$161,2,0),0)</f>
        <v>0</v>
      </c>
      <c r="S113" s="137">
        <f>IFERROR(VLOOKUP($B113,Surp8!$A$1:$B$161,2,0),0)</f>
        <v>0</v>
      </c>
      <c r="T113" s="97">
        <f>IFERROR(VLOOKUP(S113,Surp8!$B$1:$C$161,2,0),0)</f>
        <v>0</v>
      </c>
      <c r="U113" s="137">
        <f>IFERROR(VLOOKUP($B113,Surp9!$A$1:$B$161,2,0),0)</f>
        <v>0</v>
      </c>
      <c r="V113" s="97">
        <f>IFERROR(VLOOKUP(U113,Surp9!$B$1:$C$161,2,0),0)</f>
        <v>0</v>
      </c>
      <c r="W113" s="137">
        <f>IFERROR(VLOOKUP($B113,Surp10!$A$1:$B$161,2,0),0)</f>
        <v>0</v>
      </c>
      <c r="X113" s="97">
        <f>IFERROR(VLOOKUP(W113,Surp10!$B$1:$C$161,2,0),0)</f>
        <v>0</v>
      </c>
      <c r="Y113" s="137">
        <f>IFERROR(VLOOKUP($B113,Surp11!$A$1:$B$161,2,0),0)</f>
        <v>0</v>
      </c>
      <c r="Z113" s="97">
        <f>IFERROR(VLOOKUP(Y113,Surp11!$B$1:$C$161,2,0),0)</f>
        <v>0</v>
      </c>
      <c r="AA113" s="97">
        <f>IFERROR(VLOOKUP(E113,Surp1!$B$1:$C$161,2,0),0)</f>
        <v>0</v>
      </c>
      <c r="AB113" s="97">
        <f>IFERROR(VLOOKUP(G113,Surp2!$B$1:$C$161,2,0),0)</f>
        <v>0</v>
      </c>
      <c r="AC113" s="97">
        <f>IFERROR(VLOOKUP(I113,Surp3!$B$1:$C$161,2,0),0)</f>
        <v>0</v>
      </c>
      <c r="AD113" s="97">
        <f>IFERROR(VLOOKUP(K113,Surp4!$B$1:$C$161,2,0),0)</f>
        <v>0</v>
      </c>
      <c r="AE113" s="97">
        <f>IFERROR(VLOOKUP(M113,Surp5!$B$1:$C$161,2,0),0)</f>
        <v>0</v>
      </c>
      <c r="AF113" s="97">
        <f>IFERROR(VLOOKUP(O113,Surp6!$B$1:$C$161,2,0),0)</f>
        <v>202.5487561</v>
      </c>
      <c r="AG113" s="97">
        <f>IFERROR(VLOOKUP(Q113,Surp7!$B$1:$C$161,2,0),0)</f>
        <v>0</v>
      </c>
      <c r="AH113" s="97">
        <f>IFERROR(VLOOKUP(S113,Surp8!$B$1:$C$161,2,0),0)</f>
        <v>0</v>
      </c>
      <c r="AI113" s="97">
        <f>IFERROR(VLOOKUP(U113,Surp9!$B$1:$C$161,2,0),0)</f>
        <v>0</v>
      </c>
      <c r="AJ113" s="97">
        <f>IFERROR(VLOOKUP(W113,Surp10!$B$1:$C$161,2,0),0)</f>
        <v>0</v>
      </c>
      <c r="AK113" s="97">
        <f>IFERROR(VLOOKUP(Y113,Surp11!$B$1:$C$161,2,0),0)</f>
        <v>0</v>
      </c>
    </row>
    <row r="114" ht="15.75" customHeight="1">
      <c r="A114" s="171">
        <v>113.0</v>
      </c>
      <c r="B114" s="6" t="s">
        <v>92</v>
      </c>
      <c r="C114" s="136">
        <f t="shared" si="1"/>
        <v>195.2482543</v>
      </c>
      <c r="D114" s="173"/>
      <c r="E114" s="174">
        <f>IFERROR(VLOOKUP($B114,Surp1!$A$1:$B$161,2,0),0)</f>
        <v>0</v>
      </c>
      <c r="F114" s="175">
        <f>IFERROR(VLOOKUP(E114,Surp1!$B$1:$C$161,2,0),0)</f>
        <v>0</v>
      </c>
      <c r="G114" s="174">
        <f>IFERROR(VLOOKUP($B114,Surp2!$A$1:$B$161,2,0),0)</f>
        <v>51</v>
      </c>
      <c r="H114" s="175">
        <f>IFERROR(VLOOKUP(G114,Surp2!$B$1:$C$161,2,0),0)</f>
        <v>40.6171901</v>
      </c>
      <c r="I114" s="174">
        <f>IFERROR(VLOOKUP($B114,Surp3!$A$1:$B$161,2,0),0)</f>
        <v>29</v>
      </c>
      <c r="J114" s="175">
        <f>IFERROR(VLOOKUP(I114,Surp3!$B$1:$C$161,2,0),0)</f>
        <v>116.7337726</v>
      </c>
      <c r="K114" s="174">
        <f>IFERROR(VLOOKUP($B114,Surp4!$A$1:$B$161,2,0),0)</f>
        <v>0</v>
      </c>
      <c r="L114" s="175">
        <f>IFERROR(VLOOKUP(K114,Surp4!$B$1:$C$161,2,0),0)</f>
        <v>0</v>
      </c>
      <c r="M114" s="174">
        <f>IFERROR(VLOOKUP($B114,Surp5!$A$1:$B$161,2,0),0)</f>
        <v>0</v>
      </c>
      <c r="N114" s="175">
        <f>IFERROR(VLOOKUP(M114,Surp5!$B$1:$C$161,2,0),0)</f>
        <v>0</v>
      </c>
      <c r="O114" s="174">
        <f>IFERROR(VLOOKUP($B114,Surp6!$A$1:$B$161,2,0),0)</f>
        <v>0</v>
      </c>
      <c r="P114" s="175">
        <f>IFERROR(VLOOKUP(O114,Surp6!$B$1:$C$161,2,0),0)</f>
        <v>0</v>
      </c>
      <c r="Q114" s="174">
        <f>IFERROR(VLOOKUP($B114,Surp7!$A$1:$B$161,2,0),0)</f>
        <v>49</v>
      </c>
      <c r="R114" s="175">
        <f>IFERROR(VLOOKUP(Q114,Surp7!$B$1:$C$161,2,0),0)</f>
        <v>37.89729158</v>
      </c>
      <c r="S114" s="174">
        <f>IFERROR(VLOOKUP($B114,Surp8!$A$1:$B$161,2,0),0)</f>
        <v>0</v>
      </c>
      <c r="T114" s="175">
        <f>IFERROR(VLOOKUP(S114,Surp8!$B$1:$C$161,2,0),0)</f>
        <v>0</v>
      </c>
      <c r="U114" s="174">
        <f>IFERROR(VLOOKUP($B114,Surp9!$A$1:$B$161,2,0),0)</f>
        <v>0</v>
      </c>
      <c r="V114" s="175">
        <f>IFERROR(VLOOKUP(U114,Surp9!$B$1:$C$161,2,0),0)</f>
        <v>0</v>
      </c>
      <c r="W114" s="174">
        <f>IFERROR(VLOOKUP($B114,Surp10!$A$1:$B$161,2,0),0)</f>
        <v>0</v>
      </c>
      <c r="X114" s="175">
        <f>IFERROR(VLOOKUP(W114,Surp10!$B$1:$C$161,2,0),0)</f>
        <v>0</v>
      </c>
      <c r="Y114" s="174">
        <f>IFERROR(VLOOKUP($B114,Surp11!$A$1:$B$161,2,0),0)</f>
        <v>0</v>
      </c>
      <c r="Z114" s="175">
        <f>IFERROR(VLOOKUP(Y114,Surp11!$B$1:$C$161,2,0),0)</f>
        <v>0</v>
      </c>
      <c r="AA114" s="175">
        <f>IFERROR(VLOOKUP(E114,Surp1!$B$1:$C$161,2,0),0)</f>
        <v>0</v>
      </c>
      <c r="AB114" s="175">
        <f>IFERROR(VLOOKUP(G114,Surp2!$B$1:$C$161,2,0),0)</f>
        <v>40.6171901</v>
      </c>
      <c r="AC114" s="175">
        <f>IFERROR(VLOOKUP(I114,Surp3!$B$1:$C$161,2,0),0)</f>
        <v>116.7337726</v>
      </c>
      <c r="AD114" s="175">
        <f>IFERROR(VLOOKUP(K114,Surp4!$B$1:$C$161,2,0),0)</f>
        <v>0</v>
      </c>
      <c r="AE114" s="175">
        <f>IFERROR(VLOOKUP(M114,Surp5!$B$1:$C$161,2,0),0)</f>
        <v>0</v>
      </c>
      <c r="AF114" s="175">
        <f>IFERROR(VLOOKUP(O114,Surp6!$B$1:$C$161,2,0),0)</f>
        <v>0</v>
      </c>
      <c r="AG114" s="175">
        <f>IFERROR(VLOOKUP(Q114,Surp7!$B$1:$C$161,2,0),0)</f>
        <v>37.89729158</v>
      </c>
      <c r="AH114" s="175">
        <f>IFERROR(VLOOKUP(S114,Surp8!$B$1:$C$161,2,0),0)</f>
        <v>0</v>
      </c>
      <c r="AI114" s="175">
        <f>IFERROR(VLOOKUP(U114,Surp9!$B$1:$C$161,2,0),0)</f>
        <v>0</v>
      </c>
      <c r="AJ114" s="175">
        <f>IFERROR(VLOOKUP(W114,Surp10!$B$1:$C$161,2,0),0)</f>
        <v>0</v>
      </c>
      <c r="AK114" s="175">
        <f>IFERROR(VLOOKUP(Y114,Surp11!$B$1:$C$161,2,0),0)</f>
        <v>0</v>
      </c>
    </row>
    <row r="115" ht="15.75" customHeight="1">
      <c r="A115" s="172">
        <v>114.0</v>
      </c>
      <c r="B115" s="17" t="s">
        <v>238</v>
      </c>
      <c r="C115" s="136">
        <f t="shared" si="1"/>
        <v>193.1998502</v>
      </c>
      <c r="D115" s="136"/>
      <c r="E115" s="137">
        <f>IFERROR(VLOOKUP($B115,Surp1!$A$1:$B$161,2,0),0)</f>
        <v>0</v>
      </c>
      <c r="F115" s="97">
        <f>IFERROR(VLOOKUP(E115,Surp1!$B$1:$C$161,2,0),0)</f>
        <v>0</v>
      </c>
      <c r="G115" s="137">
        <f>IFERROR(VLOOKUP($B115,Surp2!$A$1:$B$161,2,0),0)</f>
        <v>0</v>
      </c>
      <c r="H115" s="97">
        <f>IFERROR(VLOOKUP(G115,Surp2!$B$1:$C$161,2,0),0)</f>
        <v>0</v>
      </c>
      <c r="I115" s="137">
        <f>IFERROR(VLOOKUP($B115,Surp3!$A$1:$B$161,2,0),0)</f>
        <v>0</v>
      </c>
      <c r="J115" s="97">
        <f>IFERROR(VLOOKUP(I115,Surp3!$B$1:$C$161,2,0),0)</f>
        <v>0</v>
      </c>
      <c r="K115" s="137">
        <f>IFERROR(VLOOKUP($B115,Surp4!$A$1:$B$161,2,0),0)</f>
        <v>0</v>
      </c>
      <c r="L115" s="97">
        <f>IFERROR(VLOOKUP(K115,Surp4!$B$1:$C$161,2,0),0)</f>
        <v>0</v>
      </c>
      <c r="M115" s="137">
        <f>IFERROR(VLOOKUP($B115,Surp5!$A$1:$B$161,2,0),0)</f>
        <v>0</v>
      </c>
      <c r="N115" s="97">
        <f>IFERROR(VLOOKUP(M115,Surp5!$B$1:$C$161,2,0),0)</f>
        <v>0</v>
      </c>
      <c r="O115" s="137">
        <f>IFERROR(VLOOKUP($B115,Surp6!$A$1:$B$161,2,0),0)</f>
        <v>0</v>
      </c>
      <c r="P115" s="97">
        <f>IFERROR(VLOOKUP(O115,Surp6!$B$1:$C$161,2,0),0)</f>
        <v>0</v>
      </c>
      <c r="Q115" s="137">
        <f>IFERROR(VLOOKUP($B115,Surp7!$A$1:$B$161,2,0),0)</f>
        <v>37</v>
      </c>
      <c r="R115" s="97">
        <f>IFERROR(VLOOKUP(Q115,Surp7!$B$1:$C$161,2,0),0)</f>
        <v>101.6358143</v>
      </c>
      <c r="S115" s="137">
        <f>IFERROR(VLOOKUP($B115,Surp8!$A$1:$B$161,2,0),0)</f>
        <v>40</v>
      </c>
      <c r="T115" s="97">
        <f>IFERROR(VLOOKUP(S115,Surp8!$B$1:$C$161,2,0),0)</f>
        <v>12.53289433</v>
      </c>
      <c r="U115" s="137">
        <f>IFERROR(VLOOKUP($B115,Surp9!$A$1:$B$161,2,0),0)</f>
        <v>0</v>
      </c>
      <c r="V115" s="97">
        <f>IFERROR(VLOOKUP(U115,Surp9!$B$1:$C$161,2,0),0)</f>
        <v>0</v>
      </c>
      <c r="W115" s="137">
        <f>IFERROR(VLOOKUP($B115,Surp10!$A$1:$B$161,2,0),0)</f>
        <v>36</v>
      </c>
      <c r="X115" s="97">
        <f>IFERROR(VLOOKUP(W115,Surp10!$B$1:$C$161,2,0),0)</f>
        <v>79.03114158</v>
      </c>
      <c r="Y115" s="137">
        <f>IFERROR(VLOOKUP($B115,Surp11!$A$1:$B$161,2,0),0)</f>
        <v>0</v>
      </c>
      <c r="Z115" s="97">
        <f>IFERROR(VLOOKUP(Y115,Surp11!$B$1:$C$161,2,0),0)</f>
        <v>0</v>
      </c>
      <c r="AA115" s="97">
        <f>IFERROR(VLOOKUP(E115,Surp1!$B$1:$C$161,2,0),0)</f>
        <v>0</v>
      </c>
      <c r="AB115" s="97">
        <f>IFERROR(VLOOKUP(G115,Surp2!$B$1:$C$161,2,0),0)</f>
        <v>0</v>
      </c>
      <c r="AC115" s="97">
        <f>IFERROR(VLOOKUP(I115,Surp3!$B$1:$C$161,2,0),0)</f>
        <v>0</v>
      </c>
      <c r="AD115" s="97">
        <f>IFERROR(VLOOKUP(K115,Surp4!$B$1:$C$161,2,0),0)</f>
        <v>0</v>
      </c>
      <c r="AE115" s="97">
        <f>IFERROR(VLOOKUP(M115,Surp5!$B$1:$C$161,2,0),0)</f>
        <v>0</v>
      </c>
      <c r="AF115" s="97">
        <f>IFERROR(VLOOKUP(O115,Surp6!$B$1:$C$161,2,0),0)</f>
        <v>0</v>
      </c>
      <c r="AG115" s="97">
        <f>IFERROR(VLOOKUP(Q115,Surp7!$B$1:$C$161,2,0),0)</f>
        <v>101.6358143</v>
      </c>
      <c r="AH115" s="97">
        <f>IFERROR(VLOOKUP(S115,Surp8!$B$1:$C$161,2,0),0)</f>
        <v>12.53289433</v>
      </c>
      <c r="AI115" s="97">
        <f>IFERROR(VLOOKUP(U115,Surp9!$B$1:$C$161,2,0),0)</f>
        <v>0</v>
      </c>
      <c r="AJ115" s="97">
        <f>IFERROR(VLOOKUP(W115,Surp10!$B$1:$C$161,2,0),0)</f>
        <v>79.03114158</v>
      </c>
      <c r="AK115" s="97">
        <f>IFERROR(VLOOKUP(Y115,Surp11!$B$1:$C$161,2,0),0)</f>
        <v>0</v>
      </c>
    </row>
    <row r="116" ht="15.75" customHeight="1">
      <c r="A116" s="171">
        <v>115.0</v>
      </c>
      <c r="B116" s="178" t="s">
        <v>138</v>
      </c>
      <c r="C116" s="136">
        <f t="shared" si="1"/>
        <v>189.2725508</v>
      </c>
      <c r="D116" s="93"/>
      <c r="E116" s="94">
        <f>IFERROR(VLOOKUP($B116,Surp1!$A$1:$B$161,2,0),0)</f>
        <v>49</v>
      </c>
      <c r="F116" s="95">
        <f>IFERROR(VLOOKUP(E116,Surp1!$B$1:$C$161,2,0),0)</f>
        <v>42.08194866</v>
      </c>
      <c r="G116" s="94">
        <f>IFERROR(VLOOKUP($B116,Surp2!$A$1:$B$161,2,0),0)</f>
        <v>0</v>
      </c>
      <c r="H116" s="95">
        <f>IFERROR(VLOOKUP(G116,Surp2!$B$1:$C$161,2,0),0)</f>
        <v>0</v>
      </c>
      <c r="I116" s="94">
        <f>IFERROR(VLOOKUP($B116,Surp3!$A$1:$B$161,2,0),0)</f>
        <v>0</v>
      </c>
      <c r="J116" s="95">
        <f>IFERROR(VLOOKUP(I116,Surp3!$B$1:$C$161,2,0),0)</f>
        <v>0</v>
      </c>
      <c r="K116" s="94">
        <f>IFERROR(VLOOKUP($B116,Surp4!$A$1:$B$161,2,0),0)</f>
        <v>49</v>
      </c>
      <c r="L116" s="95">
        <f>IFERROR(VLOOKUP(K116,Surp4!$B$1:$C$161,2,0),0)</f>
        <v>10.29856446</v>
      </c>
      <c r="M116" s="94">
        <f>IFERROR(VLOOKUP($B116,Surp5!$A$1:$B$161,2,0),0)</f>
        <v>29</v>
      </c>
      <c r="N116" s="95">
        <f>IFERROR(VLOOKUP(M116,Surp5!$B$1:$C$161,2,0),0)</f>
        <v>136.8920376</v>
      </c>
      <c r="O116" s="94">
        <f>IFERROR(VLOOKUP($B116,Surp6!$A$1:$B$161,2,0),0)</f>
        <v>0</v>
      </c>
      <c r="P116" s="95">
        <f>IFERROR(VLOOKUP(O116,Surp6!$B$1:$C$161,2,0),0)</f>
        <v>0</v>
      </c>
      <c r="Q116" s="94">
        <f>IFERROR(VLOOKUP($B116,Surp7!$A$1:$B$161,2,0),0)</f>
        <v>0</v>
      </c>
      <c r="R116" s="95">
        <f>IFERROR(VLOOKUP(Q116,Surp7!$B$1:$C$161,2,0),0)</f>
        <v>0</v>
      </c>
      <c r="S116" s="94">
        <f>IFERROR(VLOOKUP($B116,Surp8!$A$1:$B$161,2,0),0)</f>
        <v>0</v>
      </c>
      <c r="T116" s="95">
        <f>IFERROR(VLOOKUP(S116,Surp8!$B$1:$C$161,2,0),0)</f>
        <v>0</v>
      </c>
      <c r="U116" s="94">
        <f>IFERROR(VLOOKUP($B116,Surp9!$A$1:$B$161,2,0),0)</f>
        <v>0</v>
      </c>
      <c r="V116" s="95">
        <f>IFERROR(VLOOKUP(U116,Surp9!$B$1:$C$161,2,0),0)</f>
        <v>0</v>
      </c>
      <c r="W116" s="94">
        <f>IFERROR(VLOOKUP($B116,Surp10!$A$1:$B$161,2,0),0)</f>
        <v>0</v>
      </c>
      <c r="X116" s="95">
        <f>IFERROR(VLOOKUP(W116,Surp10!$B$1:$C$161,2,0),0)</f>
        <v>0</v>
      </c>
      <c r="Y116" s="94">
        <f>IFERROR(VLOOKUP($B116,Surp11!$A$1:$B$161,2,0),0)</f>
        <v>0</v>
      </c>
      <c r="Z116" s="95">
        <f>IFERROR(VLOOKUP(Y116,Surp11!$B$1:$C$161,2,0),0)</f>
        <v>0</v>
      </c>
      <c r="AA116" s="95">
        <f>IFERROR(VLOOKUP(E116,Surp1!$B$1:$C$161,2,0),0)</f>
        <v>42.08194866</v>
      </c>
      <c r="AB116" s="95">
        <f>IFERROR(VLOOKUP(G116,Surp2!$B$1:$C$161,2,0),0)</f>
        <v>0</v>
      </c>
      <c r="AC116" s="95">
        <f>IFERROR(VLOOKUP(I116,Surp3!$B$1:$C$161,2,0),0)</f>
        <v>0</v>
      </c>
      <c r="AD116" s="95">
        <f>IFERROR(VLOOKUP(K116,Surp4!$B$1:$C$161,2,0),0)</f>
        <v>10.29856446</v>
      </c>
      <c r="AE116" s="95">
        <f>IFERROR(VLOOKUP(M116,Surp5!$B$1:$C$161,2,0),0)</f>
        <v>136.8920376</v>
      </c>
      <c r="AF116" s="95">
        <f>IFERROR(VLOOKUP(O116,Surp6!$B$1:$C$161,2,0),0)</f>
        <v>0</v>
      </c>
      <c r="AG116" s="95">
        <f>IFERROR(VLOOKUP(Q116,Surp7!$B$1:$C$161,2,0),0)</f>
        <v>0</v>
      </c>
      <c r="AH116" s="95">
        <f>IFERROR(VLOOKUP(S116,Surp8!$B$1:$C$161,2,0),0)</f>
        <v>0</v>
      </c>
      <c r="AI116" s="95">
        <f>IFERROR(VLOOKUP(U116,Surp9!$B$1:$C$161,2,0),0)</f>
        <v>0</v>
      </c>
      <c r="AJ116" s="95">
        <f>IFERROR(VLOOKUP(W116,Surp10!$B$1:$C$161,2,0),0)</f>
        <v>0</v>
      </c>
      <c r="AK116" s="95">
        <f>IFERROR(VLOOKUP(Y116,Surp11!$B$1:$C$161,2,0),0)</f>
        <v>0</v>
      </c>
    </row>
    <row r="117" ht="15.75" customHeight="1">
      <c r="A117" s="172">
        <v>116.0</v>
      </c>
      <c r="B117" s="24" t="s">
        <v>139</v>
      </c>
      <c r="C117" s="136">
        <f t="shared" si="1"/>
        <v>186.3583731</v>
      </c>
      <c r="D117" s="136"/>
      <c r="E117" s="137">
        <f>IFERROR(VLOOKUP($B117,Surp1!$A$1:$B$161,2,0),0)</f>
        <v>0</v>
      </c>
      <c r="F117" s="97">
        <f>IFERROR(VLOOKUP(E117,Surp1!$B$1:$C$161,2,0),0)</f>
        <v>0</v>
      </c>
      <c r="G117" s="137">
        <f>IFERROR(VLOOKUP($B117,Surp2!$A$1:$B$161,2,0),0)</f>
        <v>0</v>
      </c>
      <c r="H117" s="97">
        <f>IFERROR(VLOOKUP(G117,Surp2!$B$1:$C$161,2,0),0)</f>
        <v>0</v>
      </c>
      <c r="I117" s="137">
        <f>IFERROR(VLOOKUP($B117,Surp3!$A$1:$B$161,2,0),0)</f>
        <v>0</v>
      </c>
      <c r="J117" s="97">
        <f>IFERROR(VLOOKUP(I117,Surp3!$B$1:$C$161,2,0),0)</f>
        <v>0</v>
      </c>
      <c r="K117" s="137">
        <f>IFERROR(VLOOKUP($B117,Surp4!$A$1:$B$161,2,0),0)</f>
        <v>0</v>
      </c>
      <c r="L117" s="97">
        <f>IFERROR(VLOOKUP(K117,Surp4!$B$1:$C$161,2,0),0)</f>
        <v>0</v>
      </c>
      <c r="M117" s="137">
        <f>IFERROR(VLOOKUP($B117,Surp5!$A$1:$B$161,2,0),0)</f>
        <v>0</v>
      </c>
      <c r="N117" s="97">
        <f>IFERROR(VLOOKUP(M117,Surp5!$B$1:$C$161,2,0),0)</f>
        <v>0</v>
      </c>
      <c r="O117" s="137">
        <f>IFERROR(VLOOKUP($B117,Surp6!$A$1:$B$161,2,0),0)</f>
        <v>0</v>
      </c>
      <c r="P117" s="97">
        <f>IFERROR(VLOOKUP(O117,Surp6!$B$1:$C$161,2,0),0)</f>
        <v>0</v>
      </c>
      <c r="Q117" s="137">
        <f>IFERROR(VLOOKUP($B117,Surp7!$A$1:$B$161,2,0),0)</f>
        <v>0</v>
      </c>
      <c r="R117" s="97">
        <f>IFERROR(VLOOKUP(Q117,Surp7!$B$1:$C$161,2,0),0)</f>
        <v>0</v>
      </c>
      <c r="S117" s="137">
        <f>IFERROR(VLOOKUP($B117,Surp8!$A$1:$B$161,2,0),0)</f>
        <v>0</v>
      </c>
      <c r="T117" s="97">
        <f>IFERROR(VLOOKUP(S117,Surp8!$B$1:$C$161,2,0),0)</f>
        <v>0</v>
      </c>
      <c r="U117" s="137">
        <f>IFERROR(VLOOKUP($B117,Surp9!$A$1:$B$161,2,0),0)</f>
        <v>19</v>
      </c>
      <c r="V117" s="97">
        <f>IFERROR(VLOOKUP(U117,Surp9!$B$1:$C$161,2,0),0)</f>
        <v>186.3583731</v>
      </c>
      <c r="W117" s="137">
        <f>IFERROR(VLOOKUP($B117,Surp10!$A$1:$B$161,2,0),0)</f>
        <v>0</v>
      </c>
      <c r="X117" s="97">
        <f>IFERROR(VLOOKUP(W117,Surp10!$B$1:$C$161,2,0),0)</f>
        <v>0</v>
      </c>
      <c r="Y117" s="137">
        <f>IFERROR(VLOOKUP($B117,Surp11!$A$1:$B$161,2,0),0)</f>
        <v>0</v>
      </c>
      <c r="Z117" s="97">
        <f>IFERROR(VLOOKUP(Y117,Surp11!$B$1:$C$161,2,0),0)</f>
        <v>0</v>
      </c>
      <c r="AA117" s="97">
        <f>IFERROR(VLOOKUP(E117,Surp1!$B$1:$C$161,2,0),0)</f>
        <v>0</v>
      </c>
      <c r="AB117" s="97">
        <f>IFERROR(VLOOKUP(G117,Surp2!$B$1:$C$161,2,0),0)</f>
        <v>0</v>
      </c>
      <c r="AC117" s="97">
        <f>IFERROR(VLOOKUP(I117,Surp3!$B$1:$C$161,2,0),0)</f>
        <v>0</v>
      </c>
      <c r="AD117" s="97">
        <f>IFERROR(VLOOKUP(K117,Surp4!$B$1:$C$161,2,0),0)</f>
        <v>0</v>
      </c>
      <c r="AE117" s="97">
        <f>IFERROR(VLOOKUP(M117,Surp5!$B$1:$C$161,2,0),0)</f>
        <v>0</v>
      </c>
      <c r="AF117" s="97">
        <f>IFERROR(VLOOKUP(O117,Surp6!$B$1:$C$161,2,0),0)</f>
        <v>0</v>
      </c>
      <c r="AG117" s="97">
        <f>IFERROR(VLOOKUP(Q117,Surp7!$B$1:$C$161,2,0),0)</f>
        <v>0</v>
      </c>
      <c r="AH117" s="97">
        <f>IFERROR(VLOOKUP(S117,Surp8!$B$1:$C$161,2,0),0)</f>
        <v>0</v>
      </c>
      <c r="AI117" s="97">
        <f>IFERROR(VLOOKUP(U117,Surp9!$B$1:$C$161,2,0),0)</f>
        <v>186.3583731</v>
      </c>
      <c r="AJ117" s="97">
        <f>IFERROR(VLOOKUP(W117,Surp10!$B$1:$C$161,2,0),0)</f>
        <v>0</v>
      </c>
      <c r="AK117" s="97">
        <f>IFERROR(VLOOKUP(Y117,Surp11!$B$1:$C$161,2,0),0)</f>
        <v>0</v>
      </c>
    </row>
    <row r="118" ht="15.75" customHeight="1">
      <c r="A118" s="171">
        <v>117.0</v>
      </c>
      <c r="B118" s="25" t="s">
        <v>140</v>
      </c>
      <c r="C118" s="136">
        <f t="shared" si="1"/>
        <v>170.4816539</v>
      </c>
      <c r="D118" s="136"/>
      <c r="E118" s="137">
        <f>IFERROR(VLOOKUP($B118,Surp1!$A$1:$B$161,2,0),0)</f>
        <v>0</v>
      </c>
      <c r="F118" s="97">
        <f>IFERROR(VLOOKUP(E118,Surp1!$B$1:$C$161,2,0),0)</f>
        <v>0</v>
      </c>
      <c r="G118" s="137">
        <f>IFERROR(VLOOKUP($B118,Surp2!$A$1:$B$161,2,0),0)</f>
        <v>0</v>
      </c>
      <c r="H118" s="97">
        <f>IFERROR(VLOOKUP(G118,Surp2!$B$1:$C$161,2,0),0)</f>
        <v>0</v>
      </c>
      <c r="I118" s="137">
        <f>IFERROR(VLOOKUP($B118,Surp3!$A$1:$B$161,2,0),0)</f>
        <v>0</v>
      </c>
      <c r="J118" s="97">
        <f>IFERROR(VLOOKUP(I118,Surp3!$B$1:$C$161,2,0),0)</f>
        <v>0</v>
      </c>
      <c r="K118" s="137">
        <f>IFERROR(VLOOKUP($B118,Surp4!$A$1:$B$161,2,0),0)</f>
        <v>0</v>
      </c>
      <c r="L118" s="97">
        <f>IFERROR(VLOOKUP(K118,Surp4!$B$1:$C$161,2,0),0)</f>
        <v>0</v>
      </c>
      <c r="M118" s="137">
        <f>IFERROR(VLOOKUP($B118,Surp5!$A$1:$B$161,2,0),0)</f>
        <v>0</v>
      </c>
      <c r="N118" s="97">
        <f>IFERROR(VLOOKUP(M118,Surp5!$B$1:$C$161,2,0),0)</f>
        <v>0</v>
      </c>
      <c r="O118" s="137">
        <f>IFERROR(VLOOKUP($B118,Surp6!$A$1:$B$161,2,0),0)</f>
        <v>0</v>
      </c>
      <c r="P118" s="97">
        <f>IFERROR(VLOOKUP(O118,Surp6!$B$1:$C$161,2,0),0)</f>
        <v>0</v>
      </c>
      <c r="Q118" s="137">
        <f>IFERROR(VLOOKUP($B118,Surp7!$A$1:$B$161,2,0),0)</f>
        <v>0</v>
      </c>
      <c r="R118" s="97">
        <f>IFERROR(VLOOKUP(Q118,Surp7!$B$1:$C$161,2,0),0)</f>
        <v>0</v>
      </c>
      <c r="S118" s="137">
        <f>IFERROR(VLOOKUP($B118,Surp8!$A$1:$B$161,2,0),0)</f>
        <v>0</v>
      </c>
      <c r="T118" s="97">
        <f>IFERROR(VLOOKUP(S118,Surp8!$B$1:$C$161,2,0),0)</f>
        <v>0</v>
      </c>
      <c r="U118" s="137">
        <f>IFERROR(VLOOKUP($B118,Surp9!$A$1:$B$161,2,0),0)</f>
        <v>0</v>
      </c>
      <c r="V118" s="97">
        <f>IFERROR(VLOOKUP(U118,Surp9!$B$1:$C$161,2,0),0)</f>
        <v>0</v>
      </c>
      <c r="W118" s="137">
        <f>IFERROR(VLOOKUP($B118,Surp10!$A$1:$B$161,2,0),0)</f>
        <v>23</v>
      </c>
      <c r="X118" s="97">
        <f>IFERROR(VLOOKUP(W118,Surp10!$B$1:$C$161,2,0),0)</f>
        <v>170.4816539</v>
      </c>
      <c r="Y118" s="137">
        <f>IFERROR(VLOOKUP($B118,Surp11!$A$1:$B$161,2,0),0)</f>
        <v>0</v>
      </c>
      <c r="Z118" s="97">
        <f>IFERROR(VLOOKUP(Y118,Surp11!$B$1:$C$161,2,0),0)</f>
        <v>0</v>
      </c>
      <c r="AA118" s="97">
        <f>IFERROR(VLOOKUP(E118,Surp1!$B$1:$C$161,2,0),0)</f>
        <v>0</v>
      </c>
      <c r="AB118" s="97">
        <f>IFERROR(VLOOKUP(G118,Surp2!$B$1:$C$161,2,0),0)</f>
        <v>0</v>
      </c>
      <c r="AC118" s="97">
        <f>IFERROR(VLOOKUP(I118,Surp3!$B$1:$C$161,2,0),0)</f>
        <v>0</v>
      </c>
      <c r="AD118" s="97">
        <f>IFERROR(VLOOKUP(K118,Surp4!$B$1:$C$161,2,0),0)</f>
        <v>0</v>
      </c>
      <c r="AE118" s="97">
        <f>IFERROR(VLOOKUP(M118,Surp5!$B$1:$C$161,2,0),0)</f>
        <v>0</v>
      </c>
      <c r="AF118" s="97">
        <f>IFERROR(VLOOKUP(O118,Surp6!$B$1:$C$161,2,0),0)</f>
        <v>0</v>
      </c>
      <c r="AG118" s="97">
        <f>IFERROR(VLOOKUP(Q118,Surp7!$B$1:$C$161,2,0),0)</f>
        <v>0</v>
      </c>
      <c r="AH118" s="97">
        <f>IFERROR(VLOOKUP(S118,Surp8!$B$1:$C$161,2,0),0)</f>
        <v>0</v>
      </c>
      <c r="AI118" s="97">
        <f>IFERROR(VLOOKUP(U118,Surp9!$B$1:$C$161,2,0),0)</f>
        <v>0</v>
      </c>
      <c r="AJ118" s="97">
        <f>IFERROR(VLOOKUP(W118,Surp10!$B$1:$C$161,2,0),0)</f>
        <v>170.4816539</v>
      </c>
      <c r="AK118" s="97">
        <f>IFERROR(VLOOKUP(Y118,Surp11!$B$1:$C$161,2,0),0)</f>
        <v>0</v>
      </c>
    </row>
    <row r="119" ht="15.75" customHeight="1">
      <c r="A119" s="172">
        <v>118.0</v>
      </c>
      <c r="B119" s="179" t="s">
        <v>141</v>
      </c>
      <c r="C119" s="136">
        <f t="shared" si="1"/>
        <v>168.237616</v>
      </c>
      <c r="D119" s="93"/>
      <c r="E119" s="94">
        <f>IFERROR(VLOOKUP($B119,Surp1!$A$1:$B$161,2,0),0)</f>
        <v>27</v>
      </c>
      <c r="F119" s="95">
        <f>IFERROR(VLOOKUP(E119,Surp1!$B$1:$C$161,2,0),0)</f>
        <v>168.237616</v>
      </c>
      <c r="G119" s="94">
        <f>IFERROR(VLOOKUP($B119,Surp2!$A$1:$B$161,2,0),0)</f>
        <v>0</v>
      </c>
      <c r="H119" s="95">
        <f>IFERROR(VLOOKUP(G119,Surp2!$B$1:$C$161,2,0),0)</f>
        <v>0</v>
      </c>
      <c r="I119" s="94">
        <f>IFERROR(VLOOKUP($B119,Surp3!$A$1:$B$161,2,0),0)</f>
        <v>0</v>
      </c>
      <c r="J119" s="95">
        <f>IFERROR(VLOOKUP(I119,Surp3!$B$1:$C$161,2,0),0)</f>
        <v>0</v>
      </c>
      <c r="K119" s="94">
        <f>IFERROR(VLOOKUP($B119,Surp4!$A$1:$B$161,2,0),0)</f>
        <v>0</v>
      </c>
      <c r="L119" s="95">
        <f>IFERROR(VLOOKUP(K119,Surp4!$B$1:$C$161,2,0),0)</f>
        <v>0</v>
      </c>
      <c r="M119" s="94">
        <f>IFERROR(VLOOKUP($B119,Surp5!$A$1:$B$161,2,0),0)</f>
        <v>0</v>
      </c>
      <c r="N119" s="95">
        <f>IFERROR(VLOOKUP(M119,Surp5!$B$1:$C$161,2,0),0)</f>
        <v>0</v>
      </c>
      <c r="O119" s="94">
        <f>IFERROR(VLOOKUP($B119,Surp6!$A$1:$B$161,2,0),0)</f>
        <v>0</v>
      </c>
      <c r="P119" s="95">
        <f>IFERROR(VLOOKUP(O119,Surp6!$B$1:$C$161,2,0),0)</f>
        <v>0</v>
      </c>
      <c r="Q119" s="94">
        <f>IFERROR(VLOOKUP($B119,Surp7!$A$1:$B$161,2,0),0)</f>
        <v>0</v>
      </c>
      <c r="R119" s="95">
        <f>IFERROR(VLOOKUP(Q119,Surp7!$B$1:$C$161,2,0),0)</f>
        <v>0</v>
      </c>
      <c r="S119" s="94">
        <f>IFERROR(VLOOKUP($B119,Surp8!$A$1:$B$161,2,0),0)</f>
        <v>0</v>
      </c>
      <c r="T119" s="95">
        <f>IFERROR(VLOOKUP(S119,Surp8!$B$1:$C$161,2,0),0)</f>
        <v>0</v>
      </c>
      <c r="U119" s="94">
        <f>IFERROR(VLOOKUP($B119,Surp9!$A$1:$B$161,2,0),0)</f>
        <v>0</v>
      </c>
      <c r="V119" s="95">
        <f>IFERROR(VLOOKUP(U119,Surp9!$B$1:$C$161,2,0),0)</f>
        <v>0</v>
      </c>
      <c r="W119" s="94">
        <f>IFERROR(VLOOKUP($B119,Surp10!$A$1:$B$161,2,0),0)</f>
        <v>0</v>
      </c>
      <c r="X119" s="95">
        <f>IFERROR(VLOOKUP(W119,Surp10!$B$1:$C$161,2,0),0)</f>
        <v>0</v>
      </c>
      <c r="Y119" s="94">
        <f>IFERROR(VLOOKUP($B119,Surp11!$A$1:$B$161,2,0),0)</f>
        <v>0</v>
      </c>
      <c r="Z119" s="95">
        <f>IFERROR(VLOOKUP(Y119,Surp11!$B$1:$C$161,2,0),0)</f>
        <v>0</v>
      </c>
      <c r="AA119" s="95">
        <f>IFERROR(VLOOKUP(E119,Surp1!$B$1:$C$161,2,0),0)</f>
        <v>168.237616</v>
      </c>
      <c r="AB119" s="95">
        <f>IFERROR(VLOOKUP(G119,Surp2!$B$1:$C$161,2,0),0)</f>
        <v>0</v>
      </c>
      <c r="AC119" s="95">
        <f>IFERROR(VLOOKUP(I119,Surp3!$B$1:$C$161,2,0),0)</f>
        <v>0</v>
      </c>
      <c r="AD119" s="95">
        <f>IFERROR(VLOOKUP(K119,Surp4!$B$1:$C$161,2,0),0)</f>
        <v>0</v>
      </c>
      <c r="AE119" s="95">
        <f>IFERROR(VLOOKUP(M119,Surp5!$B$1:$C$161,2,0),0)</f>
        <v>0</v>
      </c>
      <c r="AF119" s="95">
        <f>IFERROR(VLOOKUP(O119,Surp6!$B$1:$C$161,2,0),0)</f>
        <v>0</v>
      </c>
      <c r="AG119" s="95">
        <f>IFERROR(VLOOKUP(Q119,Surp7!$B$1:$C$161,2,0),0)</f>
        <v>0</v>
      </c>
      <c r="AH119" s="95">
        <f>IFERROR(VLOOKUP(S119,Surp8!$B$1:$C$161,2,0),0)</f>
        <v>0</v>
      </c>
      <c r="AI119" s="95">
        <f>IFERROR(VLOOKUP(U119,Surp9!$B$1:$C$161,2,0),0)</f>
        <v>0</v>
      </c>
      <c r="AJ119" s="95">
        <f>IFERROR(VLOOKUP(W119,Surp10!$B$1:$C$161,2,0),0)</f>
        <v>0</v>
      </c>
      <c r="AK119" s="95">
        <f>IFERROR(VLOOKUP(Y119,Surp11!$B$1:$C$161,2,0),0)</f>
        <v>0</v>
      </c>
    </row>
    <row r="120" ht="15.75" customHeight="1">
      <c r="A120" s="171">
        <v>119.0</v>
      </c>
      <c r="B120" s="180" t="s">
        <v>142</v>
      </c>
      <c r="C120" s="136">
        <f t="shared" si="1"/>
        <v>161.3370455</v>
      </c>
      <c r="D120" s="173"/>
      <c r="E120" s="174">
        <f>IFERROR(VLOOKUP($B120,Surp1!$A$1:$B$161,2,0),0)</f>
        <v>28</v>
      </c>
      <c r="F120" s="175">
        <f>IFERROR(VLOOKUP(E120,Surp1!$B$1:$C$161,2,0),0)</f>
        <v>161.3370455</v>
      </c>
      <c r="G120" s="174">
        <f>IFERROR(VLOOKUP($B120,Surp2!$A$1:$B$161,2,0),0)</f>
        <v>0</v>
      </c>
      <c r="H120" s="175">
        <f>IFERROR(VLOOKUP(G120,Surp2!$B$1:$C$161,2,0),0)</f>
        <v>0</v>
      </c>
      <c r="I120" s="174">
        <f>IFERROR(VLOOKUP($B120,Surp3!$A$1:$B$161,2,0),0)</f>
        <v>0</v>
      </c>
      <c r="J120" s="175">
        <f>IFERROR(VLOOKUP(I120,Surp3!$B$1:$C$161,2,0),0)</f>
        <v>0</v>
      </c>
      <c r="K120" s="174">
        <f>IFERROR(VLOOKUP($B120,Surp4!$A$1:$B$161,2,0),0)</f>
        <v>0</v>
      </c>
      <c r="L120" s="175">
        <f>IFERROR(VLOOKUP(K120,Surp4!$B$1:$C$161,2,0),0)</f>
        <v>0</v>
      </c>
      <c r="M120" s="174">
        <f>IFERROR(VLOOKUP($B120,Surp5!$A$1:$B$161,2,0),0)</f>
        <v>0</v>
      </c>
      <c r="N120" s="175">
        <f>IFERROR(VLOOKUP(M120,Surp5!$B$1:$C$161,2,0),0)</f>
        <v>0</v>
      </c>
      <c r="O120" s="174">
        <f>IFERROR(VLOOKUP($B120,Surp6!$A$1:$B$161,2,0),0)</f>
        <v>0</v>
      </c>
      <c r="P120" s="175">
        <f>IFERROR(VLOOKUP(O120,Surp6!$B$1:$C$161,2,0),0)</f>
        <v>0</v>
      </c>
      <c r="Q120" s="174">
        <f>IFERROR(VLOOKUP($B120,Surp7!$A$1:$B$161,2,0),0)</f>
        <v>0</v>
      </c>
      <c r="R120" s="175">
        <f>IFERROR(VLOOKUP(Q120,Surp7!$B$1:$C$161,2,0),0)</f>
        <v>0</v>
      </c>
      <c r="S120" s="174">
        <f>IFERROR(VLOOKUP($B120,Surp8!$A$1:$B$161,2,0),0)</f>
        <v>0</v>
      </c>
      <c r="T120" s="175">
        <f>IFERROR(VLOOKUP(S120,Surp8!$B$1:$C$161,2,0),0)</f>
        <v>0</v>
      </c>
      <c r="U120" s="174">
        <f>IFERROR(VLOOKUP($B120,Surp9!$A$1:$B$161,2,0),0)</f>
        <v>0</v>
      </c>
      <c r="V120" s="175">
        <f>IFERROR(VLOOKUP(U120,Surp9!$B$1:$C$161,2,0),0)</f>
        <v>0</v>
      </c>
      <c r="W120" s="174">
        <f>IFERROR(VLOOKUP($B120,Surp10!$A$1:$B$161,2,0),0)</f>
        <v>0</v>
      </c>
      <c r="X120" s="175">
        <f>IFERROR(VLOOKUP(W120,Surp10!$B$1:$C$161,2,0),0)</f>
        <v>0</v>
      </c>
      <c r="Y120" s="174">
        <f>IFERROR(VLOOKUP($B120,Surp11!$A$1:$B$161,2,0),0)</f>
        <v>0</v>
      </c>
      <c r="Z120" s="175">
        <f>IFERROR(VLOOKUP(Y120,Surp11!$B$1:$C$161,2,0),0)</f>
        <v>0</v>
      </c>
      <c r="AA120" s="175">
        <f>IFERROR(VLOOKUP(E120,Surp1!$B$1:$C$161,2,0),0)</f>
        <v>161.3370455</v>
      </c>
      <c r="AB120" s="175">
        <f>IFERROR(VLOOKUP(G120,Surp2!$B$1:$C$161,2,0),0)</f>
        <v>0</v>
      </c>
      <c r="AC120" s="175">
        <f>IFERROR(VLOOKUP(I120,Surp3!$B$1:$C$161,2,0),0)</f>
        <v>0</v>
      </c>
      <c r="AD120" s="175">
        <f>IFERROR(VLOOKUP(K120,Surp4!$B$1:$C$161,2,0),0)</f>
        <v>0</v>
      </c>
      <c r="AE120" s="175">
        <f>IFERROR(VLOOKUP(M120,Surp5!$B$1:$C$161,2,0),0)</f>
        <v>0</v>
      </c>
      <c r="AF120" s="175">
        <f>IFERROR(VLOOKUP(O120,Surp6!$B$1:$C$161,2,0),0)</f>
        <v>0</v>
      </c>
      <c r="AG120" s="175">
        <f>IFERROR(VLOOKUP(Q120,Surp7!$B$1:$C$161,2,0),0)</f>
        <v>0</v>
      </c>
      <c r="AH120" s="175">
        <f>IFERROR(VLOOKUP(S120,Surp8!$B$1:$C$161,2,0),0)</f>
        <v>0</v>
      </c>
      <c r="AI120" s="175">
        <f>IFERROR(VLOOKUP(U120,Surp9!$B$1:$C$161,2,0),0)</f>
        <v>0</v>
      </c>
      <c r="AJ120" s="175">
        <f>IFERROR(VLOOKUP(W120,Surp10!$B$1:$C$161,2,0),0)</f>
        <v>0</v>
      </c>
      <c r="AK120" s="175">
        <f>IFERROR(VLOOKUP(Y120,Surp11!$B$1:$C$161,2,0),0)</f>
        <v>0</v>
      </c>
    </row>
    <row r="121" ht="15.75" customHeight="1">
      <c r="A121" s="172">
        <v>120.0</v>
      </c>
      <c r="B121" s="17" t="s">
        <v>111</v>
      </c>
      <c r="C121" s="136">
        <f t="shared" si="1"/>
        <v>151.2257469</v>
      </c>
      <c r="D121" s="136"/>
      <c r="E121" s="137">
        <f>IFERROR(VLOOKUP($B121,Surp1!$A$1:$B$161,2,0),0)</f>
        <v>0</v>
      </c>
      <c r="F121" s="97">
        <f>IFERROR(VLOOKUP(E121,Surp1!$B$1:$C$161,2,0),0)</f>
        <v>0</v>
      </c>
      <c r="G121" s="137">
        <f>IFERROR(VLOOKUP($B121,Surp2!$A$1:$B$161,2,0),0)</f>
        <v>0</v>
      </c>
      <c r="H121" s="97">
        <f>IFERROR(VLOOKUP(G121,Surp2!$B$1:$C$161,2,0),0)</f>
        <v>0</v>
      </c>
      <c r="I121" s="137">
        <f>IFERROR(VLOOKUP($B121,Surp3!$A$1:$B$161,2,0),0)</f>
        <v>0</v>
      </c>
      <c r="J121" s="97">
        <f>IFERROR(VLOOKUP(I121,Surp3!$B$1:$C$161,2,0),0)</f>
        <v>0</v>
      </c>
      <c r="K121" s="137">
        <f>IFERROR(VLOOKUP($B121,Surp4!$A$1:$B$161,2,0),0)</f>
        <v>0</v>
      </c>
      <c r="L121" s="97">
        <f>IFERROR(VLOOKUP(K121,Surp4!$B$1:$C$161,2,0),0)</f>
        <v>0</v>
      </c>
      <c r="M121" s="137">
        <f>IFERROR(VLOOKUP($B121,Surp5!$A$1:$B$161,2,0),0)</f>
        <v>0</v>
      </c>
      <c r="N121" s="97">
        <f>IFERROR(VLOOKUP(M121,Surp5!$B$1:$C$161,2,0),0)</f>
        <v>0</v>
      </c>
      <c r="O121" s="137">
        <f>IFERROR(VLOOKUP($B121,Surp6!$A$1:$B$161,2,0),0)</f>
        <v>29</v>
      </c>
      <c r="P121" s="97">
        <f>IFERROR(VLOOKUP(O121,Surp6!$B$1:$C$161,2,0),0)</f>
        <v>151.2257469</v>
      </c>
      <c r="Q121" s="137">
        <f>IFERROR(VLOOKUP($B121,Surp7!$A$1:$B$161,2,0),0)</f>
        <v>0</v>
      </c>
      <c r="R121" s="97">
        <f>IFERROR(VLOOKUP(Q121,Surp7!$B$1:$C$161,2,0),0)</f>
        <v>0</v>
      </c>
      <c r="S121" s="137">
        <f>IFERROR(VLOOKUP($B121,Surp8!$A$1:$B$161,2,0),0)</f>
        <v>0</v>
      </c>
      <c r="T121" s="97">
        <f>IFERROR(VLOOKUP(S121,Surp8!$B$1:$C$161,2,0),0)</f>
        <v>0</v>
      </c>
      <c r="U121" s="137">
        <f>IFERROR(VLOOKUP($B121,Surp9!$A$1:$B$161,2,0),0)</f>
        <v>0</v>
      </c>
      <c r="V121" s="97">
        <f>IFERROR(VLOOKUP(U121,Surp9!$B$1:$C$161,2,0),0)</f>
        <v>0</v>
      </c>
      <c r="W121" s="137">
        <f>IFERROR(VLOOKUP($B121,Surp10!$A$1:$B$161,2,0),0)</f>
        <v>0</v>
      </c>
      <c r="X121" s="97">
        <f>IFERROR(VLOOKUP(W121,Surp10!$B$1:$C$161,2,0),0)</f>
        <v>0</v>
      </c>
      <c r="Y121" s="137">
        <f>IFERROR(VLOOKUP($B121,Surp11!$A$1:$B$161,2,0),0)</f>
        <v>0</v>
      </c>
      <c r="Z121" s="97">
        <f>IFERROR(VLOOKUP(Y121,Surp11!$B$1:$C$161,2,0),0)</f>
        <v>0</v>
      </c>
      <c r="AA121" s="97">
        <f>IFERROR(VLOOKUP(E121,Surp1!$B$1:$C$161,2,0),0)</f>
        <v>0</v>
      </c>
      <c r="AB121" s="97">
        <f>IFERROR(VLOOKUP(G121,Surp2!$B$1:$C$161,2,0),0)</f>
        <v>0</v>
      </c>
      <c r="AC121" s="97">
        <f>IFERROR(VLOOKUP(I121,Surp3!$B$1:$C$161,2,0),0)</f>
        <v>0</v>
      </c>
      <c r="AD121" s="97">
        <f>IFERROR(VLOOKUP(K121,Surp4!$B$1:$C$161,2,0),0)</f>
        <v>0</v>
      </c>
      <c r="AE121" s="97">
        <f>IFERROR(VLOOKUP(M121,Surp5!$B$1:$C$161,2,0),0)</f>
        <v>0</v>
      </c>
      <c r="AF121" s="97">
        <f>IFERROR(VLOOKUP(O121,Surp6!$B$1:$C$161,2,0),0)</f>
        <v>151.2257469</v>
      </c>
      <c r="AG121" s="97">
        <f>IFERROR(VLOOKUP(Q121,Surp7!$B$1:$C$161,2,0),0)</f>
        <v>0</v>
      </c>
      <c r="AH121" s="97">
        <f>IFERROR(VLOOKUP(S121,Surp8!$B$1:$C$161,2,0),0)</f>
        <v>0</v>
      </c>
      <c r="AI121" s="97">
        <f>IFERROR(VLOOKUP(U121,Surp9!$B$1:$C$161,2,0),0)</f>
        <v>0</v>
      </c>
      <c r="AJ121" s="97">
        <f>IFERROR(VLOOKUP(W121,Surp10!$B$1:$C$161,2,0),0)</f>
        <v>0</v>
      </c>
      <c r="AK121" s="97">
        <f>IFERROR(VLOOKUP(Y121,Surp11!$B$1:$C$161,2,0),0)</f>
        <v>0</v>
      </c>
    </row>
    <row r="122" ht="15.75" customHeight="1">
      <c r="A122" s="171">
        <v>121.0</v>
      </c>
      <c r="B122" s="6" t="s">
        <v>102</v>
      </c>
      <c r="C122" s="136">
        <f t="shared" si="1"/>
        <v>150.8316172</v>
      </c>
      <c r="D122" s="93"/>
      <c r="E122" s="94">
        <f>IFERROR(VLOOKUP($B122,Surp1!$A$1:$B$161,2,0),0)</f>
        <v>0</v>
      </c>
      <c r="F122" s="95">
        <f>IFERROR(VLOOKUP(E122,Surp1!$B$1:$C$161,2,0),0)</f>
        <v>0</v>
      </c>
      <c r="G122" s="94">
        <f>IFERROR(VLOOKUP($B122,Surp2!$A$1:$B$161,2,0),0)</f>
        <v>0</v>
      </c>
      <c r="H122" s="95">
        <f>IFERROR(VLOOKUP(G122,Surp2!$B$1:$C$161,2,0),0)</f>
        <v>0</v>
      </c>
      <c r="I122" s="94">
        <f>IFERROR(VLOOKUP($B122,Surp3!$A$1:$B$161,2,0),0)</f>
        <v>0</v>
      </c>
      <c r="J122" s="95">
        <f>IFERROR(VLOOKUP(I122,Surp3!$B$1:$C$161,2,0),0)</f>
        <v>0</v>
      </c>
      <c r="K122" s="94">
        <f>IFERROR(VLOOKUP($B122,Surp4!$A$1:$B$161,2,0),0)</f>
        <v>26</v>
      </c>
      <c r="L122" s="95">
        <f>IFERROR(VLOOKUP(K122,Surp4!$B$1:$C$161,2,0),0)</f>
        <v>150.8316172</v>
      </c>
      <c r="M122" s="94">
        <f>IFERROR(VLOOKUP($B122,Surp5!$A$1:$B$161,2,0),0)</f>
        <v>0</v>
      </c>
      <c r="N122" s="95">
        <f>IFERROR(VLOOKUP(M122,Surp5!$B$1:$C$161,2,0),0)</f>
        <v>0</v>
      </c>
      <c r="O122" s="94">
        <f>IFERROR(VLOOKUP($B122,Surp6!$A$1:$B$161,2,0),0)</f>
        <v>0</v>
      </c>
      <c r="P122" s="95">
        <f>IFERROR(VLOOKUP(O122,Surp6!$B$1:$C$161,2,0),0)</f>
        <v>0</v>
      </c>
      <c r="Q122" s="94">
        <f>IFERROR(VLOOKUP($B122,Surp7!$A$1:$B$161,2,0),0)</f>
        <v>0</v>
      </c>
      <c r="R122" s="95">
        <f>IFERROR(VLOOKUP(Q122,Surp7!$B$1:$C$161,2,0),0)</f>
        <v>0</v>
      </c>
      <c r="S122" s="94">
        <f>IFERROR(VLOOKUP($B122,Surp8!$A$1:$B$161,2,0),0)</f>
        <v>0</v>
      </c>
      <c r="T122" s="95">
        <f>IFERROR(VLOOKUP(S122,Surp8!$B$1:$C$161,2,0),0)</f>
        <v>0</v>
      </c>
      <c r="U122" s="94">
        <f>IFERROR(VLOOKUP($B122,Surp9!$A$1:$B$161,2,0),0)</f>
        <v>0</v>
      </c>
      <c r="V122" s="95">
        <f>IFERROR(VLOOKUP(U122,Surp9!$B$1:$C$161,2,0),0)</f>
        <v>0</v>
      </c>
      <c r="W122" s="94">
        <f>IFERROR(VLOOKUP($B122,Surp10!$A$1:$B$161,2,0),0)</f>
        <v>0</v>
      </c>
      <c r="X122" s="95">
        <f>IFERROR(VLOOKUP(W122,Surp10!$B$1:$C$161,2,0),0)</f>
        <v>0</v>
      </c>
      <c r="Y122" s="94">
        <f>IFERROR(VLOOKUP($B122,Surp11!$A$1:$B$161,2,0),0)</f>
        <v>0</v>
      </c>
      <c r="Z122" s="95">
        <f>IFERROR(VLOOKUP(Y122,Surp11!$B$1:$C$161,2,0),0)</f>
        <v>0</v>
      </c>
      <c r="AA122" s="95">
        <f>IFERROR(VLOOKUP(E122,Surp1!$B$1:$C$161,2,0),0)</f>
        <v>0</v>
      </c>
      <c r="AB122" s="95">
        <f>IFERROR(VLOOKUP(G122,Surp2!$B$1:$C$161,2,0),0)</f>
        <v>0</v>
      </c>
      <c r="AC122" s="95">
        <f>IFERROR(VLOOKUP(I122,Surp3!$B$1:$C$161,2,0),0)</f>
        <v>0</v>
      </c>
      <c r="AD122" s="95">
        <f>IFERROR(VLOOKUP(K122,Surp4!$B$1:$C$161,2,0),0)</f>
        <v>150.8316172</v>
      </c>
      <c r="AE122" s="95">
        <f>IFERROR(VLOOKUP(M122,Surp5!$B$1:$C$161,2,0),0)</f>
        <v>0</v>
      </c>
      <c r="AF122" s="95">
        <f>IFERROR(VLOOKUP(O122,Surp6!$B$1:$C$161,2,0),0)</f>
        <v>0</v>
      </c>
      <c r="AG122" s="95">
        <f>IFERROR(VLOOKUP(Q122,Surp7!$B$1:$C$161,2,0),0)</f>
        <v>0</v>
      </c>
      <c r="AH122" s="95">
        <f>IFERROR(VLOOKUP(S122,Surp8!$B$1:$C$161,2,0),0)</f>
        <v>0</v>
      </c>
      <c r="AI122" s="95">
        <f>IFERROR(VLOOKUP(U122,Surp9!$B$1:$C$161,2,0),0)</f>
        <v>0</v>
      </c>
      <c r="AJ122" s="95">
        <f>IFERROR(VLOOKUP(W122,Surp10!$B$1:$C$161,2,0),0)</f>
        <v>0</v>
      </c>
      <c r="AK122" s="95">
        <f>IFERROR(VLOOKUP(Y122,Surp11!$B$1:$C$161,2,0),0)</f>
        <v>0</v>
      </c>
    </row>
    <row r="123" ht="15.75" customHeight="1">
      <c r="A123" s="172">
        <v>122.0</v>
      </c>
      <c r="B123" s="24" t="s">
        <v>196</v>
      </c>
      <c r="C123" s="136">
        <f t="shared" si="1"/>
        <v>143.438593</v>
      </c>
      <c r="D123" s="136"/>
      <c r="E123" s="137">
        <f>IFERROR(VLOOKUP($B123,Surp1!$A$1:$B$161,2,0),0)</f>
        <v>0</v>
      </c>
      <c r="F123" s="97">
        <f>IFERROR(VLOOKUP(E123,Surp1!$B$1:$C$161,2,0),0)</f>
        <v>0</v>
      </c>
      <c r="G123" s="137">
        <f>IFERROR(VLOOKUP($B123,Surp2!$A$1:$B$161,2,0),0)</f>
        <v>0</v>
      </c>
      <c r="H123" s="97">
        <f>IFERROR(VLOOKUP(G123,Surp2!$B$1:$C$161,2,0),0)</f>
        <v>0</v>
      </c>
      <c r="I123" s="137">
        <f>IFERROR(VLOOKUP($B123,Surp3!$A$1:$B$161,2,0),0)</f>
        <v>0</v>
      </c>
      <c r="J123" s="97">
        <f>IFERROR(VLOOKUP(I123,Surp3!$B$1:$C$161,2,0),0)</f>
        <v>0</v>
      </c>
      <c r="K123" s="137">
        <f>IFERROR(VLOOKUP($B123,Surp4!$A$1:$B$161,2,0),0)</f>
        <v>27</v>
      </c>
      <c r="L123" s="97">
        <f>IFERROR(VLOOKUP(K123,Surp4!$B$1:$C$161,2,0),0)</f>
        <v>143.438593</v>
      </c>
      <c r="M123" s="137">
        <f>IFERROR(VLOOKUP($B123,Surp5!$A$1:$B$161,2,0),0)</f>
        <v>0</v>
      </c>
      <c r="N123" s="97">
        <f>IFERROR(VLOOKUP(M123,Surp5!$B$1:$C$161,2,0),0)</f>
        <v>0</v>
      </c>
      <c r="O123" s="137">
        <f>IFERROR(VLOOKUP($B123,Surp6!$A$1:$B$161,2,0),0)</f>
        <v>0</v>
      </c>
      <c r="P123" s="97">
        <f>IFERROR(VLOOKUP(O123,Surp6!$B$1:$C$161,2,0),0)</f>
        <v>0</v>
      </c>
      <c r="Q123" s="137">
        <f>IFERROR(VLOOKUP($B123,Surp7!$A$1:$B$161,2,0),0)</f>
        <v>0</v>
      </c>
      <c r="R123" s="97">
        <f>IFERROR(VLOOKUP(Q123,Surp7!$B$1:$C$161,2,0),0)</f>
        <v>0</v>
      </c>
      <c r="S123" s="137">
        <f>IFERROR(VLOOKUP($B123,Surp8!$A$1:$B$161,2,0),0)</f>
        <v>0</v>
      </c>
      <c r="T123" s="97">
        <f>IFERROR(VLOOKUP(S123,Surp8!$B$1:$C$161,2,0),0)</f>
        <v>0</v>
      </c>
      <c r="U123" s="137">
        <f>IFERROR(VLOOKUP($B123,Surp9!$A$1:$B$161,2,0),0)</f>
        <v>0</v>
      </c>
      <c r="V123" s="97">
        <f>IFERROR(VLOOKUP(U123,Surp9!$B$1:$C$161,2,0),0)</f>
        <v>0</v>
      </c>
      <c r="W123" s="137">
        <f>IFERROR(VLOOKUP($B123,Surp10!$A$1:$B$161,2,0),0)</f>
        <v>0</v>
      </c>
      <c r="X123" s="97">
        <f>IFERROR(VLOOKUP(W123,Surp10!$B$1:$C$161,2,0),0)</f>
        <v>0</v>
      </c>
      <c r="Y123" s="137">
        <f>IFERROR(VLOOKUP($B123,Surp11!$A$1:$B$161,2,0),0)</f>
        <v>0</v>
      </c>
      <c r="Z123" s="97">
        <f>IFERROR(VLOOKUP(Y123,Surp11!$B$1:$C$161,2,0),0)</f>
        <v>0</v>
      </c>
      <c r="AA123" s="97">
        <f>IFERROR(VLOOKUP(E123,Surp1!$B$1:$C$161,2,0),0)</f>
        <v>0</v>
      </c>
      <c r="AB123" s="97">
        <f>IFERROR(VLOOKUP(G123,Surp2!$B$1:$C$161,2,0),0)</f>
        <v>0</v>
      </c>
      <c r="AC123" s="97">
        <f>IFERROR(VLOOKUP(I123,Surp3!$B$1:$C$161,2,0),0)</f>
        <v>0</v>
      </c>
      <c r="AD123" s="97">
        <f>IFERROR(VLOOKUP(K123,Surp4!$B$1:$C$161,2,0),0)</f>
        <v>143.438593</v>
      </c>
      <c r="AE123" s="97">
        <f>IFERROR(VLOOKUP(M123,Surp5!$B$1:$C$161,2,0),0)</f>
        <v>0</v>
      </c>
      <c r="AF123" s="97">
        <f>IFERROR(VLOOKUP(O123,Surp6!$B$1:$C$161,2,0),0)</f>
        <v>0</v>
      </c>
      <c r="AG123" s="97">
        <f>IFERROR(VLOOKUP(Q123,Surp7!$B$1:$C$161,2,0),0)</f>
        <v>0</v>
      </c>
      <c r="AH123" s="97">
        <f>IFERROR(VLOOKUP(S123,Surp8!$B$1:$C$161,2,0),0)</f>
        <v>0</v>
      </c>
      <c r="AI123" s="97">
        <f>IFERROR(VLOOKUP(U123,Surp9!$B$1:$C$161,2,0),0)</f>
        <v>0</v>
      </c>
      <c r="AJ123" s="97">
        <f>IFERROR(VLOOKUP(W123,Surp10!$B$1:$C$161,2,0),0)</f>
        <v>0</v>
      </c>
      <c r="AK123" s="97">
        <f>IFERROR(VLOOKUP(Y123,Surp11!$B$1:$C$161,2,0),0)</f>
        <v>0</v>
      </c>
    </row>
    <row r="124" ht="15.75" customHeight="1">
      <c r="A124" s="171">
        <v>123.0</v>
      </c>
      <c r="B124" s="101" t="s">
        <v>239</v>
      </c>
      <c r="C124" s="136">
        <f t="shared" si="1"/>
        <v>143.2578219</v>
      </c>
      <c r="D124" s="136"/>
      <c r="E124" s="137">
        <f>IFERROR(VLOOKUP($B124,Surp1!$A$1:$B$161,2,0),0)</f>
        <v>0</v>
      </c>
      <c r="F124" s="97">
        <f>IFERROR(VLOOKUP(E124,Surp1!$B$1:$C$161,2,0),0)</f>
        <v>0</v>
      </c>
      <c r="G124" s="137">
        <f>IFERROR(VLOOKUP($B124,Surp2!$A$1:$B$161,2,0),0)</f>
        <v>59</v>
      </c>
      <c r="H124" s="97">
        <f>IFERROR(VLOOKUP(G124,Surp2!$B$1:$C$161,2,0),0)</f>
        <v>4.351579351</v>
      </c>
      <c r="I124" s="137">
        <f>IFERROR(VLOOKUP($B124,Surp3!$A$1:$B$161,2,0),0)</f>
        <v>26</v>
      </c>
      <c r="J124" s="97">
        <f>IFERROR(VLOOKUP(I124,Surp3!$B$1:$C$161,2,0),0)</f>
        <v>138.9062426</v>
      </c>
      <c r="K124" s="137">
        <f>IFERROR(VLOOKUP($B124,Surp4!$A$1:$B$161,2,0),0)</f>
        <v>0</v>
      </c>
      <c r="L124" s="97">
        <f>IFERROR(VLOOKUP(K124,Surp4!$B$1:$C$161,2,0),0)</f>
        <v>0</v>
      </c>
      <c r="M124" s="137">
        <f>IFERROR(VLOOKUP($B124,Surp5!$A$1:$B$161,2,0),0)</f>
        <v>0</v>
      </c>
      <c r="N124" s="97">
        <f>IFERROR(VLOOKUP(M124,Surp5!$B$1:$C$161,2,0),0)</f>
        <v>0</v>
      </c>
      <c r="O124" s="137">
        <f>IFERROR(VLOOKUP($B124,Surp6!$A$1:$B$161,2,0),0)</f>
        <v>0</v>
      </c>
      <c r="P124" s="97">
        <f>IFERROR(VLOOKUP(O124,Surp6!$B$1:$C$161,2,0),0)</f>
        <v>0</v>
      </c>
      <c r="Q124" s="137">
        <f>IFERROR(VLOOKUP($B124,Surp7!$A$1:$B$161,2,0),0)</f>
        <v>0</v>
      </c>
      <c r="R124" s="97">
        <f>IFERROR(VLOOKUP(Q124,Surp7!$B$1:$C$161,2,0),0)</f>
        <v>0</v>
      </c>
      <c r="S124" s="137">
        <f>IFERROR(VLOOKUP($B124,Surp8!$A$1:$B$161,2,0),0)</f>
        <v>0</v>
      </c>
      <c r="T124" s="97">
        <f>IFERROR(VLOOKUP(S124,Surp8!$B$1:$C$161,2,0),0)</f>
        <v>0</v>
      </c>
      <c r="U124" s="137">
        <f>IFERROR(VLOOKUP($B124,Surp9!$A$1:$B$161,2,0),0)</f>
        <v>0</v>
      </c>
      <c r="V124" s="97">
        <f>IFERROR(VLOOKUP(U124,Surp9!$B$1:$C$161,2,0),0)</f>
        <v>0</v>
      </c>
      <c r="W124" s="137">
        <f>IFERROR(VLOOKUP($B124,Surp10!$A$1:$B$161,2,0),0)</f>
        <v>0</v>
      </c>
      <c r="X124" s="97">
        <f>IFERROR(VLOOKUP(W124,Surp10!$B$1:$C$161,2,0),0)</f>
        <v>0</v>
      </c>
      <c r="Y124" s="137">
        <f>IFERROR(VLOOKUP($B124,Surp11!$A$1:$B$161,2,0),0)</f>
        <v>0</v>
      </c>
      <c r="Z124" s="97">
        <f>IFERROR(VLOOKUP(Y124,Surp11!$B$1:$C$161,2,0),0)</f>
        <v>0</v>
      </c>
      <c r="AA124" s="97">
        <f>IFERROR(VLOOKUP(E124,Surp1!$B$1:$C$161,2,0),0)</f>
        <v>0</v>
      </c>
      <c r="AB124" s="97">
        <f>IFERROR(VLOOKUP(G124,Surp2!$B$1:$C$161,2,0),0)</f>
        <v>4.351579351</v>
      </c>
      <c r="AC124" s="97">
        <f>IFERROR(VLOOKUP(I124,Surp3!$B$1:$C$161,2,0),0)</f>
        <v>138.9062426</v>
      </c>
      <c r="AD124" s="97">
        <f>IFERROR(VLOOKUP(K124,Surp4!$B$1:$C$161,2,0),0)</f>
        <v>0</v>
      </c>
      <c r="AE124" s="97">
        <f>IFERROR(VLOOKUP(M124,Surp5!$B$1:$C$161,2,0),0)</f>
        <v>0</v>
      </c>
      <c r="AF124" s="97">
        <f>IFERROR(VLOOKUP(O124,Surp6!$B$1:$C$161,2,0),0)</f>
        <v>0</v>
      </c>
      <c r="AG124" s="97">
        <f>IFERROR(VLOOKUP(Q124,Surp7!$B$1:$C$161,2,0),0)</f>
        <v>0</v>
      </c>
      <c r="AH124" s="97">
        <f>IFERROR(VLOOKUP(S124,Surp8!$B$1:$C$161,2,0),0)</f>
        <v>0</v>
      </c>
      <c r="AI124" s="97">
        <f>IFERROR(VLOOKUP(U124,Surp9!$B$1:$C$161,2,0),0)</f>
        <v>0</v>
      </c>
      <c r="AJ124" s="97">
        <f>IFERROR(VLOOKUP(W124,Surp10!$B$1:$C$161,2,0),0)</f>
        <v>0</v>
      </c>
      <c r="AK124" s="97">
        <f>IFERROR(VLOOKUP(Y124,Surp11!$B$1:$C$161,2,0),0)</f>
        <v>0</v>
      </c>
    </row>
    <row r="125" ht="15.75" customHeight="1">
      <c r="A125" s="172">
        <v>124.0</v>
      </c>
      <c r="B125" s="101" t="s">
        <v>143</v>
      </c>
      <c r="C125" s="136">
        <f t="shared" si="1"/>
        <v>135.8611197</v>
      </c>
      <c r="D125" s="136"/>
      <c r="E125" s="137">
        <f>IFERROR(VLOOKUP($B125,Surp1!$A$1:$B$161,2,0),0)</f>
        <v>0</v>
      </c>
      <c r="F125" s="97">
        <f>IFERROR(VLOOKUP(E125,Surp1!$B$1:$C$161,2,0),0)</f>
        <v>0</v>
      </c>
      <c r="G125" s="137">
        <f>IFERROR(VLOOKUP($B125,Surp2!$A$1:$B$161,2,0),0)</f>
        <v>33</v>
      </c>
      <c r="H125" s="97">
        <f>IFERROR(VLOOKUP(G125,Surp2!$B$1:$C$161,2,0),0)</f>
        <v>135.8611197</v>
      </c>
      <c r="I125" s="137">
        <f>IFERROR(VLOOKUP($B125,Surp3!$A$1:$B$161,2,0),0)</f>
        <v>0</v>
      </c>
      <c r="J125" s="97">
        <f>IFERROR(VLOOKUP(I125,Surp3!$B$1:$C$161,2,0),0)</f>
        <v>0</v>
      </c>
      <c r="K125" s="137">
        <f>IFERROR(VLOOKUP($B125,Surp4!$A$1:$B$161,2,0),0)</f>
        <v>0</v>
      </c>
      <c r="L125" s="97">
        <f>IFERROR(VLOOKUP(K125,Surp4!$B$1:$C$161,2,0),0)</f>
        <v>0</v>
      </c>
      <c r="M125" s="137">
        <f>IFERROR(VLOOKUP($B125,Surp5!$A$1:$B$161,2,0),0)</f>
        <v>0</v>
      </c>
      <c r="N125" s="97">
        <f>IFERROR(VLOOKUP(M125,Surp5!$B$1:$C$161,2,0),0)</f>
        <v>0</v>
      </c>
      <c r="O125" s="137">
        <f>IFERROR(VLOOKUP($B125,Surp6!$A$1:$B$161,2,0),0)</f>
        <v>0</v>
      </c>
      <c r="P125" s="97">
        <f>IFERROR(VLOOKUP(O125,Surp6!$B$1:$C$161,2,0),0)</f>
        <v>0</v>
      </c>
      <c r="Q125" s="137">
        <f>IFERROR(VLOOKUP($B125,Surp7!$A$1:$B$161,2,0),0)</f>
        <v>0</v>
      </c>
      <c r="R125" s="97">
        <f>IFERROR(VLOOKUP(Q125,Surp7!$B$1:$C$161,2,0),0)</f>
        <v>0</v>
      </c>
      <c r="S125" s="137">
        <f>IFERROR(VLOOKUP($B125,Surp8!$A$1:$B$161,2,0),0)</f>
        <v>0</v>
      </c>
      <c r="T125" s="97">
        <f>IFERROR(VLOOKUP(S125,Surp8!$B$1:$C$161,2,0),0)</f>
        <v>0</v>
      </c>
      <c r="U125" s="137">
        <f>IFERROR(VLOOKUP($B125,Surp9!$A$1:$B$161,2,0),0)</f>
        <v>0</v>
      </c>
      <c r="V125" s="97">
        <f>IFERROR(VLOOKUP(U125,Surp9!$B$1:$C$161,2,0),0)</f>
        <v>0</v>
      </c>
      <c r="W125" s="137">
        <f>IFERROR(VLOOKUP($B125,Surp10!$A$1:$B$161,2,0),0)</f>
        <v>0</v>
      </c>
      <c r="X125" s="97">
        <f>IFERROR(VLOOKUP(W125,Surp10!$B$1:$C$161,2,0),0)</f>
        <v>0</v>
      </c>
      <c r="Y125" s="137">
        <f>IFERROR(VLOOKUP($B125,Surp11!$A$1:$B$161,2,0),0)</f>
        <v>0</v>
      </c>
      <c r="Z125" s="97">
        <f>IFERROR(VLOOKUP(Y125,Surp11!$B$1:$C$161,2,0),0)</f>
        <v>0</v>
      </c>
      <c r="AA125" s="97">
        <f>IFERROR(VLOOKUP(E125,Surp1!$B$1:$C$161,2,0),0)</f>
        <v>0</v>
      </c>
      <c r="AB125" s="97">
        <f>IFERROR(VLOOKUP(G125,Surp2!$B$1:$C$161,2,0),0)</f>
        <v>135.8611197</v>
      </c>
      <c r="AC125" s="97">
        <f>IFERROR(VLOOKUP(I125,Surp3!$B$1:$C$161,2,0),0)</f>
        <v>0</v>
      </c>
      <c r="AD125" s="97">
        <f>IFERROR(VLOOKUP(K125,Surp4!$B$1:$C$161,2,0),0)</f>
        <v>0</v>
      </c>
      <c r="AE125" s="97">
        <f>IFERROR(VLOOKUP(M125,Surp5!$B$1:$C$161,2,0),0)</f>
        <v>0</v>
      </c>
      <c r="AF125" s="97">
        <f>IFERROR(VLOOKUP(O125,Surp6!$B$1:$C$161,2,0),0)</f>
        <v>0</v>
      </c>
      <c r="AG125" s="97">
        <f>IFERROR(VLOOKUP(Q125,Surp7!$B$1:$C$161,2,0),0)</f>
        <v>0</v>
      </c>
      <c r="AH125" s="97">
        <f>IFERROR(VLOOKUP(S125,Surp8!$B$1:$C$161,2,0),0)</f>
        <v>0</v>
      </c>
      <c r="AI125" s="97">
        <f>IFERROR(VLOOKUP(U125,Surp9!$B$1:$C$161,2,0),0)</f>
        <v>0</v>
      </c>
      <c r="AJ125" s="97">
        <f>IFERROR(VLOOKUP(W125,Surp10!$B$1:$C$161,2,0),0)</f>
        <v>0</v>
      </c>
      <c r="AK125" s="97">
        <f>IFERROR(VLOOKUP(Y125,Surp11!$B$1:$C$161,2,0),0)</f>
        <v>0</v>
      </c>
    </row>
    <row r="126" ht="15.75" customHeight="1">
      <c r="A126" s="171">
        <v>125.0</v>
      </c>
      <c r="B126" s="17" t="s">
        <v>125</v>
      </c>
      <c r="C126" s="136">
        <f t="shared" si="1"/>
        <v>131.7406253</v>
      </c>
      <c r="D126" s="136"/>
      <c r="E126" s="137">
        <f>IFERROR(VLOOKUP($B126,Surp1!$A$1:$B$161,2,0),0)</f>
        <v>0</v>
      </c>
      <c r="F126" s="97">
        <f>IFERROR(VLOOKUP(E126,Surp1!$B$1:$C$161,2,0),0)</f>
        <v>0</v>
      </c>
      <c r="G126" s="137">
        <f>IFERROR(VLOOKUP($B126,Surp2!$A$1:$B$161,2,0),0)</f>
        <v>0</v>
      </c>
      <c r="H126" s="97">
        <f>IFERROR(VLOOKUP(G126,Surp2!$B$1:$C$161,2,0),0)</f>
        <v>0</v>
      </c>
      <c r="I126" s="137">
        <f>IFERROR(VLOOKUP($B126,Surp3!$A$1:$B$161,2,0),0)</f>
        <v>0</v>
      </c>
      <c r="J126" s="97">
        <f>IFERROR(VLOOKUP(I126,Surp3!$B$1:$C$161,2,0),0)</f>
        <v>0</v>
      </c>
      <c r="K126" s="137">
        <f>IFERROR(VLOOKUP($B126,Surp4!$A$1:$B$161,2,0),0)</f>
        <v>0</v>
      </c>
      <c r="L126" s="97">
        <f>IFERROR(VLOOKUP(K126,Surp4!$B$1:$C$161,2,0),0)</f>
        <v>0</v>
      </c>
      <c r="M126" s="137">
        <f>IFERROR(VLOOKUP($B126,Surp5!$A$1:$B$161,2,0),0)</f>
        <v>0</v>
      </c>
      <c r="N126" s="97">
        <f>IFERROR(VLOOKUP(M126,Surp5!$B$1:$C$161,2,0),0)</f>
        <v>0</v>
      </c>
      <c r="O126" s="137">
        <f>IFERROR(VLOOKUP($B126,Surp6!$A$1:$B$161,2,0),0)</f>
        <v>32</v>
      </c>
      <c r="P126" s="97">
        <f>IFERROR(VLOOKUP(O126,Surp6!$B$1:$C$161,2,0),0)</f>
        <v>131.7406253</v>
      </c>
      <c r="Q126" s="137">
        <f>IFERROR(VLOOKUP($B126,Surp7!$A$1:$B$161,2,0),0)</f>
        <v>0</v>
      </c>
      <c r="R126" s="97">
        <f>IFERROR(VLOOKUP(Q126,Surp7!$B$1:$C$161,2,0),0)</f>
        <v>0</v>
      </c>
      <c r="S126" s="137">
        <f>IFERROR(VLOOKUP($B126,Surp8!$A$1:$B$161,2,0),0)</f>
        <v>0</v>
      </c>
      <c r="T126" s="97">
        <f>IFERROR(VLOOKUP(S126,Surp8!$B$1:$C$161,2,0),0)</f>
        <v>0</v>
      </c>
      <c r="U126" s="137">
        <f>IFERROR(VLOOKUP($B126,Surp9!$A$1:$B$161,2,0),0)</f>
        <v>0</v>
      </c>
      <c r="V126" s="97">
        <f>IFERROR(VLOOKUP(U126,Surp9!$B$1:$C$161,2,0),0)</f>
        <v>0</v>
      </c>
      <c r="W126" s="137">
        <f>IFERROR(VLOOKUP($B126,Surp10!$A$1:$B$161,2,0),0)</f>
        <v>0</v>
      </c>
      <c r="X126" s="97">
        <f>IFERROR(VLOOKUP(W126,Surp10!$B$1:$C$161,2,0),0)</f>
        <v>0</v>
      </c>
      <c r="Y126" s="137">
        <f>IFERROR(VLOOKUP($B126,Surp11!$A$1:$B$161,2,0),0)</f>
        <v>0</v>
      </c>
      <c r="Z126" s="97">
        <f>IFERROR(VLOOKUP(Y126,Surp11!$B$1:$C$161,2,0),0)</f>
        <v>0</v>
      </c>
      <c r="AA126" s="97">
        <f>IFERROR(VLOOKUP(E126,Surp1!$B$1:$C$161,2,0),0)</f>
        <v>0</v>
      </c>
      <c r="AB126" s="97">
        <f>IFERROR(VLOOKUP(G126,Surp2!$B$1:$C$161,2,0),0)</f>
        <v>0</v>
      </c>
      <c r="AC126" s="97">
        <f>IFERROR(VLOOKUP(I126,Surp3!$B$1:$C$161,2,0),0)</f>
        <v>0</v>
      </c>
      <c r="AD126" s="97">
        <f>IFERROR(VLOOKUP(K126,Surp4!$B$1:$C$161,2,0),0)</f>
        <v>0</v>
      </c>
      <c r="AE126" s="97">
        <f>IFERROR(VLOOKUP(M126,Surp5!$B$1:$C$161,2,0),0)</f>
        <v>0</v>
      </c>
      <c r="AF126" s="97">
        <f>IFERROR(VLOOKUP(O126,Surp6!$B$1:$C$161,2,0),0)</f>
        <v>131.7406253</v>
      </c>
      <c r="AG126" s="97">
        <f>IFERROR(VLOOKUP(Q126,Surp7!$B$1:$C$161,2,0),0)</f>
        <v>0</v>
      </c>
      <c r="AH126" s="97">
        <f>IFERROR(VLOOKUP(S126,Surp8!$B$1:$C$161,2,0),0)</f>
        <v>0</v>
      </c>
      <c r="AI126" s="97">
        <f>IFERROR(VLOOKUP(U126,Surp9!$B$1:$C$161,2,0),0)</f>
        <v>0</v>
      </c>
      <c r="AJ126" s="97">
        <f>IFERROR(VLOOKUP(W126,Surp10!$B$1:$C$161,2,0),0)</f>
        <v>0</v>
      </c>
      <c r="AK126" s="97">
        <f>IFERROR(VLOOKUP(Y126,Surp11!$B$1:$C$161,2,0),0)</f>
        <v>0</v>
      </c>
    </row>
    <row r="127" ht="15.75" customHeight="1">
      <c r="A127" s="172">
        <v>126.0</v>
      </c>
      <c r="B127" s="6" t="s">
        <v>104</v>
      </c>
      <c r="C127" s="136">
        <f t="shared" si="1"/>
        <v>123.7508997</v>
      </c>
      <c r="D127" s="136"/>
      <c r="E127" s="137">
        <f>IFERROR(VLOOKUP($B127,Surp1!$A$1:$B$161,2,0),0)</f>
        <v>0</v>
      </c>
      <c r="F127" s="97">
        <f>IFERROR(VLOOKUP(E127,Surp1!$B$1:$C$161,2,0),0)</f>
        <v>0</v>
      </c>
      <c r="G127" s="137">
        <f>IFERROR(VLOOKUP($B127,Surp2!$A$1:$B$161,2,0),0)</f>
        <v>0</v>
      </c>
      <c r="H127" s="97">
        <f>IFERROR(VLOOKUP(G127,Surp2!$B$1:$C$161,2,0),0)</f>
        <v>0</v>
      </c>
      <c r="I127" s="137">
        <f>IFERROR(VLOOKUP($B127,Surp3!$A$1:$B$161,2,0),0)</f>
        <v>43</v>
      </c>
      <c r="J127" s="97">
        <f>IFERROR(VLOOKUP(I127,Surp3!$B$1:$C$161,2,0),0)</f>
        <v>27.83846664</v>
      </c>
      <c r="K127" s="137">
        <f>IFERROR(VLOOKUP($B127,Surp4!$A$1:$B$161,2,0),0)</f>
        <v>34</v>
      </c>
      <c r="L127" s="97">
        <f>IFERROR(VLOOKUP(K127,Surp4!$B$1:$C$161,2,0),0)</f>
        <v>95.91243304</v>
      </c>
      <c r="M127" s="137">
        <f>IFERROR(VLOOKUP($B127,Surp5!$A$1:$B$161,2,0),0)</f>
        <v>0</v>
      </c>
      <c r="N127" s="97">
        <f>IFERROR(VLOOKUP(M127,Surp5!$B$1:$C$161,2,0),0)</f>
        <v>0</v>
      </c>
      <c r="O127" s="137">
        <f>IFERROR(VLOOKUP($B127,Surp6!$A$1:$B$161,2,0),0)</f>
        <v>0</v>
      </c>
      <c r="P127" s="97">
        <f>IFERROR(VLOOKUP(O127,Surp6!$B$1:$C$161,2,0),0)</f>
        <v>0</v>
      </c>
      <c r="Q127" s="137">
        <f>IFERROR(VLOOKUP($B127,Surp7!$A$1:$B$161,2,0),0)</f>
        <v>0</v>
      </c>
      <c r="R127" s="97">
        <f>IFERROR(VLOOKUP(Q127,Surp7!$B$1:$C$161,2,0),0)</f>
        <v>0</v>
      </c>
      <c r="S127" s="137">
        <f>IFERROR(VLOOKUP($B127,Surp8!$A$1:$B$161,2,0),0)</f>
        <v>0</v>
      </c>
      <c r="T127" s="97">
        <f>IFERROR(VLOOKUP(S127,Surp8!$B$1:$C$161,2,0),0)</f>
        <v>0</v>
      </c>
      <c r="U127" s="137">
        <f>IFERROR(VLOOKUP($B127,Surp9!$A$1:$B$161,2,0),0)</f>
        <v>0</v>
      </c>
      <c r="V127" s="97">
        <f>IFERROR(VLOOKUP(U127,Surp9!$B$1:$C$161,2,0),0)</f>
        <v>0</v>
      </c>
      <c r="W127" s="137">
        <f>IFERROR(VLOOKUP($B127,Surp10!$A$1:$B$161,2,0),0)</f>
        <v>0</v>
      </c>
      <c r="X127" s="97">
        <f>IFERROR(VLOOKUP(W127,Surp10!$B$1:$C$161,2,0),0)</f>
        <v>0</v>
      </c>
      <c r="Y127" s="137">
        <f>IFERROR(VLOOKUP($B127,Surp11!$A$1:$B$161,2,0),0)</f>
        <v>0</v>
      </c>
      <c r="Z127" s="97">
        <f>IFERROR(VLOOKUP(Y127,Surp11!$B$1:$C$161,2,0),0)</f>
        <v>0</v>
      </c>
      <c r="AA127" s="97">
        <f>IFERROR(VLOOKUP(E127,Surp1!$B$1:$C$161,2,0),0)</f>
        <v>0</v>
      </c>
      <c r="AB127" s="97">
        <f>IFERROR(VLOOKUP(G127,Surp2!$B$1:$C$161,2,0),0)</f>
        <v>0</v>
      </c>
      <c r="AC127" s="97">
        <f>IFERROR(VLOOKUP(I127,Surp3!$B$1:$C$161,2,0),0)</f>
        <v>27.83846664</v>
      </c>
      <c r="AD127" s="97">
        <f>IFERROR(VLOOKUP(K127,Surp4!$B$1:$C$161,2,0),0)</f>
        <v>95.91243304</v>
      </c>
      <c r="AE127" s="97">
        <f>IFERROR(VLOOKUP(M127,Surp5!$B$1:$C$161,2,0),0)</f>
        <v>0</v>
      </c>
      <c r="AF127" s="97">
        <f>IFERROR(VLOOKUP(O127,Surp6!$B$1:$C$161,2,0),0)</f>
        <v>0</v>
      </c>
      <c r="AG127" s="97">
        <f>IFERROR(VLOOKUP(Q127,Surp7!$B$1:$C$161,2,0),0)</f>
        <v>0</v>
      </c>
      <c r="AH127" s="97">
        <f>IFERROR(VLOOKUP(S127,Surp8!$B$1:$C$161,2,0),0)</f>
        <v>0</v>
      </c>
      <c r="AI127" s="97">
        <f>IFERROR(VLOOKUP(U127,Surp9!$B$1:$C$161,2,0),0)</f>
        <v>0</v>
      </c>
      <c r="AJ127" s="97">
        <f>IFERROR(VLOOKUP(W127,Surp10!$B$1:$C$161,2,0),0)</f>
        <v>0</v>
      </c>
      <c r="AK127" s="97">
        <f>IFERROR(VLOOKUP(Y127,Surp11!$B$1:$C$161,2,0),0)</f>
        <v>0</v>
      </c>
    </row>
    <row r="128" ht="15.75" customHeight="1">
      <c r="A128" s="171">
        <v>127.0</v>
      </c>
      <c r="B128" s="17" t="s">
        <v>144</v>
      </c>
      <c r="C128" s="136">
        <f t="shared" si="1"/>
        <v>119.3782788</v>
      </c>
      <c r="D128" s="136"/>
      <c r="E128" s="137">
        <f>IFERROR(VLOOKUP($B128,Surp1!$A$1:$B$161,2,0),0)</f>
        <v>0</v>
      </c>
      <c r="F128" s="97">
        <f>IFERROR(VLOOKUP(E128,Surp1!$B$1:$C$161,2,0),0)</f>
        <v>0</v>
      </c>
      <c r="G128" s="137">
        <f>IFERROR(VLOOKUP($B128,Surp2!$A$1:$B$161,2,0),0)</f>
        <v>0</v>
      </c>
      <c r="H128" s="97">
        <f>IFERROR(VLOOKUP(G128,Surp2!$B$1:$C$161,2,0),0)</f>
        <v>0</v>
      </c>
      <c r="I128" s="137">
        <f>IFERROR(VLOOKUP($B128,Surp3!$A$1:$B$161,2,0),0)</f>
        <v>0</v>
      </c>
      <c r="J128" s="97">
        <f>IFERROR(VLOOKUP(I128,Surp3!$B$1:$C$161,2,0),0)</f>
        <v>0</v>
      </c>
      <c r="K128" s="137">
        <f>IFERROR(VLOOKUP($B128,Surp4!$A$1:$B$161,2,0),0)</f>
        <v>0</v>
      </c>
      <c r="L128" s="97">
        <f>IFERROR(VLOOKUP(K128,Surp4!$B$1:$C$161,2,0),0)</f>
        <v>0</v>
      </c>
      <c r="M128" s="137">
        <f>IFERROR(VLOOKUP($B128,Surp5!$A$1:$B$161,2,0),0)</f>
        <v>0</v>
      </c>
      <c r="N128" s="97">
        <f>IFERROR(VLOOKUP(M128,Surp5!$B$1:$C$161,2,0),0)</f>
        <v>0</v>
      </c>
      <c r="O128" s="137">
        <f>IFERROR(VLOOKUP($B128,Surp6!$A$1:$B$161,2,0),0)</f>
        <v>34</v>
      </c>
      <c r="P128" s="97">
        <f>IFERROR(VLOOKUP(O128,Surp6!$B$1:$C$161,2,0),0)</f>
        <v>119.3782788</v>
      </c>
      <c r="Q128" s="137">
        <f>IFERROR(VLOOKUP($B128,Surp7!$A$1:$B$161,2,0),0)</f>
        <v>0</v>
      </c>
      <c r="R128" s="97">
        <f>IFERROR(VLOOKUP(Q128,Surp7!$B$1:$C$161,2,0),0)</f>
        <v>0</v>
      </c>
      <c r="S128" s="137">
        <f>IFERROR(VLOOKUP($B128,Surp8!$A$1:$B$161,2,0),0)</f>
        <v>0</v>
      </c>
      <c r="T128" s="97">
        <f>IFERROR(VLOOKUP(S128,Surp8!$B$1:$C$161,2,0),0)</f>
        <v>0</v>
      </c>
      <c r="U128" s="137">
        <f>IFERROR(VLOOKUP($B128,Surp9!$A$1:$B$161,2,0),0)</f>
        <v>0</v>
      </c>
      <c r="V128" s="97">
        <f>IFERROR(VLOOKUP(U128,Surp9!$B$1:$C$161,2,0),0)</f>
        <v>0</v>
      </c>
      <c r="W128" s="137">
        <f>IFERROR(VLOOKUP($B128,Surp10!$A$1:$B$161,2,0),0)</f>
        <v>0</v>
      </c>
      <c r="X128" s="97">
        <f>IFERROR(VLOOKUP(W128,Surp10!$B$1:$C$161,2,0),0)</f>
        <v>0</v>
      </c>
      <c r="Y128" s="137">
        <f>IFERROR(VLOOKUP($B128,Surp11!$A$1:$B$161,2,0),0)</f>
        <v>0</v>
      </c>
      <c r="Z128" s="97">
        <f>IFERROR(VLOOKUP(Y128,Surp11!$B$1:$C$161,2,0),0)</f>
        <v>0</v>
      </c>
      <c r="AA128" s="97">
        <f>IFERROR(VLOOKUP(E128,Surp1!$B$1:$C$161,2,0),0)</f>
        <v>0</v>
      </c>
      <c r="AB128" s="97">
        <f>IFERROR(VLOOKUP(G128,Surp2!$B$1:$C$161,2,0),0)</f>
        <v>0</v>
      </c>
      <c r="AC128" s="97">
        <f>IFERROR(VLOOKUP(I128,Surp3!$B$1:$C$161,2,0),0)</f>
        <v>0</v>
      </c>
      <c r="AD128" s="97">
        <f>IFERROR(VLOOKUP(K128,Surp4!$B$1:$C$161,2,0),0)</f>
        <v>0</v>
      </c>
      <c r="AE128" s="97">
        <f>IFERROR(VLOOKUP(M128,Surp5!$B$1:$C$161,2,0),0)</f>
        <v>0</v>
      </c>
      <c r="AF128" s="97">
        <f>IFERROR(VLOOKUP(O128,Surp6!$B$1:$C$161,2,0),0)</f>
        <v>119.3782788</v>
      </c>
      <c r="AG128" s="97">
        <f>IFERROR(VLOOKUP(Q128,Surp7!$B$1:$C$161,2,0),0)</f>
        <v>0</v>
      </c>
      <c r="AH128" s="97">
        <f>IFERROR(VLOOKUP(S128,Surp8!$B$1:$C$161,2,0),0)</f>
        <v>0</v>
      </c>
      <c r="AI128" s="97">
        <f>IFERROR(VLOOKUP(U128,Surp9!$B$1:$C$161,2,0),0)</f>
        <v>0</v>
      </c>
      <c r="AJ128" s="97">
        <f>IFERROR(VLOOKUP(W128,Surp10!$B$1:$C$161,2,0),0)</f>
        <v>0</v>
      </c>
      <c r="AK128" s="97">
        <f>IFERROR(VLOOKUP(Y128,Surp11!$B$1:$C$161,2,0),0)</f>
        <v>0</v>
      </c>
    </row>
    <row r="129" ht="15.75" customHeight="1">
      <c r="A129" s="172">
        <v>128.0</v>
      </c>
      <c r="B129" s="24" t="s">
        <v>240</v>
      </c>
      <c r="C129" s="136">
        <f t="shared" si="1"/>
        <v>116.8687088</v>
      </c>
      <c r="D129" s="136"/>
      <c r="E129" s="137">
        <f>IFERROR(VLOOKUP($B129,Surp1!$A$1:$B$161,2,0),0)</f>
        <v>0</v>
      </c>
      <c r="F129" s="97">
        <f>IFERROR(VLOOKUP(E129,Surp1!$B$1:$C$161,2,0),0)</f>
        <v>0</v>
      </c>
      <c r="G129" s="137">
        <f>IFERROR(VLOOKUP($B129,Surp2!$A$1:$B$161,2,0),0)</f>
        <v>0</v>
      </c>
      <c r="H129" s="97">
        <f>IFERROR(VLOOKUP(G129,Surp2!$B$1:$C$161,2,0),0)</f>
        <v>0</v>
      </c>
      <c r="I129" s="137">
        <f>IFERROR(VLOOKUP($B129,Surp3!$A$1:$B$161,2,0),0)</f>
        <v>0</v>
      </c>
      <c r="J129" s="97">
        <f>IFERROR(VLOOKUP(I129,Surp3!$B$1:$C$161,2,0),0)</f>
        <v>0</v>
      </c>
      <c r="K129" s="137">
        <f>IFERROR(VLOOKUP($B129,Surp4!$A$1:$B$161,2,0),0)</f>
        <v>0</v>
      </c>
      <c r="L129" s="97">
        <f>IFERROR(VLOOKUP(K129,Surp4!$B$1:$C$161,2,0),0)</f>
        <v>0</v>
      </c>
      <c r="M129" s="137">
        <f>IFERROR(VLOOKUP($B129,Surp5!$A$1:$B$161,2,0),0)</f>
        <v>32</v>
      </c>
      <c r="N129" s="97">
        <f>IFERROR(VLOOKUP(M129,Surp5!$B$1:$C$161,2,0),0)</f>
        <v>116.8687088</v>
      </c>
      <c r="O129" s="137">
        <f>IFERROR(VLOOKUP($B129,Surp6!$A$1:$B$161,2,0),0)</f>
        <v>0</v>
      </c>
      <c r="P129" s="97">
        <f>IFERROR(VLOOKUP(O129,Surp6!$B$1:$C$161,2,0),0)</f>
        <v>0</v>
      </c>
      <c r="Q129" s="137">
        <f>IFERROR(VLOOKUP($B129,Surp7!$A$1:$B$161,2,0),0)</f>
        <v>0</v>
      </c>
      <c r="R129" s="97">
        <f>IFERROR(VLOOKUP(Q129,Surp7!$B$1:$C$161,2,0),0)</f>
        <v>0</v>
      </c>
      <c r="S129" s="137">
        <f>IFERROR(VLOOKUP($B129,Surp8!$A$1:$B$161,2,0),0)</f>
        <v>0</v>
      </c>
      <c r="T129" s="97">
        <f>IFERROR(VLOOKUP(S129,Surp8!$B$1:$C$161,2,0),0)</f>
        <v>0</v>
      </c>
      <c r="U129" s="137">
        <f>IFERROR(VLOOKUP($B129,Surp9!$A$1:$B$161,2,0),0)</f>
        <v>0</v>
      </c>
      <c r="V129" s="97">
        <f>IFERROR(VLOOKUP(U129,Surp9!$B$1:$C$161,2,0),0)</f>
        <v>0</v>
      </c>
      <c r="W129" s="137">
        <f>IFERROR(VLOOKUP($B129,Surp10!$A$1:$B$161,2,0),0)</f>
        <v>0</v>
      </c>
      <c r="X129" s="97">
        <f>IFERROR(VLOOKUP(W129,Surp10!$B$1:$C$161,2,0),0)</f>
        <v>0</v>
      </c>
      <c r="Y129" s="137">
        <f>IFERROR(VLOOKUP($B129,Surp11!$A$1:$B$161,2,0),0)</f>
        <v>0</v>
      </c>
      <c r="Z129" s="97">
        <f>IFERROR(VLOOKUP(Y129,Surp11!$B$1:$C$161,2,0),0)</f>
        <v>0</v>
      </c>
      <c r="AA129" s="97">
        <f>IFERROR(VLOOKUP(E129,Surp1!$B$1:$C$161,2,0),0)</f>
        <v>0</v>
      </c>
      <c r="AB129" s="97">
        <f>IFERROR(VLOOKUP(G129,Surp2!$B$1:$C$161,2,0),0)</f>
        <v>0</v>
      </c>
      <c r="AC129" s="97">
        <f>IFERROR(VLOOKUP(I129,Surp3!$B$1:$C$161,2,0),0)</f>
        <v>0</v>
      </c>
      <c r="AD129" s="97">
        <f>IFERROR(VLOOKUP(K129,Surp4!$B$1:$C$161,2,0),0)</f>
        <v>0</v>
      </c>
      <c r="AE129" s="97">
        <f>IFERROR(VLOOKUP(M129,Surp5!$B$1:$C$161,2,0),0)</f>
        <v>116.8687088</v>
      </c>
      <c r="AF129" s="97">
        <f>IFERROR(VLOOKUP(O129,Surp6!$B$1:$C$161,2,0),0)</f>
        <v>0</v>
      </c>
      <c r="AG129" s="97">
        <f>IFERROR(VLOOKUP(Q129,Surp7!$B$1:$C$161,2,0),0)</f>
        <v>0</v>
      </c>
      <c r="AH129" s="97">
        <f>IFERROR(VLOOKUP(S129,Surp8!$B$1:$C$161,2,0),0)</f>
        <v>0</v>
      </c>
      <c r="AI129" s="97">
        <f>IFERROR(VLOOKUP(U129,Surp9!$B$1:$C$161,2,0),0)</f>
        <v>0</v>
      </c>
      <c r="AJ129" s="97">
        <f>IFERROR(VLOOKUP(W129,Surp10!$B$1:$C$161,2,0),0)</f>
        <v>0</v>
      </c>
      <c r="AK129" s="97">
        <f>IFERROR(VLOOKUP(Y129,Surp11!$B$1:$C$161,2,0),0)</f>
        <v>0</v>
      </c>
    </row>
    <row r="130" ht="15.75" customHeight="1">
      <c r="A130" s="171">
        <v>129.0</v>
      </c>
      <c r="B130" s="101" t="s">
        <v>130</v>
      </c>
      <c r="C130" s="136">
        <f t="shared" si="1"/>
        <v>106.8652957</v>
      </c>
      <c r="D130" s="136"/>
      <c r="E130" s="137">
        <f>IFERROR(VLOOKUP($B130,Surp1!$A$1:$B$161,2,0),0)</f>
        <v>0</v>
      </c>
      <c r="F130" s="97">
        <f>IFERROR(VLOOKUP(E130,Surp1!$B$1:$C$161,2,0),0)</f>
        <v>0</v>
      </c>
      <c r="G130" s="137">
        <f>IFERROR(VLOOKUP($B130,Surp2!$A$1:$B$161,2,0),0)</f>
        <v>38</v>
      </c>
      <c r="H130" s="97">
        <f>IFERROR(VLOOKUP(G130,Surp2!$B$1:$C$161,2,0),0)</f>
        <v>106.8652957</v>
      </c>
      <c r="I130" s="137">
        <f>IFERROR(VLOOKUP($B130,Surp3!$A$1:$B$161,2,0),0)</f>
        <v>0</v>
      </c>
      <c r="J130" s="97">
        <f>IFERROR(VLOOKUP(I130,Surp3!$B$1:$C$161,2,0),0)</f>
        <v>0</v>
      </c>
      <c r="K130" s="137">
        <f>IFERROR(VLOOKUP($B130,Surp4!$A$1:$B$161,2,0),0)</f>
        <v>0</v>
      </c>
      <c r="L130" s="97">
        <f>IFERROR(VLOOKUP(K130,Surp4!$B$1:$C$161,2,0),0)</f>
        <v>0</v>
      </c>
      <c r="M130" s="137">
        <f>IFERROR(VLOOKUP($B130,Surp5!$A$1:$B$161,2,0),0)</f>
        <v>0</v>
      </c>
      <c r="N130" s="97">
        <f>IFERROR(VLOOKUP(M130,Surp5!$B$1:$C$161,2,0),0)</f>
        <v>0</v>
      </c>
      <c r="O130" s="137">
        <f>IFERROR(VLOOKUP($B130,Surp6!$A$1:$B$161,2,0),0)</f>
        <v>0</v>
      </c>
      <c r="P130" s="97">
        <f>IFERROR(VLOOKUP(O130,Surp6!$B$1:$C$161,2,0),0)</f>
        <v>0</v>
      </c>
      <c r="Q130" s="137">
        <f>IFERROR(VLOOKUP($B130,Surp7!$A$1:$B$161,2,0),0)</f>
        <v>0</v>
      </c>
      <c r="R130" s="97">
        <f>IFERROR(VLOOKUP(Q130,Surp7!$B$1:$C$161,2,0),0)</f>
        <v>0</v>
      </c>
      <c r="S130" s="137">
        <f>IFERROR(VLOOKUP($B130,Surp8!$A$1:$B$161,2,0),0)</f>
        <v>0</v>
      </c>
      <c r="T130" s="97">
        <f>IFERROR(VLOOKUP(S130,Surp8!$B$1:$C$161,2,0),0)</f>
        <v>0</v>
      </c>
      <c r="U130" s="137">
        <f>IFERROR(VLOOKUP($B130,Surp9!$A$1:$B$161,2,0),0)</f>
        <v>0</v>
      </c>
      <c r="V130" s="97">
        <f>IFERROR(VLOOKUP(U130,Surp9!$B$1:$C$161,2,0),0)</f>
        <v>0</v>
      </c>
      <c r="W130" s="137">
        <f>IFERROR(VLOOKUP($B130,Surp10!$A$1:$B$161,2,0),0)</f>
        <v>0</v>
      </c>
      <c r="X130" s="97">
        <f>IFERROR(VLOOKUP(W130,Surp10!$B$1:$C$161,2,0),0)</f>
        <v>0</v>
      </c>
      <c r="Y130" s="137">
        <f>IFERROR(VLOOKUP($B130,Surp11!$A$1:$B$161,2,0),0)</f>
        <v>0</v>
      </c>
      <c r="Z130" s="97">
        <f>IFERROR(VLOOKUP(Y130,Surp11!$B$1:$C$161,2,0),0)</f>
        <v>0</v>
      </c>
      <c r="AA130" s="97">
        <f>IFERROR(VLOOKUP(E130,Surp1!$B$1:$C$161,2,0),0)</f>
        <v>0</v>
      </c>
      <c r="AB130" s="97">
        <f>IFERROR(VLOOKUP(G130,Surp2!$B$1:$C$161,2,0),0)</f>
        <v>106.8652957</v>
      </c>
      <c r="AC130" s="97">
        <f>IFERROR(VLOOKUP(I130,Surp3!$B$1:$C$161,2,0),0)</f>
        <v>0</v>
      </c>
      <c r="AD130" s="97">
        <f>IFERROR(VLOOKUP(K130,Surp4!$B$1:$C$161,2,0),0)</f>
        <v>0</v>
      </c>
      <c r="AE130" s="97">
        <f>IFERROR(VLOOKUP(M130,Surp5!$B$1:$C$161,2,0),0)</f>
        <v>0</v>
      </c>
      <c r="AF130" s="97">
        <f>IFERROR(VLOOKUP(O130,Surp6!$B$1:$C$161,2,0),0)</f>
        <v>0</v>
      </c>
      <c r="AG130" s="97">
        <f>IFERROR(VLOOKUP(Q130,Surp7!$B$1:$C$161,2,0),0)</f>
        <v>0</v>
      </c>
      <c r="AH130" s="97">
        <f>IFERROR(VLOOKUP(S130,Surp8!$B$1:$C$161,2,0),0)</f>
        <v>0</v>
      </c>
      <c r="AI130" s="97">
        <f>IFERROR(VLOOKUP(U130,Surp9!$B$1:$C$161,2,0),0)</f>
        <v>0</v>
      </c>
      <c r="AJ130" s="97">
        <f>IFERROR(VLOOKUP(W130,Surp10!$B$1:$C$161,2,0),0)</f>
        <v>0</v>
      </c>
      <c r="AK130" s="97">
        <f>IFERROR(VLOOKUP(Y130,Surp11!$B$1:$C$161,2,0),0)</f>
        <v>0</v>
      </c>
    </row>
    <row r="131" ht="15.75" customHeight="1">
      <c r="A131" s="172">
        <v>130.0</v>
      </c>
      <c r="B131" s="25" t="s">
        <v>145</v>
      </c>
      <c r="C131" s="136">
        <f t="shared" si="1"/>
        <v>104.6479813</v>
      </c>
      <c r="D131" s="136"/>
      <c r="E131" s="137">
        <f>IFERROR(VLOOKUP($B131,Surp1!$A$1:$B$161,2,0),0)</f>
        <v>0</v>
      </c>
      <c r="F131" s="97">
        <f>IFERROR(VLOOKUP(E131,Surp1!$B$1:$C$161,2,0),0)</f>
        <v>0</v>
      </c>
      <c r="G131" s="137">
        <f>IFERROR(VLOOKUP($B131,Surp2!$A$1:$B$161,2,0),0)</f>
        <v>0</v>
      </c>
      <c r="H131" s="97">
        <f>IFERROR(VLOOKUP(G131,Surp2!$B$1:$C$161,2,0),0)</f>
        <v>0</v>
      </c>
      <c r="I131" s="137">
        <f>IFERROR(VLOOKUP($B131,Surp3!$A$1:$B$161,2,0),0)</f>
        <v>0</v>
      </c>
      <c r="J131" s="97">
        <f>IFERROR(VLOOKUP(I131,Surp3!$B$1:$C$161,2,0),0)</f>
        <v>0</v>
      </c>
      <c r="K131" s="137">
        <f>IFERROR(VLOOKUP($B131,Surp4!$A$1:$B$161,2,0),0)</f>
        <v>0</v>
      </c>
      <c r="L131" s="97">
        <f>IFERROR(VLOOKUP(K131,Surp4!$B$1:$C$161,2,0),0)</f>
        <v>0</v>
      </c>
      <c r="M131" s="137">
        <f>IFERROR(VLOOKUP($B131,Surp5!$A$1:$B$161,2,0),0)</f>
        <v>0</v>
      </c>
      <c r="N131" s="97">
        <f>IFERROR(VLOOKUP(M131,Surp5!$B$1:$C$161,2,0),0)</f>
        <v>0</v>
      </c>
      <c r="O131" s="137">
        <f>IFERROR(VLOOKUP($B131,Surp6!$A$1:$B$161,2,0),0)</f>
        <v>0</v>
      </c>
      <c r="P131" s="97">
        <f>IFERROR(VLOOKUP(O131,Surp6!$B$1:$C$161,2,0),0)</f>
        <v>0</v>
      </c>
      <c r="Q131" s="137">
        <f>IFERROR(VLOOKUP($B131,Surp7!$A$1:$B$161,2,0),0)</f>
        <v>0</v>
      </c>
      <c r="R131" s="97">
        <f>IFERROR(VLOOKUP(Q131,Surp7!$B$1:$C$161,2,0),0)</f>
        <v>0</v>
      </c>
      <c r="S131" s="137">
        <f>IFERROR(VLOOKUP($B131,Surp8!$A$1:$B$161,2,0),0)</f>
        <v>0</v>
      </c>
      <c r="T131" s="97">
        <f>IFERROR(VLOOKUP(S131,Surp8!$B$1:$C$161,2,0),0)</f>
        <v>0</v>
      </c>
      <c r="U131" s="137">
        <f>IFERROR(VLOOKUP($B131,Surp9!$A$1:$B$161,2,0),0)</f>
        <v>0</v>
      </c>
      <c r="V131" s="97">
        <f>IFERROR(VLOOKUP(U131,Surp9!$B$1:$C$161,2,0),0)</f>
        <v>0</v>
      </c>
      <c r="W131" s="137">
        <f>IFERROR(VLOOKUP($B131,Surp10!$A$1:$B$161,2,0),0)</f>
        <v>32</v>
      </c>
      <c r="X131" s="97">
        <f>IFERROR(VLOOKUP(W131,Surp10!$B$1:$C$161,2,0),0)</f>
        <v>104.6479813</v>
      </c>
      <c r="Y131" s="137">
        <f>IFERROR(VLOOKUP($B131,Surp11!$A$1:$B$161,2,0),0)</f>
        <v>0</v>
      </c>
      <c r="Z131" s="97">
        <f>IFERROR(VLOOKUP(Y131,Surp11!$B$1:$C$161,2,0),0)</f>
        <v>0</v>
      </c>
      <c r="AA131" s="97">
        <f>IFERROR(VLOOKUP(E131,Surp1!$B$1:$C$161,2,0),0)</f>
        <v>0</v>
      </c>
      <c r="AB131" s="97">
        <f>IFERROR(VLOOKUP(G131,Surp2!$B$1:$C$161,2,0),0)</f>
        <v>0</v>
      </c>
      <c r="AC131" s="97">
        <f>IFERROR(VLOOKUP(I131,Surp3!$B$1:$C$161,2,0),0)</f>
        <v>0</v>
      </c>
      <c r="AD131" s="97">
        <f>IFERROR(VLOOKUP(K131,Surp4!$B$1:$C$161,2,0),0)</f>
        <v>0</v>
      </c>
      <c r="AE131" s="97">
        <f>IFERROR(VLOOKUP(M131,Surp5!$B$1:$C$161,2,0),0)</f>
        <v>0</v>
      </c>
      <c r="AF131" s="97">
        <f>IFERROR(VLOOKUP(O131,Surp6!$B$1:$C$161,2,0),0)</f>
        <v>0</v>
      </c>
      <c r="AG131" s="97">
        <f>IFERROR(VLOOKUP(Q131,Surp7!$B$1:$C$161,2,0),0)</f>
        <v>0</v>
      </c>
      <c r="AH131" s="97">
        <f>IFERROR(VLOOKUP(S131,Surp8!$B$1:$C$161,2,0),0)</f>
        <v>0</v>
      </c>
      <c r="AI131" s="97">
        <f>IFERROR(VLOOKUP(U131,Surp9!$B$1:$C$161,2,0),0)</f>
        <v>0</v>
      </c>
      <c r="AJ131" s="97">
        <f>IFERROR(VLOOKUP(W131,Surp10!$B$1:$C$161,2,0),0)</f>
        <v>104.6479813</v>
      </c>
      <c r="AK131" s="97">
        <f>IFERROR(VLOOKUP(Y131,Surp11!$B$1:$C$161,2,0),0)</f>
        <v>0</v>
      </c>
    </row>
    <row r="132" ht="15.75" customHeight="1">
      <c r="A132" s="171">
        <v>131.0</v>
      </c>
      <c r="B132" s="101" t="s">
        <v>146</v>
      </c>
      <c r="C132" s="136">
        <f t="shared" si="1"/>
        <v>102.719032</v>
      </c>
      <c r="D132" s="136"/>
      <c r="E132" s="137">
        <f>IFERROR(VLOOKUP($B132,Surp1!$A$1:$B$161,2,0),0)</f>
        <v>0</v>
      </c>
      <c r="F132" s="97">
        <f>IFERROR(VLOOKUP(E132,Surp1!$B$1:$C$161,2,0),0)</f>
        <v>0</v>
      </c>
      <c r="G132" s="137">
        <f>IFERROR(VLOOKUP($B132,Surp2!$A$1:$B$161,2,0),0)</f>
        <v>0</v>
      </c>
      <c r="H132" s="97">
        <f>IFERROR(VLOOKUP(G132,Surp2!$B$1:$C$161,2,0),0)</f>
        <v>0</v>
      </c>
      <c r="I132" s="137">
        <f>IFERROR(VLOOKUP($B132,Surp3!$A$1:$B$161,2,0),0)</f>
        <v>31</v>
      </c>
      <c r="J132" s="97">
        <f>IFERROR(VLOOKUP(I132,Surp3!$B$1:$C$161,2,0),0)</f>
        <v>102.719032</v>
      </c>
      <c r="K132" s="137">
        <f>IFERROR(VLOOKUP($B132,Surp4!$A$1:$B$161,2,0),0)</f>
        <v>0</v>
      </c>
      <c r="L132" s="97">
        <f>IFERROR(VLOOKUP(K132,Surp4!$B$1:$C$161,2,0),0)</f>
        <v>0</v>
      </c>
      <c r="M132" s="137">
        <f>IFERROR(VLOOKUP($B132,Surp5!$A$1:$B$161,2,0),0)</f>
        <v>0</v>
      </c>
      <c r="N132" s="97">
        <f>IFERROR(VLOOKUP(M132,Surp5!$B$1:$C$161,2,0),0)</f>
        <v>0</v>
      </c>
      <c r="O132" s="137">
        <f>IFERROR(VLOOKUP($B132,Surp6!$A$1:$B$161,2,0),0)</f>
        <v>0</v>
      </c>
      <c r="P132" s="97">
        <f>IFERROR(VLOOKUP(O132,Surp6!$B$1:$C$161,2,0),0)</f>
        <v>0</v>
      </c>
      <c r="Q132" s="137">
        <f>IFERROR(VLOOKUP($B132,Surp7!$A$1:$B$161,2,0),0)</f>
        <v>0</v>
      </c>
      <c r="R132" s="97">
        <f>IFERROR(VLOOKUP(Q132,Surp7!$B$1:$C$161,2,0),0)</f>
        <v>0</v>
      </c>
      <c r="S132" s="137">
        <f>IFERROR(VLOOKUP($B132,Surp8!$A$1:$B$161,2,0),0)</f>
        <v>0</v>
      </c>
      <c r="T132" s="97">
        <f>IFERROR(VLOOKUP(S132,Surp8!$B$1:$C$161,2,0),0)</f>
        <v>0</v>
      </c>
      <c r="U132" s="137">
        <f>IFERROR(VLOOKUP($B132,Surp9!$A$1:$B$161,2,0),0)</f>
        <v>0</v>
      </c>
      <c r="V132" s="97">
        <f>IFERROR(VLOOKUP(U132,Surp9!$B$1:$C$161,2,0),0)</f>
        <v>0</v>
      </c>
      <c r="W132" s="137">
        <f>IFERROR(VLOOKUP($B132,Surp10!$A$1:$B$161,2,0),0)</f>
        <v>0</v>
      </c>
      <c r="X132" s="97">
        <f>IFERROR(VLOOKUP(W132,Surp10!$B$1:$C$161,2,0),0)</f>
        <v>0</v>
      </c>
      <c r="Y132" s="137">
        <f>IFERROR(VLOOKUP($B132,Surp11!$A$1:$B$161,2,0),0)</f>
        <v>0</v>
      </c>
      <c r="Z132" s="97">
        <f>IFERROR(VLOOKUP(Y132,Surp11!$B$1:$C$161,2,0),0)</f>
        <v>0</v>
      </c>
      <c r="AA132" s="97">
        <f>IFERROR(VLOOKUP(E132,Surp1!$B$1:$C$161,2,0),0)</f>
        <v>0</v>
      </c>
      <c r="AB132" s="97">
        <f>IFERROR(VLOOKUP(G132,Surp2!$B$1:$C$161,2,0),0)</f>
        <v>0</v>
      </c>
      <c r="AC132" s="97">
        <f>IFERROR(VLOOKUP(I132,Surp3!$B$1:$C$161,2,0),0)</f>
        <v>102.719032</v>
      </c>
      <c r="AD132" s="97">
        <f>IFERROR(VLOOKUP(K132,Surp4!$B$1:$C$161,2,0),0)</f>
        <v>0</v>
      </c>
      <c r="AE132" s="97">
        <f>IFERROR(VLOOKUP(M132,Surp5!$B$1:$C$161,2,0),0)</f>
        <v>0</v>
      </c>
      <c r="AF132" s="97">
        <f>IFERROR(VLOOKUP(O132,Surp6!$B$1:$C$161,2,0),0)</f>
        <v>0</v>
      </c>
      <c r="AG132" s="97">
        <f>IFERROR(VLOOKUP(Q132,Surp7!$B$1:$C$161,2,0),0)</f>
        <v>0</v>
      </c>
      <c r="AH132" s="97">
        <f>IFERROR(VLOOKUP(S132,Surp8!$B$1:$C$161,2,0),0)</f>
        <v>0</v>
      </c>
      <c r="AI132" s="97">
        <f>IFERROR(VLOOKUP(U132,Surp9!$B$1:$C$161,2,0),0)</f>
        <v>0</v>
      </c>
      <c r="AJ132" s="97">
        <f>IFERROR(VLOOKUP(W132,Surp10!$B$1:$C$161,2,0),0)</f>
        <v>0</v>
      </c>
      <c r="AK132" s="97">
        <f>IFERROR(VLOOKUP(Y132,Surp11!$B$1:$C$161,2,0),0)</f>
        <v>0</v>
      </c>
    </row>
    <row r="133" ht="15.75" customHeight="1">
      <c r="A133" s="172">
        <v>132.0</v>
      </c>
      <c r="B133" s="101" t="s">
        <v>241</v>
      </c>
      <c r="C133" s="136">
        <f t="shared" si="1"/>
        <v>98.43660879</v>
      </c>
      <c r="D133" s="136"/>
      <c r="E133" s="137">
        <f>IFERROR(VLOOKUP($B133,Surp1!$A$1:$B$161,2,0),0)</f>
        <v>0</v>
      </c>
      <c r="F133" s="97">
        <f>IFERROR(VLOOKUP(E133,Surp1!$B$1:$C$161,2,0),0)</f>
        <v>0</v>
      </c>
      <c r="G133" s="137">
        <f>IFERROR(VLOOKUP($B133,Surp2!$A$1:$B$161,2,0),0)</f>
        <v>46</v>
      </c>
      <c r="H133" s="97">
        <f>IFERROR(VLOOKUP(G133,Surp2!$B$1:$C$161,2,0),0)</f>
        <v>64.83335379</v>
      </c>
      <c r="I133" s="137">
        <f>IFERROR(VLOOKUP($B133,Surp3!$A$1:$B$161,2,0),0)</f>
        <v>42</v>
      </c>
      <c r="J133" s="97">
        <f>IFERROR(VLOOKUP(I133,Surp3!$B$1:$C$161,2,0),0)</f>
        <v>33.60325501</v>
      </c>
      <c r="K133" s="137">
        <f>IFERROR(VLOOKUP($B133,Surp4!$A$1:$B$161,2,0),0)</f>
        <v>0</v>
      </c>
      <c r="L133" s="97">
        <f>IFERROR(VLOOKUP(K133,Surp4!$B$1:$C$161,2,0),0)</f>
        <v>0</v>
      </c>
      <c r="M133" s="137">
        <f>IFERROR(VLOOKUP($B133,Surp5!$A$1:$B$161,2,0),0)</f>
        <v>0</v>
      </c>
      <c r="N133" s="97">
        <f>IFERROR(VLOOKUP(M133,Surp5!$B$1:$C$161,2,0),0)</f>
        <v>0</v>
      </c>
      <c r="O133" s="137">
        <f>IFERROR(VLOOKUP($B133,Surp6!$A$1:$B$161,2,0),0)</f>
        <v>0</v>
      </c>
      <c r="P133" s="97">
        <f>IFERROR(VLOOKUP(O133,Surp6!$B$1:$C$161,2,0),0)</f>
        <v>0</v>
      </c>
      <c r="Q133" s="137">
        <f>IFERROR(VLOOKUP($B133,Surp7!$A$1:$B$161,2,0),0)</f>
        <v>0</v>
      </c>
      <c r="R133" s="97">
        <f>IFERROR(VLOOKUP(Q133,Surp7!$B$1:$C$161,2,0),0)</f>
        <v>0</v>
      </c>
      <c r="S133" s="137">
        <f>IFERROR(VLOOKUP($B133,Surp8!$A$1:$B$161,2,0),0)</f>
        <v>0</v>
      </c>
      <c r="T133" s="97">
        <f>IFERROR(VLOOKUP(S133,Surp8!$B$1:$C$161,2,0),0)</f>
        <v>0</v>
      </c>
      <c r="U133" s="137">
        <f>IFERROR(VLOOKUP($B133,Surp9!$A$1:$B$161,2,0),0)</f>
        <v>0</v>
      </c>
      <c r="V133" s="97">
        <f>IFERROR(VLOOKUP(U133,Surp9!$B$1:$C$161,2,0),0)</f>
        <v>0</v>
      </c>
      <c r="W133" s="137">
        <f>IFERROR(VLOOKUP($B133,Surp10!$A$1:$B$161,2,0),0)</f>
        <v>0</v>
      </c>
      <c r="X133" s="97">
        <f>IFERROR(VLOOKUP(W133,Surp10!$B$1:$C$161,2,0),0)</f>
        <v>0</v>
      </c>
      <c r="Y133" s="137">
        <f>IFERROR(VLOOKUP($B133,Surp11!$A$1:$B$161,2,0),0)</f>
        <v>0</v>
      </c>
      <c r="Z133" s="97">
        <f>IFERROR(VLOOKUP(Y133,Surp11!$B$1:$C$161,2,0),0)</f>
        <v>0</v>
      </c>
      <c r="AA133" s="97">
        <f>IFERROR(VLOOKUP(E133,Surp1!$B$1:$C$161,2,0),0)</f>
        <v>0</v>
      </c>
      <c r="AB133" s="97">
        <f>IFERROR(VLOOKUP(G133,Surp2!$B$1:$C$161,2,0),0)</f>
        <v>64.83335379</v>
      </c>
      <c r="AC133" s="97">
        <f>IFERROR(VLOOKUP(I133,Surp3!$B$1:$C$161,2,0),0)</f>
        <v>33.60325501</v>
      </c>
      <c r="AD133" s="97">
        <f>IFERROR(VLOOKUP(K133,Surp4!$B$1:$C$161,2,0),0)</f>
        <v>0</v>
      </c>
      <c r="AE133" s="97">
        <f>IFERROR(VLOOKUP(M133,Surp5!$B$1:$C$161,2,0),0)</f>
        <v>0</v>
      </c>
      <c r="AF133" s="97">
        <f>IFERROR(VLOOKUP(O133,Surp6!$B$1:$C$161,2,0),0)</f>
        <v>0</v>
      </c>
      <c r="AG133" s="97">
        <f>IFERROR(VLOOKUP(Q133,Surp7!$B$1:$C$161,2,0),0)</f>
        <v>0</v>
      </c>
      <c r="AH133" s="97">
        <f>IFERROR(VLOOKUP(S133,Surp8!$B$1:$C$161,2,0),0)</f>
        <v>0</v>
      </c>
      <c r="AI133" s="97">
        <f>IFERROR(VLOOKUP(U133,Surp9!$B$1:$C$161,2,0),0)</f>
        <v>0</v>
      </c>
      <c r="AJ133" s="97">
        <f>IFERROR(VLOOKUP(W133,Surp10!$B$1:$C$161,2,0),0)</f>
        <v>0</v>
      </c>
      <c r="AK133" s="97">
        <f>IFERROR(VLOOKUP(Y133,Surp11!$B$1:$C$161,2,0),0)</f>
        <v>0</v>
      </c>
    </row>
    <row r="134" ht="15.75" customHeight="1">
      <c r="A134" s="171">
        <v>133.0</v>
      </c>
      <c r="B134" s="6" t="s">
        <v>73</v>
      </c>
      <c r="C134" s="136">
        <f t="shared" si="1"/>
        <v>95.57995968</v>
      </c>
      <c r="D134" s="173"/>
      <c r="E134" s="174">
        <f>IFERROR(VLOOKUP($B134,Surp1!$A$1:$B$161,2,0),0)</f>
        <v>0</v>
      </c>
      <c r="F134" s="175">
        <f>IFERROR(VLOOKUP(E134,Surp1!$B$1:$C$161,2,0),0)</f>
        <v>0</v>
      </c>
      <c r="G134" s="174">
        <f>IFERROR(VLOOKUP($B134,Surp2!$A$1:$B$161,2,0),0)</f>
        <v>0</v>
      </c>
      <c r="H134" s="175">
        <f>IFERROR(VLOOKUP(G134,Surp2!$B$1:$C$161,2,0),0)</f>
        <v>0</v>
      </c>
      <c r="I134" s="174">
        <f>IFERROR(VLOOKUP($B134,Surp3!$A$1:$B$161,2,0),0)</f>
        <v>0</v>
      </c>
      <c r="J134" s="175">
        <f>IFERROR(VLOOKUP(I134,Surp3!$B$1:$C$161,2,0),0)</f>
        <v>0</v>
      </c>
      <c r="K134" s="174">
        <f>IFERROR(VLOOKUP($B134,Surp4!$A$1:$B$161,2,0),0)</f>
        <v>0</v>
      </c>
      <c r="L134" s="175">
        <f>IFERROR(VLOOKUP(K134,Surp4!$B$1:$C$161,2,0),0)</f>
        <v>0</v>
      </c>
      <c r="M134" s="174">
        <f>IFERROR(VLOOKUP($B134,Surp5!$A$1:$B$161,2,0),0)</f>
        <v>0</v>
      </c>
      <c r="N134" s="175">
        <f>IFERROR(VLOOKUP(M134,Surp5!$B$1:$C$161,2,0),0)</f>
        <v>0</v>
      </c>
      <c r="O134" s="174">
        <f>IFERROR(VLOOKUP($B134,Surp6!$A$1:$B$161,2,0),0)</f>
        <v>55</v>
      </c>
      <c r="P134" s="175">
        <f>IFERROR(VLOOKUP(O134,Surp6!$B$1:$C$161,2,0),0)</f>
        <v>9.204634106</v>
      </c>
      <c r="Q134" s="174">
        <f>IFERROR(VLOOKUP($B134,Surp7!$A$1:$B$161,2,0),0)</f>
        <v>56</v>
      </c>
      <c r="R134" s="175">
        <f>IFERROR(VLOOKUP(Q134,Surp7!$B$1:$C$161,2,0),0)</f>
        <v>4.581631958</v>
      </c>
      <c r="S134" s="174">
        <f>IFERROR(VLOOKUP($B134,Surp8!$A$1:$B$161,2,0),0)</f>
        <v>0</v>
      </c>
      <c r="T134" s="175">
        <f>IFERROR(VLOOKUP(S134,Surp8!$B$1:$C$161,2,0),0)</f>
        <v>0</v>
      </c>
      <c r="U134" s="174">
        <f>IFERROR(VLOOKUP($B134,Surp9!$A$1:$B$161,2,0),0)</f>
        <v>32</v>
      </c>
      <c r="V134" s="175">
        <f>IFERROR(VLOOKUP(U134,Surp9!$B$1:$C$161,2,0),0)</f>
        <v>81.79369361</v>
      </c>
      <c r="W134" s="174">
        <f>IFERROR(VLOOKUP($B134,Surp10!$A$1:$B$161,2,0),0)</f>
        <v>0</v>
      </c>
      <c r="X134" s="175">
        <f>IFERROR(VLOOKUP(W134,Surp10!$B$1:$C$161,2,0),0)</f>
        <v>0</v>
      </c>
      <c r="Y134" s="174">
        <f>IFERROR(VLOOKUP($B134,Surp11!$A$1:$B$161,2,0),0)</f>
        <v>0</v>
      </c>
      <c r="Z134" s="175">
        <f>IFERROR(VLOOKUP(Y134,Surp11!$B$1:$C$161,2,0),0)</f>
        <v>0</v>
      </c>
      <c r="AA134" s="175">
        <f>IFERROR(VLOOKUP(E134,Surp1!$B$1:$C$161,2,0),0)</f>
        <v>0</v>
      </c>
      <c r="AB134" s="175">
        <f>IFERROR(VLOOKUP(G134,Surp2!$B$1:$C$161,2,0),0)</f>
        <v>0</v>
      </c>
      <c r="AC134" s="175">
        <f>IFERROR(VLOOKUP(I134,Surp3!$B$1:$C$161,2,0),0)</f>
        <v>0</v>
      </c>
      <c r="AD134" s="175">
        <f>IFERROR(VLOOKUP(K134,Surp4!$B$1:$C$161,2,0),0)</f>
        <v>0</v>
      </c>
      <c r="AE134" s="175">
        <f>IFERROR(VLOOKUP(M134,Surp5!$B$1:$C$161,2,0),0)</f>
        <v>0</v>
      </c>
      <c r="AF134" s="175">
        <f>IFERROR(VLOOKUP(O134,Surp6!$B$1:$C$161,2,0),0)</f>
        <v>9.204634106</v>
      </c>
      <c r="AG134" s="175">
        <f>IFERROR(VLOOKUP(Q134,Surp7!$B$1:$C$161,2,0),0)</f>
        <v>4.581631958</v>
      </c>
      <c r="AH134" s="175">
        <f>IFERROR(VLOOKUP(S134,Surp8!$B$1:$C$161,2,0),0)</f>
        <v>0</v>
      </c>
      <c r="AI134" s="175">
        <f>IFERROR(VLOOKUP(U134,Surp9!$B$1:$C$161,2,0),0)</f>
        <v>81.79369361</v>
      </c>
      <c r="AJ134" s="175">
        <f>IFERROR(VLOOKUP(W134,Surp10!$B$1:$C$161,2,0),0)</f>
        <v>0</v>
      </c>
      <c r="AK134" s="175">
        <f>IFERROR(VLOOKUP(Y134,Surp11!$B$1:$C$161,2,0),0)</f>
        <v>0</v>
      </c>
    </row>
    <row r="135" ht="15.75" customHeight="1">
      <c r="A135" s="172">
        <v>134.0</v>
      </c>
      <c r="B135" s="6" t="s">
        <v>242</v>
      </c>
      <c r="C135" s="136">
        <f t="shared" si="1"/>
        <v>85.27467889</v>
      </c>
      <c r="D135" s="173"/>
      <c r="E135" s="174">
        <f>IFERROR(VLOOKUP($B135,Surp1!$A$1:$B$161,2,0),0)</f>
        <v>0</v>
      </c>
      <c r="F135" s="175">
        <f>IFERROR(VLOOKUP(E135,Surp1!$B$1:$C$161,2,0),0)</f>
        <v>0</v>
      </c>
      <c r="G135" s="174">
        <f>IFERROR(VLOOKUP($B135,Surp2!$A$1:$B$161,2,0),0)</f>
        <v>42</v>
      </c>
      <c r="H135" s="175">
        <f>IFERROR(VLOOKUP(G135,Surp2!$B$1:$C$161,2,0),0)</f>
        <v>85.27467889</v>
      </c>
      <c r="I135" s="174">
        <f>IFERROR(VLOOKUP($B135,Surp3!$A$1:$B$161,2,0),0)</f>
        <v>0</v>
      </c>
      <c r="J135" s="175">
        <f>IFERROR(VLOOKUP(I135,Surp3!$B$1:$C$161,2,0),0)</f>
        <v>0</v>
      </c>
      <c r="K135" s="174">
        <f>IFERROR(VLOOKUP($B135,Surp4!$A$1:$B$161,2,0),0)</f>
        <v>0</v>
      </c>
      <c r="L135" s="175">
        <f>IFERROR(VLOOKUP(K135,Surp4!$B$1:$C$161,2,0),0)</f>
        <v>0</v>
      </c>
      <c r="M135" s="174">
        <f>IFERROR(VLOOKUP($B135,Surp5!$A$1:$B$161,2,0),0)</f>
        <v>0</v>
      </c>
      <c r="N135" s="175">
        <f>IFERROR(VLOOKUP(M135,Surp5!$B$1:$C$161,2,0),0)</f>
        <v>0</v>
      </c>
      <c r="O135" s="174">
        <f>IFERROR(VLOOKUP($B135,Surp6!$A$1:$B$161,2,0),0)</f>
        <v>0</v>
      </c>
      <c r="P135" s="175">
        <f>IFERROR(VLOOKUP(O135,Surp6!$B$1:$C$161,2,0),0)</f>
        <v>0</v>
      </c>
      <c r="Q135" s="174">
        <f>IFERROR(VLOOKUP($B135,Surp7!$A$1:$B$161,2,0),0)</f>
        <v>0</v>
      </c>
      <c r="R135" s="175">
        <f>IFERROR(VLOOKUP(Q135,Surp7!$B$1:$C$161,2,0),0)</f>
        <v>0</v>
      </c>
      <c r="S135" s="174">
        <f>IFERROR(VLOOKUP($B135,Surp8!$A$1:$B$161,2,0),0)</f>
        <v>0</v>
      </c>
      <c r="T135" s="175">
        <f>IFERROR(VLOOKUP(S135,Surp8!$B$1:$C$161,2,0),0)</f>
        <v>0</v>
      </c>
      <c r="U135" s="174">
        <f>IFERROR(VLOOKUP($B135,Surp9!$A$1:$B$161,2,0),0)</f>
        <v>0</v>
      </c>
      <c r="V135" s="175">
        <f>IFERROR(VLOOKUP(U135,Surp9!$B$1:$C$161,2,0),0)</f>
        <v>0</v>
      </c>
      <c r="W135" s="174">
        <f>IFERROR(VLOOKUP($B135,Surp10!$A$1:$B$161,2,0),0)</f>
        <v>0</v>
      </c>
      <c r="X135" s="175">
        <f>IFERROR(VLOOKUP(W135,Surp10!$B$1:$C$161,2,0),0)</f>
        <v>0</v>
      </c>
      <c r="Y135" s="174">
        <f>IFERROR(VLOOKUP($B135,Surp11!$A$1:$B$161,2,0),0)</f>
        <v>0</v>
      </c>
      <c r="Z135" s="175">
        <f>IFERROR(VLOOKUP(Y135,Surp11!$B$1:$C$161,2,0),0)</f>
        <v>0</v>
      </c>
      <c r="AA135" s="175">
        <f>IFERROR(VLOOKUP(E135,Surp1!$B$1:$C$161,2,0),0)</f>
        <v>0</v>
      </c>
      <c r="AB135" s="175">
        <f>IFERROR(VLOOKUP(G135,Surp2!$B$1:$C$161,2,0),0)</f>
        <v>85.27467889</v>
      </c>
      <c r="AC135" s="175">
        <f>IFERROR(VLOOKUP(I135,Surp3!$B$1:$C$161,2,0),0)</f>
        <v>0</v>
      </c>
      <c r="AD135" s="175">
        <f>IFERROR(VLOOKUP(K135,Surp4!$B$1:$C$161,2,0),0)</f>
        <v>0</v>
      </c>
      <c r="AE135" s="175">
        <f>IFERROR(VLOOKUP(M135,Surp5!$B$1:$C$161,2,0),0)</f>
        <v>0</v>
      </c>
      <c r="AF135" s="175">
        <f>IFERROR(VLOOKUP(O135,Surp6!$B$1:$C$161,2,0),0)</f>
        <v>0</v>
      </c>
      <c r="AG135" s="175">
        <f>IFERROR(VLOOKUP(Q135,Surp7!$B$1:$C$161,2,0),0)</f>
        <v>0</v>
      </c>
      <c r="AH135" s="175">
        <f>IFERROR(VLOOKUP(S135,Surp8!$B$1:$C$161,2,0),0)</f>
        <v>0</v>
      </c>
      <c r="AI135" s="175">
        <f>IFERROR(VLOOKUP(U135,Surp9!$B$1:$C$161,2,0),0)</f>
        <v>0</v>
      </c>
      <c r="AJ135" s="175">
        <f>IFERROR(VLOOKUP(W135,Surp10!$B$1:$C$161,2,0),0)</f>
        <v>0</v>
      </c>
      <c r="AK135" s="175">
        <f>IFERROR(VLOOKUP(Y135,Surp11!$B$1:$C$161,2,0),0)</f>
        <v>0</v>
      </c>
    </row>
    <row r="136" ht="15.75" customHeight="1">
      <c r="A136" s="171">
        <v>135.0</v>
      </c>
      <c r="B136" s="17" t="s">
        <v>243</v>
      </c>
      <c r="C136" s="136">
        <f t="shared" si="1"/>
        <v>84.72296181</v>
      </c>
      <c r="D136" s="136"/>
      <c r="E136" s="137">
        <f>IFERROR(VLOOKUP($B136,Surp1!$A$1:$B$161,2,0),0)</f>
        <v>0</v>
      </c>
      <c r="F136" s="97">
        <f>IFERROR(VLOOKUP(E136,Surp1!$B$1:$C$161,2,0),0)</f>
        <v>0</v>
      </c>
      <c r="G136" s="137">
        <f>IFERROR(VLOOKUP($B136,Surp2!$A$1:$B$161,2,0),0)</f>
        <v>0</v>
      </c>
      <c r="H136" s="97">
        <f>IFERROR(VLOOKUP(G136,Surp2!$B$1:$C$161,2,0),0)</f>
        <v>0</v>
      </c>
      <c r="I136" s="137">
        <f>IFERROR(VLOOKUP($B136,Surp3!$A$1:$B$161,2,0),0)</f>
        <v>0</v>
      </c>
      <c r="J136" s="97">
        <f>IFERROR(VLOOKUP(I136,Surp3!$B$1:$C$161,2,0),0)</f>
        <v>0</v>
      </c>
      <c r="K136" s="137">
        <f>IFERROR(VLOOKUP($B136,Surp4!$A$1:$B$161,2,0),0)</f>
        <v>0</v>
      </c>
      <c r="L136" s="97">
        <f>IFERROR(VLOOKUP(K136,Surp4!$B$1:$C$161,2,0),0)</f>
        <v>0</v>
      </c>
      <c r="M136" s="137">
        <f>IFERROR(VLOOKUP($B136,Surp5!$A$1:$B$161,2,0),0)</f>
        <v>0</v>
      </c>
      <c r="N136" s="97">
        <f>IFERROR(VLOOKUP(M136,Surp5!$B$1:$C$161,2,0),0)</f>
        <v>0</v>
      </c>
      <c r="O136" s="137">
        <f>IFERROR(VLOOKUP($B136,Surp6!$A$1:$B$161,2,0),0)</f>
        <v>0</v>
      </c>
      <c r="P136" s="97">
        <f>IFERROR(VLOOKUP(O136,Surp6!$B$1:$C$161,2,0),0)</f>
        <v>0</v>
      </c>
      <c r="Q136" s="137">
        <f>IFERROR(VLOOKUP($B136,Surp7!$A$1:$B$161,2,0),0)</f>
        <v>40</v>
      </c>
      <c r="R136" s="97">
        <f>IFERROR(VLOOKUP(Q136,Surp7!$B$1:$C$161,2,0),0)</f>
        <v>84.72296181</v>
      </c>
      <c r="S136" s="137">
        <f>IFERROR(VLOOKUP($B136,Surp8!$A$1:$B$161,2,0),0)</f>
        <v>0</v>
      </c>
      <c r="T136" s="97">
        <f>IFERROR(VLOOKUP(S136,Surp8!$B$1:$C$161,2,0),0)</f>
        <v>0</v>
      </c>
      <c r="U136" s="137">
        <f>IFERROR(VLOOKUP($B136,Surp9!$A$1:$B$161,2,0),0)</f>
        <v>0</v>
      </c>
      <c r="V136" s="97">
        <f>IFERROR(VLOOKUP(U136,Surp9!$B$1:$C$161,2,0),0)</f>
        <v>0</v>
      </c>
      <c r="W136" s="137">
        <f>IFERROR(VLOOKUP($B136,Surp10!$A$1:$B$161,2,0),0)</f>
        <v>0</v>
      </c>
      <c r="X136" s="97">
        <f>IFERROR(VLOOKUP(W136,Surp10!$B$1:$C$161,2,0),0)</f>
        <v>0</v>
      </c>
      <c r="Y136" s="137">
        <f>IFERROR(VLOOKUP($B136,Surp11!$A$1:$B$161,2,0),0)</f>
        <v>0</v>
      </c>
      <c r="Z136" s="97">
        <f>IFERROR(VLOOKUP(Y136,Surp11!$B$1:$C$161,2,0),0)</f>
        <v>0</v>
      </c>
      <c r="AA136" s="97">
        <f>IFERROR(VLOOKUP(E136,Surp1!$B$1:$C$161,2,0),0)</f>
        <v>0</v>
      </c>
      <c r="AB136" s="97">
        <f>IFERROR(VLOOKUP(G136,Surp2!$B$1:$C$161,2,0),0)</f>
        <v>0</v>
      </c>
      <c r="AC136" s="97">
        <f>IFERROR(VLOOKUP(I136,Surp3!$B$1:$C$161,2,0),0)</f>
        <v>0</v>
      </c>
      <c r="AD136" s="97">
        <f>IFERROR(VLOOKUP(K136,Surp4!$B$1:$C$161,2,0),0)</f>
        <v>0</v>
      </c>
      <c r="AE136" s="97">
        <f>IFERROR(VLOOKUP(M136,Surp5!$B$1:$C$161,2,0),0)</f>
        <v>0</v>
      </c>
      <c r="AF136" s="97">
        <f>IFERROR(VLOOKUP(O136,Surp6!$B$1:$C$161,2,0),0)</f>
        <v>0</v>
      </c>
      <c r="AG136" s="97">
        <f>IFERROR(VLOOKUP(Q136,Surp7!$B$1:$C$161,2,0),0)</f>
        <v>84.72296181</v>
      </c>
      <c r="AH136" s="97">
        <f>IFERROR(VLOOKUP(S136,Surp8!$B$1:$C$161,2,0),0)</f>
        <v>0</v>
      </c>
      <c r="AI136" s="97">
        <f>IFERROR(VLOOKUP(U136,Surp9!$B$1:$C$161,2,0),0)</f>
        <v>0</v>
      </c>
      <c r="AJ136" s="97">
        <f>IFERROR(VLOOKUP(W136,Surp10!$B$1:$C$161,2,0),0)</f>
        <v>0</v>
      </c>
      <c r="AK136" s="97">
        <f>IFERROR(VLOOKUP(Y136,Surp11!$B$1:$C$161,2,0),0)</f>
        <v>0</v>
      </c>
    </row>
    <row r="137" ht="15.75" customHeight="1">
      <c r="A137" s="172">
        <v>136.0</v>
      </c>
      <c r="B137" s="17" t="s">
        <v>243</v>
      </c>
      <c r="C137" s="136">
        <f t="shared" si="1"/>
        <v>84.72296181</v>
      </c>
      <c r="D137" s="136"/>
      <c r="E137" s="137">
        <f>IFERROR(VLOOKUP($B137,Surp1!$A$1:$B$161,2,0),0)</f>
        <v>0</v>
      </c>
      <c r="F137" s="97">
        <f>IFERROR(VLOOKUP(E137,Surp1!$B$1:$C$161,2,0),0)</f>
        <v>0</v>
      </c>
      <c r="G137" s="137">
        <f>IFERROR(VLOOKUP($B137,Surp2!$A$1:$B$161,2,0),0)</f>
        <v>0</v>
      </c>
      <c r="H137" s="97">
        <f>IFERROR(VLOOKUP(G137,Surp2!$B$1:$C$161,2,0),0)</f>
        <v>0</v>
      </c>
      <c r="I137" s="137">
        <f>IFERROR(VLOOKUP($B137,Surp3!$A$1:$B$161,2,0),0)</f>
        <v>0</v>
      </c>
      <c r="J137" s="97">
        <f>IFERROR(VLOOKUP(I137,Surp3!$B$1:$C$161,2,0),0)</f>
        <v>0</v>
      </c>
      <c r="K137" s="137">
        <f>IFERROR(VLOOKUP($B137,Surp4!$A$1:$B$161,2,0),0)</f>
        <v>0</v>
      </c>
      <c r="L137" s="97">
        <f>IFERROR(VLOOKUP(K137,Surp4!$B$1:$C$161,2,0),0)</f>
        <v>0</v>
      </c>
      <c r="M137" s="137">
        <f>IFERROR(VLOOKUP($B137,Surp5!$A$1:$B$161,2,0),0)</f>
        <v>0</v>
      </c>
      <c r="N137" s="97">
        <f>IFERROR(VLOOKUP(M137,Surp5!$B$1:$C$161,2,0),0)</f>
        <v>0</v>
      </c>
      <c r="O137" s="137">
        <f>IFERROR(VLOOKUP($B137,Surp6!$A$1:$B$161,2,0),0)</f>
        <v>0</v>
      </c>
      <c r="P137" s="97">
        <f>IFERROR(VLOOKUP(O137,Surp6!$B$1:$C$161,2,0),0)</f>
        <v>0</v>
      </c>
      <c r="Q137" s="137">
        <f>IFERROR(VLOOKUP($B137,Surp7!$A$1:$B$161,2,0),0)</f>
        <v>40</v>
      </c>
      <c r="R137" s="97">
        <f>IFERROR(VLOOKUP(Q137,Surp7!$B$1:$C$161,2,0),0)</f>
        <v>84.72296181</v>
      </c>
      <c r="S137" s="137">
        <f>IFERROR(VLOOKUP($B137,Surp8!$A$1:$B$161,2,0),0)</f>
        <v>0</v>
      </c>
      <c r="T137" s="97">
        <f>IFERROR(VLOOKUP(S137,Surp8!$B$1:$C$161,2,0),0)</f>
        <v>0</v>
      </c>
      <c r="U137" s="137">
        <f>IFERROR(VLOOKUP($B137,Surp9!$A$1:$B$161,2,0),0)</f>
        <v>0</v>
      </c>
      <c r="V137" s="97">
        <f>IFERROR(VLOOKUP(U137,Surp9!$B$1:$C$161,2,0),0)</f>
        <v>0</v>
      </c>
      <c r="W137" s="137">
        <f>IFERROR(VLOOKUP($B137,Surp10!$A$1:$B$161,2,0),0)</f>
        <v>0</v>
      </c>
      <c r="X137" s="97">
        <f>IFERROR(VLOOKUP(W137,Surp10!$B$1:$C$161,2,0),0)</f>
        <v>0</v>
      </c>
      <c r="Y137" s="137">
        <f>IFERROR(VLOOKUP($B137,Surp11!$A$1:$B$161,2,0),0)</f>
        <v>0</v>
      </c>
      <c r="Z137" s="97">
        <f>IFERROR(VLOOKUP(Y137,Surp11!$B$1:$C$161,2,0),0)</f>
        <v>0</v>
      </c>
      <c r="AA137" s="97">
        <f>IFERROR(VLOOKUP(E137,Surp1!$B$1:$C$161,2,0),0)</f>
        <v>0</v>
      </c>
      <c r="AB137" s="97">
        <f>IFERROR(VLOOKUP(G137,Surp2!$B$1:$C$161,2,0),0)</f>
        <v>0</v>
      </c>
      <c r="AC137" s="97">
        <f>IFERROR(VLOOKUP(I137,Surp3!$B$1:$C$161,2,0),0)</f>
        <v>0</v>
      </c>
      <c r="AD137" s="97">
        <f>IFERROR(VLOOKUP(K137,Surp4!$B$1:$C$161,2,0),0)</f>
        <v>0</v>
      </c>
      <c r="AE137" s="97">
        <f>IFERROR(VLOOKUP(M137,Surp5!$B$1:$C$161,2,0),0)</f>
        <v>0</v>
      </c>
      <c r="AF137" s="97">
        <f>IFERROR(VLOOKUP(O137,Surp6!$B$1:$C$161,2,0),0)</f>
        <v>0</v>
      </c>
      <c r="AG137" s="97">
        <f>IFERROR(VLOOKUP(Q137,Surp7!$B$1:$C$161,2,0),0)</f>
        <v>84.72296181</v>
      </c>
      <c r="AH137" s="97">
        <f>IFERROR(VLOOKUP(S137,Surp8!$B$1:$C$161,2,0),0)</f>
        <v>0</v>
      </c>
      <c r="AI137" s="97">
        <f>IFERROR(VLOOKUP(U137,Surp9!$B$1:$C$161,2,0),0)</f>
        <v>0</v>
      </c>
      <c r="AJ137" s="97">
        <f>IFERROR(VLOOKUP(W137,Surp10!$B$1:$C$161,2,0),0)</f>
        <v>0</v>
      </c>
      <c r="AK137" s="97">
        <f>IFERROR(VLOOKUP(Y137,Surp11!$B$1:$C$161,2,0),0)</f>
        <v>0</v>
      </c>
    </row>
    <row r="138" ht="15.75" customHeight="1">
      <c r="A138" s="171">
        <v>137.0</v>
      </c>
      <c r="B138" s="24" t="s">
        <v>147</v>
      </c>
      <c r="C138" s="136">
        <f t="shared" si="1"/>
        <v>74.92326999</v>
      </c>
      <c r="D138" s="136"/>
      <c r="E138" s="137">
        <f>IFERROR(VLOOKUP($B138,Surp1!$A$1:$B$161,2,0),0)</f>
        <v>0</v>
      </c>
      <c r="F138" s="97">
        <f>IFERROR(VLOOKUP(E138,Surp1!$B$1:$C$161,2,0),0)</f>
        <v>0</v>
      </c>
      <c r="G138" s="137">
        <f>IFERROR(VLOOKUP($B138,Surp2!$A$1:$B$161,2,0),0)</f>
        <v>0</v>
      </c>
      <c r="H138" s="97">
        <f>IFERROR(VLOOKUP(G138,Surp2!$B$1:$C$161,2,0),0)</f>
        <v>0</v>
      </c>
      <c r="I138" s="137">
        <f>IFERROR(VLOOKUP($B138,Surp3!$A$1:$B$161,2,0),0)</f>
        <v>0</v>
      </c>
      <c r="J138" s="97">
        <f>IFERROR(VLOOKUP(I138,Surp3!$B$1:$C$161,2,0),0)</f>
        <v>0</v>
      </c>
      <c r="K138" s="137">
        <f>IFERROR(VLOOKUP($B138,Surp4!$A$1:$B$161,2,0),0)</f>
        <v>0</v>
      </c>
      <c r="L138" s="97">
        <f>IFERROR(VLOOKUP(K138,Surp4!$B$1:$C$161,2,0),0)</f>
        <v>0</v>
      </c>
      <c r="M138" s="137">
        <f>IFERROR(VLOOKUP($B138,Surp5!$A$1:$B$161,2,0),0)</f>
        <v>0</v>
      </c>
      <c r="N138" s="97">
        <f>IFERROR(VLOOKUP(M138,Surp5!$B$1:$C$161,2,0),0)</f>
        <v>0</v>
      </c>
      <c r="O138" s="137">
        <f>IFERROR(VLOOKUP($B138,Surp6!$A$1:$B$161,2,0),0)</f>
        <v>0</v>
      </c>
      <c r="P138" s="97">
        <f>IFERROR(VLOOKUP(O138,Surp6!$B$1:$C$161,2,0),0)</f>
        <v>0</v>
      </c>
      <c r="Q138" s="137">
        <f>IFERROR(VLOOKUP($B138,Surp7!$A$1:$B$161,2,0),0)</f>
        <v>0</v>
      </c>
      <c r="R138" s="97">
        <f>IFERROR(VLOOKUP(Q138,Surp7!$B$1:$C$161,2,0),0)</f>
        <v>0</v>
      </c>
      <c r="S138" s="137">
        <f>IFERROR(VLOOKUP($B138,Surp8!$A$1:$B$161,2,0),0)</f>
        <v>0</v>
      </c>
      <c r="T138" s="97">
        <f>IFERROR(VLOOKUP(S138,Surp8!$B$1:$C$161,2,0),0)</f>
        <v>0</v>
      </c>
      <c r="U138" s="137">
        <f>IFERROR(VLOOKUP($B138,Surp9!$A$1:$B$161,2,0),0)</f>
        <v>33</v>
      </c>
      <c r="V138" s="97">
        <f>IFERROR(VLOOKUP(U138,Surp9!$B$1:$C$161,2,0),0)</f>
        <v>74.92326999</v>
      </c>
      <c r="W138" s="137">
        <f>IFERROR(VLOOKUP($B138,Surp10!$A$1:$B$161,2,0),0)</f>
        <v>0</v>
      </c>
      <c r="X138" s="97">
        <f>IFERROR(VLOOKUP(W138,Surp10!$B$1:$C$161,2,0),0)</f>
        <v>0</v>
      </c>
      <c r="Y138" s="137">
        <f>IFERROR(VLOOKUP($B138,Surp11!$A$1:$B$161,2,0),0)</f>
        <v>0</v>
      </c>
      <c r="Z138" s="97">
        <f>IFERROR(VLOOKUP(Y138,Surp11!$B$1:$C$161,2,0),0)</f>
        <v>0</v>
      </c>
      <c r="AA138" s="97">
        <f>IFERROR(VLOOKUP(E138,Surp1!$B$1:$C$161,2,0),0)</f>
        <v>0</v>
      </c>
      <c r="AB138" s="97">
        <f>IFERROR(VLOOKUP(G138,Surp2!$B$1:$C$161,2,0),0)</f>
        <v>0</v>
      </c>
      <c r="AC138" s="97">
        <f>IFERROR(VLOOKUP(I138,Surp3!$B$1:$C$161,2,0),0)</f>
        <v>0</v>
      </c>
      <c r="AD138" s="97">
        <f>IFERROR(VLOOKUP(K138,Surp4!$B$1:$C$161,2,0),0)</f>
        <v>0</v>
      </c>
      <c r="AE138" s="97">
        <f>IFERROR(VLOOKUP(M138,Surp5!$B$1:$C$161,2,0),0)</f>
        <v>0</v>
      </c>
      <c r="AF138" s="97">
        <f>IFERROR(VLOOKUP(O138,Surp6!$B$1:$C$161,2,0),0)</f>
        <v>0</v>
      </c>
      <c r="AG138" s="97">
        <f>IFERROR(VLOOKUP(Q138,Surp7!$B$1:$C$161,2,0),0)</f>
        <v>0</v>
      </c>
      <c r="AH138" s="97">
        <f>IFERROR(VLOOKUP(S138,Surp8!$B$1:$C$161,2,0),0)</f>
        <v>0</v>
      </c>
      <c r="AI138" s="97">
        <f>IFERROR(VLOOKUP(U138,Surp9!$B$1:$C$161,2,0),0)</f>
        <v>74.92326999</v>
      </c>
      <c r="AJ138" s="97">
        <f>IFERROR(VLOOKUP(W138,Surp10!$B$1:$C$161,2,0),0)</f>
        <v>0</v>
      </c>
      <c r="AK138" s="97">
        <f>IFERROR(VLOOKUP(Y138,Surp11!$B$1:$C$161,2,0),0)</f>
        <v>0</v>
      </c>
    </row>
    <row r="139" ht="15.75" customHeight="1">
      <c r="A139" s="172">
        <v>138.0</v>
      </c>
      <c r="B139" s="24" t="s">
        <v>244</v>
      </c>
      <c r="C139" s="136">
        <f t="shared" si="1"/>
        <v>68.42184807</v>
      </c>
      <c r="D139" s="136"/>
      <c r="E139" s="137">
        <f>IFERROR(VLOOKUP($B139,Surp1!$A$1:$B$161,2,0),0)</f>
        <v>0</v>
      </c>
      <c r="F139" s="97">
        <f>IFERROR(VLOOKUP(E139,Surp1!$B$1:$C$161,2,0),0)</f>
        <v>0</v>
      </c>
      <c r="G139" s="137">
        <f>IFERROR(VLOOKUP($B139,Surp2!$A$1:$B$161,2,0),0)</f>
        <v>0</v>
      </c>
      <c r="H139" s="97">
        <f>IFERROR(VLOOKUP(G139,Surp2!$B$1:$C$161,2,0),0)</f>
        <v>0</v>
      </c>
      <c r="I139" s="137">
        <f>IFERROR(VLOOKUP($B139,Surp3!$A$1:$B$161,2,0),0)</f>
        <v>0</v>
      </c>
      <c r="J139" s="97">
        <f>IFERROR(VLOOKUP(I139,Surp3!$B$1:$C$161,2,0),0)</f>
        <v>0</v>
      </c>
      <c r="K139" s="137">
        <f>IFERROR(VLOOKUP($B139,Surp4!$A$1:$B$161,2,0),0)</f>
        <v>0</v>
      </c>
      <c r="L139" s="97">
        <f>IFERROR(VLOOKUP(K139,Surp4!$B$1:$C$161,2,0),0)</f>
        <v>0</v>
      </c>
      <c r="M139" s="137">
        <f>IFERROR(VLOOKUP($B139,Surp5!$A$1:$B$161,2,0),0)</f>
        <v>40</v>
      </c>
      <c r="N139" s="97">
        <f>IFERROR(VLOOKUP(M139,Surp5!$B$1:$C$161,2,0),0)</f>
        <v>68.42184807</v>
      </c>
      <c r="O139" s="137">
        <f>IFERROR(VLOOKUP($B139,Surp6!$A$1:$B$161,2,0),0)</f>
        <v>0</v>
      </c>
      <c r="P139" s="97">
        <f>IFERROR(VLOOKUP(O139,Surp6!$B$1:$C$161,2,0),0)</f>
        <v>0</v>
      </c>
      <c r="Q139" s="137">
        <f>IFERROR(VLOOKUP($B139,Surp7!$A$1:$B$161,2,0),0)</f>
        <v>0</v>
      </c>
      <c r="R139" s="97">
        <f>IFERROR(VLOOKUP(Q139,Surp7!$B$1:$C$161,2,0),0)</f>
        <v>0</v>
      </c>
      <c r="S139" s="137">
        <f>IFERROR(VLOOKUP($B139,Surp8!$A$1:$B$161,2,0),0)</f>
        <v>0</v>
      </c>
      <c r="T139" s="97">
        <f>IFERROR(VLOOKUP(S139,Surp8!$B$1:$C$161,2,0),0)</f>
        <v>0</v>
      </c>
      <c r="U139" s="137">
        <f>IFERROR(VLOOKUP($B139,Surp9!$A$1:$B$161,2,0),0)</f>
        <v>0</v>
      </c>
      <c r="V139" s="97">
        <f>IFERROR(VLOOKUP(U139,Surp9!$B$1:$C$161,2,0),0)</f>
        <v>0</v>
      </c>
      <c r="W139" s="137">
        <f>IFERROR(VLOOKUP($B139,Surp10!$A$1:$B$161,2,0),0)</f>
        <v>0</v>
      </c>
      <c r="X139" s="97">
        <f>IFERROR(VLOOKUP(W139,Surp10!$B$1:$C$161,2,0),0)</f>
        <v>0</v>
      </c>
      <c r="Y139" s="137">
        <f>IFERROR(VLOOKUP($B139,Surp11!$A$1:$B$161,2,0),0)</f>
        <v>0</v>
      </c>
      <c r="Z139" s="97">
        <f>IFERROR(VLOOKUP(Y139,Surp11!$B$1:$C$161,2,0),0)</f>
        <v>0</v>
      </c>
      <c r="AA139" s="97">
        <f>IFERROR(VLOOKUP(E139,Surp1!$B$1:$C$161,2,0),0)</f>
        <v>0</v>
      </c>
      <c r="AB139" s="97">
        <f>IFERROR(VLOOKUP(G139,Surp2!$B$1:$C$161,2,0),0)</f>
        <v>0</v>
      </c>
      <c r="AC139" s="97">
        <f>IFERROR(VLOOKUP(I139,Surp3!$B$1:$C$161,2,0),0)</f>
        <v>0</v>
      </c>
      <c r="AD139" s="97">
        <f>IFERROR(VLOOKUP(K139,Surp4!$B$1:$C$161,2,0),0)</f>
        <v>0</v>
      </c>
      <c r="AE139" s="97">
        <f>IFERROR(VLOOKUP(M139,Surp5!$B$1:$C$161,2,0),0)</f>
        <v>68.42184807</v>
      </c>
      <c r="AF139" s="97">
        <f>IFERROR(VLOOKUP(O139,Surp6!$B$1:$C$161,2,0),0)</f>
        <v>0</v>
      </c>
      <c r="AG139" s="97">
        <f>IFERROR(VLOOKUP(Q139,Surp7!$B$1:$C$161,2,0),0)</f>
        <v>0</v>
      </c>
      <c r="AH139" s="97">
        <f>IFERROR(VLOOKUP(S139,Surp8!$B$1:$C$161,2,0),0)</f>
        <v>0</v>
      </c>
      <c r="AI139" s="97">
        <f>IFERROR(VLOOKUP(U139,Surp9!$B$1:$C$161,2,0),0)</f>
        <v>0</v>
      </c>
      <c r="AJ139" s="97">
        <f>IFERROR(VLOOKUP(W139,Surp10!$B$1:$C$161,2,0),0)</f>
        <v>0</v>
      </c>
      <c r="AK139" s="97">
        <f>IFERROR(VLOOKUP(Y139,Surp11!$B$1:$C$161,2,0),0)</f>
        <v>0</v>
      </c>
    </row>
    <row r="140" ht="15.75" customHeight="1">
      <c r="A140" s="171">
        <v>139.0</v>
      </c>
      <c r="B140" s="25" t="s">
        <v>148</v>
      </c>
      <c r="C140" s="136">
        <f t="shared" si="1"/>
        <v>66.83149736</v>
      </c>
      <c r="D140" s="136"/>
      <c r="E140" s="137">
        <f>IFERROR(VLOOKUP($B140,Surp1!$A$1:$B$161,2,0),0)</f>
        <v>0</v>
      </c>
      <c r="F140" s="97">
        <f>IFERROR(VLOOKUP(E140,Surp1!$B$1:$C$161,2,0),0)</f>
        <v>0</v>
      </c>
      <c r="G140" s="137">
        <f>IFERROR(VLOOKUP($B140,Surp2!$A$1:$B$161,2,0),0)</f>
        <v>0</v>
      </c>
      <c r="H140" s="97">
        <f>IFERROR(VLOOKUP(G140,Surp2!$B$1:$C$161,2,0),0)</f>
        <v>0</v>
      </c>
      <c r="I140" s="137">
        <f>IFERROR(VLOOKUP($B140,Surp3!$A$1:$B$161,2,0),0)</f>
        <v>0</v>
      </c>
      <c r="J140" s="97">
        <f>IFERROR(VLOOKUP(I140,Surp3!$B$1:$C$161,2,0),0)</f>
        <v>0</v>
      </c>
      <c r="K140" s="137">
        <f>IFERROR(VLOOKUP($B140,Surp4!$A$1:$B$161,2,0),0)</f>
        <v>0</v>
      </c>
      <c r="L140" s="97">
        <f>IFERROR(VLOOKUP(K140,Surp4!$B$1:$C$161,2,0),0)</f>
        <v>0</v>
      </c>
      <c r="M140" s="137">
        <f>IFERROR(VLOOKUP($B140,Surp5!$A$1:$B$161,2,0),0)</f>
        <v>0</v>
      </c>
      <c r="N140" s="97">
        <f>IFERROR(VLOOKUP(M140,Surp5!$B$1:$C$161,2,0),0)</f>
        <v>0</v>
      </c>
      <c r="O140" s="137">
        <f>IFERROR(VLOOKUP($B140,Surp6!$A$1:$B$161,2,0),0)</f>
        <v>0</v>
      </c>
      <c r="P140" s="97">
        <f>IFERROR(VLOOKUP(O140,Surp6!$B$1:$C$161,2,0),0)</f>
        <v>0</v>
      </c>
      <c r="Q140" s="137">
        <f>IFERROR(VLOOKUP($B140,Surp7!$A$1:$B$161,2,0),0)</f>
        <v>0</v>
      </c>
      <c r="R140" s="97">
        <f>IFERROR(VLOOKUP(Q140,Surp7!$B$1:$C$161,2,0),0)</f>
        <v>0</v>
      </c>
      <c r="S140" s="137">
        <f>IFERROR(VLOOKUP($B140,Surp8!$A$1:$B$161,2,0),0)</f>
        <v>0</v>
      </c>
      <c r="T140" s="97">
        <f>IFERROR(VLOOKUP(S140,Surp8!$B$1:$C$161,2,0),0)</f>
        <v>0</v>
      </c>
      <c r="U140" s="137">
        <f>IFERROR(VLOOKUP($B140,Surp9!$A$1:$B$161,2,0),0)</f>
        <v>0</v>
      </c>
      <c r="V140" s="97">
        <f>IFERROR(VLOOKUP(U140,Surp9!$B$1:$C$161,2,0),0)</f>
        <v>0</v>
      </c>
      <c r="W140" s="137">
        <f>IFERROR(VLOOKUP($B140,Surp10!$A$1:$B$161,2,0),0)</f>
        <v>38</v>
      </c>
      <c r="X140" s="97">
        <f>IFERROR(VLOOKUP(W140,Surp10!$B$1:$C$161,2,0),0)</f>
        <v>66.83149736</v>
      </c>
      <c r="Y140" s="137">
        <f>IFERROR(VLOOKUP($B140,Surp11!$A$1:$B$161,2,0),0)</f>
        <v>0</v>
      </c>
      <c r="Z140" s="97">
        <f>IFERROR(VLOOKUP(Y140,Surp11!$B$1:$C$161,2,0),0)</f>
        <v>0</v>
      </c>
      <c r="AA140" s="97">
        <f>IFERROR(VLOOKUP(E140,Surp1!$B$1:$C$161,2,0),0)</f>
        <v>0</v>
      </c>
      <c r="AB140" s="97">
        <f>IFERROR(VLOOKUP(G140,Surp2!$B$1:$C$161,2,0),0)</f>
        <v>0</v>
      </c>
      <c r="AC140" s="97">
        <f>IFERROR(VLOOKUP(I140,Surp3!$B$1:$C$161,2,0),0)</f>
        <v>0</v>
      </c>
      <c r="AD140" s="97">
        <f>IFERROR(VLOOKUP(K140,Surp4!$B$1:$C$161,2,0),0)</f>
        <v>0</v>
      </c>
      <c r="AE140" s="97">
        <f>IFERROR(VLOOKUP(M140,Surp5!$B$1:$C$161,2,0),0)</f>
        <v>0</v>
      </c>
      <c r="AF140" s="97">
        <f>IFERROR(VLOOKUP(O140,Surp6!$B$1:$C$161,2,0),0)</f>
        <v>0</v>
      </c>
      <c r="AG140" s="97">
        <f>IFERROR(VLOOKUP(Q140,Surp7!$B$1:$C$161,2,0),0)</f>
        <v>0</v>
      </c>
      <c r="AH140" s="97">
        <f>IFERROR(VLOOKUP(S140,Surp8!$B$1:$C$161,2,0),0)</f>
        <v>0</v>
      </c>
      <c r="AI140" s="97">
        <f>IFERROR(VLOOKUP(U140,Surp9!$B$1:$C$161,2,0),0)</f>
        <v>0</v>
      </c>
      <c r="AJ140" s="97">
        <f>IFERROR(VLOOKUP(W140,Surp10!$B$1:$C$161,2,0),0)</f>
        <v>66.83149736</v>
      </c>
      <c r="AK140" s="97">
        <f>IFERROR(VLOOKUP(Y140,Surp11!$B$1:$C$161,2,0),0)</f>
        <v>0</v>
      </c>
    </row>
    <row r="141" ht="15.75" customHeight="1">
      <c r="A141" s="172">
        <v>140.0</v>
      </c>
      <c r="B141" s="24" t="s">
        <v>245</v>
      </c>
      <c r="C141" s="136">
        <f t="shared" si="1"/>
        <v>65.42004073</v>
      </c>
      <c r="D141" s="136"/>
      <c r="E141" s="137">
        <f>IFERROR(VLOOKUP($B141,Surp1!$A$1:$B$161,2,0),0)</f>
        <v>0</v>
      </c>
      <c r="F141" s="97">
        <f>IFERROR(VLOOKUP(E141,Surp1!$B$1:$C$161,2,0),0)</f>
        <v>0</v>
      </c>
      <c r="G141" s="137">
        <f>IFERROR(VLOOKUP($B141,Surp2!$A$1:$B$161,2,0),0)</f>
        <v>0</v>
      </c>
      <c r="H141" s="97">
        <f>IFERROR(VLOOKUP(G141,Surp2!$B$1:$C$161,2,0),0)</f>
        <v>0</v>
      </c>
      <c r="I141" s="137">
        <f>IFERROR(VLOOKUP($B141,Surp3!$A$1:$B$161,2,0),0)</f>
        <v>0</v>
      </c>
      <c r="J141" s="97">
        <f>IFERROR(VLOOKUP(I141,Surp3!$B$1:$C$161,2,0),0)</f>
        <v>0</v>
      </c>
      <c r="K141" s="137">
        <f>IFERROR(VLOOKUP($B141,Surp4!$A$1:$B$161,2,0),0)</f>
        <v>39</v>
      </c>
      <c r="L141" s="97">
        <f>IFERROR(VLOOKUP(K141,Surp4!$B$1:$C$161,2,0),0)</f>
        <v>65.42004073</v>
      </c>
      <c r="M141" s="137">
        <f>IFERROR(VLOOKUP($B141,Surp5!$A$1:$B$161,2,0),0)</f>
        <v>0</v>
      </c>
      <c r="N141" s="97">
        <f>IFERROR(VLOOKUP(M141,Surp5!$B$1:$C$161,2,0),0)</f>
        <v>0</v>
      </c>
      <c r="O141" s="137">
        <f>IFERROR(VLOOKUP($B141,Surp6!$A$1:$B$161,2,0),0)</f>
        <v>0</v>
      </c>
      <c r="P141" s="97">
        <f>IFERROR(VLOOKUP(O141,Surp6!$B$1:$C$161,2,0),0)</f>
        <v>0</v>
      </c>
      <c r="Q141" s="137">
        <f>IFERROR(VLOOKUP($B141,Surp7!$A$1:$B$161,2,0),0)</f>
        <v>0</v>
      </c>
      <c r="R141" s="97">
        <f>IFERROR(VLOOKUP(Q141,Surp7!$B$1:$C$161,2,0),0)</f>
        <v>0</v>
      </c>
      <c r="S141" s="137">
        <f>IFERROR(VLOOKUP($B141,Surp8!$A$1:$B$161,2,0),0)</f>
        <v>0</v>
      </c>
      <c r="T141" s="97">
        <f>IFERROR(VLOOKUP(S141,Surp8!$B$1:$C$161,2,0),0)</f>
        <v>0</v>
      </c>
      <c r="U141" s="137">
        <f>IFERROR(VLOOKUP($B141,Surp9!$A$1:$B$161,2,0),0)</f>
        <v>0</v>
      </c>
      <c r="V141" s="97">
        <f>IFERROR(VLOOKUP(U141,Surp9!$B$1:$C$161,2,0),0)</f>
        <v>0</v>
      </c>
      <c r="W141" s="137">
        <f>IFERROR(VLOOKUP($B141,Surp10!$A$1:$B$161,2,0),0)</f>
        <v>0</v>
      </c>
      <c r="X141" s="97">
        <f>IFERROR(VLOOKUP(W141,Surp10!$B$1:$C$161,2,0),0)</f>
        <v>0</v>
      </c>
      <c r="Y141" s="137">
        <f>IFERROR(VLOOKUP($B141,Surp11!$A$1:$B$161,2,0),0)</f>
        <v>0</v>
      </c>
      <c r="Z141" s="97">
        <f>IFERROR(VLOOKUP(Y141,Surp11!$B$1:$C$161,2,0),0)</f>
        <v>0</v>
      </c>
      <c r="AA141" s="97">
        <f>IFERROR(VLOOKUP(E141,Surp1!$B$1:$C$161,2,0),0)</f>
        <v>0</v>
      </c>
      <c r="AB141" s="97">
        <f>IFERROR(VLOOKUP(G141,Surp2!$B$1:$C$161,2,0),0)</f>
        <v>0</v>
      </c>
      <c r="AC141" s="97">
        <f>IFERROR(VLOOKUP(I141,Surp3!$B$1:$C$161,2,0),0)</f>
        <v>0</v>
      </c>
      <c r="AD141" s="97">
        <f>IFERROR(VLOOKUP(K141,Surp4!$B$1:$C$161,2,0),0)</f>
        <v>65.42004073</v>
      </c>
      <c r="AE141" s="97">
        <f>IFERROR(VLOOKUP(M141,Surp5!$B$1:$C$161,2,0),0)</f>
        <v>0</v>
      </c>
      <c r="AF141" s="97">
        <f>IFERROR(VLOOKUP(O141,Surp6!$B$1:$C$161,2,0),0)</f>
        <v>0</v>
      </c>
      <c r="AG141" s="97">
        <f>IFERROR(VLOOKUP(Q141,Surp7!$B$1:$C$161,2,0),0)</f>
        <v>0</v>
      </c>
      <c r="AH141" s="97">
        <f>IFERROR(VLOOKUP(S141,Surp8!$B$1:$C$161,2,0),0)</f>
        <v>0</v>
      </c>
      <c r="AI141" s="97">
        <f>IFERROR(VLOOKUP(U141,Surp9!$B$1:$C$161,2,0),0)</f>
        <v>0</v>
      </c>
      <c r="AJ141" s="97">
        <f>IFERROR(VLOOKUP(W141,Surp10!$B$1:$C$161,2,0),0)</f>
        <v>0</v>
      </c>
      <c r="AK141" s="97">
        <f>IFERROR(VLOOKUP(Y141,Surp11!$B$1:$C$161,2,0),0)</f>
        <v>0</v>
      </c>
    </row>
    <row r="142" ht="15.75" customHeight="1">
      <c r="A142" s="171">
        <v>141.0</v>
      </c>
      <c r="B142" s="6" t="s">
        <v>246</v>
      </c>
      <c r="C142" s="136">
        <f t="shared" si="1"/>
        <v>58.42097498</v>
      </c>
      <c r="D142" s="173"/>
      <c r="E142" s="174">
        <f>IFERROR(VLOOKUP($B142,Surp1!$A$1:$B$161,2,0),0)</f>
        <v>0</v>
      </c>
      <c r="F142" s="175">
        <f>IFERROR(VLOOKUP(E142,Surp1!$B$1:$C$161,2,0),0)</f>
        <v>0</v>
      </c>
      <c r="G142" s="174">
        <f>IFERROR(VLOOKUP($B142,Surp2!$A$1:$B$161,2,0),0)</f>
        <v>0</v>
      </c>
      <c r="H142" s="175">
        <f>IFERROR(VLOOKUP(G142,Surp2!$B$1:$C$161,2,0),0)</f>
        <v>0</v>
      </c>
      <c r="I142" s="174">
        <f>IFERROR(VLOOKUP($B142,Surp3!$A$1:$B$161,2,0),0)</f>
        <v>0</v>
      </c>
      <c r="J142" s="175">
        <f>IFERROR(VLOOKUP(I142,Surp3!$B$1:$C$161,2,0),0)</f>
        <v>0</v>
      </c>
      <c r="K142" s="174">
        <f>IFERROR(VLOOKUP($B142,Surp4!$A$1:$B$161,2,0),0)</f>
        <v>41</v>
      </c>
      <c r="L142" s="175">
        <f>IFERROR(VLOOKUP(K142,Surp4!$B$1:$C$161,2,0),0)</f>
        <v>53.83934302</v>
      </c>
      <c r="M142" s="174">
        <f>IFERROR(VLOOKUP($B142,Surp5!$A$1:$B$161,2,0),0)</f>
        <v>0</v>
      </c>
      <c r="N142" s="175">
        <f>IFERROR(VLOOKUP(M142,Surp5!$B$1:$C$161,2,0),0)</f>
        <v>0</v>
      </c>
      <c r="O142" s="174">
        <f>IFERROR(VLOOKUP($B142,Surp6!$A$1:$B$161,2,0),0)</f>
        <v>56</v>
      </c>
      <c r="P142" s="175">
        <f>IFERROR(VLOOKUP(O142,Surp6!$B$1:$C$161,2,0),0)</f>
        <v>4.581631958</v>
      </c>
      <c r="Q142" s="174">
        <f>IFERROR(VLOOKUP($B142,Surp7!$A$1:$B$161,2,0),0)</f>
        <v>0</v>
      </c>
      <c r="R142" s="175">
        <f>IFERROR(VLOOKUP(Q142,Surp7!$B$1:$C$161,2,0),0)</f>
        <v>0</v>
      </c>
      <c r="S142" s="174">
        <f>IFERROR(VLOOKUP($B142,Surp8!$A$1:$B$161,2,0),0)</f>
        <v>0</v>
      </c>
      <c r="T142" s="175">
        <f>IFERROR(VLOOKUP(S142,Surp8!$B$1:$C$161,2,0),0)</f>
        <v>0</v>
      </c>
      <c r="U142" s="174">
        <f>IFERROR(VLOOKUP($B142,Surp9!$A$1:$B$161,2,0),0)</f>
        <v>0</v>
      </c>
      <c r="V142" s="175">
        <f>IFERROR(VLOOKUP(U142,Surp9!$B$1:$C$161,2,0),0)</f>
        <v>0</v>
      </c>
      <c r="W142" s="174">
        <f>IFERROR(VLOOKUP($B142,Surp10!$A$1:$B$161,2,0),0)</f>
        <v>0</v>
      </c>
      <c r="X142" s="175">
        <f>IFERROR(VLOOKUP(W142,Surp10!$B$1:$C$161,2,0),0)</f>
        <v>0</v>
      </c>
      <c r="Y142" s="174">
        <f>IFERROR(VLOOKUP($B142,Surp11!$A$1:$B$161,2,0),0)</f>
        <v>0</v>
      </c>
      <c r="Z142" s="175">
        <f>IFERROR(VLOOKUP(Y142,Surp11!$B$1:$C$161,2,0),0)</f>
        <v>0</v>
      </c>
      <c r="AA142" s="175">
        <f>IFERROR(VLOOKUP(E142,Surp1!$B$1:$C$161,2,0),0)</f>
        <v>0</v>
      </c>
      <c r="AB142" s="175">
        <f>IFERROR(VLOOKUP(G142,Surp2!$B$1:$C$161,2,0),0)</f>
        <v>0</v>
      </c>
      <c r="AC142" s="175">
        <f>IFERROR(VLOOKUP(I142,Surp3!$B$1:$C$161,2,0),0)</f>
        <v>0</v>
      </c>
      <c r="AD142" s="175">
        <f>IFERROR(VLOOKUP(K142,Surp4!$B$1:$C$161,2,0),0)</f>
        <v>53.83934302</v>
      </c>
      <c r="AE142" s="175">
        <f>IFERROR(VLOOKUP(M142,Surp5!$B$1:$C$161,2,0),0)</f>
        <v>0</v>
      </c>
      <c r="AF142" s="175">
        <f>IFERROR(VLOOKUP(O142,Surp6!$B$1:$C$161,2,0),0)</f>
        <v>4.581631958</v>
      </c>
      <c r="AG142" s="175">
        <f>IFERROR(VLOOKUP(Q142,Surp7!$B$1:$C$161,2,0),0)</f>
        <v>0</v>
      </c>
      <c r="AH142" s="175">
        <f>IFERROR(VLOOKUP(S142,Surp8!$B$1:$C$161,2,0),0)</f>
        <v>0</v>
      </c>
      <c r="AI142" s="175">
        <f>IFERROR(VLOOKUP(U142,Surp9!$B$1:$C$161,2,0),0)</f>
        <v>0</v>
      </c>
      <c r="AJ142" s="175">
        <f>IFERROR(VLOOKUP(W142,Surp10!$B$1:$C$161,2,0),0)</f>
        <v>0</v>
      </c>
      <c r="AK142" s="175">
        <f>IFERROR(VLOOKUP(Y142,Surp11!$B$1:$C$161,2,0),0)</f>
        <v>0</v>
      </c>
    </row>
    <row r="143" ht="15.75" customHeight="1">
      <c r="A143" s="172">
        <v>142.0</v>
      </c>
      <c r="B143" s="15" t="s">
        <v>27</v>
      </c>
      <c r="C143" s="136">
        <f t="shared" si="1"/>
        <v>46.99937075</v>
      </c>
      <c r="D143" s="93"/>
      <c r="E143" s="94">
        <f>IFERROR(VLOOKUP($B143,Surp1!$A$1:$B$161,2,0),0)</f>
        <v>0</v>
      </c>
      <c r="F143" s="95">
        <f>IFERROR(VLOOKUP(E143,Surp1!$B$1:$C$161,2,0),0)</f>
        <v>0</v>
      </c>
      <c r="G143" s="94">
        <f>IFERROR(VLOOKUP($B143,Surp2!$A$1:$B$161,2,0),0)</f>
        <v>0</v>
      </c>
      <c r="H143" s="95">
        <f>IFERROR(VLOOKUP(G143,Surp2!$B$1:$C$161,2,0),0)</f>
        <v>0</v>
      </c>
      <c r="I143" s="94">
        <f>IFERROR(VLOOKUP($B143,Surp3!$A$1:$B$161,2,0),0)</f>
        <v>0</v>
      </c>
      <c r="J143" s="95">
        <f>IFERROR(VLOOKUP(I143,Surp3!$B$1:$C$161,2,0),0)</f>
        <v>0</v>
      </c>
      <c r="K143" s="94">
        <f>IFERROR(VLOOKUP($B143,Surp4!$A$1:$B$161,2,0),0)</f>
        <v>0</v>
      </c>
      <c r="L143" s="95">
        <f>IFERROR(VLOOKUP(K143,Surp4!$B$1:$C$161,2,0),0)</f>
        <v>0</v>
      </c>
      <c r="M143" s="94">
        <f>IFERROR(VLOOKUP($B143,Surp5!$A$1:$B$161,2,0),0)</f>
        <v>0</v>
      </c>
      <c r="N143" s="95">
        <f>IFERROR(VLOOKUP(M143,Surp5!$B$1:$C$161,2,0),0)</f>
        <v>0</v>
      </c>
      <c r="O143" s="94">
        <f>IFERROR(VLOOKUP($B143,Surp6!$A$1:$B$161,2,0),0)</f>
        <v>0</v>
      </c>
      <c r="P143" s="95">
        <f>IFERROR(VLOOKUP(O143,Surp6!$B$1:$C$161,2,0),0)</f>
        <v>0</v>
      </c>
      <c r="Q143" s="94">
        <f>IFERROR(VLOOKUP($B143,Surp7!$A$1:$B$161,2,0),0)</f>
        <v>0</v>
      </c>
      <c r="R143" s="95">
        <f>IFERROR(VLOOKUP(Q143,Surp7!$B$1:$C$161,2,0),0)</f>
        <v>0</v>
      </c>
      <c r="S143" s="94">
        <f>IFERROR(VLOOKUP($B143,Surp8!$A$1:$B$161,2,0),0)</f>
        <v>0</v>
      </c>
      <c r="T143" s="95">
        <f>IFERROR(VLOOKUP(S143,Surp8!$B$1:$C$161,2,0),0)</f>
        <v>0</v>
      </c>
      <c r="U143" s="94">
        <f>IFERROR(VLOOKUP($B143,Surp9!$A$1:$B$161,2,0),0)</f>
        <v>0</v>
      </c>
      <c r="V143" s="95">
        <f>IFERROR(VLOOKUP(U143,Surp9!$B$1:$C$161,2,0),0)</f>
        <v>0</v>
      </c>
      <c r="W143" s="94">
        <f>IFERROR(VLOOKUP($B143,Surp10!$A$1:$B$161,2,0),0)</f>
        <v>0</v>
      </c>
      <c r="X143" s="95">
        <f>IFERROR(VLOOKUP(W143,Surp10!$B$1:$C$161,2,0),0)</f>
        <v>0</v>
      </c>
      <c r="Y143" s="94">
        <f>IFERROR(VLOOKUP($B143,Surp11!$A$1:$B$161,2,0),0)</f>
        <v>24</v>
      </c>
      <c r="Z143" s="95">
        <f>IFERROR(VLOOKUP(Y143,Surp11!$B$1:$C$161,2,0),0)</f>
        <v>46.99937075</v>
      </c>
      <c r="AA143" s="95">
        <f>IFERROR(VLOOKUP(E143,Surp1!$B$1:$C$161,2,0),0)</f>
        <v>0</v>
      </c>
      <c r="AB143" s="95">
        <f>IFERROR(VLOOKUP(G143,Surp2!$B$1:$C$161,2,0),0)</f>
        <v>0</v>
      </c>
      <c r="AC143" s="95">
        <f>IFERROR(VLOOKUP(I143,Surp3!$B$1:$C$161,2,0),0)</f>
        <v>0</v>
      </c>
      <c r="AD143" s="95">
        <f>IFERROR(VLOOKUP(K143,Surp4!$B$1:$C$161,2,0),0)</f>
        <v>0</v>
      </c>
      <c r="AE143" s="95">
        <f>IFERROR(VLOOKUP(M143,Surp5!$B$1:$C$161,2,0),0)</f>
        <v>0</v>
      </c>
      <c r="AF143" s="95">
        <f>IFERROR(VLOOKUP(O143,Surp6!$B$1:$C$161,2,0),0)</f>
        <v>0</v>
      </c>
      <c r="AG143" s="95">
        <f>IFERROR(VLOOKUP(Q143,Surp7!$B$1:$C$161,2,0),0)</f>
        <v>0</v>
      </c>
      <c r="AH143" s="95">
        <f>IFERROR(VLOOKUP(S143,Surp8!$B$1:$C$161,2,0),0)</f>
        <v>0</v>
      </c>
      <c r="AI143" s="95">
        <f>IFERROR(VLOOKUP(U143,Surp9!$B$1:$C$161,2,0),0)</f>
        <v>0</v>
      </c>
      <c r="AJ143" s="95">
        <f>IFERROR(VLOOKUP(W143,Surp10!$B$1:$C$161,2,0),0)</f>
        <v>0</v>
      </c>
      <c r="AK143" s="95">
        <f>IFERROR(VLOOKUP(Y143,Surp11!$B$1:$C$161,2,0),0)</f>
        <v>46.99937075</v>
      </c>
    </row>
    <row r="144" ht="15.75" customHeight="1">
      <c r="A144" s="171">
        <v>143.0</v>
      </c>
      <c r="B144" s="6" t="s">
        <v>247</v>
      </c>
      <c r="C144" s="136">
        <f t="shared" si="1"/>
        <v>42.85479346</v>
      </c>
      <c r="D144" s="173"/>
      <c r="E144" s="174">
        <f>IFERROR(VLOOKUP($B144,Surp1!$A$1:$B$161,2,0),0)</f>
        <v>0</v>
      </c>
      <c r="F144" s="175">
        <f>IFERROR(VLOOKUP(E144,Surp1!$B$1:$C$161,2,0),0)</f>
        <v>0</v>
      </c>
      <c r="G144" s="174">
        <f>IFERROR(VLOOKUP($B144,Surp2!$A$1:$B$161,2,0),0)</f>
        <v>0</v>
      </c>
      <c r="H144" s="175">
        <f>IFERROR(VLOOKUP(G144,Surp2!$B$1:$C$161,2,0),0)</f>
        <v>0</v>
      </c>
      <c r="I144" s="174">
        <f>IFERROR(VLOOKUP($B144,Surp3!$A$1:$B$161,2,0),0)</f>
        <v>0</v>
      </c>
      <c r="J144" s="175">
        <f>IFERROR(VLOOKUP(I144,Surp3!$B$1:$C$161,2,0),0)</f>
        <v>0</v>
      </c>
      <c r="K144" s="174">
        <f>IFERROR(VLOOKUP($B144,Surp4!$A$1:$B$161,2,0),0)</f>
        <v>0</v>
      </c>
      <c r="L144" s="175">
        <f>IFERROR(VLOOKUP(K144,Surp4!$B$1:$C$161,2,0),0)</f>
        <v>0</v>
      </c>
      <c r="M144" s="174">
        <f>IFERROR(VLOOKUP($B144,Surp5!$A$1:$B$161,2,0),0)</f>
        <v>0</v>
      </c>
      <c r="N144" s="175">
        <f>IFERROR(VLOOKUP(M144,Surp5!$B$1:$C$161,2,0),0)</f>
        <v>0</v>
      </c>
      <c r="O144" s="174">
        <f>IFERROR(VLOOKUP($B144,Surp6!$A$1:$B$161,2,0),0)</f>
        <v>48</v>
      </c>
      <c r="P144" s="175">
        <f>IFERROR(VLOOKUP(O144,Surp6!$B$1:$C$161,2,0),0)</f>
        <v>42.85479346</v>
      </c>
      <c r="Q144" s="174">
        <f>IFERROR(VLOOKUP($B144,Surp7!$A$1:$B$161,2,0),0)</f>
        <v>0</v>
      </c>
      <c r="R144" s="175">
        <f>IFERROR(VLOOKUP(Q144,Surp7!$B$1:$C$161,2,0),0)</f>
        <v>0</v>
      </c>
      <c r="S144" s="174">
        <f>IFERROR(VLOOKUP($B144,Surp8!$A$1:$B$161,2,0),0)</f>
        <v>0</v>
      </c>
      <c r="T144" s="175">
        <f>IFERROR(VLOOKUP(S144,Surp8!$B$1:$C$161,2,0),0)</f>
        <v>0</v>
      </c>
      <c r="U144" s="174">
        <f>IFERROR(VLOOKUP($B144,Surp9!$A$1:$B$161,2,0),0)</f>
        <v>0</v>
      </c>
      <c r="V144" s="175">
        <f>IFERROR(VLOOKUP(U144,Surp9!$B$1:$C$161,2,0),0)</f>
        <v>0</v>
      </c>
      <c r="W144" s="174">
        <f>IFERROR(VLOOKUP($B144,Surp10!$A$1:$B$161,2,0),0)</f>
        <v>0</v>
      </c>
      <c r="X144" s="175">
        <f>IFERROR(VLOOKUP(W144,Surp10!$B$1:$C$161,2,0),0)</f>
        <v>0</v>
      </c>
      <c r="Y144" s="174">
        <f>IFERROR(VLOOKUP($B144,Surp11!$A$1:$B$161,2,0),0)</f>
        <v>0</v>
      </c>
      <c r="Z144" s="175">
        <f>IFERROR(VLOOKUP(Y144,Surp11!$B$1:$C$161,2,0),0)</f>
        <v>0</v>
      </c>
      <c r="AA144" s="175">
        <f>IFERROR(VLOOKUP(E144,Surp1!$B$1:$C$161,2,0),0)</f>
        <v>0</v>
      </c>
      <c r="AB144" s="175">
        <f>IFERROR(VLOOKUP(G144,Surp2!$B$1:$C$161,2,0),0)</f>
        <v>0</v>
      </c>
      <c r="AC144" s="175">
        <f>IFERROR(VLOOKUP(I144,Surp3!$B$1:$C$161,2,0),0)</f>
        <v>0</v>
      </c>
      <c r="AD144" s="175">
        <f>IFERROR(VLOOKUP(K144,Surp4!$B$1:$C$161,2,0),0)</f>
        <v>0</v>
      </c>
      <c r="AE144" s="175">
        <f>IFERROR(VLOOKUP(M144,Surp5!$B$1:$C$161,2,0),0)</f>
        <v>0</v>
      </c>
      <c r="AF144" s="175">
        <f>IFERROR(VLOOKUP(O144,Surp6!$B$1:$C$161,2,0),0)</f>
        <v>42.85479346</v>
      </c>
      <c r="AG144" s="175">
        <f>IFERROR(VLOOKUP(Q144,Surp7!$B$1:$C$161,2,0),0)</f>
        <v>0</v>
      </c>
      <c r="AH144" s="175">
        <f>IFERROR(VLOOKUP(S144,Surp8!$B$1:$C$161,2,0),0)</f>
        <v>0</v>
      </c>
      <c r="AI144" s="175">
        <f>IFERROR(VLOOKUP(U144,Surp9!$B$1:$C$161,2,0),0)</f>
        <v>0</v>
      </c>
      <c r="AJ144" s="175">
        <f>IFERROR(VLOOKUP(W144,Surp10!$B$1:$C$161,2,0),0)</f>
        <v>0</v>
      </c>
      <c r="AK144" s="175">
        <f>IFERROR(VLOOKUP(Y144,Surp11!$B$1:$C$161,2,0),0)</f>
        <v>0</v>
      </c>
    </row>
    <row r="145" ht="15.75" customHeight="1">
      <c r="A145" s="172">
        <v>144.0</v>
      </c>
      <c r="B145" s="6" t="s">
        <v>248</v>
      </c>
      <c r="C145" s="136">
        <f t="shared" si="1"/>
        <v>31.92027245</v>
      </c>
      <c r="D145" s="173"/>
      <c r="E145" s="174">
        <f>IFERROR(VLOOKUP($B145,Surp1!$A$1:$B$161,2,0),0)</f>
        <v>0</v>
      </c>
      <c r="F145" s="175">
        <f>IFERROR(VLOOKUP(E145,Surp1!$B$1:$C$161,2,0),0)</f>
        <v>0</v>
      </c>
      <c r="G145" s="174">
        <f>IFERROR(VLOOKUP($B145,Surp2!$A$1:$B$161,2,0),0)</f>
        <v>54</v>
      </c>
      <c r="H145" s="175">
        <f>IFERROR(VLOOKUP(G145,Surp2!$B$1:$C$161,2,0),0)</f>
        <v>26.6939425</v>
      </c>
      <c r="I145" s="174">
        <f>IFERROR(VLOOKUP($B145,Surp3!$A$1:$B$161,2,0),0)</f>
        <v>0</v>
      </c>
      <c r="J145" s="175">
        <f>IFERROR(VLOOKUP(I145,Surp3!$B$1:$C$161,2,0),0)</f>
        <v>0</v>
      </c>
      <c r="K145" s="174">
        <f>IFERROR(VLOOKUP($B145,Surp4!$A$1:$B$161,2,0),0)</f>
        <v>0</v>
      </c>
      <c r="L145" s="175">
        <f>IFERROR(VLOOKUP(K145,Surp4!$B$1:$C$161,2,0),0)</f>
        <v>0</v>
      </c>
      <c r="M145" s="174">
        <f>IFERROR(VLOOKUP($B145,Surp5!$A$1:$B$161,2,0),0)</f>
        <v>0</v>
      </c>
      <c r="N145" s="175">
        <f>IFERROR(VLOOKUP(M145,Surp5!$B$1:$C$161,2,0),0)</f>
        <v>0</v>
      </c>
      <c r="O145" s="174">
        <f>IFERROR(VLOOKUP($B145,Surp6!$A$1:$B$161,2,0),0)</f>
        <v>0</v>
      </c>
      <c r="P145" s="175">
        <f>IFERROR(VLOOKUP(O145,Surp6!$B$1:$C$161,2,0),0)</f>
        <v>0</v>
      </c>
      <c r="Q145" s="174">
        <f>IFERROR(VLOOKUP($B145,Surp7!$A$1:$B$161,2,0),0)</f>
        <v>0</v>
      </c>
      <c r="R145" s="175">
        <f>IFERROR(VLOOKUP(Q145,Surp7!$B$1:$C$161,2,0),0)</f>
        <v>0</v>
      </c>
      <c r="S145" s="174">
        <f>IFERROR(VLOOKUP($B145,Surp8!$A$1:$B$161,2,0),0)</f>
        <v>0</v>
      </c>
      <c r="T145" s="175">
        <f>IFERROR(VLOOKUP(S145,Surp8!$B$1:$C$161,2,0),0)</f>
        <v>0</v>
      </c>
      <c r="U145" s="174">
        <f>IFERROR(VLOOKUP($B145,Surp9!$A$1:$B$161,2,0),0)</f>
        <v>0</v>
      </c>
      <c r="V145" s="175">
        <f>IFERROR(VLOOKUP(U145,Surp9!$B$1:$C$161,2,0),0)</f>
        <v>0</v>
      </c>
      <c r="W145" s="174">
        <f>IFERROR(VLOOKUP($B145,Surp10!$A$1:$B$161,2,0),0)</f>
        <v>49</v>
      </c>
      <c r="X145" s="175">
        <f>IFERROR(VLOOKUP(W145,Surp10!$B$1:$C$161,2,0),0)</f>
        <v>5.226329956</v>
      </c>
      <c r="Y145" s="174">
        <f>IFERROR(VLOOKUP($B145,Surp11!$A$1:$B$161,2,0),0)</f>
        <v>0</v>
      </c>
      <c r="Z145" s="175">
        <f>IFERROR(VLOOKUP(Y145,Surp11!$B$1:$C$161,2,0),0)</f>
        <v>0</v>
      </c>
      <c r="AA145" s="175">
        <f>IFERROR(VLOOKUP(E145,Surp1!$B$1:$C$161,2,0),0)</f>
        <v>0</v>
      </c>
      <c r="AB145" s="175">
        <f>IFERROR(VLOOKUP(G145,Surp2!$B$1:$C$161,2,0),0)</f>
        <v>26.6939425</v>
      </c>
      <c r="AC145" s="175">
        <f>IFERROR(VLOOKUP(I145,Surp3!$B$1:$C$161,2,0),0)</f>
        <v>0</v>
      </c>
      <c r="AD145" s="175">
        <f>IFERROR(VLOOKUP(K145,Surp4!$B$1:$C$161,2,0),0)</f>
        <v>0</v>
      </c>
      <c r="AE145" s="175">
        <f>IFERROR(VLOOKUP(M145,Surp5!$B$1:$C$161,2,0),0)</f>
        <v>0</v>
      </c>
      <c r="AF145" s="175">
        <f>IFERROR(VLOOKUP(O145,Surp6!$B$1:$C$161,2,0),0)</f>
        <v>0</v>
      </c>
      <c r="AG145" s="175">
        <f>IFERROR(VLOOKUP(Q145,Surp7!$B$1:$C$161,2,0),0)</f>
        <v>0</v>
      </c>
      <c r="AH145" s="175">
        <f>IFERROR(VLOOKUP(S145,Surp8!$B$1:$C$161,2,0),0)</f>
        <v>0</v>
      </c>
      <c r="AI145" s="175">
        <f>IFERROR(VLOOKUP(U145,Surp9!$B$1:$C$161,2,0),0)</f>
        <v>0</v>
      </c>
      <c r="AJ145" s="175">
        <f>IFERROR(VLOOKUP(W145,Surp10!$B$1:$C$161,2,0),0)</f>
        <v>5.226329956</v>
      </c>
      <c r="AK145" s="175">
        <f>IFERROR(VLOOKUP(Y145,Surp11!$B$1:$C$161,2,0),0)</f>
        <v>0</v>
      </c>
    </row>
    <row r="146" ht="15.75" customHeight="1">
      <c r="A146" s="171">
        <v>145.0</v>
      </c>
      <c r="B146" s="17" t="s">
        <v>150</v>
      </c>
      <c r="C146" s="136">
        <f t="shared" si="1"/>
        <v>28.14011789</v>
      </c>
      <c r="D146" s="136"/>
      <c r="E146" s="137">
        <f>IFERROR(VLOOKUP($B146,Surp1!$A$1:$B$161,2,0),0)</f>
        <v>0</v>
      </c>
      <c r="F146" s="97">
        <f>IFERROR(VLOOKUP(E146,Surp1!$B$1:$C$161,2,0),0)</f>
        <v>0</v>
      </c>
      <c r="G146" s="137">
        <f>IFERROR(VLOOKUP($B146,Surp2!$A$1:$B$161,2,0),0)</f>
        <v>0</v>
      </c>
      <c r="H146" s="97">
        <f>IFERROR(VLOOKUP(G146,Surp2!$B$1:$C$161,2,0),0)</f>
        <v>0</v>
      </c>
      <c r="I146" s="137">
        <f>IFERROR(VLOOKUP($B146,Surp3!$A$1:$B$161,2,0),0)</f>
        <v>0</v>
      </c>
      <c r="J146" s="97">
        <f>IFERROR(VLOOKUP(I146,Surp3!$B$1:$C$161,2,0),0)</f>
        <v>0</v>
      </c>
      <c r="K146" s="137">
        <f>IFERROR(VLOOKUP($B146,Surp4!$A$1:$B$161,2,0),0)</f>
        <v>0</v>
      </c>
      <c r="L146" s="97">
        <f>IFERROR(VLOOKUP(K146,Surp4!$B$1:$C$161,2,0),0)</f>
        <v>0</v>
      </c>
      <c r="M146" s="137">
        <f>IFERROR(VLOOKUP($B146,Surp5!$A$1:$B$161,2,0),0)</f>
        <v>0</v>
      </c>
      <c r="N146" s="97">
        <f>IFERROR(VLOOKUP(M146,Surp5!$B$1:$C$161,2,0),0)</f>
        <v>0</v>
      </c>
      <c r="O146" s="137">
        <f>IFERROR(VLOOKUP($B146,Surp6!$A$1:$B$161,2,0),0)</f>
        <v>51</v>
      </c>
      <c r="P146" s="97">
        <f>IFERROR(VLOOKUP(O146,Surp6!$B$1:$C$161,2,0),0)</f>
        <v>28.14011789</v>
      </c>
      <c r="Q146" s="137">
        <f>IFERROR(VLOOKUP($B146,Surp7!$A$1:$B$161,2,0),0)</f>
        <v>0</v>
      </c>
      <c r="R146" s="97">
        <f>IFERROR(VLOOKUP(Q146,Surp7!$B$1:$C$161,2,0),0)</f>
        <v>0</v>
      </c>
      <c r="S146" s="137">
        <f>IFERROR(VLOOKUP($B146,Surp8!$A$1:$B$161,2,0),0)</f>
        <v>0</v>
      </c>
      <c r="T146" s="97">
        <f>IFERROR(VLOOKUP(S146,Surp8!$B$1:$C$161,2,0),0)</f>
        <v>0</v>
      </c>
      <c r="U146" s="137">
        <f>IFERROR(VLOOKUP($B146,Surp9!$A$1:$B$161,2,0),0)</f>
        <v>0</v>
      </c>
      <c r="V146" s="97">
        <f>IFERROR(VLOOKUP(U146,Surp9!$B$1:$C$161,2,0),0)</f>
        <v>0</v>
      </c>
      <c r="W146" s="137">
        <f>IFERROR(VLOOKUP($B146,Surp10!$A$1:$B$161,2,0),0)</f>
        <v>0</v>
      </c>
      <c r="X146" s="97">
        <f>IFERROR(VLOOKUP(W146,Surp10!$B$1:$C$161,2,0),0)</f>
        <v>0</v>
      </c>
      <c r="Y146" s="137">
        <f>IFERROR(VLOOKUP($B146,Surp11!$A$1:$B$161,2,0),0)</f>
        <v>0</v>
      </c>
      <c r="Z146" s="97">
        <f>IFERROR(VLOOKUP(Y146,Surp11!$B$1:$C$161,2,0),0)</f>
        <v>0</v>
      </c>
      <c r="AA146" s="97">
        <f>IFERROR(VLOOKUP(E146,Surp1!$B$1:$C$161,2,0),0)</f>
        <v>0</v>
      </c>
      <c r="AB146" s="97">
        <f>IFERROR(VLOOKUP(G146,Surp2!$B$1:$C$161,2,0),0)</f>
        <v>0</v>
      </c>
      <c r="AC146" s="97">
        <f>IFERROR(VLOOKUP(I146,Surp3!$B$1:$C$161,2,0),0)</f>
        <v>0</v>
      </c>
      <c r="AD146" s="97">
        <f>IFERROR(VLOOKUP(K146,Surp4!$B$1:$C$161,2,0),0)</f>
        <v>0</v>
      </c>
      <c r="AE146" s="97">
        <f>IFERROR(VLOOKUP(M146,Surp5!$B$1:$C$161,2,0),0)</f>
        <v>0</v>
      </c>
      <c r="AF146" s="97">
        <f>IFERROR(VLOOKUP(O146,Surp6!$B$1:$C$161,2,0),0)</f>
        <v>28.14011789</v>
      </c>
      <c r="AG146" s="97">
        <f>IFERROR(VLOOKUP(Q146,Surp7!$B$1:$C$161,2,0),0)</f>
        <v>0</v>
      </c>
      <c r="AH146" s="97">
        <f>IFERROR(VLOOKUP(S146,Surp8!$B$1:$C$161,2,0),0)</f>
        <v>0</v>
      </c>
      <c r="AI146" s="97">
        <f>IFERROR(VLOOKUP(U146,Surp9!$B$1:$C$161,2,0),0)</f>
        <v>0</v>
      </c>
      <c r="AJ146" s="97">
        <f>IFERROR(VLOOKUP(W146,Surp10!$B$1:$C$161,2,0),0)</f>
        <v>0</v>
      </c>
      <c r="AK146" s="97">
        <f>IFERROR(VLOOKUP(Y146,Surp11!$B$1:$C$161,2,0),0)</f>
        <v>0</v>
      </c>
    </row>
    <row r="147" ht="15.75" customHeight="1">
      <c r="A147" s="172">
        <v>146.0</v>
      </c>
      <c r="B147" s="6" t="s">
        <v>94</v>
      </c>
      <c r="C147" s="136">
        <f t="shared" si="1"/>
        <v>13.62802543</v>
      </c>
      <c r="D147" s="93"/>
      <c r="E147" s="94">
        <f>IFERROR(VLOOKUP($B147,Surp1!$A$1:$B$161,2,0),0)</f>
        <v>55</v>
      </c>
      <c r="F147" s="95">
        <f>IFERROR(VLOOKUP(E147,Surp1!$B$1:$C$161,2,0),0)</f>
        <v>13.62802543</v>
      </c>
      <c r="G147" s="94">
        <f>IFERROR(VLOOKUP($B147,Surp2!$A$1:$B$161,2,0),0)</f>
        <v>0</v>
      </c>
      <c r="H147" s="95">
        <f>IFERROR(VLOOKUP(G147,Surp2!$B$1:$C$161,2,0),0)</f>
        <v>0</v>
      </c>
      <c r="I147" s="94">
        <f>IFERROR(VLOOKUP($B147,Surp3!$A$1:$B$161,2,0),0)</f>
        <v>0</v>
      </c>
      <c r="J147" s="95">
        <f>IFERROR(VLOOKUP(I147,Surp3!$B$1:$C$161,2,0),0)</f>
        <v>0</v>
      </c>
      <c r="K147" s="94">
        <f>IFERROR(VLOOKUP($B147,Surp4!$A$1:$B$161,2,0),0)</f>
        <v>0</v>
      </c>
      <c r="L147" s="95">
        <f>IFERROR(VLOOKUP(K147,Surp4!$B$1:$C$161,2,0),0)</f>
        <v>0</v>
      </c>
      <c r="M147" s="94">
        <f>IFERROR(VLOOKUP($B147,Surp5!$A$1:$B$161,2,0),0)</f>
        <v>0</v>
      </c>
      <c r="N147" s="95">
        <f>IFERROR(VLOOKUP(M147,Surp5!$B$1:$C$161,2,0),0)</f>
        <v>0</v>
      </c>
      <c r="O147" s="94">
        <f>IFERROR(VLOOKUP($B147,Surp6!$A$1:$B$161,2,0),0)</f>
        <v>0</v>
      </c>
      <c r="P147" s="95">
        <f>IFERROR(VLOOKUP(O147,Surp6!$B$1:$C$161,2,0),0)</f>
        <v>0</v>
      </c>
      <c r="Q147" s="94">
        <f>IFERROR(VLOOKUP($B147,Surp7!$A$1:$B$161,2,0),0)</f>
        <v>0</v>
      </c>
      <c r="R147" s="95">
        <f>IFERROR(VLOOKUP(Q147,Surp7!$B$1:$C$161,2,0),0)</f>
        <v>0</v>
      </c>
      <c r="S147" s="94">
        <f>IFERROR(VLOOKUP($B147,Surp8!$A$1:$B$161,2,0),0)</f>
        <v>0</v>
      </c>
      <c r="T147" s="95">
        <f>IFERROR(VLOOKUP(S147,Surp8!$B$1:$C$161,2,0),0)</f>
        <v>0</v>
      </c>
      <c r="U147" s="94">
        <f>IFERROR(VLOOKUP($B147,Surp9!$A$1:$B$161,2,0),0)</f>
        <v>0</v>
      </c>
      <c r="V147" s="95">
        <f>IFERROR(VLOOKUP(U147,Surp9!$B$1:$C$161,2,0),0)</f>
        <v>0</v>
      </c>
      <c r="W147" s="94">
        <f>IFERROR(VLOOKUP($B147,Surp10!$A$1:$B$161,2,0),0)</f>
        <v>0</v>
      </c>
      <c r="X147" s="95">
        <f>IFERROR(VLOOKUP(W147,Surp10!$B$1:$C$161,2,0),0)</f>
        <v>0</v>
      </c>
      <c r="Y147" s="94">
        <f>IFERROR(VLOOKUP($B147,Surp11!$A$1:$B$161,2,0),0)</f>
        <v>0</v>
      </c>
      <c r="Z147" s="95">
        <f>IFERROR(VLOOKUP(Y147,Surp11!$B$1:$C$161,2,0),0)</f>
        <v>0</v>
      </c>
      <c r="AA147" s="95">
        <f>IFERROR(VLOOKUP(E147,Surp1!$B$1:$C$161,2,0),0)</f>
        <v>13.62802543</v>
      </c>
      <c r="AB147" s="95">
        <f>IFERROR(VLOOKUP(G147,Surp2!$B$1:$C$161,2,0),0)</f>
        <v>0</v>
      </c>
      <c r="AC147" s="95">
        <f>IFERROR(VLOOKUP(I147,Surp3!$B$1:$C$161,2,0),0)</f>
        <v>0</v>
      </c>
      <c r="AD147" s="95">
        <f>IFERROR(VLOOKUP(K147,Surp4!$B$1:$C$161,2,0),0)</f>
        <v>0</v>
      </c>
      <c r="AE147" s="95">
        <f>IFERROR(VLOOKUP(M147,Surp5!$B$1:$C$161,2,0),0)</f>
        <v>0</v>
      </c>
      <c r="AF147" s="95">
        <f>IFERROR(VLOOKUP(O147,Surp6!$B$1:$C$161,2,0),0)</f>
        <v>0</v>
      </c>
      <c r="AG147" s="95">
        <f>IFERROR(VLOOKUP(Q147,Surp7!$B$1:$C$161,2,0),0)</f>
        <v>0</v>
      </c>
      <c r="AH147" s="95">
        <f>IFERROR(VLOOKUP(S147,Surp8!$B$1:$C$161,2,0),0)</f>
        <v>0</v>
      </c>
      <c r="AI147" s="95">
        <f>IFERROR(VLOOKUP(U147,Surp9!$B$1:$C$161,2,0),0)</f>
        <v>0</v>
      </c>
      <c r="AJ147" s="95">
        <f>IFERROR(VLOOKUP(W147,Surp10!$B$1:$C$161,2,0),0)</f>
        <v>0</v>
      </c>
      <c r="AK147" s="95">
        <f>IFERROR(VLOOKUP(Y147,Surp11!$B$1:$C$161,2,0),0)</f>
        <v>0</v>
      </c>
    </row>
    <row r="148" ht="15.75" customHeight="1">
      <c r="A148" s="171">
        <v>147.0</v>
      </c>
      <c r="B148" s="24" t="s">
        <v>151</v>
      </c>
      <c r="C148" s="136">
        <f t="shared" si="1"/>
        <v>5.810329926</v>
      </c>
      <c r="D148" s="136"/>
      <c r="E148" s="137">
        <f>IFERROR(VLOOKUP($B148,Surp1!$A$1:$B$161,2,0),0)</f>
        <v>0</v>
      </c>
      <c r="F148" s="97">
        <f>IFERROR(VLOOKUP(E148,Surp1!$B$1:$C$161,2,0),0)</f>
        <v>0</v>
      </c>
      <c r="G148" s="137">
        <f>IFERROR(VLOOKUP($B148,Surp2!$A$1:$B$161,2,0),0)</f>
        <v>0</v>
      </c>
      <c r="H148" s="97">
        <f>IFERROR(VLOOKUP(G148,Surp2!$B$1:$C$161,2,0),0)</f>
        <v>0</v>
      </c>
      <c r="I148" s="137">
        <f>IFERROR(VLOOKUP($B148,Surp3!$A$1:$B$161,2,0),0)</f>
        <v>0</v>
      </c>
      <c r="J148" s="97">
        <f>IFERROR(VLOOKUP(I148,Surp3!$B$1:$C$161,2,0),0)</f>
        <v>0</v>
      </c>
      <c r="K148" s="137">
        <f>IFERROR(VLOOKUP($B148,Surp4!$A$1:$B$161,2,0),0)</f>
        <v>0</v>
      </c>
      <c r="L148" s="97">
        <f>IFERROR(VLOOKUP(K148,Surp4!$B$1:$C$161,2,0),0)</f>
        <v>0</v>
      </c>
      <c r="M148" s="137">
        <f>IFERROR(VLOOKUP($B148,Surp5!$A$1:$B$161,2,0),0)</f>
        <v>0</v>
      </c>
      <c r="N148" s="97">
        <f>IFERROR(VLOOKUP(M148,Surp5!$B$1:$C$161,2,0),0)</f>
        <v>0</v>
      </c>
      <c r="O148" s="137">
        <f>IFERROR(VLOOKUP($B148,Surp6!$A$1:$B$161,2,0),0)</f>
        <v>0</v>
      </c>
      <c r="P148" s="97">
        <f>IFERROR(VLOOKUP(O148,Surp6!$B$1:$C$161,2,0),0)</f>
        <v>0</v>
      </c>
      <c r="Q148" s="137">
        <f>IFERROR(VLOOKUP($B148,Surp7!$A$1:$B$161,2,0),0)</f>
        <v>0</v>
      </c>
      <c r="R148" s="97">
        <f>IFERROR(VLOOKUP(Q148,Surp7!$B$1:$C$161,2,0),0)</f>
        <v>0</v>
      </c>
      <c r="S148" s="137">
        <f>IFERROR(VLOOKUP($B148,Surp8!$A$1:$B$161,2,0),0)</f>
        <v>0</v>
      </c>
      <c r="T148" s="97">
        <f>IFERROR(VLOOKUP(S148,Surp8!$B$1:$C$161,2,0),0)</f>
        <v>0</v>
      </c>
      <c r="U148" s="137">
        <f>IFERROR(VLOOKUP($B148,Surp9!$A$1:$B$161,2,0),0)</f>
        <v>44</v>
      </c>
      <c r="V148" s="97">
        <f>IFERROR(VLOOKUP(U148,Surp9!$B$1:$C$161,2,0),0)</f>
        <v>5.810329926</v>
      </c>
      <c r="W148" s="137">
        <f>IFERROR(VLOOKUP($B148,Surp10!$A$1:$B$161,2,0),0)</f>
        <v>0</v>
      </c>
      <c r="X148" s="97">
        <f>IFERROR(VLOOKUP(W148,Surp10!$B$1:$C$161,2,0),0)</f>
        <v>0</v>
      </c>
      <c r="Y148" s="137">
        <f>IFERROR(VLOOKUP($B148,Surp11!$A$1:$B$161,2,0),0)</f>
        <v>0</v>
      </c>
      <c r="Z148" s="97">
        <f>IFERROR(VLOOKUP(Y148,Surp11!$B$1:$C$161,2,0),0)</f>
        <v>0</v>
      </c>
      <c r="AA148" s="97">
        <f>IFERROR(VLOOKUP(E148,Surp1!$B$1:$C$161,2,0),0)</f>
        <v>0</v>
      </c>
      <c r="AB148" s="97">
        <f>IFERROR(VLOOKUP(G148,Surp2!$B$1:$C$161,2,0),0)</f>
        <v>0</v>
      </c>
      <c r="AC148" s="97">
        <f>IFERROR(VLOOKUP(I148,Surp3!$B$1:$C$161,2,0),0)</f>
        <v>0</v>
      </c>
      <c r="AD148" s="97">
        <f>IFERROR(VLOOKUP(K148,Surp4!$B$1:$C$161,2,0),0)</f>
        <v>0</v>
      </c>
      <c r="AE148" s="97">
        <f>IFERROR(VLOOKUP(M148,Surp5!$B$1:$C$161,2,0),0)</f>
        <v>0</v>
      </c>
      <c r="AF148" s="97">
        <f>IFERROR(VLOOKUP(O148,Surp6!$B$1:$C$161,2,0),0)</f>
        <v>0</v>
      </c>
      <c r="AG148" s="97">
        <f>IFERROR(VLOOKUP(Q148,Surp7!$B$1:$C$161,2,0),0)</f>
        <v>0</v>
      </c>
      <c r="AH148" s="97">
        <f>IFERROR(VLOOKUP(S148,Surp8!$B$1:$C$161,2,0),0)</f>
        <v>0</v>
      </c>
      <c r="AI148" s="97">
        <f>IFERROR(VLOOKUP(U148,Surp9!$B$1:$C$161,2,0),0)</f>
        <v>5.810329926</v>
      </c>
      <c r="AJ148" s="97">
        <f>IFERROR(VLOOKUP(W148,Surp10!$B$1:$C$161,2,0),0)</f>
        <v>0</v>
      </c>
      <c r="AK148" s="97">
        <f>IFERROR(VLOOKUP(Y148,Surp11!$B$1:$C$161,2,0),0)</f>
        <v>0</v>
      </c>
    </row>
    <row r="149" ht="15.75" customHeight="1">
      <c r="A149" s="172">
        <v>148.0</v>
      </c>
      <c r="B149" s="6" t="s">
        <v>149</v>
      </c>
      <c r="C149" s="136">
        <f t="shared" si="1"/>
        <v>0</v>
      </c>
      <c r="D149" s="93"/>
      <c r="E149" s="94">
        <f>IFERROR(VLOOKUP($B149,Surp1!$A$1:$B$161,2,0),0)</f>
        <v>0</v>
      </c>
      <c r="F149" s="95">
        <f>IFERROR(VLOOKUP(E149,Surp1!$B$1:$C$161,2,0),0)</f>
        <v>0</v>
      </c>
      <c r="G149" s="94">
        <f>IFERROR(VLOOKUP($B149,Surp2!$A$1:$B$161,2,0),0)</f>
        <v>0</v>
      </c>
      <c r="H149" s="95">
        <f>IFERROR(VLOOKUP(G149,Surp2!$B$1:$C$161,2,0),0)</f>
        <v>0</v>
      </c>
      <c r="I149" s="94">
        <f>IFERROR(VLOOKUP($B149,Surp3!$A$1:$B$161,2,0),0)</f>
        <v>0</v>
      </c>
      <c r="J149" s="95">
        <f>IFERROR(VLOOKUP(I149,Surp3!$B$1:$C$161,2,0),0)</f>
        <v>0</v>
      </c>
      <c r="K149" s="94">
        <f>IFERROR(VLOOKUP($B149,Surp4!$A$1:$B$161,2,0),0)</f>
        <v>0</v>
      </c>
      <c r="L149" s="95">
        <f>IFERROR(VLOOKUP(K149,Surp4!$B$1:$C$161,2,0),0)</f>
        <v>0</v>
      </c>
      <c r="M149" s="94">
        <f>IFERROR(VLOOKUP($B149,Surp5!$A$1:$B$161,2,0),0)</f>
        <v>0</v>
      </c>
      <c r="N149" s="95">
        <f>IFERROR(VLOOKUP(M149,Surp5!$B$1:$C$161,2,0),0)</f>
        <v>0</v>
      </c>
      <c r="O149" s="94">
        <f>IFERROR(VLOOKUP($B149,Surp6!$A$1:$B$161,2,0),0)</f>
        <v>0</v>
      </c>
      <c r="P149" s="95">
        <f>IFERROR(VLOOKUP(O149,Surp6!$B$1:$C$161,2,0),0)</f>
        <v>0</v>
      </c>
      <c r="Q149" s="94">
        <f>IFERROR(VLOOKUP($B149,Surp7!$A$1:$B$161,2,0),0)</f>
        <v>0</v>
      </c>
      <c r="R149" s="95">
        <f>IFERROR(VLOOKUP(Q149,Surp7!$B$1:$C$161,2,0),0)</f>
        <v>0</v>
      </c>
      <c r="S149" s="94">
        <f>IFERROR(VLOOKUP($B149,Surp8!$A$1:$B$161,2,0),0)</f>
        <v>0</v>
      </c>
      <c r="T149" s="95">
        <f>IFERROR(VLOOKUP(S149,Surp8!$B$1:$C$161,2,0),0)</f>
        <v>0</v>
      </c>
      <c r="U149" s="94">
        <f>IFERROR(VLOOKUP($B149,Surp9!$A$1:$B$161,2,0),0)</f>
        <v>0</v>
      </c>
      <c r="V149" s="95">
        <f>IFERROR(VLOOKUP(U149,Surp9!$B$1:$C$161,2,0),0)</f>
        <v>0</v>
      </c>
      <c r="W149" s="94">
        <f>IFERROR(VLOOKUP($B149,Surp10!$A$1:$B$161,2,0),0)</f>
        <v>0</v>
      </c>
      <c r="X149" s="95">
        <f>IFERROR(VLOOKUP(W149,Surp10!$B$1:$C$161,2,0),0)</f>
        <v>0</v>
      </c>
      <c r="Y149" s="94">
        <f>IFERROR(VLOOKUP($B149,Surp11!$A$1:$B$161,2,0),0)</f>
        <v>0</v>
      </c>
      <c r="Z149" s="95">
        <f>IFERROR(VLOOKUP(Y149,Surp11!$B$1:$C$161,2,0),0)</f>
        <v>0</v>
      </c>
      <c r="AA149" s="95">
        <f>IFERROR(VLOOKUP(E149,Surp1!$B$1:$C$161,2,0),0)</f>
        <v>0</v>
      </c>
      <c r="AB149" s="95">
        <f>IFERROR(VLOOKUP(G149,Surp2!$B$1:$C$161,2,0),0)</f>
        <v>0</v>
      </c>
      <c r="AC149" s="95">
        <f>IFERROR(VLOOKUP(I149,Surp3!$B$1:$C$161,2,0),0)</f>
        <v>0</v>
      </c>
      <c r="AD149" s="95">
        <f>IFERROR(VLOOKUP(K149,Surp4!$B$1:$C$161,2,0),0)</f>
        <v>0</v>
      </c>
      <c r="AE149" s="95">
        <f>IFERROR(VLOOKUP(M149,Surp5!$B$1:$C$161,2,0),0)</f>
        <v>0</v>
      </c>
      <c r="AF149" s="95">
        <f>IFERROR(VLOOKUP(O149,Surp6!$B$1:$C$161,2,0),0)</f>
        <v>0</v>
      </c>
      <c r="AG149" s="95">
        <f>IFERROR(VLOOKUP(Q149,Surp7!$B$1:$C$161,2,0),0)</f>
        <v>0</v>
      </c>
      <c r="AH149" s="95">
        <f>IFERROR(VLOOKUP(S149,Surp8!$B$1:$C$161,2,0),0)</f>
        <v>0</v>
      </c>
      <c r="AI149" s="95">
        <f>IFERROR(VLOOKUP(U149,Surp9!$B$1:$C$161,2,0),0)</f>
        <v>0</v>
      </c>
      <c r="AJ149" s="95">
        <f>IFERROR(VLOOKUP(W149,Surp10!$B$1:$C$161,2,0),0)</f>
        <v>0</v>
      </c>
      <c r="AK149" s="95">
        <f>IFERROR(VLOOKUP(Y149,Surp11!$B$1:$C$161,2,0),0)</f>
        <v>0</v>
      </c>
    </row>
    <row r="150" ht="15.75" customHeight="1">
      <c r="A150" s="171">
        <v>149.0</v>
      </c>
      <c r="B150" s="6" t="s">
        <v>93</v>
      </c>
      <c r="C150" s="136">
        <f t="shared" si="1"/>
        <v>0</v>
      </c>
      <c r="D150" s="93"/>
      <c r="E150" s="94">
        <f>IFERROR(VLOOKUP($B150,Surp1!$A$1:$B$161,2,0),0)</f>
        <v>0</v>
      </c>
      <c r="F150" s="95">
        <f>IFERROR(VLOOKUP(E150,Surp1!$B$1:$C$161,2,0),0)</f>
        <v>0</v>
      </c>
      <c r="G150" s="94">
        <f>IFERROR(VLOOKUP($B150,Surp2!$A$1:$B$161,2,0),0)</f>
        <v>0</v>
      </c>
      <c r="H150" s="95">
        <f>IFERROR(VLOOKUP(G150,Surp2!$B$1:$C$161,2,0),0)</f>
        <v>0</v>
      </c>
      <c r="I150" s="94">
        <f>IFERROR(VLOOKUP($B150,Surp3!$A$1:$B$161,2,0),0)</f>
        <v>0</v>
      </c>
      <c r="J150" s="95">
        <f>IFERROR(VLOOKUP(I150,Surp3!$B$1:$C$161,2,0),0)</f>
        <v>0</v>
      </c>
      <c r="K150" s="94">
        <f>IFERROR(VLOOKUP($B150,Surp4!$A$1:$B$161,2,0),0)</f>
        <v>0</v>
      </c>
      <c r="L150" s="95">
        <f>IFERROR(VLOOKUP(K150,Surp4!$B$1:$C$161,2,0),0)</f>
        <v>0</v>
      </c>
      <c r="M150" s="94">
        <f>IFERROR(VLOOKUP($B150,Surp5!$A$1:$B$161,2,0),0)</f>
        <v>0</v>
      </c>
      <c r="N150" s="95">
        <f>IFERROR(VLOOKUP(M150,Surp5!$B$1:$C$161,2,0),0)</f>
        <v>0</v>
      </c>
      <c r="O150" s="94">
        <f>IFERROR(VLOOKUP($B150,Surp6!$A$1:$B$161,2,0),0)</f>
        <v>0</v>
      </c>
      <c r="P150" s="95">
        <f>IFERROR(VLOOKUP(O150,Surp6!$B$1:$C$161,2,0),0)</f>
        <v>0</v>
      </c>
      <c r="Q150" s="94">
        <f>IFERROR(VLOOKUP($B150,Surp7!$A$1:$B$161,2,0),0)</f>
        <v>0</v>
      </c>
      <c r="R150" s="95">
        <f>IFERROR(VLOOKUP(Q150,Surp7!$B$1:$C$161,2,0),0)</f>
        <v>0</v>
      </c>
      <c r="S150" s="94">
        <f>IFERROR(VLOOKUP($B150,Surp8!$A$1:$B$161,2,0),0)</f>
        <v>0</v>
      </c>
      <c r="T150" s="95">
        <f>IFERROR(VLOOKUP(S150,Surp8!$B$1:$C$161,2,0),0)</f>
        <v>0</v>
      </c>
      <c r="U150" s="94">
        <f>IFERROR(VLOOKUP($B150,Surp9!$A$1:$B$161,2,0),0)</f>
        <v>0</v>
      </c>
      <c r="V150" s="95">
        <f>IFERROR(VLOOKUP(U150,Surp9!$B$1:$C$161,2,0),0)</f>
        <v>0</v>
      </c>
      <c r="W150" s="94">
        <f>IFERROR(VLOOKUP($B150,Surp10!$A$1:$B$161,2,0),0)</f>
        <v>0</v>
      </c>
      <c r="X150" s="95">
        <f>IFERROR(VLOOKUP(W150,Surp10!$B$1:$C$161,2,0),0)</f>
        <v>0</v>
      </c>
      <c r="Y150" s="94">
        <f>IFERROR(VLOOKUP($B150,Surp11!$A$1:$B$161,2,0),0)</f>
        <v>0</v>
      </c>
      <c r="Z150" s="95">
        <f>IFERROR(VLOOKUP(Y150,Surp11!$B$1:$C$161,2,0),0)</f>
        <v>0</v>
      </c>
      <c r="AA150" s="95">
        <f>IFERROR(VLOOKUP(E150,Surp1!$B$1:$C$161,2,0),0)</f>
        <v>0</v>
      </c>
      <c r="AB150" s="95">
        <f>IFERROR(VLOOKUP(G150,Surp2!$B$1:$C$161,2,0),0)</f>
        <v>0</v>
      </c>
      <c r="AC150" s="95">
        <f>IFERROR(VLOOKUP(I150,Surp3!$B$1:$C$161,2,0),0)</f>
        <v>0</v>
      </c>
      <c r="AD150" s="95">
        <f>IFERROR(VLOOKUP(K150,Surp4!$B$1:$C$161,2,0),0)</f>
        <v>0</v>
      </c>
      <c r="AE150" s="95">
        <f>IFERROR(VLOOKUP(M150,Surp5!$B$1:$C$161,2,0),0)</f>
        <v>0</v>
      </c>
      <c r="AF150" s="95">
        <f>IFERROR(VLOOKUP(O150,Surp6!$B$1:$C$161,2,0),0)</f>
        <v>0</v>
      </c>
      <c r="AG150" s="95">
        <f>IFERROR(VLOOKUP(Q150,Surp7!$B$1:$C$161,2,0),0)</f>
        <v>0</v>
      </c>
      <c r="AH150" s="95">
        <f>IFERROR(VLOOKUP(S150,Surp8!$B$1:$C$161,2,0),0)</f>
        <v>0</v>
      </c>
      <c r="AI150" s="95">
        <f>IFERROR(VLOOKUP(U150,Surp9!$B$1:$C$161,2,0),0)</f>
        <v>0</v>
      </c>
      <c r="AJ150" s="95">
        <f>IFERROR(VLOOKUP(W150,Surp10!$B$1:$C$161,2,0),0)</f>
        <v>0</v>
      </c>
      <c r="AK150" s="95">
        <f>IFERROR(VLOOKUP(Y150,Surp11!$B$1:$C$161,2,0),0)</f>
        <v>0</v>
      </c>
    </row>
    <row r="151" ht="15.75" customHeight="1">
      <c r="A151" s="172">
        <v>150.0</v>
      </c>
      <c r="B151" s="6" t="s">
        <v>54</v>
      </c>
      <c r="C151" s="136">
        <f t="shared" si="1"/>
        <v>0</v>
      </c>
      <c r="D151" s="173"/>
      <c r="E151" s="174">
        <f>IFERROR(VLOOKUP($B151,Surp1!$A$1:$B$161,2,0),0)</f>
        <v>0</v>
      </c>
      <c r="F151" s="175">
        <f>IFERROR(VLOOKUP(E151,Surp1!$B$1:$C$161,2,0),0)</f>
        <v>0</v>
      </c>
      <c r="G151" s="174">
        <f>IFERROR(VLOOKUP($B151,Surp2!$A$1:$B$161,2,0),0)</f>
        <v>0</v>
      </c>
      <c r="H151" s="175">
        <f>IFERROR(VLOOKUP(G151,Surp2!$B$1:$C$161,2,0),0)</f>
        <v>0</v>
      </c>
      <c r="I151" s="174">
        <f>IFERROR(VLOOKUP($B151,Surp3!$A$1:$B$161,2,0),0)</f>
        <v>0</v>
      </c>
      <c r="J151" s="175">
        <f>IFERROR(VLOOKUP(I151,Surp3!$B$1:$C$161,2,0),0)</f>
        <v>0</v>
      </c>
      <c r="K151" s="174">
        <f>IFERROR(VLOOKUP($B151,Surp4!$A$1:$B$161,2,0),0)</f>
        <v>0</v>
      </c>
      <c r="L151" s="175">
        <f>IFERROR(VLOOKUP(K151,Surp4!$B$1:$C$161,2,0),0)</f>
        <v>0</v>
      </c>
      <c r="M151" s="174">
        <f>IFERROR(VLOOKUP($B151,Surp5!$A$1:$B$161,2,0),0)</f>
        <v>0</v>
      </c>
      <c r="N151" s="175">
        <f>IFERROR(VLOOKUP(M151,Surp5!$B$1:$C$161,2,0),0)</f>
        <v>0</v>
      </c>
      <c r="O151" s="174">
        <f>IFERROR(VLOOKUP($B151,Surp6!$A$1:$B$161,2,0),0)</f>
        <v>0</v>
      </c>
      <c r="P151" s="175">
        <f>IFERROR(VLOOKUP(O151,Surp6!$B$1:$C$161,2,0),0)</f>
        <v>0</v>
      </c>
      <c r="Q151" s="174">
        <f>IFERROR(VLOOKUP($B151,Surp7!$A$1:$B$161,2,0),0)</f>
        <v>0</v>
      </c>
      <c r="R151" s="175">
        <f>IFERROR(VLOOKUP(Q151,Surp7!$B$1:$C$161,2,0),0)</f>
        <v>0</v>
      </c>
      <c r="S151" s="174">
        <f>IFERROR(VLOOKUP($B151,Surp8!$A$1:$B$161,2,0),0)</f>
        <v>0</v>
      </c>
      <c r="T151" s="175">
        <f>IFERROR(VLOOKUP(S151,Surp8!$B$1:$C$161,2,0),0)</f>
        <v>0</v>
      </c>
      <c r="U151" s="174">
        <f>IFERROR(VLOOKUP($B151,Surp9!$A$1:$B$161,2,0),0)</f>
        <v>0</v>
      </c>
      <c r="V151" s="175">
        <f>IFERROR(VLOOKUP(U151,Surp9!$B$1:$C$161,2,0),0)</f>
        <v>0</v>
      </c>
      <c r="W151" s="174">
        <f>IFERROR(VLOOKUP($B151,Surp10!$A$1:$B$161,2,0),0)</f>
        <v>0</v>
      </c>
      <c r="X151" s="175">
        <f>IFERROR(VLOOKUP(W151,Surp10!$B$1:$C$161,2,0),0)</f>
        <v>0</v>
      </c>
      <c r="Y151" s="174">
        <f>IFERROR(VLOOKUP($B151,Surp11!$A$1:$B$161,2,0),0)</f>
        <v>0</v>
      </c>
      <c r="Z151" s="175">
        <f>IFERROR(VLOOKUP(Y151,Surp11!$B$1:$C$161,2,0),0)</f>
        <v>0</v>
      </c>
      <c r="AA151" s="175">
        <f>IFERROR(VLOOKUP(E151,Surp1!$B$1:$C$161,2,0),0)</f>
        <v>0</v>
      </c>
      <c r="AB151" s="175">
        <f>IFERROR(VLOOKUP(G151,Surp2!$B$1:$C$161,2,0),0)</f>
        <v>0</v>
      </c>
      <c r="AC151" s="175">
        <f>IFERROR(VLOOKUP(I151,Surp3!$B$1:$C$161,2,0),0)</f>
        <v>0</v>
      </c>
      <c r="AD151" s="175">
        <f>IFERROR(VLOOKUP(K151,Surp4!$B$1:$C$161,2,0),0)</f>
        <v>0</v>
      </c>
      <c r="AE151" s="175">
        <f>IFERROR(VLOOKUP(M151,Surp5!$B$1:$C$161,2,0),0)</f>
        <v>0</v>
      </c>
      <c r="AF151" s="175">
        <f>IFERROR(VLOOKUP(O151,Surp6!$B$1:$C$161,2,0),0)</f>
        <v>0</v>
      </c>
      <c r="AG151" s="175">
        <f>IFERROR(VLOOKUP(Q151,Surp7!$B$1:$C$161,2,0),0)</f>
        <v>0</v>
      </c>
      <c r="AH151" s="175">
        <f>IFERROR(VLOOKUP(S151,Surp8!$B$1:$C$161,2,0),0)</f>
        <v>0</v>
      </c>
      <c r="AI151" s="175">
        <f>IFERROR(VLOOKUP(U151,Surp9!$B$1:$C$161,2,0),0)</f>
        <v>0</v>
      </c>
      <c r="AJ151" s="175">
        <f>IFERROR(VLOOKUP(W151,Surp10!$B$1:$C$161,2,0),0)</f>
        <v>0</v>
      </c>
      <c r="AK151" s="175">
        <f>IFERROR(VLOOKUP(Y151,Surp11!$B$1:$C$161,2,0),0)</f>
        <v>0</v>
      </c>
    </row>
    <row r="152" ht="15.75" customHeight="1">
      <c r="A152" s="171">
        <v>151.0</v>
      </c>
      <c r="B152" s="6" t="s">
        <v>105</v>
      </c>
      <c r="C152" s="136">
        <f t="shared" si="1"/>
        <v>0</v>
      </c>
      <c r="D152" s="93"/>
      <c r="E152" s="94">
        <f>IFERROR(VLOOKUP($B152,Surp1!$A$1:$B$161,2,0),0)</f>
        <v>0</v>
      </c>
      <c r="F152" s="95">
        <f>IFERROR(VLOOKUP(E152,Surp1!$B$1:$C$161,2,0),0)</f>
        <v>0</v>
      </c>
      <c r="G152" s="94">
        <f>IFERROR(VLOOKUP($B152,Surp2!$A$1:$B$161,2,0),0)</f>
        <v>0</v>
      </c>
      <c r="H152" s="95">
        <f>IFERROR(VLOOKUP(G152,Surp2!$B$1:$C$161,2,0),0)</f>
        <v>0</v>
      </c>
      <c r="I152" s="94">
        <f>IFERROR(VLOOKUP($B152,Surp3!$A$1:$B$161,2,0),0)</f>
        <v>0</v>
      </c>
      <c r="J152" s="95">
        <f>IFERROR(VLOOKUP(I152,Surp3!$B$1:$C$161,2,0),0)</f>
        <v>0</v>
      </c>
      <c r="K152" s="94">
        <f>IFERROR(VLOOKUP($B152,Surp4!$A$1:$B$161,2,0),0)</f>
        <v>0</v>
      </c>
      <c r="L152" s="95">
        <f>IFERROR(VLOOKUP(K152,Surp4!$B$1:$C$161,2,0),0)</f>
        <v>0</v>
      </c>
      <c r="M152" s="94">
        <f>IFERROR(VLOOKUP($B152,Surp5!$A$1:$B$161,2,0),0)</f>
        <v>0</v>
      </c>
      <c r="N152" s="95">
        <f>IFERROR(VLOOKUP(M152,Surp5!$B$1:$C$161,2,0),0)</f>
        <v>0</v>
      </c>
      <c r="O152" s="94">
        <f>IFERROR(VLOOKUP($B152,Surp6!$A$1:$B$161,2,0),0)</f>
        <v>0</v>
      </c>
      <c r="P152" s="95">
        <f>IFERROR(VLOOKUP(O152,Surp6!$B$1:$C$161,2,0),0)</f>
        <v>0</v>
      </c>
      <c r="Q152" s="94">
        <f>IFERROR(VLOOKUP($B152,Surp7!$A$1:$B$161,2,0),0)</f>
        <v>0</v>
      </c>
      <c r="R152" s="95">
        <f>IFERROR(VLOOKUP(Q152,Surp7!$B$1:$C$161,2,0),0)</f>
        <v>0</v>
      </c>
      <c r="S152" s="94">
        <f>IFERROR(VLOOKUP($B152,Surp8!$A$1:$B$161,2,0),0)</f>
        <v>0</v>
      </c>
      <c r="T152" s="95">
        <f>IFERROR(VLOOKUP(S152,Surp8!$B$1:$C$161,2,0),0)</f>
        <v>0</v>
      </c>
      <c r="U152" s="94">
        <f>IFERROR(VLOOKUP($B152,Surp9!$A$1:$B$161,2,0),0)</f>
        <v>0</v>
      </c>
      <c r="V152" s="95">
        <f>IFERROR(VLOOKUP(U152,Surp9!$B$1:$C$161,2,0),0)</f>
        <v>0</v>
      </c>
      <c r="W152" s="94">
        <f>IFERROR(VLOOKUP($B152,Surp10!$A$1:$B$161,2,0),0)</f>
        <v>0</v>
      </c>
      <c r="X152" s="95">
        <f>IFERROR(VLOOKUP(W152,Surp10!$B$1:$C$161,2,0),0)</f>
        <v>0</v>
      </c>
      <c r="Y152" s="94">
        <f>IFERROR(VLOOKUP($B152,Surp11!$A$1:$B$161,2,0),0)</f>
        <v>0</v>
      </c>
      <c r="Z152" s="95">
        <f>IFERROR(VLOOKUP(Y152,Surp11!$B$1:$C$161,2,0),0)</f>
        <v>0</v>
      </c>
      <c r="AA152" s="95">
        <f>IFERROR(VLOOKUP(E152,Surp1!$B$1:$C$161,2,0),0)</f>
        <v>0</v>
      </c>
      <c r="AB152" s="95">
        <f>IFERROR(VLOOKUP(G152,Surp2!$B$1:$C$161,2,0),0)</f>
        <v>0</v>
      </c>
      <c r="AC152" s="95">
        <f>IFERROR(VLOOKUP(I152,Surp3!$B$1:$C$161,2,0),0)</f>
        <v>0</v>
      </c>
      <c r="AD152" s="95">
        <f>IFERROR(VLOOKUP(K152,Surp4!$B$1:$C$161,2,0),0)</f>
        <v>0</v>
      </c>
      <c r="AE152" s="95">
        <f>IFERROR(VLOOKUP(M152,Surp5!$B$1:$C$161,2,0),0)</f>
        <v>0</v>
      </c>
      <c r="AF152" s="95">
        <f>IFERROR(VLOOKUP(O152,Surp6!$B$1:$C$161,2,0),0)</f>
        <v>0</v>
      </c>
      <c r="AG152" s="95">
        <f>IFERROR(VLOOKUP(Q152,Surp7!$B$1:$C$161,2,0),0)</f>
        <v>0</v>
      </c>
      <c r="AH152" s="95">
        <f>IFERROR(VLOOKUP(S152,Surp8!$B$1:$C$161,2,0),0)</f>
        <v>0</v>
      </c>
      <c r="AI152" s="95">
        <f>IFERROR(VLOOKUP(U152,Surp9!$B$1:$C$161,2,0),0)</f>
        <v>0</v>
      </c>
      <c r="AJ152" s="95">
        <f>IFERROR(VLOOKUP(W152,Surp10!$B$1:$C$161,2,0),0)</f>
        <v>0</v>
      </c>
      <c r="AK152" s="95">
        <f>IFERROR(VLOOKUP(Y152,Surp11!$B$1:$C$161,2,0),0)</f>
        <v>0</v>
      </c>
    </row>
    <row r="153" ht="15.75" customHeight="1">
      <c r="A153" s="172">
        <v>152.0</v>
      </c>
      <c r="B153" s="6" t="s">
        <v>110</v>
      </c>
      <c r="C153" s="136">
        <f t="shared" si="1"/>
        <v>0</v>
      </c>
      <c r="D153" s="173"/>
      <c r="E153" s="174">
        <f>IFERROR(VLOOKUP($B153,Surp1!$A$1:$B$161,2,0),0)</f>
        <v>0</v>
      </c>
      <c r="F153" s="175">
        <f>IFERROR(VLOOKUP(E153,Surp1!$B$1:$C$161,2,0),0)</f>
        <v>0</v>
      </c>
      <c r="G153" s="174">
        <f>IFERROR(VLOOKUP($B153,Surp2!$A$1:$B$161,2,0),0)</f>
        <v>0</v>
      </c>
      <c r="H153" s="175">
        <f>IFERROR(VLOOKUP(G153,Surp2!$B$1:$C$161,2,0),0)</f>
        <v>0</v>
      </c>
      <c r="I153" s="174">
        <f>IFERROR(VLOOKUP($B153,Surp3!$A$1:$B$161,2,0),0)</f>
        <v>0</v>
      </c>
      <c r="J153" s="175">
        <f>IFERROR(VLOOKUP(I153,Surp3!$B$1:$C$161,2,0),0)</f>
        <v>0</v>
      </c>
      <c r="K153" s="174">
        <f>IFERROR(VLOOKUP($B153,Surp4!$A$1:$B$161,2,0),0)</f>
        <v>0</v>
      </c>
      <c r="L153" s="175">
        <f>IFERROR(VLOOKUP(K153,Surp4!$B$1:$C$161,2,0),0)</f>
        <v>0</v>
      </c>
      <c r="M153" s="174">
        <f>IFERROR(VLOOKUP($B153,Surp5!$A$1:$B$161,2,0),0)</f>
        <v>0</v>
      </c>
      <c r="N153" s="175">
        <f>IFERROR(VLOOKUP(M153,Surp5!$B$1:$C$161,2,0),0)</f>
        <v>0</v>
      </c>
      <c r="O153" s="174">
        <f>IFERROR(VLOOKUP($B153,Surp6!$A$1:$B$161,2,0),0)</f>
        <v>0</v>
      </c>
      <c r="P153" s="175">
        <f>IFERROR(VLOOKUP(O153,Surp6!$B$1:$C$161,2,0),0)</f>
        <v>0</v>
      </c>
      <c r="Q153" s="174">
        <f>IFERROR(VLOOKUP($B153,Surp7!$A$1:$B$161,2,0),0)</f>
        <v>0</v>
      </c>
      <c r="R153" s="175">
        <f>IFERROR(VLOOKUP(Q153,Surp7!$B$1:$C$161,2,0),0)</f>
        <v>0</v>
      </c>
      <c r="S153" s="174">
        <f>IFERROR(VLOOKUP($B153,Surp8!$A$1:$B$161,2,0),0)</f>
        <v>0</v>
      </c>
      <c r="T153" s="175">
        <f>IFERROR(VLOOKUP(S153,Surp8!$B$1:$C$161,2,0),0)</f>
        <v>0</v>
      </c>
      <c r="U153" s="174">
        <f>IFERROR(VLOOKUP($B153,Surp9!$A$1:$B$161,2,0),0)</f>
        <v>0</v>
      </c>
      <c r="V153" s="175">
        <f>IFERROR(VLOOKUP(U153,Surp9!$B$1:$C$161,2,0),0)</f>
        <v>0</v>
      </c>
      <c r="W153" s="174">
        <f>IFERROR(VLOOKUP($B153,Surp10!$A$1:$B$161,2,0),0)</f>
        <v>0</v>
      </c>
      <c r="X153" s="175">
        <f>IFERROR(VLOOKUP(W153,Surp10!$B$1:$C$161,2,0),0)</f>
        <v>0</v>
      </c>
      <c r="Y153" s="174">
        <f>IFERROR(VLOOKUP($B153,Surp11!$A$1:$B$161,2,0),0)</f>
        <v>0</v>
      </c>
      <c r="Z153" s="175">
        <f>IFERROR(VLOOKUP(Y153,Surp11!$B$1:$C$161,2,0),0)</f>
        <v>0</v>
      </c>
      <c r="AA153" s="175">
        <f>IFERROR(VLOOKUP(E153,Surp1!$B$1:$C$161,2,0),0)</f>
        <v>0</v>
      </c>
      <c r="AB153" s="175">
        <f>IFERROR(VLOOKUP(G153,Surp2!$B$1:$C$161,2,0),0)</f>
        <v>0</v>
      </c>
      <c r="AC153" s="175">
        <f>IFERROR(VLOOKUP(I153,Surp3!$B$1:$C$161,2,0),0)</f>
        <v>0</v>
      </c>
      <c r="AD153" s="175">
        <f>IFERROR(VLOOKUP(K153,Surp4!$B$1:$C$161,2,0),0)</f>
        <v>0</v>
      </c>
      <c r="AE153" s="175">
        <f>IFERROR(VLOOKUP(M153,Surp5!$B$1:$C$161,2,0),0)</f>
        <v>0</v>
      </c>
      <c r="AF153" s="175">
        <f>IFERROR(VLOOKUP(O153,Surp6!$B$1:$C$161,2,0),0)</f>
        <v>0</v>
      </c>
      <c r="AG153" s="175">
        <f>IFERROR(VLOOKUP(Q153,Surp7!$B$1:$C$161,2,0),0)</f>
        <v>0</v>
      </c>
      <c r="AH153" s="175">
        <f>IFERROR(VLOOKUP(S153,Surp8!$B$1:$C$161,2,0),0)</f>
        <v>0</v>
      </c>
      <c r="AI153" s="175">
        <f>IFERROR(VLOOKUP(U153,Surp9!$B$1:$C$161,2,0),0)</f>
        <v>0</v>
      </c>
      <c r="AJ153" s="175">
        <f>IFERROR(VLOOKUP(W153,Surp10!$B$1:$C$161,2,0),0)</f>
        <v>0</v>
      </c>
      <c r="AK153" s="175">
        <f>IFERROR(VLOOKUP(Y153,Surp11!$B$1:$C$161,2,0),0)</f>
        <v>0</v>
      </c>
    </row>
    <row r="154" ht="15.75" customHeight="1">
      <c r="A154" s="171">
        <v>153.0</v>
      </c>
      <c r="B154" s="6" t="s">
        <v>249</v>
      </c>
      <c r="C154" s="136">
        <f t="shared" si="1"/>
        <v>0</v>
      </c>
      <c r="D154" s="173"/>
      <c r="E154" s="174">
        <f>IFERROR(VLOOKUP($B154,Surp1!$A$1:$B$161,2,0),0)</f>
        <v>0</v>
      </c>
      <c r="F154" s="175">
        <f>IFERROR(VLOOKUP(E154,Surp1!$B$1:$C$161,2,0),0)</f>
        <v>0</v>
      </c>
      <c r="G154" s="174">
        <f>IFERROR(VLOOKUP($B154,Surp2!$A$1:$B$161,2,0),0)</f>
        <v>0</v>
      </c>
      <c r="H154" s="175">
        <f>IFERROR(VLOOKUP(G154,Surp2!$B$1:$C$161,2,0),0)</f>
        <v>0</v>
      </c>
      <c r="I154" s="174">
        <f>IFERROR(VLOOKUP($B154,Surp3!$A$1:$B$161,2,0),0)</f>
        <v>0</v>
      </c>
      <c r="J154" s="175">
        <f>IFERROR(VLOOKUP(I154,Surp3!$B$1:$C$161,2,0),0)</f>
        <v>0</v>
      </c>
      <c r="K154" s="174">
        <f>IFERROR(VLOOKUP($B154,Surp4!$A$1:$B$161,2,0),0)</f>
        <v>0</v>
      </c>
      <c r="L154" s="175">
        <f>IFERROR(VLOOKUP(K154,Surp4!$B$1:$C$161,2,0),0)</f>
        <v>0</v>
      </c>
      <c r="M154" s="174">
        <f>IFERROR(VLOOKUP($B154,Surp5!$A$1:$B$161,2,0),0)</f>
        <v>0</v>
      </c>
      <c r="N154" s="175">
        <f>IFERROR(VLOOKUP(M154,Surp5!$B$1:$C$161,2,0),0)</f>
        <v>0</v>
      </c>
      <c r="O154" s="174">
        <f>IFERROR(VLOOKUP($B154,Surp6!$A$1:$B$161,2,0),0)</f>
        <v>0</v>
      </c>
      <c r="P154" s="175">
        <f>IFERROR(VLOOKUP(O154,Surp6!$B$1:$C$161,2,0),0)</f>
        <v>0</v>
      </c>
      <c r="Q154" s="174">
        <f>IFERROR(VLOOKUP($B154,Surp7!$A$1:$B$161,2,0),0)</f>
        <v>0</v>
      </c>
      <c r="R154" s="175">
        <f>IFERROR(VLOOKUP(Q154,Surp7!$B$1:$C$161,2,0),0)</f>
        <v>0</v>
      </c>
      <c r="S154" s="174">
        <f>IFERROR(VLOOKUP($B154,Surp8!$A$1:$B$161,2,0),0)</f>
        <v>0</v>
      </c>
      <c r="T154" s="175">
        <f>IFERROR(VLOOKUP(S154,Surp8!$B$1:$C$161,2,0),0)</f>
        <v>0</v>
      </c>
      <c r="U154" s="174">
        <f>IFERROR(VLOOKUP($B154,Surp9!$A$1:$B$161,2,0),0)</f>
        <v>0</v>
      </c>
      <c r="V154" s="175">
        <f>IFERROR(VLOOKUP(U154,Surp9!$B$1:$C$161,2,0),0)</f>
        <v>0</v>
      </c>
      <c r="W154" s="174">
        <f>IFERROR(VLOOKUP($B154,Surp10!$A$1:$B$161,2,0),0)</f>
        <v>0</v>
      </c>
      <c r="X154" s="175">
        <f>IFERROR(VLOOKUP(W154,Surp10!$B$1:$C$161,2,0),0)</f>
        <v>0</v>
      </c>
      <c r="Y154" s="174">
        <f>IFERROR(VLOOKUP($B154,Surp11!$A$1:$B$161,2,0),0)</f>
        <v>0</v>
      </c>
      <c r="Z154" s="175">
        <f>IFERROR(VLOOKUP(Y154,Surp11!$B$1:$C$161,2,0),0)</f>
        <v>0</v>
      </c>
      <c r="AA154" s="175">
        <f>IFERROR(VLOOKUP(E154,Surp1!$B$1:$C$161,2,0),0)</f>
        <v>0</v>
      </c>
      <c r="AB154" s="175">
        <f>IFERROR(VLOOKUP(G154,Surp2!$B$1:$C$161,2,0),0)</f>
        <v>0</v>
      </c>
      <c r="AC154" s="175">
        <f>IFERROR(VLOOKUP(I154,Surp3!$B$1:$C$161,2,0),0)</f>
        <v>0</v>
      </c>
      <c r="AD154" s="175">
        <f>IFERROR(VLOOKUP(K154,Surp4!$B$1:$C$161,2,0),0)</f>
        <v>0</v>
      </c>
      <c r="AE154" s="175">
        <f>IFERROR(VLOOKUP(M154,Surp5!$B$1:$C$161,2,0),0)</f>
        <v>0</v>
      </c>
      <c r="AF154" s="175">
        <f>IFERROR(VLOOKUP(O154,Surp6!$B$1:$C$161,2,0),0)</f>
        <v>0</v>
      </c>
      <c r="AG154" s="175">
        <f>IFERROR(VLOOKUP(Q154,Surp7!$B$1:$C$161,2,0),0)</f>
        <v>0</v>
      </c>
      <c r="AH154" s="175">
        <f>IFERROR(VLOOKUP(S154,Surp8!$B$1:$C$161,2,0),0)</f>
        <v>0</v>
      </c>
      <c r="AI154" s="175">
        <f>IFERROR(VLOOKUP(U154,Surp9!$B$1:$C$161,2,0),0)</f>
        <v>0</v>
      </c>
      <c r="AJ154" s="175">
        <f>IFERROR(VLOOKUP(W154,Surp10!$B$1:$C$161,2,0),0)</f>
        <v>0</v>
      </c>
      <c r="AK154" s="175">
        <f>IFERROR(VLOOKUP(Y154,Surp11!$B$1:$C$161,2,0),0)</f>
        <v>0</v>
      </c>
    </row>
    <row r="155" ht="15.75" customHeight="1">
      <c r="A155" s="172">
        <v>154.0</v>
      </c>
      <c r="B155" s="6" t="s">
        <v>250</v>
      </c>
      <c r="C155" s="136">
        <f t="shared" si="1"/>
        <v>0</v>
      </c>
      <c r="D155" s="93"/>
      <c r="E155" s="94">
        <f>IFERROR(VLOOKUP($B155,Surp1!$A$1:$B$161,2,0),0)</f>
        <v>0</v>
      </c>
      <c r="F155" s="95">
        <f>IFERROR(VLOOKUP(E155,Surp1!$B$1:$C$161,2,0),0)</f>
        <v>0</v>
      </c>
      <c r="G155" s="94">
        <f>IFERROR(VLOOKUP($B155,Surp2!$A$1:$B$161,2,0),0)</f>
        <v>0</v>
      </c>
      <c r="H155" s="95">
        <f>IFERROR(VLOOKUP(G155,Surp2!$B$1:$C$161,2,0),0)</f>
        <v>0</v>
      </c>
      <c r="I155" s="94">
        <f>IFERROR(VLOOKUP($B155,Surp3!$A$1:$B$161,2,0),0)</f>
        <v>0</v>
      </c>
      <c r="J155" s="95">
        <f>IFERROR(VLOOKUP(I155,Surp3!$B$1:$C$161,2,0),0)</f>
        <v>0</v>
      </c>
      <c r="K155" s="94">
        <f>IFERROR(VLOOKUP($B155,Surp4!$A$1:$B$161,2,0),0)</f>
        <v>0</v>
      </c>
      <c r="L155" s="95">
        <f>IFERROR(VLOOKUP(K155,Surp4!$B$1:$C$161,2,0),0)</f>
        <v>0</v>
      </c>
      <c r="M155" s="94">
        <f>IFERROR(VLOOKUP($B155,Surp5!$A$1:$B$161,2,0),0)</f>
        <v>0</v>
      </c>
      <c r="N155" s="95">
        <f>IFERROR(VLOOKUP(M155,Surp5!$B$1:$C$161,2,0),0)</f>
        <v>0</v>
      </c>
      <c r="O155" s="94">
        <f>IFERROR(VLOOKUP($B155,Surp6!$A$1:$B$161,2,0),0)</f>
        <v>0</v>
      </c>
      <c r="P155" s="95">
        <f>IFERROR(VLOOKUP(O155,Surp6!$B$1:$C$161,2,0),0)</f>
        <v>0</v>
      </c>
      <c r="Q155" s="94">
        <f>IFERROR(VLOOKUP($B155,Surp7!$A$1:$B$161,2,0),0)</f>
        <v>0</v>
      </c>
      <c r="R155" s="95">
        <f>IFERROR(VLOOKUP(Q155,Surp7!$B$1:$C$161,2,0),0)</f>
        <v>0</v>
      </c>
      <c r="S155" s="94">
        <f>IFERROR(VLOOKUP($B155,Surp8!$A$1:$B$161,2,0),0)</f>
        <v>0</v>
      </c>
      <c r="T155" s="95">
        <f>IFERROR(VLOOKUP(S155,Surp8!$B$1:$C$161,2,0),0)</f>
        <v>0</v>
      </c>
      <c r="U155" s="94">
        <f>IFERROR(VLOOKUP($B155,Surp9!$A$1:$B$161,2,0),0)</f>
        <v>0</v>
      </c>
      <c r="V155" s="95">
        <f>IFERROR(VLOOKUP(U155,Surp9!$B$1:$C$161,2,0),0)</f>
        <v>0</v>
      </c>
      <c r="W155" s="94">
        <f>IFERROR(VLOOKUP($B155,Surp10!$A$1:$B$161,2,0),0)</f>
        <v>0</v>
      </c>
      <c r="X155" s="95">
        <f>IFERROR(VLOOKUP(W155,Surp10!$B$1:$C$161,2,0),0)</f>
        <v>0</v>
      </c>
      <c r="Y155" s="94">
        <f>IFERROR(VLOOKUP($B155,Surp11!$A$1:$B$161,2,0),0)</f>
        <v>0</v>
      </c>
      <c r="Z155" s="95">
        <f>IFERROR(VLOOKUP(Y155,Surp11!$B$1:$C$161,2,0),0)</f>
        <v>0</v>
      </c>
      <c r="AA155" s="95">
        <f>IFERROR(VLOOKUP(E155,Surp1!$B$1:$C$161,2,0),0)</f>
        <v>0</v>
      </c>
      <c r="AB155" s="95">
        <f>IFERROR(VLOOKUP(G155,Surp2!$B$1:$C$161,2,0),0)</f>
        <v>0</v>
      </c>
      <c r="AC155" s="95">
        <f>IFERROR(VLOOKUP(I155,Surp3!$B$1:$C$161,2,0),0)</f>
        <v>0</v>
      </c>
      <c r="AD155" s="95">
        <f>IFERROR(VLOOKUP(K155,Surp4!$B$1:$C$161,2,0),0)</f>
        <v>0</v>
      </c>
      <c r="AE155" s="95">
        <f>IFERROR(VLOOKUP(M155,Surp5!$B$1:$C$161,2,0),0)</f>
        <v>0</v>
      </c>
      <c r="AF155" s="95">
        <f>IFERROR(VLOOKUP(O155,Surp6!$B$1:$C$161,2,0),0)</f>
        <v>0</v>
      </c>
      <c r="AG155" s="95">
        <f>IFERROR(VLOOKUP(Q155,Surp7!$B$1:$C$161,2,0),0)</f>
        <v>0</v>
      </c>
      <c r="AH155" s="95">
        <f>IFERROR(VLOOKUP(S155,Surp8!$B$1:$C$161,2,0),0)</f>
        <v>0</v>
      </c>
      <c r="AI155" s="95">
        <f>IFERROR(VLOOKUP(U155,Surp9!$B$1:$C$161,2,0),0)</f>
        <v>0</v>
      </c>
      <c r="AJ155" s="95">
        <f>IFERROR(VLOOKUP(W155,Surp10!$B$1:$C$161,2,0),0)</f>
        <v>0</v>
      </c>
      <c r="AK155" s="95">
        <f>IFERROR(VLOOKUP(Y155,Surp11!$B$1:$C$161,2,0),0)</f>
        <v>0</v>
      </c>
    </row>
    <row r="156" ht="15.75" customHeight="1">
      <c r="A156" s="171">
        <v>155.0</v>
      </c>
      <c r="B156" s="6" t="s">
        <v>251</v>
      </c>
      <c r="C156" s="136">
        <f t="shared" si="1"/>
        <v>0</v>
      </c>
      <c r="D156" s="173"/>
      <c r="E156" s="174">
        <f>IFERROR(VLOOKUP($B156,Surp1!$A$1:$B$161,2,0),0)</f>
        <v>0</v>
      </c>
      <c r="F156" s="175">
        <f>IFERROR(VLOOKUP(E156,Surp1!$B$1:$C$161,2,0),0)</f>
        <v>0</v>
      </c>
      <c r="G156" s="174">
        <f>IFERROR(VLOOKUP($B156,Surp2!$A$1:$B$161,2,0),0)</f>
        <v>0</v>
      </c>
      <c r="H156" s="175">
        <f>IFERROR(VLOOKUP(G156,Surp2!$B$1:$C$161,2,0),0)</f>
        <v>0</v>
      </c>
      <c r="I156" s="174">
        <f>IFERROR(VLOOKUP($B156,Surp3!$A$1:$B$161,2,0),0)</f>
        <v>0</v>
      </c>
      <c r="J156" s="175">
        <f>IFERROR(VLOOKUP(I156,Surp3!$B$1:$C$161,2,0),0)</f>
        <v>0</v>
      </c>
      <c r="K156" s="174">
        <f>IFERROR(VLOOKUP($B156,Surp4!$A$1:$B$161,2,0),0)</f>
        <v>0</v>
      </c>
      <c r="L156" s="175">
        <f>IFERROR(VLOOKUP(K156,Surp4!$B$1:$C$161,2,0),0)</f>
        <v>0</v>
      </c>
      <c r="M156" s="174">
        <f>IFERROR(VLOOKUP($B156,Surp5!$A$1:$B$161,2,0),0)</f>
        <v>0</v>
      </c>
      <c r="N156" s="175">
        <f>IFERROR(VLOOKUP(M156,Surp5!$B$1:$C$161,2,0),0)</f>
        <v>0</v>
      </c>
      <c r="O156" s="174">
        <f>IFERROR(VLOOKUP($B156,Surp6!$A$1:$B$161,2,0),0)</f>
        <v>0</v>
      </c>
      <c r="P156" s="175">
        <f>IFERROR(VLOOKUP(O156,Surp6!$B$1:$C$161,2,0),0)</f>
        <v>0</v>
      </c>
      <c r="Q156" s="174">
        <f>IFERROR(VLOOKUP($B156,Surp7!$A$1:$B$161,2,0),0)</f>
        <v>0</v>
      </c>
      <c r="R156" s="175">
        <f>IFERROR(VLOOKUP(Q156,Surp7!$B$1:$C$161,2,0),0)</f>
        <v>0</v>
      </c>
      <c r="S156" s="174">
        <f>IFERROR(VLOOKUP($B156,Surp8!$A$1:$B$161,2,0),0)</f>
        <v>0</v>
      </c>
      <c r="T156" s="175">
        <f>IFERROR(VLOOKUP(S156,Surp8!$B$1:$C$161,2,0),0)</f>
        <v>0</v>
      </c>
      <c r="U156" s="174">
        <f>IFERROR(VLOOKUP($B156,Surp9!$A$1:$B$161,2,0),0)</f>
        <v>0</v>
      </c>
      <c r="V156" s="175">
        <f>IFERROR(VLOOKUP(U156,Surp9!$B$1:$C$161,2,0),0)</f>
        <v>0</v>
      </c>
      <c r="W156" s="174">
        <f>IFERROR(VLOOKUP($B156,Surp10!$A$1:$B$161,2,0),0)</f>
        <v>0</v>
      </c>
      <c r="X156" s="175">
        <f>IFERROR(VLOOKUP(W156,Surp10!$B$1:$C$161,2,0),0)</f>
        <v>0</v>
      </c>
      <c r="Y156" s="174">
        <f>IFERROR(VLOOKUP($B156,Surp11!$A$1:$B$161,2,0),0)</f>
        <v>0</v>
      </c>
      <c r="Z156" s="175">
        <f>IFERROR(VLOOKUP(Y156,Surp11!$B$1:$C$161,2,0),0)</f>
        <v>0</v>
      </c>
      <c r="AA156" s="175">
        <f>IFERROR(VLOOKUP(E156,Surp1!$B$1:$C$161,2,0),0)</f>
        <v>0</v>
      </c>
      <c r="AB156" s="175">
        <f>IFERROR(VLOOKUP(G156,Surp2!$B$1:$C$161,2,0),0)</f>
        <v>0</v>
      </c>
      <c r="AC156" s="175">
        <f>IFERROR(VLOOKUP(I156,Surp3!$B$1:$C$161,2,0),0)</f>
        <v>0</v>
      </c>
      <c r="AD156" s="175">
        <f>IFERROR(VLOOKUP(K156,Surp4!$B$1:$C$161,2,0),0)</f>
        <v>0</v>
      </c>
      <c r="AE156" s="175">
        <f>IFERROR(VLOOKUP(M156,Surp5!$B$1:$C$161,2,0),0)</f>
        <v>0</v>
      </c>
      <c r="AF156" s="175">
        <f>IFERROR(VLOOKUP(O156,Surp6!$B$1:$C$161,2,0),0)</f>
        <v>0</v>
      </c>
      <c r="AG156" s="175">
        <f>IFERROR(VLOOKUP(Q156,Surp7!$B$1:$C$161,2,0),0)</f>
        <v>0</v>
      </c>
      <c r="AH156" s="175">
        <f>IFERROR(VLOOKUP(S156,Surp8!$B$1:$C$161,2,0),0)</f>
        <v>0</v>
      </c>
      <c r="AI156" s="175">
        <f>IFERROR(VLOOKUP(U156,Surp9!$B$1:$C$161,2,0),0)</f>
        <v>0</v>
      </c>
      <c r="AJ156" s="175">
        <f>IFERROR(VLOOKUP(W156,Surp10!$B$1:$C$161,2,0),0)</f>
        <v>0</v>
      </c>
      <c r="AK156" s="175">
        <f>IFERROR(VLOOKUP(Y156,Surp11!$B$1:$C$161,2,0),0)</f>
        <v>0</v>
      </c>
    </row>
    <row r="157" ht="15.75" customHeight="1">
      <c r="A157" s="172">
        <v>156.0</v>
      </c>
      <c r="B157" s="6" t="s">
        <v>252</v>
      </c>
      <c r="C157" s="136">
        <f t="shared" si="1"/>
        <v>0</v>
      </c>
      <c r="D157" s="93"/>
      <c r="E157" s="94">
        <f>IFERROR(VLOOKUP($B157,Surp1!$A$1:$B$161,2,0),0)</f>
        <v>0</v>
      </c>
      <c r="F157" s="95">
        <f>IFERROR(VLOOKUP(E157,Surp1!$B$1:$C$161,2,0),0)</f>
        <v>0</v>
      </c>
      <c r="G157" s="94">
        <f>IFERROR(VLOOKUP($B157,Surp2!$A$1:$B$161,2,0),0)</f>
        <v>0</v>
      </c>
      <c r="H157" s="95">
        <f>IFERROR(VLOOKUP(G157,Surp2!$B$1:$C$161,2,0),0)</f>
        <v>0</v>
      </c>
      <c r="I157" s="94">
        <f>IFERROR(VLOOKUP($B157,Surp3!$A$1:$B$161,2,0),0)</f>
        <v>0</v>
      </c>
      <c r="J157" s="95">
        <f>IFERROR(VLOOKUP(I157,Surp3!$B$1:$C$161,2,0),0)</f>
        <v>0</v>
      </c>
      <c r="K157" s="94">
        <f>IFERROR(VLOOKUP($B157,Surp4!$A$1:$B$161,2,0),0)</f>
        <v>0</v>
      </c>
      <c r="L157" s="95">
        <f>IFERROR(VLOOKUP(K157,Surp4!$B$1:$C$161,2,0),0)</f>
        <v>0</v>
      </c>
      <c r="M157" s="94">
        <f>IFERROR(VLOOKUP($B157,Surp5!$A$1:$B$161,2,0),0)</f>
        <v>0</v>
      </c>
      <c r="N157" s="95">
        <f>IFERROR(VLOOKUP(M157,Surp5!$B$1:$C$161,2,0),0)</f>
        <v>0</v>
      </c>
      <c r="O157" s="94">
        <f>IFERROR(VLOOKUP($B157,Surp6!$A$1:$B$161,2,0),0)</f>
        <v>0</v>
      </c>
      <c r="P157" s="95">
        <f>IFERROR(VLOOKUP(O157,Surp6!$B$1:$C$161,2,0),0)</f>
        <v>0</v>
      </c>
      <c r="Q157" s="94">
        <f>IFERROR(VLOOKUP($B157,Surp7!$A$1:$B$161,2,0),0)</f>
        <v>0</v>
      </c>
      <c r="R157" s="95">
        <f>IFERROR(VLOOKUP(Q157,Surp7!$B$1:$C$161,2,0),0)</f>
        <v>0</v>
      </c>
      <c r="S157" s="94">
        <f>IFERROR(VLOOKUP($B157,Surp8!$A$1:$B$161,2,0),0)</f>
        <v>0</v>
      </c>
      <c r="T157" s="95">
        <f>IFERROR(VLOOKUP(S157,Surp8!$B$1:$C$161,2,0),0)</f>
        <v>0</v>
      </c>
      <c r="U157" s="94">
        <f>IFERROR(VLOOKUP($B157,Surp9!$A$1:$B$161,2,0),0)</f>
        <v>0</v>
      </c>
      <c r="V157" s="95">
        <f>IFERROR(VLOOKUP(U157,Surp9!$B$1:$C$161,2,0),0)</f>
        <v>0</v>
      </c>
      <c r="W157" s="94">
        <f>IFERROR(VLOOKUP($B157,Surp10!$A$1:$B$161,2,0),0)</f>
        <v>0</v>
      </c>
      <c r="X157" s="95">
        <f>IFERROR(VLOOKUP(W157,Surp10!$B$1:$C$161,2,0),0)</f>
        <v>0</v>
      </c>
      <c r="Y157" s="94">
        <f>IFERROR(VLOOKUP($B157,Surp11!$A$1:$B$161,2,0),0)</f>
        <v>0</v>
      </c>
      <c r="Z157" s="95">
        <f>IFERROR(VLOOKUP(Y157,Surp11!$B$1:$C$161,2,0),0)</f>
        <v>0</v>
      </c>
      <c r="AA157" s="95">
        <f>IFERROR(VLOOKUP(E157,Surp1!$B$1:$C$161,2,0),0)</f>
        <v>0</v>
      </c>
      <c r="AB157" s="95">
        <f>IFERROR(VLOOKUP(G157,Surp2!$B$1:$C$161,2,0),0)</f>
        <v>0</v>
      </c>
      <c r="AC157" s="95">
        <f>IFERROR(VLOOKUP(I157,Surp3!$B$1:$C$161,2,0),0)</f>
        <v>0</v>
      </c>
      <c r="AD157" s="95">
        <f>IFERROR(VLOOKUP(K157,Surp4!$B$1:$C$161,2,0),0)</f>
        <v>0</v>
      </c>
      <c r="AE157" s="95">
        <f>IFERROR(VLOOKUP(M157,Surp5!$B$1:$C$161,2,0),0)</f>
        <v>0</v>
      </c>
      <c r="AF157" s="95">
        <f>IFERROR(VLOOKUP(O157,Surp6!$B$1:$C$161,2,0),0)</f>
        <v>0</v>
      </c>
      <c r="AG157" s="95">
        <f>IFERROR(VLOOKUP(Q157,Surp7!$B$1:$C$161,2,0),0)</f>
        <v>0</v>
      </c>
      <c r="AH157" s="95">
        <f>IFERROR(VLOOKUP(S157,Surp8!$B$1:$C$161,2,0),0)</f>
        <v>0</v>
      </c>
      <c r="AI157" s="95">
        <f>IFERROR(VLOOKUP(U157,Surp9!$B$1:$C$161,2,0),0)</f>
        <v>0</v>
      </c>
      <c r="AJ157" s="95">
        <f>IFERROR(VLOOKUP(W157,Surp10!$B$1:$C$161,2,0),0)</f>
        <v>0</v>
      </c>
      <c r="AK157" s="95">
        <f>IFERROR(VLOOKUP(Y157,Surp11!$B$1:$C$161,2,0),0)</f>
        <v>0</v>
      </c>
    </row>
    <row r="158" ht="15.75" customHeight="1">
      <c r="A158" s="171">
        <v>157.0</v>
      </c>
      <c r="B158" s="6" t="s">
        <v>253</v>
      </c>
      <c r="C158" s="136">
        <f t="shared" si="1"/>
        <v>0</v>
      </c>
      <c r="D158" s="173"/>
      <c r="E158" s="174">
        <f>IFERROR(VLOOKUP($B158,Surp1!$A$1:$B$161,2,0),0)</f>
        <v>0</v>
      </c>
      <c r="F158" s="175">
        <f>IFERROR(VLOOKUP(E158,Surp1!$B$1:$C$161,2,0),0)</f>
        <v>0</v>
      </c>
      <c r="G158" s="174">
        <f>IFERROR(VLOOKUP($B158,Surp2!$A$1:$B$161,2,0),0)</f>
        <v>0</v>
      </c>
      <c r="H158" s="175">
        <f>IFERROR(VLOOKUP(G158,Surp2!$B$1:$C$161,2,0),0)</f>
        <v>0</v>
      </c>
      <c r="I158" s="174">
        <f>IFERROR(VLOOKUP($B158,Surp3!$A$1:$B$161,2,0),0)</f>
        <v>0</v>
      </c>
      <c r="J158" s="175">
        <f>IFERROR(VLOOKUP(I158,Surp3!$B$1:$C$161,2,0),0)</f>
        <v>0</v>
      </c>
      <c r="K158" s="174">
        <f>IFERROR(VLOOKUP($B158,Surp4!$A$1:$B$161,2,0),0)</f>
        <v>0</v>
      </c>
      <c r="L158" s="175">
        <f>IFERROR(VLOOKUP(K158,Surp4!$B$1:$C$161,2,0),0)</f>
        <v>0</v>
      </c>
      <c r="M158" s="174">
        <f>IFERROR(VLOOKUP($B158,Surp5!$A$1:$B$161,2,0),0)</f>
        <v>0</v>
      </c>
      <c r="N158" s="175">
        <f>IFERROR(VLOOKUP(M158,Surp5!$B$1:$C$161,2,0),0)</f>
        <v>0</v>
      </c>
      <c r="O158" s="174">
        <f>IFERROR(VLOOKUP($B158,Surp6!$A$1:$B$161,2,0),0)</f>
        <v>0</v>
      </c>
      <c r="P158" s="175">
        <f>IFERROR(VLOOKUP(O158,Surp6!$B$1:$C$161,2,0),0)</f>
        <v>0</v>
      </c>
      <c r="Q158" s="174">
        <f>IFERROR(VLOOKUP($B158,Surp7!$A$1:$B$161,2,0),0)</f>
        <v>0</v>
      </c>
      <c r="R158" s="175">
        <f>IFERROR(VLOOKUP(Q158,Surp7!$B$1:$C$161,2,0),0)</f>
        <v>0</v>
      </c>
      <c r="S158" s="174">
        <f>IFERROR(VLOOKUP($B158,Surp8!$A$1:$B$161,2,0),0)</f>
        <v>0</v>
      </c>
      <c r="T158" s="175">
        <f>IFERROR(VLOOKUP(S158,Surp8!$B$1:$C$161,2,0),0)</f>
        <v>0</v>
      </c>
      <c r="U158" s="174">
        <f>IFERROR(VLOOKUP($B158,Surp9!$A$1:$B$161,2,0),0)</f>
        <v>0</v>
      </c>
      <c r="V158" s="175">
        <f>IFERROR(VLOOKUP(U158,Surp9!$B$1:$C$161,2,0),0)</f>
        <v>0</v>
      </c>
      <c r="W158" s="174">
        <f>IFERROR(VLOOKUP($B158,Surp10!$A$1:$B$161,2,0),0)</f>
        <v>0</v>
      </c>
      <c r="X158" s="175">
        <f>IFERROR(VLOOKUP(W158,Surp10!$B$1:$C$161,2,0),0)</f>
        <v>0</v>
      </c>
      <c r="Y158" s="174">
        <f>IFERROR(VLOOKUP($B158,Surp11!$A$1:$B$161,2,0),0)</f>
        <v>0</v>
      </c>
      <c r="Z158" s="175">
        <f>IFERROR(VLOOKUP(Y158,Surp11!$B$1:$C$161,2,0),0)</f>
        <v>0</v>
      </c>
      <c r="AA158" s="175">
        <f>IFERROR(VLOOKUP(E158,Surp1!$B$1:$C$161,2,0),0)</f>
        <v>0</v>
      </c>
      <c r="AB158" s="175">
        <f>IFERROR(VLOOKUP(G158,Surp2!$B$1:$C$161,2,0),0)</f>
        <v>0</v>
      </c>
      <c r="AC158" s="175">
        <f>IFERROR(VLOOKUP(I158,Surp3!$B$1:$C$161,2,0),0)</f>
        <v>0</v>
      </c>
      <c r="AD158" s="175">
        <f>IFERROR(VLOOKUP(K158,Surp4!$B$1:$C$161,2,0),0)</f>
        <v>0</v>
      </c>
      <c r="AE158" s="175">
        <f>IFERROR(VLOOKUP(M158,Surp5!$B$1:$C$161,2,0),0)</f>
        <v>0</v>
      </c>
      <c r="AF158" s="175">
        <f>IFERROR(VLOOKUP(O158,Surp6!$B$1:$C$161,2,0),0)</f>
        <v>0</v>
      </c>
      <c r="AG158" s="175">
        <f>IFERROR(VLOOKUP(Q158,Surp7!$B$1:$C$161,2,0),0)</f>
        <v>0</v>
      </c>
      <c r="AH158" s="175">
        <f>IFERROR(VLOOKUP(S158,Surp8!$B$1:$C$161,2,0),0)</f>
        <v>0</v>
      </c>
      <c r="AI158" s="175">
        <f>IFERROR(VLOOKUP(U158,Surp9!$B$1:$C$161,2,0),0)</f>
        <v>0</v>
      </c>
      <c r="AJ158" s="175">
        <f>IFERROR(VLOOKUP(W158,Surp10!$B$1:$C$161,2,0),0)</f>
        <v>0</v>
      </c>
      <c r="AK158" s="175">
        <f>IFERROR(VLOOKUP(Y158,Surp11!$B$1:$C$161,2,0),0)</f>
        <v>0</v>
      </c>
    </row>
    <row r="159" ht="15.75" customHeight="1">
      <c r="A159" s="172">
        <v>158.0</v>
      </c>
      <c r="B159" s="6" t="s">
        <v>254</v>
      </c>
      <c r="C159" s="136">
        <f t="shared" si="1"/>
        <v>0</v>
      </c>
      <c r="D159" s="93"/>
      <c r="E159" s="94">
        <f>IFERROR(VLOOKUP($B159,Surp1!$A$1:$B$161,2,0),0)</f>
        <v>0</v>
      </c>
      <c r="F159" s="95">
        <f>IFERROR(VLOOKUP(E159,Surp1!$B$1:$C$161,2,0),0)</f>
        <v>0</v>
      </c>
      <c r="G159" s="94">
        <f>IFERROR(VLOOKUP($B159,Surp2!$A$1:$B$161,2,0),0)</f>
        <v>0</v>
      </c>
      <c r="H159" s="95">
        <f>IFERROR(VLOOKUP(G159,Surp2!$B$1:$C$161,2,0),0)</f>
        <v>0</v>
      </c>
      <c r="I159" s="94">
        <f>IFERROR(VLOOKUP($B159,Surp3!$A$1:$B$161,2,0),0)</f>
        <v>0</v>
      </c>
      <c r="J159" s="95">
        <f>IFERROR(VLOOKUP(I159,Surp3!$B$1:$C$161,2,0),0)</f>
        <v>0</v>
      </c>
      <c r="K159" s="94">
        <f>IFERROR(VLOOKUP($B159,Surp4!$A$1:$B$161,2,0),0)</f>
        <v>0</v>
      </c>
      <c r="L159" s="95">
        <f>IFERROR(VLOOKUP(K159,Surp4!$B$1:$C$161,2,0),0)</f>
        <v>0</v>
      </c>
      <c r="M159" s="94">
        <f>IFERROR(VLOOKUP($B159,Surp5!$A$1:$B$161,2,0),0)</f>
        <v>0</v>
      </c>
      <c r="N159" s="95">
        <f>IFERROR(VLOOKUP(M159,Surp5!$B$1:$C$161,2,0),0)</f>
        <v>0</v>
      </c>
      <c r="O159" s="94">
        <f>IFERROR(VLOOKUP($B159,Surp6!$A$1:$B$161,2,0),0)</f>
        <v>0</v>
      </c>
      <c r="P159" s="95">
        <f>IFERROR(VLOOKUP(O159,Surp6!$B$1:$C$161,2,0),0)</f>
        <v>0</v>
      </c>
      <c r="Q159" s="94">
        <f>IFERROR(VLOOKUP($B159,Surp7!$A$1:$B$161,2,0),0)</f>
        <v>0</v>
      </c>
      <c r="R159" s="95">
        <f>IFERROR(VLOOKUP(Q159,Surp7!$B$1:$C$161,2,0),0)</f>
        <v>0</v>
      </c>
      <c r="S159" s="94">
        <f>IFERROR(VLOOKUP($B159,Surp8!$A$1:$B$161,2,0),0)</f>
        <v>0</v>
      </c>
      <c r="T159" s="95">
        <f>IFERROR(VLOOKUP(S159,Surp8!$B$1:$C$161,2,0),0)</f>
        <v>0</v>
      </c>
      <c r="U159" s="94">
        <f>IFERROR(VLOOKUP($B159,Surp9!$A$1:$B$161,2,0),0)</f>
        <v>0</v>
      </c>
      <c r="V159" s="95">
        <f>IFERROR(VLOOKUP(U159,Surp9!$B$1:$C$161,2,0),0)</f>
        <v>0</v>
      </c>
      <c r="W159" s="94">
        <f>IFERROR(VLOOKUP($B159,Surp10!$A$1:$B$161,2,0),0)</f>
        <v>0</v>
      </c>
      <c r="X159" s="95">
        <f>IFERROR(VLOOKUP(W159,Surp10!$B$1:$C$161,2,0),0)</f>
        <v>0</v>
      </c>
      <c r="Y159" s="94">
        <f>IFERROR(VLOOKUP($B159,Surp11!$A$1:$B$161,2,0),0)</f>
        <v>0</v>
      </c>
      <c r="Z159" s="95">
        <f>IFERROR(VLOOKUP(Y159,Surp11!$B$1:$C$161,2,0),0)</f>
        <v>0</v>
      </c>
      <c r="AA159" s="95">
        <f>IFERROR(VLOOKUP(E159,Surp1!$B$1:$C$161,2,0),0)</f>
        <v>0</v>
      </c>
      <c r="AB159" s="95">
        <f>IFERROR(VLOOKUP(G159,Surp2!$B$1:$C$161,2,0),0)</f>
        <v>0</v>
      </c>
      <c r="AC159" s="95">
        <f>IFERROR(VLOOKUP(I159,Surp3!$B$1:$C$161,2,0),0)</f>
        <v>0</v>
      </c>
      <c r="AD159" s="95">
        <f>IFERROR(VLOOKUP(K159,Surp4!$B$1:$C$161,2,0),0)</f>
        <v>0</v>
      </c>
      <c r="AE159" s="95">
        <f>IFERROR(VLOOKUP(M159,Surp5!$B$1:$C$161,2,0),0)</f>
        <v>0</v>
      </c>
      <c r="AF159" s="95">
        <f>IFERROR(VLOOKUP(O159,Surp6!$B$1:$C$161,2,0),0)</f>
        <v>0</v>
      </c>
      <c r="AG159" s="95">
        <f>IFERROR(VLOOKUP(Q159,Surp7!$B$1:$C$161,2,0),0)</f>
        <v>0</v>
      </c>
      <c r="AH159" s="95">
        <f>IFERROR(VLOOKUP(S159,Surp8!$B$1:$C$161,2,0),0)</f>
        <v>0</v>
      </c>
      <c r="AI159" s="95">
        <f>IFERROR(VLOOKUP(U159,Surp9!$B$1:$C$161,2,0),0)</f>
        <v>0</v>
      </c>
      <c r="AJ159" s="95">
        <f>IFERROR(VLOOKUP(W159,Surp10!$B$1:$C$161,2,0),0)</f>
        <v>0</v>
      </c>
      <c r="AK159" s="95">
        <f>IFERROR(VLOOKUP(Y159,Surp11!$B$1:$C$161,2,0),0)</f>
        <v>0</v>
      </c>
    </row>
    <row r="160" ht="15.75" customHeight="1">
      <c r="A160" s="171">
        <v>159.0</v>
      </c>
      <c r="B160" s="6" t="s">
        <v>255</v>
      </c>
      <c r="C160" s="136">
        <f t="shared" si="1"/>
        <v>0</v>
      </c>
      <c r="D160" s="173"/>
      <c r="E160" s="174">
        <f>IFERROR(VLOOKUP($B160,Surp1!$A$1:$B$161,2,0),0)</f>
        <v>0</v>
      </c>
      <c r="F160" s="175">
        <f>IFERROR(VLOOKUP(E160,Surp1!$B$1:$C$161,2,0),0)</f>
        <v>0</v>
      </c>
      <c r="G160" s="174">
        <f>IFERROR(VLOOKUP($B160,Surp2!$A$1:$B$161,2,0),0)</f>
        <v>0</v>
      </c>
      <c r="H160" s="175">
        <f>IFERROR(VLOOKUP(G160,Surp2!$B$1:$C$161,2,0),0)</f>
        <v>0</v>
      </c>
      <c r="I160" s="174">
        <f>IFERROR(VLOOKUP($B160,Surp3!$A$1:$B$161,2,0),0)</f>
        <v>0</v>
      </c>
      <c r="J160" s="175">
        <f>IFERROR(VLOOKUP(I160,Surp3!$B$1:$C$161,2,0),0)</f>
        <v>0</v>
      </c>
      <c r="K160" s="174">
        <f>IFERROR(VLOOKUP($B160,Surp4!$A$1:$B$161,2,0),0)</f>
        <v>0</v>
      </c>
      <c r="L160" s="175">
        <f>IFERROR(VLOOKUP(K160,Surp4!$B$1:$C$161,2,0),0)</f>
        <v>0</v>
      </c>
      <c r="M160" s="174">
        <f>IFERROR(VLOOKUP($B160,Surp5!$A$1:$B$161,2,0),0)</f>
        <v>0</v>
      </c>
      <c r="N160" s="175">
        <f>IFERROR(VLOOKUP(M160,Surp5!$B$1:$C$161,2,0),0)</f>
        <v>0</v>
      </c>
      <c r="O160" s="174">
        <f>IFERROR(VLOOKUP($B160,Surp6!$A$1:$B$161,2,0),0)</f>
        <v>0</v>
      </c>
      <c r="P160" s="175">
        <f>IFERROR(VLOOKUP(O160,Surp6!$B$1:$C$161,2,0),0)</f>
        <v>0</v>
      </c>
      <c r="Q160" s="174">
        <f>IFERROR(VLOOKUP($B160,Surp7!$A$1:$B$161,2,0),0)</f>
        <v>0</v>
      </c>
      <c r="R160" s="175">
        <f>IFERROR(VLOOKUP(Q160,Surp7!$B$1:$C$161,2,0),0)</f>
        <v>0</v>
      </c>
      <c r="S160" s="174">
        <f>IFERROR(VLOOKUP($B160,Surp8!$A$1:$B$161,2,0),0)</f>
        <v>0</v>
      </c>
      <c r="T160" s="175">
        <f>IFERROR(VLOOKUP(S160,Surp8!$B$1:$C$161,2,0),0)</f>
        <v>0</v>
      </c>
      <c r="U160" s="174">
        <f>IFERROR(VLOOKUP($B160,Surp9!$A$1:$B$161,2,0),0)</f>
        <v>0</v>
      </c>
      <c r="V160" s="175">
        <f>IFERROR(VLOOKUP(U160,Surp9!$B$1:$C$161,2,0),0)</f>
        <v>0</v>
      </c>
      <c r="W160" s="174">
        <f>IFERROR(VLOOKUP($B160,Surp10!$A$1:$B$161,2,0),0)</f>
        <v>0</v>
      </c>
      <c r="X160" s="175">
        <f>IFERROR(VLOOKUP(W160,Surp10!$B$1:$C$161,2,0),0)</f>
        <v>0</v>
      </c>
      <c r="Y160" s="174">
        <f>IFERROR(VLOOKUP($B160,Surp11!$A$1:$B$161,2,0),0)</f>
        <v>0</v>
      </c>
      <c r="Z160" s="175">
        <f>IFERROR(VLOOKUP(Y160,Surp11!$B$1:$C$161,2,0),0)</f>
        <v>0</v>
      </c>
      <c r="AA160" s="175">
        <f>IFERROR(VLOOKUP(E160,Surp1!$B$1:$C$161,2,0),0)</f>
        <v>0</v>
      </c>
      <c r="AB160" s="175">
        <f>IFERROR(VLOOKUP(G160,Surp2!$B$1:$C$161,2,0),0)</f>
        <v>0</v>
      </c>
      <c r="AC160" s="175">
        <f>IFERROR(VLOOKUP(I160,Surp3!$B$1:$C$161,2,0),0)</f>
        <v>0</v>
      </c>
      <c r="AD160" s="175">
        <f>IFERROR(VLOOKUP(K160,Surp4!$B$1:$C$161,2,0),0)</f>
        <v>0</v>
      </c>
      <c r="AE160" s="175">
        <f>IFERROR(VLOOKUP(M160,Surp5!$B$1:$C$161,2,0),0)</f>
        <v>0</v>
      </c>
      <c r="AF160" s="175">
        <f>IFERROR(VLOOKUP(O160,Surp6!$B$1:$C$161,2,0),0)</f>
        <v>0</v>
      </c>
      <c r="AG160" s="175">
        <f>IFERROR(VLOOKUP(Q160,Surp7!$B$1:$C$161,2,0),0)</f>
        <v>0</v>
      </c>
      <c r="AH160" s="175">
        <f>IFERROR(VLOOKUP(S160,Surp8!$B$1:$C$161,2,0),0)</f>
        <v>0</v>
      </c>
      <c r="AI160" s="175">
        <f>IFERROR(VLOOKUP(U160,Surp9!$B$1:$C$161,2,0),0)</f>
        <v>0</v>
      </c>
      <c r="AJ160" s="175">
        <f>IFERROR(VLOOKUP(W160,Surp10!$B$1:$C$161,2,0),0)</f>
        <v>0</v>
      </c>
      <c r="AK160" s="175">
        <f>IFERROR(VLOOKUP(Y160,Surp11!$B$1:$C$161,2,0),0)</f>
        <v>0</v>
      </c>
    </row>
    <row r="161" ht="15.75" customHeight="1">
      <c r="A161" s="172">
        <v>160.0</v>
      </c>
      <c r="B161" s="6" t="s">
        <v>256</v>
      </c>
      <c r="C161" s="136">
        <f t="shared" si="1"/>
        <v>0</v>
      </c>
      <c r="D161" s="93"/>
      <c r="E161" s="94">
        <f>IFERROR(VLOOKUP($B161,Surp1!$A$1:$B$161,2,0),0)</f>
        <v>0</v>
      </c>
      <c r="F161" s="95">
        <f>IFERROR(VLOOKUP(E161,Surp1!$B$1:$C$161,2,0),0)</f>
        <v>0</v>
      </c>
      <c r="G161" s="94">
        <f>IFERROR(VLOOKUP($B161,Surp2!$A$1:$B$161,2,0),0)</f>
        <v>0</v>
      </c>
      <c r="H161" s="95">
        <f>IFERROR(VLOOKUP(G161,Surp2!$B$1:$C$161,2,0),0)</f>
        <v>0</v>
      </c>
      <c r="I161" s="94">
        <f>IFERROR(VLOOKUP($B161,Surp3!$A$1:$B$161,2,0),0)</f>
        <v>0</v>
      </c>
      <c r="J161" s="95">
        <f>IFERROR(VLOOKUP(I161,Surp3!$B$1:$C$161,2,0),0)</f>
        <v>0</v>
      </c>
      <c r="K161" s="94">
        <f>IFERROR(VLOOKUP($B161,Surp4!$A$1:$B$161,2,0),0)</f>
        <v>0</v>
      </c>
      <c r="L161" s="95">
        <f>IFERROR(VLOOKUP(K161,Surp4!$B$1:$C$161,2,0),0)</f>
        <v>0</v>
      </c>
      <c r="M161" s="94">
        <f>IFERROR(VLOOKUP($B161,Surp5!$A$1:$B$161,2,0),0)</f>
        <v>0</v>
      </c>
      <c r="N161" s="95">
        <f>IFERROR(VLOOKUP(M161,Surp5!$B$1:$C$161,2,0),0)</f>
        <v>0</v>
      </c>
      <c r="O161" s="94">
        <f>IFERROR(VLOOKUP($B161,Surp6!$A$1:$B$161,2,0),0)</f>
        <v>0</v>
      </c>
      <c r="P161" s="95">
        <f>IFERROR(VLOOKUP(O161,Surp6!$B$1:$C$161,2,0),0)</f>
        <v>0</v>
      </c>
      <c r="Q161" s="94">
        <f>IFERROR(VLOOKUP($B161,Surp7!$A$1:$B$161,2,0),0)</f>
        <v>0</v>
      </c>
      <c r="R161" s="95">
        <f>IFERROR(VLOOKUP(Q161,Surp7!$B$1:$C$161,2,0),0)</f>
        <v>0</v>
      </c>
      <c r="S161" s="94">
        <f>IFERROR(VLOOKUP($B161,Surp8!$A$1:$B$161,2,0),0)</f>
        <v>0</v>
      </c>
      <c r="T161" s="95">
        <f>IFERROR(VLOOKUP(S161,Surp8!$B$1:$C$161,2,0),0)</f>
        <v>0</v>
      </c>
      <c r="U161" s="94">
        <f>IFERROR(VLOOKUP($B161,Surp9!$A$1:$B$161,2,0),0)</f>
        <v>0</v>
      </c>
      <c r="V161" s="95">
        <f>IFERROR(VLOOKUP(U161,Surp9!$B$1:$C$161,2,0),0)</f>
        <v>0</v>
      </c>
      <c r="W161" s="94">
        <f>IFERROR(VLOOKUP($B161,Surp10!$A$1:$B$161,2,0),0)</f>
        <v>0</v>
      </c>
      <c r="X161" s="95">
        <f>IFERROR(VLOOKUP(W161,Surp10!$B$1:$C$161,2,0),0)</f>
        <v>0</v>
      </c>
      <c r="Y161" s="94">
        <f>IFERROR(VLOOKUP($B161,Surp11!$A$1:$B$161,2,0),0)</f>
        <v>0</v>
      </c>
      <c r="Z161" s="95">
        <f>IFERROR(VLOOKUP(Y161,Surp11!$B$1:$C$161,2,0),0)</f>
        <v>0</v>
      </c>
      <c r="AA161" s="95">
        <f>IFERROR(VLOOKUP(E161,Surp1!$B$1:$C$161,2,0),0)</f>
        <v>0</v>
      </c>
      <c r="AB161" s="95">
        <f>IFERROR(VLOOKUP(G161,Surp2!$B$1:$C$161,2,0),0)</f>
        <v>0</v>
      </c>
      <c r="AC161" s="95">
        <f>IFERROR(VLOOKUP(I161,Surp3!$B$1:$C$161,2,0),0)</f>
        <v>0</v>
      </c>
      <c r="AD161" s="95">
        <f>IFERROR(VLOOKUP(K161,Surp4!$B$1:$C$161,2,0),0)</f>
        <v>0</v>
      </c>
      <c r="AE161" s="95">
        <f>IFERROR(VLOOKUP(M161,Surp5!$B$1:$C$161,2,0),0)</f>
        <v>0</v>
      </c>
      <c r="AF161" s="95">
        <f>IFERROR(VLOOKUP(O161,Surp6!$B$1:$C$161,2,0),0)</f>
        <v>0</v>
      </c>
      <c r="AG161" s="95">
        <f>IFERROR(VLOOKUP(Q161,Surp7!$B$1:$C$161,2,0),0)</f>
        <v>0</v>
      </c>
      <c r="AH161" s="95">
        <f>IFERROR(VLOOKUP(S161,Surp8!$B$1:$C$161,2,0),0)</f>
        <v>0</v>
      </c>
      <c r="AI161" s="95">
        <f>IFERROR(VLOOKUP(U161,Surp9!$B$1:$C$161,2,0),0)</f>
        <v>0</v>
      </c>
      <c r="AJ161" s="95">
        <f>IFERROR(VLOOKUP(W161,Surp10!$B$1:$C$161,2,0),0)</f>
        <v>0</v>
      </c>
      <c r="AK161" s="95">
        <f>IFERROR(VLOOKUP(Y161,Surp11!$B$1:$C$161,2,0),0)</f>
        <v>0</v>
      </c>
    </row>
    <row r="162" ht="15.75" customHeight="1">
      <c r="A162" s="171">
        <v>161.0</v>
      </c>
      <c r="B162" s="6" t="s">
        <v>257</v>
      </c>
      <c r="C162" s="136">
        <f t="shared" si="1"/>
        <v>0</v>
      </c>
      <c r="D162" s="173"/>
      <c r="E162" s="174">
        <f>IFERROR(VLOOKUP($B162,Surp1!$A$1:$B$161,2,0),0)</f>
        <v>0</v>
      </c>
      <c r="F162" s="175">
        <f>IFERROR(VLOOKUP(E162,Surp1!$B$1:$C$161,2,0),0)</f>
        <v>0</v>
      </c>
      <c r="G162" s="174">
        <f>IFERROR(VLOOKUP($B162,Surp2!$A$1:$B$161,2,0),0)</f>
        <v>0</v>
      </c>
      <c r="H162" s="175">
        <f>IFERROR(VLOOKUP(G162,Surp2!$B$1:$C$161,2,0),0)</f>
        <v>0</v>
      </c>
      <c r="I162" s="174">
        <f>IFERROR(VLOOKUP($B162,Surp3!$A$1:$B$161,2,0),0)</f>
        <v>0</v>
      </c>
      <c r="J162" s="175">
        <f>IFERROR(VLOOKUP(I162,Surp3!$B$1:$C$161,2,0),0)</f>
        <v>0</v>
      </c>
      <c r="K162" s="174">
        <f>IFERROR(VLOOKUP($B162,Surp4!$A$1:$B$161,2,0),0)</f>
        <v>0</v>
      </c>
      <c r="L162" s="175">
        <f>IFERROR(VLOOKUP(K162,Surp4!$B$1:$C$161,2,0),0)</f>
        <v>0</v>
      </c>
      <c r="M162" s="174">
        <f>IFERROR(VLOOKUP($B162,Surp5!$A$1:$B$161,2,0),0)</f>
        <v>0</v>
      </c>
      <c r="N162" s="175">
        <f>IFERROR(VLOOKUP(M162,Surp5!$B$1:$C$161,2,0),0)</f>
        <v>0</v>
      </c>
      <c r="O162" s="174">
        <f>IFERROR(VLOOKUP($B162,Surp6!$A$1:$B$161,2,0),0)</f>
        <v>0</v>
      </c>
      <c r="P162" s="175">
        <f>IFERROR(VLOOKUP(O162,Surp6!$B$1:$C$161,2,0),0)</f>
        <v>0</v>
      </c>
      <c r="Q162" s="174">
        <f>IFERROR(VLOOKUP($B162,Surp7!$A$1:$B$161,2,0),0)</f>
        <v>0</v>
      </c>
      <c r="R162" s="175">
        <f>IFERROR(VLOOKUP(Q162,Surp7!$B$1:$C$161,2,0),0)</f>
        <v>0</v>
      </c>
      <c r="S162" s="174">
        <f>IFERROR(VLOOKUP($B162,Surp8!$A$1:$B$161,2,0),0)</f>
        <v>0</v>
      </c>
      <c r="T162" s="175">
        <f>IFERROR(VLOOKUP(S162,Surp8!$B$1:$C$161,2,0),0)</f>
        <v>0</v>
      </c>
      <c r="U162" s="174">
        <f>IFERROR(VLOOKUP($B162,Surp9!$A$1:$B$161,2,0),0)</f>
        <v>0</v>
      </c>
      <c r="V162" s="175">
        <f>IFERROR(VLOOKUP(U162,Surp9!$B$1:$C$161,2,0),0)</f>
        <v>0</v>
      </c>
      <c r="W162" s="174">
        <f>IFERROR(VLOOKUP($B162,Surp10!$A$1:$B$161,2,0),0)</f>
        <v>0</v>
      </c>
      <c r="X162" s="175">
        <f>IFERROR(VLOOKUP(W162,Surp10!$B$1:$C$161,2,0),0)</f>
        <v>0</v>
      </c>
      <c r="Y162" s="174">
        <f>IFERROR(VLOOKUP($B162,Surp11!$A$1:$B$161,2,0),0)</f>
        <v>0</v>
      </c>
      <c r="Z162" s="175">
        <f>IFERROR(VLOOKUP(Y162,Surp11!$B$1:$C$161,2,0),0)</f>
        <v>0</v>
      </c>
      <c r="AA162" s="175">
        <f>IFERROR(VLOOKUP(E162,Surp1!$B$1:$C$161,2,0),0)</f>
        <v>0</v>
      </c>
      <c r="AB162" s="175">
        <f>IFERROR(VLOOKUP(G162,Surp2!$B$1:$C$161,2,0),0)</f>
        <v>0</v>
      </c>
      <c r="AC162" s="175">
        <f>IFERROR(VLOOKUP(I162,Surp3!$B$1:$C$161,2,0),0)</f>
        <v>0</v>
      </c>
      <c r="AD162" s="175">
        <f>IFERROR(VLOOKUP(K162,Surp4!$B$1:$C$161,2,0),0)</f>
        <v>0</v>
      </c>
      <c r="AE162" s="175">
        <f>IFERROR(VLOOKUP(M162,Surp5!$B$1:$C$161,2,0),0)</f>
        <v>0</v>
      </c>
      <c r="AF162" s="175">
        <f>IFERROR(VLOOKUP(O162,Surp6!$B$1:$C$161,2,0),0)</f>
        <v>0</v>
      </c>
      <c r="AG162" s="175">
        <f>IFERROR(VLOOKUP(Q162,Surp7!$B$1:$C$161,2,0),0)</f>
        <v>0</v>
      </c>
      <c r="AH162" s="175">
        <f>IFERROR(VLOOKUP(S162,Surp8!$B$1:$C$161,2,0),0)</f>
        <v>0</v>
      </c>
      <c r="AI162" s="175">
        <f>IFERROR(VLOOKUP(U162,Surp9!$B$1:$C$161,2,0),0)</f>
        <v>0</v>
      </c>
      <c r="AJ162" s="175">
        <f>IFERROR(VLOOKUP(W162,Surp10!$B$1:$C$161,2,0),0)</f>
        <v>0</v>
      </c>
      <c r="AK162" s="175">
        <f>IFERROR(VLOOKUP(Y162,Surp11!$B$1:$C$161,2,0),0)</f>
        <v>0</v>
      </c>
    </row>
    <row r="163" ht="15.75" customHeight="1">
      <c r="A163" s="172">
        <v>162.0</v>
      </c>
      <c r="B163" s="6" t="s">
        <v>258</v>
      </c>
      <c r="C163" s="136">
        <f t="shared" si="1"/>
        <v>0</v>
      </c>
      <c r="D163" s="93"/>
      <c r="E163" s="94">
        <f>IFERROR(VLOOKUP($B163,Surp1!$A$1:$B$161,2,0),0)</f>
        <v>0</v>
      </c>
      <c r="F163" s="95">
        <f>IFERROR(VLOOKUP(E163,Surp1!$B$1:$C$161,2,0),0)</f>
        <v>0</v>
      </c>
      <c r="G163" s="94">
        <f>IFERROR(VLOOKUP($B163,Surp2!$A$1:$B$161,2,0),0)</f>
        <v>0</v>
      </c>
      <c r="H163" s="95">
        <f>IFERROR(VLOOKUP(G163,Surp2!$B$1:$C$161,2,0),0)</f>
        <v>0</v>
      </c>
      <c r="I163" s="94">
        <f>IFERROR(VLOOKUP($B163,Surp3!$A$1:$B$161,2,0),0)</f>
        <v>0</v>
      </c>
      <c r="J163" s="95">
        <f>IFERROR(VLOOKUP(I163,Surp3!$B$1:$C$161,2,0),0)</f>
        <v>0</v>
      </c>
      <c r="K163" s="94">
        <f>IFERROR(VLOOKUP($B163,Surp4!$A$1:$B$161,2,0),0)</f>
        <v>0</v>
      </c>
      <c r="L163" s="95">
        <f>IFERROR(VLOOKUP(K163,Surp4!$B$1:$C$161,2,0),0)</f>
        <v>0</v>
      </c>
      <c r="M163" s="94">
        <f>IFERROR(VLOOKUP($B163,Surp5!$A$1:$B$161,2,0),0)</f>
        <v>0</v>
      </c>
      <c r="N163" s="95">
        <f>IFERROR(VLOOKUP(M163,Surp5!$B$1:$C$161,2,0),0)</f>
        <v>0</v>
      </c>
      <c r="O163" s="94">
        <f>IFERROR(VLOOKUP($B163,Surp6!$A$1:$B$161,2,0),0)</f>
        <v>0</v>
      </c>
      <c r="P163" s="95">
        <f>IFERROR(VLOOKUP(O163,Surp6!$B$1:$C$161,2,0),0)</f>
        <v>0</v>
      </c>
      <c r="Q163" s="94">
        <f>IFERROR(VLOOKUP($B163,Surp7!$A$1:$B$161,2,0),0)</f>
        <v>0</v>
      </c>
      <c r="R163" s="95">
        <f>IFERROR(VLOOKUP(Q163,Surp7!$B$1:$C$161,2,0),0)</f>
        <v>0</v>
      </c>
      <c r="S163" s="94">
        <f>IFERROR(VLOOKUP($B163,Surp8!$A$1:$B$161,2,0),0)</f>
        <v>0</v>
      </c>
      <c r="T163" s="95">
        <f>IFERROR(VLOOKUP(S163,Surp8!$B$1:$C$161,2,0),0)</f>
        <v>0</v>
      </c>
      <c r="U163" s="94">
        <f>IFERROR(VLOOKUP($B163,Surp9!$A$1:$B$161,2,0),0)</f>
        <v>0</v>
      </c>
      <c r="V163" s="95">
        <f>IFERROR(VLOOKUP(U163,Surp9!$B$1:$C$161,2,0),0)</f>
        <v>0</v>
      </c>
      <c r="W163" s="94">
        <f>IFERROR(VLOOKUP($B163,Surp10!$A$1:$B$161,2,0),0)</f>
        <v>0</v>
      </c>
      <c r="X163" s="95">
        <f>IFERROR(VLOOKUP(W163,Surp10!$B$1:$C$161,2,0),0)</f>
        <v>0</v>
      </c>
      <c r="Y163" s="94">
        <f>IFERROR(VLOOKUP($B163,Surp11!$A$1:$B$161,2,0),0)</f>
        <v>0</v>
      </c>
      <c r="Z163" s="95">
        <f>IFERROR(VLOOKUP(Y163,Surp11!$B$1:$C$161,2,0),0)</f>
        <v>0</v>
      </c>
      <c r="AA163" s="95">
        <f>IFERROR(VLOOKUP(E163,Surp1!$B$1:$C$161,2,0),0)</f>
        <v>0</v>
      </c>
      <c r="AB163" s="95">
        <f>IFERROR(VLOOKUP(G163,Surp2!$B$1:$C$161,2,0),0)</f>
        <v>0</v>
      </c>
      <c r="AC163" s="95">
        <f>IFERROR(VLOOKUP(I163,Surp3!$B$1:$C$161,2,0),0)</f>
        <v>0</v>
      </c>
      <c r="AD163" s="95">
        <f>IFERROR(VLOOKUP(K163,Surp4!$B$1:$C$161,2,0),0)</f>
        <v>0</v>
      </c>
      <c r="AE163" s="95">
        <f>IFERROR(VLOOKUP(M163,Surp5!$B$1:$C$161,2,0),0)</f>
        <v>0</v>
      </c>
      <c r="AF163" s="95">
        <f>IFERROR(VLOOKUP(O163,Surp6!$B$1:$C$161,2,0),0)</f>
        <v>0</v>
      </c>
      <c r="AG163" s="95">
        <f>IFERROR(VLOOKUP(Q163,Surp7!$B$1:$C$161,2,0),0)</f>
        <v>0</v>
      </c>
      <c r="AH163" s="95">
        <f>IFERROR(VLOOKUP(S163,Surp8!$B$1:$C$161,2,0),0)</f>
        <v>0</v>
      </c>
      <c r="AI163" s="95">
        <f>IFERROR(VLOOKUP(U163,Surp9!$B$1:$C$161,2,0),0)</f>
        <v>0</v>
      </c>
      <c r="AJ163" s="95">
        <f>IFERROR(VLOOKUP(W163,Surp10!$B$1:$C$161,2,0),0)</f>
        <v>0</v>
      </c>
      <c r="AK163" s="95">
        <f>IFERROR(VLOOKUP(Y163,Surp11!$B$1:$C$161,2,0),0)</f>
        <v>0</v>
      </c>
    </row>
    <row r="164" ht="15.75" customHeight="1">
      <c r="A164" s="171">
        <v>163.0</v>
      </c>
      <c r="B164" s="6" t="s">
        <v>259</v>
      </c>
      <c r="C164" s="136">
        <f t="shared" si="1"/>
        <v>0</v>
      </c>
      <c r="D164" s="173"/>
      <c r="E164" s="174">
        <f>IFERROR(VLOOKUP($B164,Surp1!$A$1:$B$161,2,0),0)</f>
        <v>0</v>
      </c>
      <c r="F164" s="175">
        <f>IFERROR(VLOOKUP(E164,Surp1!$B$1:$C$161,2,0),0)</f>
        <v>0</v>
      </c>
      <c r="G164" s="174">
        <f>IFERROR(VLOOKUP($B164,Surp2!$A$1:$B$161,2,0),0)</f>
        <v>0</v>
      </c>
      <c r="H164" s="175">
        <f>IFERROR(VLOOKUP(G164,Surp2!$B$1:$C$161,2,0),0)</f>
        <v>0</v>
      </c>
      <c r="I164" s="174">
        <f>IFERROR(VLOOKUP($B164,Surp3!$A$1:$B$161,2,0),0)</f>
        <v>0</v>
      </c>
      <c r="J164" s="175">
        <f>IFERROR(VLOOKUP(I164,Surp3!$B$1:$C$161,2,0),0)</f>
        <v>0</v>
      </c>
      <c r="K164" s="174">
        <f>IFERROR(VLOOKUP($B164,Surp4!$A$1:$B$161,2,0),0)</f>
        <v>0</v>
      </c>
      <c r="L164" s="175">
        <f>IFERROR(VLOOKUP(K164,Surp4!$B$1:$C$161,2,0),0)</f>
        <v>0</v>
      </c>
      <c r="M164" s="174">
        <f>IFERROR(VLOOKUP($B164,Surp5!$A$1:$B$161,2,0),0)</f>
        <v>0</v>
      </c>
      <c r="N164" s="175">
        <f>IFERROR(VLOOKUP(M164,Surp5!$B$1:$C$161,2,0),0)</f>
        <v>0</v>
      </c>
      <c r="O164" s="174">
        <f>IFERROR(VLOOKUP($B164,Surp6!$A$1:$B$161,2,0),0)</f>
        <v>0</v>
      </c>
      <c r="P164" s="175">
        <f>IFERROR(VLOOKUP(O164,Surp6!$B$1:$C$161,2,0),0)</f>
        <v>0</v>
      </c>
      <c r="Q164" s="174">
        <f>IFERROR(VLOOKUP($B164,Surp7!$A$1:$B$161,2,0),0)</f>
        <v>0</v>
      </c>
      <c r="R164" s="175">
        <f>IFERROR(VLOOKUP(Q164,Surp7!$B$1:$C$161,2,0),0)</f>
        <v>0</v>
      </c>
      <c r="S164" s="174">
        <f>IFERROR(VLOOKUP($B164,Surp8!$A$1:$B$161,2,0),0)</f>
        <v>0</v>
      </c>
      <c r="T164" s="175">
        <f>IFERROR(VLOOKUP(S164,Surp8!$B$1:$C$161,2,0),0)</f>
        <v>0</v>
      </c>
      <c r="U164" s="174">
        <f>IFERROR(VLOOKUP($B164,Surp9!$A$1:$B$161,2,0),0)</f>
        <v>0</v>
      </c>
      <c r="V164" s="175">
        <f>IFERROR(VLOOKUP(U164,Surp9!$B$1:$C$161,2,0),0)</f>
        <v>0</v>
      </c>
      <c r="W164" s="174">
        <f>IFERROR(VLOOKUP($B164,Surp10!$A$1:$B$161,2,0),0)</f>
        <v>0</v>
      </c>
      <c r="X164" s="175">
        <f>IFERROR(VLOOKUP(W164,Surp10!$B$1:$C$161,2,0),0)</f>
        <v>0</v>
      </c>
      <c r="Y164" s="174">
        <f>IFERROR(VLOOKUP($B164,Surp11!$A$1:$B$161,2,0),0)</f>
        <v>0</v>
      </c>
      <c r="Z164" s="175">
        <f>IFERROR(VLOOKUP(Y164,Surp11!$B$1:$C$161,2,0),0)</f>
        <v>0</v>
      </c>
      <c r="AA164" s="175">
        <f>IFERROR(VLOOKUP(E164,Surp1!$B$1:$C$161,2,0),0)</f>
        <v>0</v>
      </c>
      <c r="AB164" s="175">
        <f>IFERROR(VLOOKUP(G164,Surp2!$B$1:$C$161,2,0),0)</f>
        <v>0</v>
      </c>
      <c r="AC164" s="175">
        <f>IFERROR(VLOOKUP(I164,Surp3!$B$1:$C$161,2,0),0)</f>
        <v>0</v>
      </c>
      <c r="AD164" s="175">
        <f>IFERROR(VLOOKUP(K164,Surp4!$B$1:$C$161,2,0),0)</f>
        <v>0</v>
      </c>
      <c r="AE164" s="175">
        <f>IFERROR(VLOOKUP(M164,Surp5!$B$1:$C$161,2,0),0)</f>
        <v>0</v>
      </c>
      <c r="AF164" s="175">
        <f>IFERROR(VLOOKUP(O164,Surp6!$B$1:$C$161,2,0),0)</f>
        <v>0</v>
      </c>
      <c r="AG164" s="175">
        <f>IFERROR(VLOOKUP(Q164,Surp7!$B$1:$C$161,2,0),0)</f>
        <v>0</v>
      </c>
      <c r="AH164" s="175">
        <f>IFERROR(VLOOKUP(S164,Surp8!$B$1:$C$161,2,0),0)</f>
        <v>0</v>
      </c>
      <c r="AI164" s="175">
        <f>IFERROR(VLOOKUP(U164,Surp9!$B$1:$C$161,2,0),0)</f>
        <v>0</v>
      </c>
      <c r="AJ164" s="175">
        <f>IFERROR(VLOOKUP(W164,Surp10!$B$1:$C$161,2,0),0)</f>
        <v>0</v>
      </c>
      <c r="AK164" s="175">
        <f>IFERROR(VLOOKUP(Y164,Surp11!$B$1:$C$161,2,0),0)</f>
        <v>0</v>
      </c>
    </row>
    <row r="165" ht="15.75" customHeight="1">
      <c r="A165" s="172">
        <v>164.0</v>
      </c>
      <c r="B165" s="6" t="s">
        <v>260</v>
      </c>
      <c r="C165" s="136">
        <f t="shared" si="1"/>
        <v>0</v>
      </c>
      <c r="D165" s="93"/>
      <c r="E165" s="94">
        <f>IFERROR(VLOOKUP($B165,Surp1!$A$1:$B$161,2,0),0)</f>
        <v>0</v>
      </c>
      <c r="F165" s="95">
        <f>IFERROR(VLOOKUP(E165,Surp1!$B$1:$C$161,2,0),0)</f>
        <v>0</v>
      </c>
      <c r="G165" s="94">
        <f>IFERROR(VLOOKUP($B165,Surp2!$A$1:$B$161,2,0),0)</f>
        <v>0</v>
      </c>
      <c r="H165" s="95">
        <f>IFERROR(VLOOKUP(G165,Surp2!$B$1:$C$161,2,0),0)</f>
        <v>0</v>
      </c>
      <c r="I165" s="94">
        <f>IFERROR(VLOOKUP($B165,Surp3!$A$1:$B$161,2,0),0)</f>
        <v>0</v>
      </c>
      <c r="J165" s="95">
        <f>IFERROR(VLOOKUP(I165,Surp3!$B$1:$C$161,2,0),0)</f>
        <v>0</v>
      </c>
      <c r="K165" s="94">
        <f>IFERROR(VLOOKUP($B165,Surp4!$A$1:$B$161,2,0),0)</f>
        <v>0</v>
      </c>
      <c r="L165" s="95">
        <f>IFERROR(VLOOKUP(K165,Surp4!$B$1:$C$161,2,0),0)</f>
        <v>0</v>
      </c>
      <c r="M165" s="94">
        <f>IFERROR(VLOOKUP($B165,Surp5!$A$1:$B$161,2,0),0)</f>
        <v>0</v>
      </c>
      <c r="N165" s="95">
        <f>IFERROR(VLOOKUP(M165,Surp5!$B$1:$C$161,2,0),0)</f>
        <v>0</v>
      </c>
      <c r="O165" s="94">
        <f>IFERROR(VLOOKUP($B165,Surp6!$A$1:$B$161,2,0),0)</f>
        <v>0</v>
      </c>
      <c r="P165" s="95">
        <f>IFERROR(VLOOKUP(O165,Surp6!$B$1:$C$161,2,0),0)</f>
        <v>0</v>
      </c>
      <c r="Q165" s="94">
        <f>IFERROR(VLOOKUP($B165,Surp7!$A$1:$B$161,2,0),0)</f>
        <v>0</v>
      </c>
      <c r="R165" s="95">
        <f>IFERROR(VLOOKUP(Q165,Surp7!$B$1:$C$161,2,0),0)</f>
        <v>0</v>
      </c>
      <c r="S165" s="94">
        <f>IFERROR(VLOOKUP($B165,Surp8!$A$1:$B$161,2,0),0)</f>
        <v>0</v>
      </c>
      <c r="T165" s="95">
        <f>IFERROR(VLOOKUP(S165,Surp8!$B$1:$C$161,2,0),0)</f>
        <v>0</v>
      </c>
      <c r="U165" s="94">
        <f>IFERROR(VLOOKUP($B165,Surp9!$A$1:$B$161,2,0),0)</f>
        <v>0</v>
      </c>
      <c r="V165" s="95">
        <f>IFERROR(VLOOKUP(U165,Surp9!$B$1:$C$161,2,0),0)</f>
        <v>0</v>
      </c>
      <c r="W165" s="94">
        <f>IFERROR(VLOOKUP($B165,Surp10!$A$1:$B$161,2,0),0)</f>
        <v>0</v>
      </c>
      <c r="X165" s="95">
        <f>IFERROR(VLOOKUP(W165,Surp10!$B$1:$C$161,2,0),0)</f>
        <v>0</v>
      </c>
      <c r="Y165" s="94">
        <f>IFERROR(VLOOKUP($B165,Surp11!$A$1:$B$161,2,0),0)</f>
        <v>0</v>
      </c>
      <c r="Z165" s="95">
        <f>IFERROR(VLOOKUP(Y165,Surp11!$B$1:$C$161,2,0),0)</f>
        <v>0</v>
      </c>
      <c r="AA165" s="95">
        <f>IFERROR(VLOOKUP(E165,Surp1!$B$1:$C$161,2,0),0)</f>
        <v>0</v>
      </c>
      <c r="AB165" s="95">
        <f>IFERROR(VLOOKUP(G165,Surp2!$B$1:$C$161,2,0),0)</f>
        <v>0</v>
      </c>
      <c r="AC165" s="95">
        <f>IFERROR(VLOOKUP(I165,Surp3!$B$1:$C$161,2,0),0)</f>
        <v>0</v>
      </c>
      <c r="AD165" s="95">
        <f>IFERROR(VLOOKUP(K165,Surp4!$B$1:$C$161,2,0),0)</f>
        <v>0</v>
      </c>
      <c r="AE165" s="95">
        <f>IFERROR(VLOOKUP(M165,Surp5!$B$1:$C$161,2,0),0)</f>
        <v>0</v>
      </c>
      <c r="AF165" s="95">
        <f>IFERROR(VLOOKUP(O165,Surp6!$B$1:$C$161,2,0),0)</f>
        <v>0</v>
      </c>
      <c r="AG165" s="95">
        <f>IFERROR(VLOOKUP(Q165,Surp7!$B$1:$C$161,2,0),0)</f>
        <v>0</v>
      </c>
      <c r="AH165" s="95">
        <f>IFERROR(VLOOKUP(S165,Surp8!$B$1:$C$161,2,0),0)</f>
        <v>0</v>
      </c>
      <c r="AI165" s="95">
        <f>IFERROR(VLOOKUP(U165,Surp9!$B$1:$C$161,2,0),0)</f>
        <v>0</v>
      </c>
      <c r="AJ165" s="95">
        <f>IFERROR(VLOOKUP(W165,Surp10!$B$1:$C$161,2,0),0)</f>
        <v>0</v>
      </c>
      <c r="AK165" s="95">
        <f>IFERROR(VLOOKUP(Y165,Surp11!$B$1:$C$161,2,0),0)</f>
        <v>0</v>
      </c>
    </row>
    <row r="166" ht="15.75" customHeight="1">
      <c r="A166" s="171">
        <v>165.0</v>
      </c>
      <c r="B166" s="6" t="s">
        <v>261</v>
      </c>
      <c r="C166" s="136">
        <f t="shared" si="1"/>
        <v>0</v>
      </c>
      <c r="D166" s="173"/>
      <c r="E166" s="174">
        <f>IFERROR(VLOOKUP($B166,Surp1!$A$1:$B$161,2,0),0)</f>
        <v>0</v>
      </c>
      <c r="F166" s="175">
        <f>IFERROR(VLOOKUP(E166,Surp1!$B$1:$C$161,2,0),0)</f>
        <v>0</v>
      </c>
      <c r="G166" s="174">
        <f>IFERROR(VLOOKUP($B166,Surp2!$A$1:$B$161,2,0),0)</f>
        <v>0</v>
      </c>
      <c r="H166" s="175">
        <f>IFERROR(VLOOKUP(G166,Surp2!$B$1:$C$161,2,0),0)</f>
        <v>0</v>
      </c>
      <c r="I166" s="174">
        <f>IFERROR(VLOOKUP($B166,Surp3!$A$1:$B$161,2,0),0)</f>
        <v>0</v>
      </c>
      <c r="J166" s="175">
        <f>IFERROR(VLOOKUP(I166,Surp3!$B$1:$C$161,2,0),0)</f>
        <v>0</v>
      </c>
      <c r="K166" s="174">
        <f>IFERROR(VLOOKUP($B166,Surp4!$A$1:$B$161,2,0),0)</f>
        <v>0</v>
      </c>
      <c r="L166" s="175">
        <f>IFERROR(VLOOKUP(K166,Surp4!$B$1:$C$161,2,0),0)</f>
        <v>0</v>
      </c>
      <c r="M166" s="174">
        <f>IFERROR(VLOOKUP($B166,Surp5!$A$1:$B$161,2,0),0)</f>
        <v>0</v>
      </c>
      <c r="N166" s="175">
        <f>IFERROR(VLOOKUP(M166,Surp5!$B$1:$C$161,2,0),0)</f>
        <v>0</v>
      </c>
      <c r="O166" s="174">
        <f>IFERROR(VLOOKUP($B166,Surp6!$A$1:$B$161,2,0),0)</f>
        <v>0</v>
      </c>
      <c r="P166" s="175">
        <f>IFERROR(VLOOKUP(O166,Surp6!$B$1:$C$161,2,0),0)</f>
        <v>0</v>
      </c>
      <c r="Q166" s="174">
        <f>IFERROR(VLOOKUP($B166,Surp7!$A$1:$B$161,2,0),0)</f>
        <v>0</v>
      </c>
      <c r="R166" s="175">
        <f>IFERROR(VLOOKUP(Q166,Surp7!$B$1:$C$161,2,0),0)</f>
        <v>0</v>
      </c>
      <c r="S166" s="174">
        <f>IFERROR(VLOOKUP($B166,Surp8!$A$1:$B$161,2,0),0)</f>
        <v>0</v>
      </c>
      <c r="T166" s="175">
        <f>IFERROR(VLOOKUP(S166,Surp8!$B$1:$C$161,2,0),0)</f>
        <v>0</v>
      </c>
      <c r="U166" s="174">
        <f>IFERROR(VLOOKUP($B166,Surp9!$A$1:$B$161,2,0),0)</f>
        <v>0</v>
      </c>
      <c r="V166" s="175">
        <f>IFERROR(VLOOKUP(U166,Surp9!$B$1:$C$161,2,0),0)</f>
        <v>0</v>
      </c>
      <c r="W166" s="174">
        <f>IFERROR(VLOOKUP($B166,Surp10!$A$1:$B$161,2,0),0)</f>
        <v>0</v>
      </c>
      <c r="X166" s="175">
        <f>IFERROR(VLOOKUP(W166,Surp10!$B$1:$C$161,2,0),0)</f>
        <v>0</v>
      </c>
      <c r="Y166" s="174">
        <f>IFERROR(VLOOKUP($B166,Surp11!$A$1:$B$161,2,0),0)</f>
        <v>0</v>
      </c>
      <c r="Z166" s="175">
        <f>IFERROR(VLOOKUP(Y166,Surp11!$B$1:$C$161,2,0),0)</f>
        <v>0</v>
      </c>
      <c r="AA166" s="175">
        <f>IFERROR(VLOOKUP(E166,Surp1!$B$1:$C$161,2,0),0)</f>
        <v>0</v>
      </c>
      <c r="AB166" s="175">
        <f>IFERROR(VLOOKUP(G166,Surp2!$B$1:$C$161,2,0),0)</f>
        <v>0</v>
      </c>
      <c r="AC166" s="175">
        <f>IFERROR(VLOOKUP(I166,Surp3!$B$1:$C$161,2,0),0)</f>
        <v>0</v>
      </c>
      <c r="AD166" s="175">
        <f>IFERROR(VLOOKUP(K166,Surp4!$B$1:$C$161,2,0),0)</f>
        <v>0</v>
      </c>
      <c r="AE166" s="175">
        <f>IFERROR(VLOOKUP(M166,Surp5!$B$1:$C$161,2,0),0)</f>
        <v>0</v>
      </c>
      <c r="AF166" s="175">
        <f>IFERROR(VLOOKUP(O166,Surp6!$B$1:$C$161,2,0),0)</f>
        <v>0</v>
      </c>
      <c r="AG166" s="175">
        <f>IFERROR(VLOOKUP(Q166,Surp7!$B$1:$C$161,2,0),0)</f>
        <v>0</v>
      </c>
      <c r="AH166" s="175">
        <f>IFERROR(VLOOKUP(S166,Surp8!$B$1:$C$161,2,0),0)</f>
        <v>0</v>
      </c>
      <c r="AI166" s="175">
        <f>IFERROR(VLOOKUP(U166,Surp9!$B$1:$C$161,2,0),0)</f>
        <v>0</v>
      </c>
      <c r="AJ166" s="175">
        <f>IFERROR(VLOOKUP(W166,Surp10!$B$1:$C$161,2,0),0)</f>
        <v>0</v>
      </c>
      <c r="AK166" s="175">
        <f>IFERROR(VLOOKUP(Y166,Surp11!$B$1:$C$161,2,0),0)</f>
        <v>0</v>
      </c>
    </row>
    <row r="167" ht="15.75" customHeight="1">
      <c r="A167" s="172">
        <v>166.0</v>
      </c>
      <c r="B167" s="6" t="s">
        <v>262</v>
      </c>
      <c r="C167" s="136">
        <f t="shared" si="1"/>
        <v>0</v>
      </c>
      <c r="D167" s="93"/>
      <c r="E167" s="94">
        <f>IFERROR(VLOOKUP($B167,Surp1!$A$1:$B$161,2,0),0)</f>
        <v>0</v>
      </c>
      <c r="F167" s="95">
        <f>IFERROR(VLOOKUP(E167,Surp1!$B$1:$C$161,2,0),0)</f>
        <v>0</v>
      </c>
      <c r="G167" s="94">
        <f>IFERROR(VLOOKUP($B167,Surp2!$A$1:$B$161,2,0),0)</f>
        <v>0</v>
      </c>
      <c r="H167" s="95">
        <f>IFERROR(VLOOKUP(G167,Surp2!$B$1:$C$161,2,0),0)</f>
        <v>0</v>
      </c>
      <c r="I167" s="94">
        <f>IFERROR(VLOOKUP($B167,Surp3!$A$1:$B$161,2,0),0)</f>
        <v>0</v>
      </c>
      <c r="J167" s="95">
        <f>IFERROR(VLOOKUP(I167,Surp3!$B$1:$C$161,2,0),0)</f>
        <v>0</v>
      </c>
      <c r="K167" s="94">
        <f>IFERROR(VLOOKUP($B167,Surp4!$A$1:$B$161,2,0),0)</f>
        <v>0</v>
      </c>
      <c r="L167" s="95">
        <f>IFERROR(VLOOKUP(K167,Surp4!$B$1:$C$161,2,0),0)</f>
        <v>0</v>
      </c>
      <c r="M167" s="94">
        <f>IFERROR(VLOOKUP($B167,Surp5!$A$1:$B$161,2,0),0)</f>
        <v>0</v>
      </c>
      <c r="N167" s="95">
        <f>IFERROR(VLOOKUP(M167,Surp5!$B$1:$C$161,2,0),0)</f>
        <v>0</v>
      </c>
      <c r="O167" s="94">
        <f>IFERROR(VLOOKUP($B167,Surp6!$A$1:$B$161,2,0),0)</f>
        <v>0</v>
      </c>
      <c r="P167" s="95">
        <f>IFERROR(VLOOKUP(O167,Surp6!$B$1:$C$161,2,0),0)</f>
        <v>0</v>
      </c>
      <c r="Q167" s="94">
        <f>IFERROR(VLOOKUP($B167,Surp7!$A$1:$B$161,2,0),0)</f>
        <v>0</v>
      </c>
      <c r="R167" s="95">
        <f>IFERROR(VLOOKUP(Q167,Surp7!$B$1:$C$161,2,0),0)</f>
        <v>0</v>
      </c>
      <c r="S167" s="94">
        <f>IFERROR(VLOOKUP($B167,Surp8!$A$1:$B$161,2,0),0)</f>
        <v>0</v>
      </c>
      <c r="T167" s="95">
        <f>IFERROR(VLOOKUP(S167,Surp8!$B$1:$C$161,2,0),0)</f>
        <v>0</v>
      </c>
      <c r="U167" s="94">
        <f>IFERROR(VLOOKUP($B167,Surp9!$A$1:$B$161,2,0),0)</f>
        <v>0</v>
      </c>
      <c r="V167" s="95">
        <f>IFERROR(VLOOKUP(U167,Surp9!$B$1:$C$161,2,0),0)</f>
        <v>0</v>
      </c>
      <c r="W167" s="94">
        <f>IFERROR(VLOOKUP($B167,Surp10!$A$1:$B$161,2,0),0)</f>
        <v>0</v>
      </c>
      <c r="X167" s="95">
        <f>IFERROR(VLOOKUP(W167,Surp10!$B$1:$C$161,2,0),0)</f>
        <v>0</v>
      </c>
      <c r="Y167" s="94">
        <f>IFERROR(VLOOKUP($B167,Surp11!$A$1:$B$161,2,0),0)</f>
        <v>0</v>
      </c>
      <c r="Z167" s="95">
        <f>IFERROR(VLOOKUP(Y167,Surp11!$B$1:$C$161,2,0),0)</f>
        <v>0</v>
      </c>
      <c r="AA167" s="95">
        <f>IFERROR(VLOOKUP(E167,Surp1!$B$1:$C$161,2,0),0)</f>
        <v>0</v>
      </c>
      <c r="AB167" s="95">
        <f>IFERROR(VLOOKUP(G167,Surp2!$B$1:$C$161,2,0),0)</f>
        <v>0</v>
      </c>
      <c r="AC167" s="95">
        <f>IFERROR(VLOOKUP(I167,Surp3!$B$1:$C$161,2,0),0)</f>
        <v>0</v>
      </c>
      <c r="AD167" s="95">
        <f>IFERROR(VLOOKUP(K167,Surp4!$B$1:$C$161,2,0),0)</f>
        <v>0</v>
      </c>
      <c r="AE167" s="95">
        <f>IFERROR(VLOOKUP(M167,Surp5!$B$1:$C$161,2,0),0)</f>
        <v>0</v>
      </c>
      <c r="AF167" s="95">
        <f>IFERROR(VLOOKUP(O167,Surp6!$B$1:$C$161,2,0),0)</f>
        <v>0</v>
      </c>
      <c r="AG167" s="95">
        <f>IFERROR(VLOOKUP(Q167,Surp7!$B$1:$C$161,2,0),0)</f>
        <v>0</v>
      </c>
      <c r="AH167" s="95">
        <f>IFERROR(VLOOKUP(S167,Surp8!$B$1:$C$161,2,0),0)</f>
        <v>0</v>
      </c>
      <c r="AI167" s="95">
        <f>IFERROR(VLOOKUP(U167,Surp9!$B$1:$C$161,2,0),0)</f>
        <v>0</v>
      </c>
      <c r="AJ167" s="95">
        <f>IFERROR(VLOOKUP(W167,Surp10!$B$1:$C$161,2,0),0)</f>
        <v>0</v>
      </c>
      <c r="AK167" s="95">
        <f>IFERROR(VLOOKUP(Y167,Surp11!$B$1:$C$161,2,0),0)</f>
        <v>0</v>
      </c>
    </row>
    <row r="168" ht="15.75" customHeight="1">
      <c r="A168" s="171">
        <v>167.0</v>
      </c>
      <c r="B168" s="6" t="s">
        <v>263</v>
      </c>
      <c r="C168" s="136">
        <f t="shared" si="1"/>
        <v>0</v>
      </c>
      <c r="D168" s="173"/>
      <c r="E168" s="174">
        <f>IFERROR(VLOOKUP($B168,Surp1!$A$1:$B$161,2,0),0)</f>
        <v>0</v>
      </c>
      <c r="F168" s="175">
        <f>IFERROR(VLOOKUP(E168,Surp1!$B$1:$C$161,2,0),0)</f>
        <v>0</v>
      </c>
      <c r="G168" s="174">
        <f>IFERROR(VLOOKUP($B168,Surp2!$A$1:$B$161,2,0),0)</f>
        <v>0</v>
      </c>
      <c r="H168" s="175">
        <f>IFERROR(VLOOKUP(G168,Surp2!$B$1:$C$161,2,0),0)</f>
        <v>0</v>
      </c>
      <c r="I168" s="174">
        <f>IFERROR(VLOOKUP($B168,Surp3!$A$1:$B$161,2,0),0)</f>
        <v>0</v>
      </c>
      <c r="J168" s="175">
        <f>IFERROR(VLOOKUP(I168,Surp3!$B$1:$C$161,2,0),0)</f>
        <v>0</v>
      </c>
      <c r="K168" s="174">
        <f>IFERROR(VLOOKUP($B168,Surp4!$A$1:$B$161,2,0),0)</f>
        <v>0</v>
      </c>
      <c r="L168" s="175">
        <f>IFERROR(VLOOKUP(K168,Surp4!$B$1:$C$161,2,0),0)</f>
        <v>0</v>
      </c>
      <c r="M168" s="174">
        <f>IFERROR(VLOOKUP($B168,Surp5!$A$1:$B$161,2,0),0)</f>
        <v>0</v>
      </c>
      <c r="N168" s="175">
        <f>IFERROR(VLOOKUP(M168,Surp5!$B$1:$C$161,2,0),0)</f>
        <v>0</v>
      </c>
      <c r="O168" s="174">
        <f>IFERROR(VLOOKUP($B168,Surp6!$A$1:$B$161,2,0),0)</f>
        <v>0</v>
      </c>
      <c r="P168" s="175">
        <f>IFERROR(VLOOKUP(O168,Surp6!$B$1:$C$161,2,0),0)</f>
        <v>0</v>
      </c>
      <c r="Q168" s="174">
        <f>IFERROR(VLOOKUP($B168,Surp7!$A$1:$B$161,2,0),0)</f>
        <v>0</v>
      </c>
      <c r="R168" s="175">
        <f>IFERROR(VLOOKUP(Q168,Surp7!$B$1:$C$161,2,0),0)</f>
        <v>0</v>
      </c>
      <c r="S168" s="174">
        <f>IFERROR(VLOOKUP($B168,Surp8!$A$1:$B$161,2,0),0)</f>
        <v>0</v>
      </c>
      <c r="T168" s="175">
        <f>IFERROR(VLOOKUP(S168,Surp8!$B$1:$C$161,2,0),0)</f>
        <v>0</v>
      </c>
      <c r="U168" s="174">
        <f>IFERROR(VLOOKUP($B168,Surp9!$A$1:$B$161,2,0),0)</f>
        <v>0</v>
      </c>
      <c r="V168" s="175">
        <f>IFERROR(VLOOKUP(U168,Surp9!$B$1:$C$161,2,0),0)</f>
        <v>0</v>
      </c>
      <c r="W168" s="174">
        <f>IFERROR(VLOOKUP($B168,Surp10!$A$1:$B$161,2,0),0)</f>
        <v>0</v>
      </c>
      <c r="X168" s="175">
        <f>IFERROR(VLOOKUP(W168,Surp10!$B$1:$C$161,2,0),0)</f>
        <v>0</v>
      </c>
      <c r="Y168" s="174">
        <f>IFERROR(VLOOKUP($B168,Surp11!$A$1:$B$161,2,0),0)</f>
        <v>0</v>
      </c>
      <c r="Z168" s="175">
        <f>IFERROR(VLOOKUP(Y168,Surp11!$B$1:$C$161,2,0),0)</f>
        <v>0</v>
      </c>
      <c r="AA168" s="175">
        <f>IFERROR(VLOOKUP(E168,Surp1!$B$1:$C$161,2,0),0)</f>
        <v>0</v>
      </c>
      <c r="AB168" s="175">
        <f>IFERROR(VLOOKUP(G168,Surp2!$B$1:$C$161,2,0),0)</f>
        <v>0</v>
      </c>
      <c r="AC168" s="175">
        <f>IFERROR(VLOOKUP(I168,Surp3!$B$1:$C$161,2,0),0)</f>
        <v>0</v>
      </c>
      <c r="AD168" s="175">
        <f>IFERROR(VLOOKUP(K168,Surp4!$B$1:$C$161,2,0),0)</f>
        <v>0</v>
      </c>
      <c r="AE168" s="175">
        <f>IFERROR(VLOOKUP(M168,Surp5!$B$1:$C$161,2,0),0)</f>
        <v>0</v>
      </c>
      <c r="AF168" s="175">
        <f>IFERROR(VLOOKUP(O168,Surp6!$B$1:$C$161,2,0),0)</f>
        <v>0</v>
      </c>
      <c r="AG168" s="175">
        <f>IFERROR(VLOOKUP(Q168,Surp7!$B$1:$C$161,2,0),0)</f>
        <v>0</v>
      </c>
      <c r="AH168" s="175">
        <f>IFERROR(VLOOKUP(S168,Surp8!$B$1:$C$161,2,0),0)</f>
        <v>0</v>
      </c>
      <c r="AI168" s="175">
        <f>IFERROR(VLOOKUP(U168,Surp9!$B$1:$C$161,2,0),0)</f>
        <v>0</v>
      </c>
      <c r="AJ168" s="175">
        <f>IFERROR(VLOOKUP(W168,Surp10!$B$1:$C$161,2,0),0)</f>
        <v>0</v>
      </c>
      <c r="AK168" s="175">
        <f>IFERROR(VLOOKUP(Y168,Surp11!$B$1:$C$161,2,0),0)</f>
        <v>0</v>
      </c>
    </row>
    <row r="169" ht="15.75" customHeight="1">
      <c r="A169" s="172">
        <v>168.0</v>
      </c>
      <c r="B169" s="6" t="s">
        <v>264</v>
      </c>
      <c r="C169" s="136">
        <f t="shared" si="1"/>
        <v>0</v>
      </c>
      <c r="D169" s="173"/>
      <c r="E169" s="174">
        <f>IFERROR(VLOOKUP($B169,Surp1!$A$1:$B$161,2,0),0)</f>
        <v>0</v>
      </c>
      <c r="F169" s="175">
        <f>IFERROR(VLOOKUP(E169,Surp1!$B$1:$C$161,2,0),0)</f>
        <v>0</v>
      </c>
      <c r="G169" s="174">
        <f>IFERROR(VLOOKUP($B169,Surp2!$A$1:$B$161,2,0),0)</f>
        <v>0</v>
      </c>
      <c r="H169" s="175">
        <f>IFERROR(VLOOKUP(G169,Surp2!$B$1:$C$161,2,0),0)</f>
        <v>0</v>
      </c>
      <c r="I169" s="174">
        <f>IFERROR(VLOOKUP($B169,Surp3!$A$1:$B$161,2,0),0)</f>
        <v>0</v>
      </c>
      <c r="J169" s="175">
        <f>IFERROR(VLOOKUP(I169,Surp3!$B$1:$C$161,2,0),0)</f>
        <v>0</v>
      </c>
      <c r="K169" s="174">
        <f>IFERROR(VLOOKUP($B169,Surp4!$A$1:$B$161,2,0),0)</f>
        <v>0</v>
      </c>
      <c r="L169" s="175">
        <f>IFERROR(VLOOKUP(K169,Surp4!$B$1:$C$161,2,0),0)</f>
        <v>0</v>
      </c>
      <c r="M169" s="174">
        <f>IFERROR(VLOOKUP($B169,Surp5!$A$1:$B$161,2,0),0)</f>
        <v>0</v>
      </c>
      <c r="N169" s="175">
        <f>IFERROR(VLOOKUP(M169,Surp5!$B$1:$C$161,2,0),0)</f>
        <v>0</v>
      </c>
      <c r="O169" s="174">
        <f>IFERROR(VLOOKUP($B169,Surp6!$A$1:$B$161,2,0),0)</f>
        <v>0</v>
      </c>
      <c r="P169" s="175">
        <f>IFERROR(VLOOKUP(O169,Surp6!$B$1:$C$161,2,0),0)</f>
        <v>0</v>
      </c>
      <c r="Q169" s="174">
        <f>IFERROR(VLOOKUP($B169,Surp7!$A$1:$B$161,2,0),0)</f>
        <v>0</v>
      </c>
      <c r="R169" s="175">
        <f>IFERROR(VLOOKUP(Q169,Surp7!$B$1:$C$161,2,0),0)</f>
        <v>0</v>
      </c>
      <c r="S169" s="174">
        <f>IFERROR(VLOOKUP($B169,Surp8!$A$1:$B$161,2,0),0)</f>
        <v>0</v>
      </c>
      <c r="T169" s="175">
        <f>IFERROR(VLOOKUP(S169,Surp8!$B$1:$C$161,2,0),0)</f>
        <v>0</v>
      </c>
      <c r="U169" s="174">
        <f>IFERROR(VLOOKUP($B169,Surp9!$A$1:$B$161,2,0),0)</f>
        <v>0</v>
      </c>
      <c r="V169" s="175">
        <f>IFERROR(VLOOKUP(U169,Surp9!$B$1:$C$161,2,0),0)</f>
        <v>0</v>
      </c>
      <c r="W169" s="174">
        <f>IFERROR(VLOOKUP($B169,Surp10!$A$1:$B$161,2,0),0)</f>
        <v>0</v>
      </c>
      <c r="X169" s="175">
        <f>IFERROR(VLOOKUP(W169,Surp10!$B$1:$C$161,2,0),0)</f>
        <v>0</v>
      </c>
      <c r="Y169" s="174">
        <f>IFERROR(VLOOKUP($B169,Surp11!$A$1:$B$161,2,0),0)</f>
        <v>0</v>
      </c>
      <c r="Z169" s="175">
        <f>IFERROR(VLOOKUP(Y169,Surp11!$B$1:$C$161,2,0),0)</f>
        <v>0</v>
      </c>
      <c r="AA169" s="175">
        <f>IFERROR(VLOOKUP(E169,Surp1!$B$1:$C$161,2,0),0)</f>
        <v>0</v>
      </c>
      <c r="AB169" s="175">
        <f>IFERROR(VLOOKUP(G169,Surp2!$B$1:$C$161,2,0),0)</f>
        <v>0</v>
      </c>
      <c r="AC169" s="175">
        <f>IFERROR(VLOOKUP(I169,Surp3!$B$1:$C$161,2,0),0)</f>
        <v>0</v>
      </c>
      <c r="AD169" s="175">
        <f>IFERROR(VLOOKUP(K169,Surp4!$B$1:$C$161,2,0),0)</f>
        <v>0</v>
      </c>
      <c r="AE169" s="175">
        <f>IFERROR(VLOOKUP(M169,Surp5!$B$1:$C$161,2,0),0)</f>
        <v>0</v>
      </c>
      <c r="AF169" s="175">
        <f>IFERROR(VLOOKUP(O169,Surp6!$B$1:$C$161,2,0),0)</f>
        <v>0</v>
      </c>
      <c r="AG169" s="175">
        <f>IFERROR(VLOOKUP(Q169,Surp7!$B$1:$C$161,2,0),0)</f>
        <v>0</v>
      </c>
      <c r="AH169" s="175">
        <f>IFERROR(VLOOKUP(S169,Surp8!$B$1:$C$161,2,0),0)</f>
        <v>0</v>
      </c>
      <c r="AI169" s="175">
        <f>IFERROR(VLOOKUP(U169,Surp9!$B$1:$C$161,2,0),0)</f>
        <v>0</v>
      </c>
      <c r="AJ169" s="175">
        <f>IFERROR(VLOOKUP(W169,Surp10!$B$1:$C$161,2,0),0)</f>
        <v>0</v>
      </c>
      <c r="AK169" s="175">
        <f>IFERROR(VLOOKUP(Y169,Surp11!$B$1:$C$161,2,0),0)</f>
        <v>0</v>
      </c>
    </row>
    <row r="170" ht="15.75" customHeight="1">
      <c r="A170" s="171">
        <v>169.0</v>
      </c>
      <c r="B170" s="6" t="s">
        <v>265</v>
      </c>
      <c r="C170" s="136">
        <f t="shared" si="1"/>
        <v>0</v>
      </c>
      <c r="D170" s="93"/>
      <c r="E170" s="94">
        <f>IFERROR(VLOOKUP($B170,Surp1!$A$1:$B$161,2,0),0)</f>
        <v>0</v>
      </c>
      <c r="F170" s="95">
        <f>IFERROR(VLOOKUP(E170,Surp1!$B$1:$C$161,2,0),0)</f>
        <v>0</v>
      </c>
      <c r="G170" s="94">
        <f>IFERROR(VLOOKUP($B170,Surp2!$A$1:$B$161,2,0),0)</f>
        <v>0</v>
      </c>
      <c r="H170" s="95">
        <f>IFERROR(VLOOKUP(G170,Surp2!$B$1:$C$161,2,0),0)</f>
        <v>0</v>
      </c>
      <c r="I170" s="94">
        <f>IFERROR(VLOOKUP($B170,Surp3!$A$1:$B$161,2,0),0)</f>
        <v>0</v>
      </c>
      <c r="J170" s="95">
        <f>IFERROR(VLOOKUP(I170,Surp3!$B$1:$C$161,2,0),0)</f>
        <v>0</v>
      </c>
      <c r="K170" s="94">
        <f>IFERROR(VLOOKUP($B170,Surp4!$A$1:$B$161,2,0),0)</f>
        <v>0</v>
      </c>
      <c r="L170" s="95">
        <f>IFERROR(VLOOKUP(K170,Surp4!$B$1:$C$161,2,0),0)</f>
        <v>0</v>
      </c>
      <c r="M170" s="94">
        <f>IFERROR(VLOOKUP($B170,Surp5!$A$1:$B$161,2,0),0)</f>
        <v>0</v>
      </c>
      <c r="N170" s="95">
        <f>IFERROR(VLOOKUP(M170,Surp5!$B$1:$C$161,2,0),0)</f>
        <v>0</v>
      </c>
      <c r="O170" s="94">
        <f>IFERROR(VLOOKUP($B170,Surp6!$A$1:$B$161,2,0),0)</f>
        <v>0</v>
      </c>
      <c r="P170" s="95">
        <f>IFERROR(VLOOKUP(O170,Surp6!$B$1:$C$161,2,0),0)</f>
        <v>0</v>
      </c>
      <c r="Q170" s="94">
        <f>IFERROR(VLOOKUP($B170,Surp7!$A$1:$B$161,2,0),0)</f>
        <v>0</v>
      </c>
      <c r="R170" s="95">
        <f>IFERROR(VLOOKUP(Q170,Surp7!$B$1:$C$161,2,0),0)</f>
        <v>0</v>
      </c>
      <c r="S170" s="94">
        <f>IFERROR(VLOOKUP($B170,Surp8!$A$1:$B$161,2,0),0)</f>
        <v>0</v>
      </c>
      <c r="T170" s="95">
        <f>IFERROR(VLOOKUP(S170,Surp8!$B$1:$C$161,2,0),0)</f>
        <v>0</v>
      </c>
      <c r="U170" s="94">
        <f>IFERROR(VLOOKUP($B170,Surp9!$A$1:$B$161,2,0),0)</f>
        <v>0</v>
      </c>
      <c r="V170" s="95">
        <f>IFERROR(VLOOKUP(U170,Surp9!$B$1:$C$161,2,0),0)</f>
        <v>0</v>
      </c>
      <c r="W170" s="94">
        <f>IFERROR(VLOOKUP($B170,Surp10!$A$1:$B$161,2,0),0)</f>
        <v>0</v>
      </c>
      <c r="X170" s="95">
        <f>IFERROR(VLOOKUP(W170,Surp10!$B$1:$C$161,2,0),0)</f>
        <v>0</v>
      </c>
      <c r="Y170" s="94">
        <f>IFERROR(VLOOKUP($B170,Surp11!$A$1:$B$161,2,0),0)</f>
        <v>0</v>
      </c>
      <c r="Z170" s="95">
        <f>IFERROR(VLOOKUP(Y170,Surp11!$B$1:$C$161,2,0),0)</f>
        <v>0</v>
      </c>
      <c r="AA170" s="95">
        <f>IFERROR(VLOOKUP(E170,Surp1!$B$1:$C$161,2,0),0)</f>
        <v>0</v>
      </c>
      <c r="AB170" s="95">
        <f>IFERROR(VLOOKUP(G170,Surp2!$B$1:$C$161,2,0),0)</f>
        <v>0</v>
      </c>
      <c r="AC170" s="95">
        <f>IFERROR(VLOOKUP(I170,Surp3!$B$1:$C$161,2,0),0)</f>
        <v>0</v>
      </c>
      <c r="AD170" s="95">
        <f>IFERROR(VLOOKUP(K170,Surp4!$B$1:$C$161,2,0),0)</f>
        <v>0</v>
      </c>
      <c r="AE170" s="95">
        <f>IFERROR(VLOOKUP(M170,Surp5!$B$1:$C$161,2,0),0)</f>
        <v>0</v>
      </c>
      <c r="AF170" s="95">
        <f>IFERROR(VLOOKUP(O170,Surp6!$B$1:$C$161,2,0),0)</f>
        <v>0</v>
      </c>
      <c r="AG170" s="95">
        <f>IFERROR(VLOOKUP(Q170,Surp7!$B$1:$C$161,2,0),0)</f>
        <v>0</v>
      </c>
      <c r="AH170" s="95">
        <f>IFERROR(VLOOKUP(S170,Surp8!$B$1:$C$161,2,0),0)</f>
        <v>0</v>
      </c>
      <c r="AI170" s="95">
        <f>IFERROR(VLOOKUP(U170,Surp9!$B$1:$C$161,2,0),0)</f>
        <v>0</v>
      </c>
      <c r="AJ170" s="95">
        <f>IFERROR(VLOOKUP(W170,Surp10!$B$1:$C$161,2,0),0)</f>
        <v>0</v>
      </c>
      <c r="AK170" s="95">
        <f>IFERROR(VLOOKUP(Y170,Surp11!$B$1:$C$161,2,0),0)</f>
        <v>0</v>
      </c>
    </row>
    <row r="171" ht="15.75" customHeight="1">
      <c r="A171" s="172">
        <v>170.0</v>
      </c>
      <c r="B171" s="6" t="s">
        <v>266</v>
      </c>
      <c r="C171" s="136">
        <f t="shared" si="1"/>
        <v>0</v>
      </c>
      <c r="D171" s="93"/>
      <c r="E171" s="94">
        <f>IFERROR(VLOOKUP($B171,Surp1!$A$1:$B$161,2,0),0)</f>
        <v>0</v>
      </c>
      <c r="F171" s="95">
        <f>IFERROR(VLOOKUP(E171,Surp1!$B$1:$C$161,2,0),0)</f>
        <v>0</v>
      </c>
      <c r="G171" s="94">
        <f>IFERROR(VLOOKUP($B171,Surp2!$A$1:$B$161,2,0),0)</f>
        <v>0</v>
      </c>
      <c r="H171" s="95">
        <f>IFERROR(VLOOKUP(G171,Surp2!$B$1:$C$161,2,0),0)</f>
        <v>0</v>
      </c>
      <c r="I171" s="94">
        <f>IFERROR(VLOOKUP($B171,Surp3!$A$1:$B$161,2,0),0)</f>
        <v>0</v>
      </c>
      <c r="J171" s="95">
        <f>IFERROR(VLOOKUP(I171,Surp3!$B$1:$C$161,2,0),0)</f>
        <v>0</v>
      </c>
      <c r="K171" s="94">
        <f>IFERROR(VLOOKUP($B171,Surp4!$A$1:$B$161,2,0),0)</f>
        <v>0</v>
      </c>
      <c r="L171" s="95">
        <f>IFERROR(VLOOKUP(K171,Surp4!$B$1:$C$161,2,0),0)</f>
        <v>0</v>
      </c>
      <c r="M171" s="94">
        <f>IFERROR(VLOOKUP($B171,Surp5!$A$1:$B$161,2,0),0)</f>
        <v>0</v>
      </c>
      <c r="N171" s="95">
        <f>IFERROR(VLOOKUP(M171,Surp5!$B$1:$C$161,2,0),0)</f>
        <v>0</v>
      </c>
      <c r="O171" s="94">
        <f>IFERROR(VLOOKUP($B171,Surp6!$A$1:$B$161,2,0),0)</f>
        <v>0</v>
      </c>
      <c r="P171" s="95">
        <f>IFERROR(VLOOKUP(O171,Surp6!$B$1:$C$161,2,0),0)</f>
        <v>0</v>
      </c>
      <c r="Q171" s="94">
        <f>IFERROR(VLOOKUP($B171,Surp7!$A$1:$B$161,2,0),0)</f>
        <v>0</v>
      </c>
      <c r="R171" s="95">
        <f>IFERROR(VLOOKUP(Q171,Surp7!$B$1:$C$161,2,0),0)</f>
        <v>0</v>
      </c>
      <c r="S171" s="94">
        <f>IFERROR(VLOOKUP($B171,Surp8!$A$1:$B$161,2,0),0)</f>
        <v>0</v>
      </c>
      <c r="T171" s="95">
        <f>IFERROR(VLOOKUP(S171,Surp8!$B$1:$C$161,2,0),0)</f>
        <v>0</v>
      </c>
      <c r="U171" s="94">
        <f>IFERROR(VLOOKUP($B171,Surp9!$A$1:$B$161,2,0),0)</f>
        <v>0</v>
      </c>
      <c r="V171" s="95">
        <f>IFERROR(VLOOKUP(U171,Surp9!$B$1:$C$161,2,0),0)</f>
        <v>0</v>
      </c>
      <c r="W171" s="94">
        <f>IFERROR(VLOOKUP($B171,Surp10!$A$1:$B$161,2,0),0)</f>
        <v>0</v>
      </c>
      <c r="X171" s="95">
        <f>IFERROR(VLOOKUP(W171,Surp10!$B$1:$C$161,2,0),0)</f>
        <v>0</v>
      </c>
      <c r="Y171" s="94">
        <f>IFERROR(VLOOKUP($B171,Surp11!$A$1:$B$161,2,0),0)</f>
        <v>0</v>
      </c>
      <c r="Z171" s="95">
        <f>IFERROR(VLOOKUP(Y171,Surp11!$B$1:$C$161,2,0),0)</f>
        <v>0</v>
      </c>
      <c r="AA171" s="95">
        <f>IFERROR(VLOOKUP(E171,Surp1!$B$1:$C$161,2,0),0)</f>
        <v>0</v>
      </c>
      <c r="AB171" s="95">
        <f>IFERROR(VLOOKUP(G171,Surp2!$B$1:$C$161,2,0),0)</f>
        <v>0</v>
      </c>
      <c r="AC171" s="95">
        <f>IFERROR(VLOOKUP(I171,Surp3!$B$1:$C$161,2,0),0)</f>
        <v>0</v>
      </c>
      <c r="AD171" s="95">
        <f>IFERROR(VLOOKUP(K171,Surp4!$B$1:$C$161,2,0),0)</f>
        <v>0</v>
      </c>
      <c r="AE171" s="95">
        <f>IFERROR(VLOOKUP(M171,Surp5!$B$1:$C$161,2,0),0)</f>
        <v>0</v>
      </c>
      <c r="AF171" s="95">
        <f>IFERROR(VLOOKUP(O171,Surp6!$B$1:$C$161,2,0),0)</f>
        <v>0</v>
      </c>
      <c r="AG171" s="95">
        <f>IFERROR(VLOOKUP(Q171,Surp7!$B$1:$C$161,2,0),0)</f>
        <v>0</v>
      </c>
      <c r="AH171" s="95">
        <f>IFERROR(VLOOKUP(S171,Surp8!$B$1:$C$161,2,0),0)</f>
        <v>0</v>
      </c>
      <c r="AI171" s="95">
        <f>IFERROR(VLOOKUP(U171,Surp9!$B$1:$C$161,2,0),0)</f>
        <v>0</v>
      </c>
      <c r="AJ171" s="95">
        <f>IFERROR(VLOOKUP(W171,Surp10!$B$1:$C$161,2,0),0)</f>
        <v>0</v>
      </c>
      <c r="AK171" s="95">
        <f>IFERROR(VLOOKUP(Y171,Surp11!$B$1:$C$161,2,0),0)</f>
        <v>0</v>
      </c>
    </row>
    <row r="172" ht="15.75" customHeight="1">
      <c r="A172" s="171">
        <v>171.0</v>
      </c>
      <c r="B172" s="6" t="s">
        <v>101</v>
      </c>
      <c r="C172" s="136">
        <f t="shared" si="1"/>
        <v>0</v>
      </c>
      <c r="D172" s="93"/>
      <c r="E172" s="94">
        <f>IFERROR(VLOOKUP($B172,Surp1!$A$1:$B$161,2,0),0)</f>
        <v>0</v>
      </c>
      <c r="F172" s="95">
        <f>IFERROR(VLOOKUP(E172,Surp1!$B$1:$C$161,2,0),0)</f>
        <v>0</v>
      </c>
      <c r="G172" s="94">
        <f>IFERROR(VLOOKUP($B172,Surp2!$A$1:$B$161,2,0),0)</f>
        <v>0</v>
      </c>
      <c r="H172" s="95">
        <f>IFERROR(VLOOKUP(G172,Surp2!$B$1:$C$161,2,0),0)</f>
        <v>0</v>
      </c>
      <c r="I172" s="94">
        <f>IFERROR(VLOOKUP($B172,Surp3!$A$1:$B$161,2,0),0)</f>
        <v>0</v>
      </c>
      <c r="J172" s="95">
        <f>IFERROR(VLOOKUP(I172,Surp3!$B$1:$C$161,2,0),0)</f>
        <v>0</v>
      </c>
      <c r="K172" s="94">
        <f>IFERROR(VLOOKUP($B172,Surp4!$A$1:$B$161,2,0),0)</f>
        <v>0</v>
      </c>
      <c r="L172" s="95">
        <f>IFERROR(VLOOKUP(K172,Surp4!$B$1:$C$161,2,0),0)</f>
        <v>0</v>
      </c>
      <c r="M172" s="94">
        <f>IFERROR(VLOOKUP($B172,Surp5!$A$1:$B$161,2,0),0)</f>
        <v>0</v>
      </c>
      <c r="N172" s="95">
        <f>IFERROR(VLOOKUP(M172,Surp5!$B$1:$C$161,2,0),0)</f>
        <v>0</v>
      </c>
      <c r="O172" s="94">
        <f>IFERROR(VLOOKUP($B172,Surp6!$A$1:$B$161,2,0),0)</f>
        <v>0</v>
      </c>
      <c r="P172" s="95">
        <f>IFERROR(VLOOKUP(O172,Surp6!$B$1:$C$161,2,0),0)</f>
        <v>0</v>
      </c>
      <c r="Q172" s="94">
        <f>IFERROR(VLOOKUP($B172,Surp7!$A$1:$B$161,2,0),0)</f>
        <v>0</v>
      </c>
      <c r="R172" s="95">
        <f>IFERROR(VLOOKUP(Q172,Surp7!$B$1:$C$161,2,0),0)</f>
        <v>0</v>
      </c>
      <c r="S172" s="94">
        <f>IFERROR(VLOOKUP($B172,Surp8!$A$1:$B$161,2,0),0)</f>
        <v>0</v>
      </c>
      <c r="T172" s="95">
        <f>IFERROR(VLOOKUP(S172,Surp8!$B$1:$C$161,2,0),0)</f>
        <v>0</v>
      </c>
      <c r="U172" s="94">
        <f>IFERROR(VLOOKUP($B172,Surp9!$A$1:$B$161,2,0),0)</f>
        <v>0</v>
      </c>
      <c r="V172" s="95">
        <f>IFERROR(VLOOKUP(U172,Surp9!$B$1:$C$161,2,0),0)</f>
        <v>0</v>
      </c>
      <c r="W172" s="94">
        <f>IFERROR(VLOOKUP($B172,Surp10!$A$1:$B$161,2,0),0)</f>
        <v>0</v>
      </c>
      <c r="X172" s="95">
        <f>IFERROR(VLOOKUP(W172,Surp10!$B$1:$C$161,2,0),0)</f>
        <v>0</v>
      </c>
      <c r="Y172" s="94">
        <f>IFERROR(VLOOKUP($B172,Surp11!$A$1:$B$161,2,0),0)</f>
        <v>0</v>
      </c>
      <c r="Z172" s="95">
        <f>IFERROR(VLOOKUP(Y172,Surp11!$B$1:$C$161,2,0),0)</f>
        <v>0</v>
      </c>
      <c r="AA172" s="95">
        <f>IFERROR(VLOOKUP(E172,Surp1!$B$1:$C$161,2,0),0)</f>
        <v>0</v>
      </c>
      <c r="AB172" s="95">
        <f>IFERROR(VLOOKUP(G172,Surp2!$B$1:$C$161,2,0),0)</f>
        <v>0</v>
      </c>
      <c r="AC172" s="95">
        <f>IFERROR(VLOOKUP(I172,Surp3!$B$1:$C$161,2,0),0)</f>
        <v>0</v>
      </c>
      <c r="AD172" s="95">
        <f>IFERROR(VLOOKUP(K172,Surp4!$B$1:$C$161,2,0),0)</f>
        <v>0</v>
      </c>
      <c r="AE172" s="95">
        <f>IFERROR(VLOOKUP(M172,Surp5!$B$1:$C$161,2,0),0)</f>
        <v>0</v>
      </c>
      <c r="AF172" s="95">
        <f>IFERROR(VLOOKUP(O172,Surp6!$B$1:$C$161,2,0),0)</f>
        <v>0</v>
      </c>
      <c r="AG172" s="95">
        <f>IFERROR(VLOOKUP(Q172,Surp7!$B$1:$C$161,2,0),0)</f>
        <v>0</v>
      </c>
      <c r="AH172" s="95">
        <f>IFERROR(VLOOKUP(S172,Surp8!$B$1:$C$161,2,0),0)</f>
        <v>0</v>
      </c>
      <c r="AI172" s="95">
        <f>IFERROR(VLOOKUP(U172,Surp9!$B$1:$C$161,2,0),0)</f>
        <v>0</v>
      </c>
      <c r="AJ172" s="95">
        <f>IFERROR(VLOOKUP(W172,Surp10!$B$1:$C$161,2,0),0)</f>
        <v>0</v>
      </c>
      <c r="AK172" s="95">
        <f>IFERROR(VLOOKUP(Y172,Surp11!$B$1:$C$161,2,0),0)</f>
        <v>0</v>
      </c>
    </row>
    <row r="173" ht="15.75" customHeight="1">
      <c r="A173" s="172">
        <v>172.0</v>
      </c>
      <c r="B173" s="6" t="s">
        <v>83</v>
      </c>
      <c r="C173" s="136">
        <f t="shared" si="1"/>
        <v>0</v>
      </c>
      <c r="D173" s="173"/>
      <c r="E173" s="174">
        <f>IFERROR(VLOOKUP($B173,Surp1!$A$1:$B$161,2,0),0)</f>
        <v>0</v>
      </c>
      <c r="F173" s="175">
        <f>IFERROR(VLOOKUP(E173,Surp1!$B$1:$C$161,2,0),0)</f>
        <v>0</v>
      </c>
      <c r="G173" s="174">
        <f>IFERROR(VLOOKUP($B173,Surp2!$A$1:$B$161,2,0),0)</f>
        <v>0</v>
      </c>
      <c r="H173" s="175">
        <f>IFERROR(VLOOKUP(G173,Surp2!$B$1:$C$161,2,0),0)</f>
        <v>0</v>
      </c>
      <c r="I173" s="174">
        <f>IFERROR(VLOOKUP($B173,Surp3!$A$1:$B$161,2,0),0)</f>
        <v>0</v>
      </c>
      <c r="J173" s="175">
        <f>IFERROR(VLOOKUP(I173,Surp3!$B$1:$C$161,2,0),0)</f>
        <v>0</v>
      </c>
      <c r="K173" s="174">
        <f>IFERROR(VLOOKUP($B173,Surp4!$A$1:$B$161,2,0),0)</f>
        <v>0</v>
      </c>
      <c r="L173" s="175">
        <f>IFERROR(VLOOKUP(K173,Surp4!$B$1:$C$161,2,0),0)</f>
        <v>0</v>
      </c>
      <c r="M173" s="174">
        <f>IFERROR(VLOOKUP($B173,Surp5!$A$1:$B$161,2,0),0)</f>
        <v>0</v>
      </c>
      <c r="N173" s="175">
        <f>IFERROR(VLOOKUP(M173,Surp5!$B$1:$C$161,2,0),0)</f>
        <v>0</v>
      </c>
      <c r="O173" s="174">
        <f>IFERROR(VLOOKUP($B173,Surp6!$A$1:$B$161,2,0),0)</f>
        <v>0</v>
      </c>
      <c r="P173" s="175">
        <f>IFERROR(VLOOKUP(O173,Surp6!$B$1:$C$161,2,0),0)</f>
        <v>0</v>
      </c>
      <c r="Q173" s="174">
        <f>IFERROR(VLOOKUP($B173,Surp7!$A$1:$B$161,2,0),0)</f>
        <v>0</v>
      </c>
      <c r="R173" s="175">
        <f>IFERROR(VLOOKUP(Q173,Surp7!$B$1:$C$161,2,0),0)</f>
        <v>0</v>
      </c>
      <c r="S173" s="174">
        <f>IFERROR(VLOOKUP($B173,Surp8!$A$1:$B$161,2,0),0)</f>
        <v>0</v>
      </c>
      <c r="T173" s="175">
        <f>IFERROR(VLOOKUP(S173,Surp8!$B$1:$C$161,2,0),0)</f>
        <v>0</v>
      </c>
      <c r="U173" s="174">
        <f>IFERROR(VLOOKUP($B173,Surp9!$A$1:$B$161,2,0),0)</f>
        <v>0</v>
      </c>
      <c r="V173" s="175">
        <f>IFERROR(VLOOKUP(U173,Surp9!$B$1:$C$161,2,0),0)</f>
        <v>0</v>
      </c>
      <c r="W173" s="174">
        <f>IFERROR(VLOOKUP($B173,Surp10!$A$1:$B$161,2,0),0)</f>
        <v>0</v>
      </c>
      <c r="X173" s="175">
        <f>IFERROR(VLOOKUP(W173,Surp10!$B$1:$C$161,2,0),0)</f>
        <v>0</v>
      </c>
      <c r="Y173" s="174">
        <f>IFERROR(VLOOKUP($B173,Surp11!$A$1:$B$161,2,0),0)</f>
        <v>0</v>
      </c>
      <c r="Z173" s="175">
        <f>IFERROR(VLOOKUP(Y173,Surp11!$B$1:$C$161,2,0),0)</f>
        <v>0</v>
      </c>
      <c r="AA173" s="175">
        <f>IFERROR(VLOOKUP(E173,Surp1!$B$1:$C$161,2,0),0)</f>
        <v>0</v>
      </c>
      <c r="AB173" s="175">
        <f>IFERROR(VLOOKUP(G173,Surp2!$B$1:$C$161,2,0),0)</f>
        <v>0</v>
      </c>
      <c r="AC173" s="175">
        <f>IFERROR(VLOOKUP(I173,Surp3!$B$1:$C$161,2,0),0)</f>
        <v>0</v>
      </c>
      <c r="AD173" s="175">
        <f>IFERROR(VLOOKUP(K173,Surp4!$B$1:$C$161,2,0),0)</f>
        <v>0</v>
      </c>
      <c r="AE173" s="175">
        <f>IFERROR(VLOOKUP(M173,Surp5!$B$1:$C$161,2,0),0)</f>
        <v>0</v>
      </c>
      <c r="AF173" s="175">
        <f>IFERROR(VLOOKUP(O173,Surp6!$B$1:$C$161,2,0),0)</f>
        <v>0</v>
      </c>
      <c r="AG173" s="175">
        <f>IFERROR(VLOOKUP(Q173,Surp7!$B$1:$C$161,2,0),0)</f>
        <v>0</v>
      </c>
      <c r="AH173" s="175">
        <f>IFERROR(VLOOKUP(S173,Surp8!$B$1:$C$161,2,0),0)</f>
        <v>0</v>
      </c>
      <c r="AI173" s="175">
        <f>IFERROR(VLOOKUP(U173,Surp9!$B$1:$C$161,2,0),0)</f>
        <v>0</v>
      </c>
      <c r="AJ173" s="175">
        <f>IFERROR(VLOOKUP(W173,Surp10!$B$1:$C$161,2,0),0)</f>
        <v>0</v>
      </c>
      <c r="AK173" s="175">
        <f>IFERROR(VLOOKUP(Y173,Surp11!$B$1:$C$161,2,0),0)</f>
        <v>0</v>
      </c>
    </row>
    <row r="174" ht="15.75" customHeight="1">
      <c r="A174" s="171">
        <v>173.0</v>
      </c>
      <c r="B174" s="6" t="s">
        <v>267</v>
      </c>
      <c r="C174" s="136">
        <f t="shared" si="1"/>
        <v>0</v>
      </c>
      <c r="D174" s="93"/>
      <c r="E174" s="94">
        <f>IFERROR(VLOOKUP($B174,Surp1!$A$1:$B$161,2,0),0)</f>
        <v>0</v>
      </c>
      <c r="F174" s="95">
        <f>IFERROR(VLOOKUP(E174,Surp1!$B$1:$C$161,2,0),0)</f>
        <v>0</v>
      </c>
      <c r="G174" s="94">
        <f>IFERROR(VLOOKUP($B174,Surp2!$A$1:$B$161,2,0),0)</f>
        <v>0</v>
      </c>
      <c r="H174" s="95">
        <f>IFERROR(VLOOKUP(G174,Surp2!$B$1:$C$161,2,0),0)</f>
        <v>0</v>
      </c>
      <c r="I174" s="94">
        <f>IFERROR(VLOOKUP($B174,Surp3!$A$1:$B$161,2,0),0)</f>
        <v>0</v>
      </c>
      <c r="J174" s="95">
        <f>IFERROR(VLOOKUP(I174,Surp3!$B$1:$C$161,2,0),0)</f>
        <v>0</v>
      </c>
      <c r="K174" s="94">
        <f>IFERROR(VLOOKUP($B174,Surp4!$A$1:$B$161,2,0),0)</f>
        <v>0</v>
      </c>
      <c r="L174" s="95">
        <f>IFERROR(VLOOKUP(K174,Surp4!$B$1:$C$161,2,0),0)</f>
        <v>0</v>
      </c>
      <c r="M174" s="94">
        <f>IFERROR(VLOOKUP($B174,Surp5!$A$1:$B$161,2,0),0)</f>
        <v>0</v>
      </c>
      <c r="N174" s="95">
        <f>IFERROR(VLOOKUP(M174,Surp5!$B$1:$C$161,2,0),0)</f>
        <v>0</v>
      </c>
      <c r="O174" s="94">
        <f>IFERROR(VLOOKUP($B174,Surp6!$A$1:$B$161,2,0),0)</f>
        <v>0</v>
      </c>
      <c r="P174" s="95">
        <f>IFERROR(VLOOKUP(O174,Surp6!$B$1:$C$161,2,0),0)</f>
        <v>0</v>
      </c>
      <c r="Q174" s="94">
        <f>IFERROR(VLOOKUP($B174,Surp7!$A$1:$B$161,2,0),0)</f>
        <v>0</v>
      </c>
      <c r="R174" s="95">
        <f>IFERROR(VLOOKUP(Q174,Surp7!$B$1:$C$161,2,0),0)</f>
        <v>0</v>
      </c>
      <c r="S174" s="94">
        <f>IFERROR(VLOOKUP($B174,Surp8!$A$1:$B$161,2,0),0)</f>
        <v>0</v>
      </c>
      <c r="T174" s="95">
        <f>IFERROR(VLOOKUP(S174,Surp8!$B$1:$C$161,2,0),0)</f>
        <v>0</v>
      </c>
      <c r="U174" s="94">
        <f>IFERROR(VLOOKUP($B174,Surp9!$A$1:$B$161,2,0),0)</f>
        <v>0</v>
      </c>
      <c r="V174" s="95">
        <f>IFERROR(VLOOKUP(U174,Surp9!$B$1:$C$161,2,0),0)</f>
        <v>0</v>
      </c>
      <c r="W174" s="94">
        <f>IFERROR(VLOOKUP($B174,Surp10!$A$1:$B$161,2,0),0)</f>
        <v>0</v>
      </c>
      <c r="X174" s="95">
        <f>IFERROR(VLOOKUP(W174,Surp10!$B$1:$C$161,2,0),0)</f>
        <v>0</v>
      </c>
      <c r="Y174" s="94">
        <f>IFERROR(VLOOKUP($B174,Surp11!$A$1:$B$161,2,0),0)</f>
        <v>0</v>
      </c>
      <c r="Z174" s="95">
        <f>IFERROR(VLOOKUP(Y174,Surp11!$B$1:$C$161,2,0),0)</f>
        <v>0</v>
      </c>
      <c r="AA174" s="95">
        <f>IFERROR(VLOOKUP(E174,Surp1!$B$1:$C$161,2,0),0)</f>
        <v>0</v>
      </c>
      <c r="AB174" s="95">
        <f>IFERROR(VLOOKUP(G174,Surp2!$B$1:$C$161,2,0),0)</f>
        <v>0</v>
      </c>
      <c r="AC174" s="95">
        <f>IFERROR(VLOOKUP(I174,Surp3!$B$1:$C$161,2,0),0)</f>
        <v>0</v>
      </c>
      <c r="AD174" s="95">
        <f>IFERROR(VLOOKUP(K174,Surp4!$B$1:$C$161,2,0),0)</f>
        <v>0</v>
      </c>
      <c r="AE174" s="95">
        <f>IFERROR(VLOOKUP(M174,Surp5!$B$1:$C$161,2,0),0)</f>
        <v>0</v>
      </c>
      <c r="AF174" s="95">
        <f>IFERROR(VLOOKUP(O174,Surp6!$B$1:$C$161,2,0),0)</f>
        <v>0</v>
      </c>
      <c r="AG174" s="95">
        <f>IFERROR(VLOOKUP(Q174,Surp7!$B$1:$C$161,2,0),0)</f>
        <v>0</v>
      </c>
      <c r="AH174" s="95">
        <f>IFERROR(VLOOKUP(S174,Surp8!$B$1:$C$161,2,0),0)</f>
        <v>0</v>
      </c>
      <c r="AI174" s="95">
        <f>IFERROR(VLOOKUP(U174,Surp9!$B$1:$C$161,2,0),0)</f>
        <v>0</v>
      </c>
      <c r="AJ174" s="95">
        <f>IFERROR(VLOOKUP(W174,Surp10!$B$1:$C$161,2,0),0)</f>
        <v>0</v>
      </c>
      <c r="AK174" s="95">
        <f>IFERROR(VLOOKUP(Y174,Surp11!$B$1:$C$161,2,0),0)</f>
        <v>0</v>
      </c>
    </row>
    <row r="175" ht="15.75" customHeight="1">
      <c r="A175" s="172">
        <v>174.0</v>
      </c>
      <c r="B175" s="6" t="s">
        <v>268</v>
      </c>
      <c r="C175" s="136">
        <f t="shared" si="1"/>
        <v>0</v>
      </c>
      <c r="D175" s="173"/>
      <c r="E175" s="174">
        <f>IFERROR(VLOOKUP($B175,Surp1!$A$1:$B$161,2,0),0)</f>
        <v>0</v>
      </c>
      <c r="F175" s="175">
        <f>IFERROR(VLOOKUP(E175,Surp1!$B$1:$C$161,2,0),0)</f>
        <v>0</v>
      </c>
      <c r="G175" s="174">
        <f>IFERROR(VLOOKUP($B175,Surp2!$A$1:$B$161,2,0),0)</f>
        <v>0</v>
      </c>
      <c r="H175" s="175">
        <f>IFERROR(VLOOKUP(G175,Surp2!$B$1:$C$161,2,0),0)</f>
        <v>0</v>
      </c>
      <c r="I175" s="174">
        <f>IFERROR(VLOOKUP($B175,Surp3!$A$1:$B$161,2,0),0)</f>
        <v>0</v>
      </c>
      <c r="J175" s="175">
        <f>IFERROR(VLOOKUP(I175,Surp3!$B$1:$C$161,2,0),0)</f>
        <v>0</v>
      </c>
      <c r="K175" s="174">
        <f>IFERROR(VLOOKUP($B175,Surp4!$A$1:$B$161,2,0),0)</f>
        <v>0</v>
      </c>
      <c r="L175" s="175">
        <f>IFERROR(VLOOKUP(K175,Surp4!$B$1:$C$161,2,0),0)</f>
        <v>0</v>
      </c>
      <c r="M175" s="174">
        <f>IFERROR(VLOOKUP($B175,Surp5!$A$1:$B$161,2,0),0)</f>
        <v>0</v>
      </c>
      <c r="N175" s="175">
        <f>IFERROR(VLOOKUP(M175,Surp5!$B$1:$C$161,2,0),0)</f>
        <v>0</v>
      </c>
      <c r="O175" s="174">
        <f>IFERROR(VLOOKUP($B175,Surp6!$A$1:$B$161,2,0),0)</f>
        <v>0</v>
      </c>
      <c r="P175" s="175">
        <f>IFERROR(VLOOKUP(O175,Surp6!$B$1:$C$161,2,0),0)</f>
        <v>0</v>
      </c>
      <c r="Q175" s="174">
        <f>IFERROR(VLOOKUP($B175,Surp7!$A$1:$B$161,2,0),0)</f>
        <v>0</v>
      </c>
      <c r="R175" s="175">
        <f>IFERROR(VLOOKUP(Q175,Surp7!$B$1:$C$161,2,0),0)</f>
        <v>0</v>
      </c>
      <c r="S175" s="174">
        <f>IFERROR(VLOOKUP($B175,Surp8!$A$1:$B$161,2,0),0)</f>
        <v>0</v>
      </c>
      <c r="T175" s="175">
        <f>IFERROR(VLOOKUP(S175,Surp8!$B$1:$C$161,2,0),0)</f>
        <v>0</v>
      </c>
      <c r="U175" s="174">
        <f>IFERROR(VLOOKUP($B175,Surp9!$A$1:$B$161,2,0),0)</f>
        <v>0</v>
      </c>
      <c r="V175" s="175">
        <f>IFERROR(VLOOKUP(U175,Surp9!$B$1:$C$161,2,0),0)</f>
        <v>0</v>
      </c>
      <c r="W175" s="174">
        <f>IFERROR(VLOOKUP($B175,Surp10!$A$1:$B$161,2,0),0)</f>
        <v>0</v>
      </c>
      <c r="X175" s="175">
        <f>IFERROR(VLOOKUP(W175,Surp10!$B$1:$C$161,2,0),0)</f>
        <v>0</v>
      </c>
      <c r="Y175" s="174">
        <f>IFERROR(VLOOKUP($B175,Surp11!$A$1:$B$161,2,0),0)</f>
        <v>0</v>
      </c>
      <c r="Z175" s="175">
        <f>IFERROR(VLOOKUP(Y175,Surp11!$B$1:$C$161,2,0),0)</f>
        <v>0</v>
      </c>
      <c r="AA175" s="175">
        <f>IFERROR(VLOOKUP(E175,Surp1!$B$1:$C$161,2,0),0)</f>
        <v>0</v>
      </c>
      <c r="AB175" s="175">
        <f>IFERROR(VLOOKUP(G175,Surp2!$B$1:$C$161,2,0),0)</f>
        <v>0</v>
      </c>
      <c r="AC175" s="175">
        <f>IFERROR(VLOOKUP(I175,Surp3!$B$1:$C$161,2,0),0)</f>
        <v>0</v>
      </c>
      <c r="AD175" s="175">
        <f>IFERROR(VLOOKUP(K175,Surp4!$B$1:$C$161,2,0),0)</f>
        <v>0</v>
      </c>
      <c r="AE175" s="175">
        <f>IFERROR(VLOOKUP(M175,Surp5!$B$1:$C$161,2,0),0)</f>
        <v>0</v>
      </c>
      <c r="AF175" s="175">
        <f>IFERROR(VLOOKUP(O175,Surp6!$B$1:$C$161,2,0),0)</f>
        <v>0</v>
      </c>
      <c r="AG175" s="175">
        <f>IFERROR(VLOOKUP(Q175,Surp7!$B$1:$C$161,2,0),0)</f>
        <v>0</v>
      </c>
      <c r="AH175" s="175">
        <f>IFERROR(VLOOKUP(S175,Surp8!$B$1:$C$161,2,0),0)</f>
        <v>0</v>
      </c>
      <c r="AI175" s="175">
        <f>IFERROR(VLOOKUP(U175,Surp9!$B$1:$C$161,2,0),0)</f>
        <v>0</v>
      </c>
      <c r="AJ175" s="175">
        <f>IFERROR(VLOOKUP(W175,Surp10!$B$1:$C$161,2,0),0)</f>
        <v>0</v>
      </c>
      <c r="AK175" s="175">
        <f>IFERROR(VLOOKUP(Y175,Surp11!$B$1:$C$161,2,0),0)</f>
        <v>0</v>
      </c>
    </row>
    <row r="176" ht="15.75" customHeight="1">
      <c r="A176" s="171">
        <v>175.0</v>
      </c>
      <c r="B176" s="6" t="s">
        <v>269</v>
      </c>
      <c r="C176" s="136">
        <f t="shared" si="1"/>
        <v>0</v>
      </c>
      <c r="D176" s="173"/>
      <c r="E176" s="174">
        <f>IFERROR(VLOOKUP($B176,Surp1!$A$1:$B$161,2,0),0)</f>
        <v>0</v>
      </c>
      <c r="F176" s="175">
        <f>IFERROR(VLOOKUP(E176,Surp1!$B$1:$C$161,2,0),0)</f>
        <v>0</v>
      </c>
      <c r="G176" s="174">
        <f>IFERROR(VLOOKUP($B176,Surp2!$A$1:$B$161,2,0),0)</f>
        <v>0</v>
      </c>
      <c r="H176" s="175">
        <f>IFERROR(VLOOKUP(G176,Surp2!$B$1:$C$161,2,0),0)</f>
        <v>0</v>
      </c>
      <c r="I176" s="174">
        <f>IFERROR(VLOOKUP($B176,Surp3!$A$1:$B$161,2,0),0)</f>
        <v>0</v>
      </c>
      <c r="J176" s="175">
        <f>IFERROR(VLOOKUP(I176,Surp3!$B$1:$C$161,2,0),0)</f>
        <v>0</v>
      </c>
      <c r="K176" s="174">
        <f>IFERROR(VLOOKUP($B176,Surp4!$A$1:$B$161,2,0),0)</f>
        <v>0</v>
      </c>
      <c r="L176" s="175">
        <f>IFERROR(VLOOKUP(K176,Surp4!$B$1:$C$161,2,0),0)</f>
        <v>0</v>
      </c>
      <c r="M176" s="174">
        <f>IFERROR(VLOOKUP($B176,Surp5!$A$1:$B$161,2,0),0)</f>
        <v>0</v>
      </c>
      <c r="N176" s="175">
        <f>IFERROR(VLOOKUP(M176,Surp5!$B$1:$C$161,2,0),0)</f>
        <v>0</v>
      </c>
      <c r="O176" s="174">
        <f>IFERROR(VLOOKUP($B176,Surp6!$A$1:$B$161,2,0),0)</f>
        <v>0</v>
      </c>
      <c r="P176" s="175">
        <f>IFERROR(VLOOKUP(O176,Surp6!$B$1:$C$161,2,0),0)</f>
        <v>0</v>
      </c>
      <c r="Q176" s="174">
        <f>IFERROR(VLOOKUP($B176,Surp7!$A$1:$B$161,2,0),0)</f>
        <v>0</v>
      </c>
      <c r="R176" s="175">
        <f>IFERROR(VLOOKUP(Q176,Surp7!$B$1:$C$161,2,0),0)</f>
        <v>0</v>
      </c>
      <c r="S176" s="174">
        <f>IFERROR(VLOOKUP($B176,Surp8!$A$1:$B$161,2,0),0)</f>
        <v>0</v>
      </c>
      <c r="T176" s="175">
        <f>IFERROR(VLOOKUP(S176,Surp8!$B$1:$C$161,2,0),0)</f>
        <v>0</v>
      </c>
      <c r="U176" s="174">
        <f>IFERROR(VLOOKUP($B176,Surp9!$A$1:$B$161,2,0),0)</f>
        <v>0</v>
      </c>
      <c r="V176" s="175">
        <f>IFERROR(VLOOKUP(U176,Surp9!$B$1:$C$161,2,0),0)</f>
        <v>0</v>
      </c>
      <c r="W176" s="174">
        <f>IFERROR(VLOOKUP($B176,Surp10!$A$1:$B$161,2,0),0)</f>
        <v>0</v>
      </c>
      <c r="X176" s="175">
        <f>IFERROR(VLOOKUP(W176,Surp10!$B$1:$C$161,2,0),0)</f>
        <v>0</v>
      </c>
      <c r="Y176" s="174">
        <f>IFERROR(VLOOKUP($B176,Surp11!$A$1:$B$161,2,0),0)</f>
        <v>0</v>
      </c>
      <c r="Z176" s="175">
        <f>IFERROR(VLOOKUP(Y176,Surp11!$B$1:$C$161,2,0),0)</f>
        <v>0</v>
      </c>
      <c r="AA176" s="175">
        <f>IFERROR(VLOOKUP(E176,Surp1!$B$1:$C$161,2,0),0)</f>
        <v>0</v>
      </c>
      <c r="AB176" s="175">
        <f>IFERROR(VLOOKUP(G176,Surp2!$B$1:$C$161,2,0),0)</f>
        <v>0</v>
      </c>
      <c r="AC176" s="175">
        <f>IFERROR(VLOOKUP(I176,Surp3!$B$1:$C$161,2,0),0)</f>
        <v>0</v>
      </c>
      <c r="AD176" s="175">
        <f>IFERROR(VLOOKUP(K176,Surp4!$B$1:$C$161,2,0),0)</f>
        <v>0</v>
      </c>
      <c r="AE176" s="175">
        <f>IFERROR(VLOOKUP(M176,Surp5!$B$1:$C$161,2,0),0)</f>
        <v>0</v>
      </c>
      <c r="AF176" s="175">
        <f>IFERROR(VLOOKUP(O176,Surp6!$B$1:$C$161,2,0),0)</f>
        <v>0</v>
      </c>
      <c r="AG176" s="175">
        <f>IFERROR(VLOOKUP(Q176,Surp7!$B$1:$C$161,2,0),0)</f>
        <v>0</v>
      </c>
      <c r="AH176" s="175">
        <f>IFERROR(VLOOKUP(S176,Surp8!$B$1:$C$161,2,0),0)</f>
        <v>0</v>
      </c>
      <c r="AI176" s="175">
        <f>IFERROR(VLOOKUP(U176,Surp9!$B$1:$C$161,2,0),0)</f>
        <v>0</v>
      </c>
      <c r="AJ176" s="175">
        <f>IFERROR(VLOOKUP(W176,Surp10!$B$1:$C$161,2,0),0)</f>
        <v>0</v>
      </c>
      <c r="AK176" s="175">
        <f>IFERROR(VLOOKUP(Y176,Surp11!$B$1:$C$161,2,0),0)</f>
        <v>0</v>
      </c>
    </row>
    <row r="177" ht="15.75" customHeight="1">
      <c r="A177" s="172">
        <v>176.0</v>
      </c>
      <c r="B177" s="6" t="s">
        <v>270</v>
      </c>
      <c r="C177" s="136">
        <f t="shared" si="1"/>
        <v>0</v>
      </c>
      <c r="D177" s="93"/>
      <c r="E177" s="94">
        <f>IFERROR(VLOOKUP($B177,Surp1!$A$1:$B$161,2,0),0)</f>
        <v>0</v>
      </c>
      <c r="F177" s="95">
        <f>IFERROR(VLOOKUP(E177,Surp1!$B$1:$C$161,2,0),0)</f>
        <v>0</v>
      </c>
      <c r="G177" s="94">
        <f>IFERROR(VLOOKUP($B177,Surp2!$A$1:$B$161,2,0),0)</f>
        <v>0</v>
      </c>
      <c r="H177" s="95">
        <f>IFERROR(VLOOKUP(G177,Surp2!$B$1:$C$161,2,0),0)</f>
        <v>0</v>
      </c>
      <c r="I177" s="94">
        <f>IFERROR(VLOOKUP($B177,Surp3!$A$1:$B$161,2,0),0)</f>
        <v>0</v>
      </c>
      <c r="J177" s="95">
        <f>IFERROR(VLOOKUP(I177,Surp3!$B$1:$C$161,2,0),0)</f>
        <v>0</v>
      </c>
      <c r="K177" s="94">
        <f>IFERROR(VLOOKUP($B177,Surp4!$A$1:$B$161,2,0),0)</f>
        <v>0</v>
      </c>
      <c r="L177" s="95">
        <f>IFERROR(VLOOKUP(K177,Surp4!$B$1:$C$161,2,0),0)</f>
        <v>0</v>
      </c>
      <c r="M177" s="94">
        <f>IFERROR(VLOOKUP($B177,Surp5!$A$1:$B$161,2,0),0)</f>
        <v>0</v>
      </c>
      <c r="N177" s="95">
        <f>IFERROR(VLOOKUP(M177,Surp5!$B$1:$C$161,2,0),0)</f>
        <v>0</v>
      </c>
      <c r="O177" s="94">
        <f>IFERROR(VLOOKUP($B177,Surp6!$A$1:$B$161,2,0),0)</f>
        <v>0</v>
      </c>
      <c r="P177" s="95">
        <f>IFERROR(VLOOKUP(O177,Surp6!$B$1:$C$161,2,0),0)</f>
        <v>0</v>
      </c>
      <c r="Q177" s="94">
        <f>IFERROR(VLOOKUP($B177,Surp7!$A$1:$B$161,2,0),0)</f>
        <v>0</v>
      </c>
      <c r="R177" s="95">
        <f>IFERROR(VLOOKUP(Q177,Surp7!$B$1:$C$161,2,0),0)</f>
        <v>0</v>
      </c>
      <c r="S177" s="94">
        <f>IFERROR(VLOOKUP($B177,Surp8!$A$1:$B$161,2,0),0)</f>
        <v>0</v>
      </c>
      <c r="T177" s="95">
        <f>IFERROR(VLOOKUP(S177,Surp8!$B$1:$C$161,2,0),0)</f>
        <v>0</v>
      </c>
      <c r="U177" s="94">
        <f>IFERROR(VLOOKUP($B177,Surp9!$A$1:$B$161,2,0),0)</f>
        <v>0</v>
      </c>
      <c r="V177" s="95">
        <f>IFERROR(VLOOKUP(U177,Surp9!$B$1:$C$161,2,0),0)</f>
        <v>0</v>
      </c>
      <c r="W177" s="94">
        <f>IFERROR(VLOOKUP($B177,Surp10!$A$1:$B$161,2,0),0)</f>
        <v>0</v>
      </c>
      <c r="X177" s="95">
        <f>IFERROR(VLOOKUP(W177,Surp10!$B$1:$C$161,2,0),0)</f>
        <v>0</v>
      </c>
      <c r="Y177" s="94">
        <f>IFERROR(VLOOKUP($B177,Surp11!$A$1:$B$161,2,0),0)</f>
        <v>0</v>
      </c>
      <c r="Z177" s="95">
        <f>IFERROR(VLOOKUP(Y177,Surp11!$B$1:$C$161,2,0),0)</f>
        <v>0</v>
      </c>
      <c r="AA177" s="95">
        <f>IFERROR(VLOOKUP(E177,Surp1!$B$1:$C$161,2,0),0)</f>
        <v>0</v>
      </c>
      <c r="AB177" s="95">
        <f>IFERROR(VLOOKUP(G177,Surp2!$B$1:$C$161,2,0),0)</f>
        <v>0</v>
      </c>
      <c r="AC177" s="95">
        <f>IFERROR(VLOOKUP(I177,Surp3!$B$1:$C$161,2,0),0)</f>
        <v>0</v>
      </c>
      <c r="AD177" s="95">
        <f>IFERROR(VLOOKUP(K177,Surp4!$B$1:$C$161,2,0),0)</f>
        <v>0</v>
      </c>
      <c r="AE177" s="95">
        <f>IFERROR(VLOOKUP(M177,Surp5!$B$1:$C$161,2,0),0)</f>
        <v>0</v>
      </c>
      <c r="AF177" s="95">
        <f>IFERROR(VLOOKUP(O177,Surp6!$B$1:$C$161,2,0),0)</f>
        <v>0</v>
      </c>
      <c r="AG177" s="95">
        <f>IFERROR(VLOOKUP(Q177,Surp7!$B$1:$C$161,2,0),0)</f>
        <v>0</v>
      </c>
      <c r="AH177" s="95">
        <f>IFERROR(VLOOKUP(S177,Surp8!$B$1:$C$161,2,0),0)</f>
        <v>0</v>
      </c>
      <c r="AI177" s="95">
        <f>IFERROR(VLOOKUP(U177,Surp9!$B$1:$C$161,2,0),0)</f>
        <v>0</v>
      </c>
      <c r="AJ177" s="95">
        <f>IFERROR(VLOOKUP(W177,Surp10!$B$1:$C$161,2,0),0)</f>
        <v>0</v>
      </c>
      <c r="AK177" s="95">
        <f>IFERROR(VLOOKUP(Y177,Surp11!$B$1:$C$161,2,0),0)</f>
        <v>0</v>
      </c>
    </row>
    <row r="178" ht="15.75" customHeight="1">
      <c r="A178" s="171">
        <v>177.0</v>
      </c>
      <c r="B178" s="6" t="s">
        <v>271</v>
      </c>
      <c r="C178" s="136">
        <f t="shared" si="1"/>
        <v>0</v>
      </c>
      <c r="D178" s="173"/>
      <c r="E178" s="174">
        <f>IFERROR(VLOOKUP($B178,Surp1!$A$1:$B$161,2,0),0)</f>
        <v>0</v>
      </c>
      <c r="F178" s="175">
        <f>IFERROR(VLOOKUP(E178,Surp1!$B$1:$C$161,2,0),0)</f>
        <v>0</v>
      </c>
      <c r="G178" s="174">
        <f>IFERROR(VLOOKUP($B178,Surp2!$A$1:$B$161,2,0),0)</f>
        <v>0</v>
      </c>
      <c r="H178" s="175">
        <f>IFERROR(VLOOKUP(G178,Surp2!$B$1:$C$161,2,0),0)</f>
        <v>0</v>
      </c>
      <c r="I178" s="174">
        <f>IFERROR(VLOOKUP($B178,Surp3!$A$1:$B$161,2,0),0)</f>
        <v>0</v>
      </c>
      <c r="J178" s="175">
        <f>IFERROR(VLOOKUP(I178,Surp3!$B$1:$C$161,2,0),0)</f>
        <v>0</v>
      </c>
      <c r="K178" s="174">
        <f>IFERROR(VLOOKUP($B178,Surp4!$A$1:$B$161,2,0),0)</f>
        <v>0</v>
      </c>
      <c r="L178" s="175">
        <f>IFERROR(VLOOKUP(K178,Surp4!$B$1:$C$161,2,0),0)</f>
        <v>0</v>
      </c>
      <c r="M178" s="174">
        <f>IFERROR(VLOOKUP($B178,Surp5!$A$1:$B$161,2,0),0)</f>
        <v>0</v>
      </c>
      <c r="N178" s="175">
        <f>IFERROR(VLOOKUP(M178,Surp5!$B$1:$C$161,2,0),0)</f>
        <v>0</v>
      </c>
      <c r="O178" s="174">
        <f>IFERROR(VLOOKUP($B178,Surp6!$A$1:$B$161,2,0),0)</f>
        <v>0</v>
      </c>
      <c r="P178" s="175">
        <f>IFERROR(VLOOKUP(O178,Surp6!$B$1:$C$161,2,0),0)</f>
        <v>0</v>
      </c>
      <c r="Q178" s="174">
        <f>IFERROR(VLOOKUP($B178,Surp7!$A$1:$B$161,2,0),0)</f>
        <v>0</v>
      </c>
      <c r="R178" s="175">
        <f>IFERROR(VLOOKUP(Q178,Surp7!$B$1:$C$161,2,0),0)</f>
        <v>0</v>
      </c>
      <c r="S178" s="174">
        <f>IFERROR(VLOOKUP($B178,Surp8!$A$1:$B$161,2,0),0)</f>
        <v>0</v>
      </c>
      <c r="T178" s="175">
        <f>IFERROR(VLOOKUP(S178,Surp8!$B$1:$C$161,2,0),0)</f>
        <v>0</v>
      </c>
      <c r="U178" s="174">
        <f>IFERROR(VLOOKUP($B178,Surp9!$A$1:$B$161,2,0),0)</f>
        <v>0</v>
      </c>
      <c r="V178" s="175">
        <f>IFERROR(VLOOKUP(U178,Surp9!$B$1:$C$161,2,0),0)</f>
        <v>0</v>
      </c>
      <c r="W178" s="174">
        <f>IFERROR(VLOOKUP($B178,Surp10!$A$1:$B$161,2,0),0)</f>
        <v>0</v>
      </c>
      <c r="X178" s="175">
        <f>IFERROR(VLOOKUP(W178,Surp10!$B$1:$C$161,2,0),0)</f>
        <v>0</v>
      </c>
      <c r="Y178" s="174">
        <f>IFERROR(VLOOKUP($B178,Surp11!$A$1:$B$161,2,0),0)</f>
        <v>0</v>
      </c>
      <c r="Z178" s="175">
        <f>IFERROR(VLOOKUP(Y178,Surp11!$B$1:$C$161,2,0),0)</f>
        <v>0</v>
      </c>
      <c r="AA178" s="175">
        <f>IFERROR(VLOOKUP(E178,Surp1!$B$1:$C$161,2,0),0)</f>
        <v>0</v>
      </c>
      <c r="AB178" s="175">
        <f>IFERROR(VLOOKUP(G178,Surp2!$B$1:$C$161,2,0),0)</f>
        <v>0</v>
      </c>
      <c r="AC178" s="175">
        <f>IFERROR(VLOOKUP(I178,Surp3!$B$1:$C$161,2,0),0)</f>
        <v>0</v>
      </c>
      <c r="AD178" s="175">
        <f>IFERROR(VLOOKUP(K178,Surp4!$B$1:$C$161,2,0),0)</f>
        <v>0</v>
      </c>
      <c r="AE178" s="175">
        <f>IFERROR(VLOOKUP(M178,Surp5!$B$1:$C$161,2,0),0)</f>
        <v>0</v>
      </c>
      <c r="AF178" s="175">
        <f>IFERROR(VLOOKUP(O178,Surp6!$B$1:$C$161,2,0),0)</f>
        <v>0</v>
      </c>
      <c r="AG178" s="175">
        <f>IFERROR(VLOOKUP(Q178,Surp7!$B$1:$C$161,2,0),0)</f>
        <v>0</v>
      </c>
      <c r="AH178" s="175">
        <f>IFERROR(VLOOKUP(S178,Surp8!$B$1:$C$161,2,0),0)</f>
        <v>0</v>
      </c>
      <c r="AI178" s="175">
        <f>IFERROR(VLOOKUP(U178,Surp9!$B$1:$C$161,2,0),0)</f>
        <v>0</v>
      </c>
      <c r="AJ178" s="175">
        <f>IFERROR(VLOOKUP(W178,Surp10!$B$1:$C$161,2,0),0)</f>
        <v>0</v>
      </c>
      <c r="AK178" s="175">
        <f>IFERROR(VLOOKUP(Y178,Surp11!$B$1:$C$161,2,0),0)</f>
        <v>0</v>
      </c>
    </row>
    <row r="179" ht="15.75" customHeight="1">
      <c r="A179" s="172">
        <v>178.0</v>
      </c>
      <c r="B179" s="6" t="s">
        <v>272</v>
      </c>
      <c r="C179" s="136">
        <f t="shared" si="1"/>
        <v>0</v>
      </c>
      <c r="D179" s="93"/>
      <c r="E179" s="94">
        <f>IFERROR(VLOOKUP($B179,Surp1!$A$1:$B$161,2,0),0)</f>
        <v>0</v>
      </c>
      <c r="F179" s="95">
        <f>IFERROR(VLOOKUP(E179,Surp1!$B$1:$C$161,2,0),0)</f>
        <v>0</v>
      </c>
      <c r="G179" s="94">
        <f>IFERROR(VLOOKUP($B179,Surp2!$A$1:$B$161,2,0),0)</f>
        <v>0</v>
      </c>
      <c r="H179" s="95">
        <f>IFERROR(VLOOKUP(G179,Surp2!$B$1:$C$161,2,0),0)</f>
        <v>0</v>
      </c>
      <c r="I179" s="94">
        <f>IFERROR(VLOOKUP($B179,Surp3!$A$1:$B$161,2,0),0)</f>
        <v>0</v>
      </c>
      <c r="J179" s="95">
        <f>IFERROR(VLOOKUP(I179,Surp3!$B$1:$C$161,2,0),0)</f>
        <v>0</v>
      </c>
      <c r="K179" s="94">
        <f>IFERROR(VLOOKUP($B179,Surp4!$A$1:$B$161,2,0),0)</f>
        <v>0</v>
      </c>
      <c r="L179" s="95">
        <f>IFERROR(VLOOKUP(K179,Surp4!$B$1:$C$161,2,0),0)</f>
        <v>0</v>
      </c>
      <c r="M179" s="94">
        <f>IFERROR(VLOOKUP($B179,Surp5!$A$1:$B$161,2,0),0)</f>
        <v>0</v>
      </c>
      <c r="N179" s="95">
        <f>IFERROR(VLOOKUP(M179,Surp5!$B$1:$C$161,2,0),0)</f>
        <v>0</v>
      </c>
      <c r="O179" s="94">
        <f>IFERROR(VLOOKUP($B179,Surp6!$A$1:$B$161,2,0),0)</f>
        <v>0</v>
      </c>
      <c r="P179" s="95">
        <f>IFERROR(VLOOKUP(O179,Surp6!$B$1:$C$161,2,0),0)</f>
        <v>0</v>
      </c>
      <c r="Q179" s="94">
        <f>IFERROR(VLOOKUP($B179,Surp7!$A$1:$B$161,2,0),0)</f>
        <v>0</v>
      </c>
      <c r="R179" s="95">
        <f>IFERROR(VLOOKUP(Q179,Surp7!$B$1:$C$161,2,0),0)</f>
        <v>0</v>
      </c>
      <c r="S179" s="94">
        <f>IFERROR(VLOOKUP($B179,Surp8!$A$1:$B$161,2,0),0)</f>
        <v>0</v>
      </c>
      <c r="T179" s="95">
        <f>IFERROR(VLOOKUP(S179,Surp8!$B$1:$C$161,2,0),0)</f>
        <v>0</v>
      </c>
      <c r="U179" s="94">
        <f>IFERROR(VLOOKUP($B179,Surp9!$A$1:$B$161,2,0),0)</f>
        <v>0</v>
      </c>
      <c r="V179" s="95">
        <f>IFERROR(VLOOKUP(U179,Surp9!$B$1:$C$161,2,0),0)</f>
        <v>0</v>
      </c>
      <c r="W179" s="94">
        <f>IFERROR(VLOOKUP($B179,Surp10!$A$1:$B$161,2,0),0)</f>
        <v>0</v>
      </c>
      <c r="X179" s="95">
        <f>IFERROR(VLOOKUP(W179,Surp10!$B$1:$C$161,2,0),0)</f>
        <v>0</v>
      </c>
      <c r="Y179" s="94">
        <f>IFERROR(VLOOKUP($B179,Surp11!$A$1:$B$161,2,0),0)</f>
        <v>0</v>
      </c>
      <c r="Z179" s="95">
        <f>IFERROR(VLOOKUP(Y179,Surp11!$B$1:$C$161,2,0),0)</f>
        <v>0</v>
      </c>
      <c r="AA179" s="95">
        <f>IFERROR(VLOOKUP(E179,Surp1!$B$1:$C$161,2,0),0)</f>
        <v>0</v>
      </c>
      <c r="AB179" s="95">
        <f>IFERROR(VLOOKUP(G179,Surp2!$B$1:$C$161,2,0),0)</f>
        <v>0</v>
      </c>
      <c r="AC179" s="95">
        <f>IFERROR(VLOOKUP(I179,Surp3!$B$1:$C$161,2,0),0)</f>
        <v>0</v>
      </c>
      <c r="AD179" s="95">
        <f>IFERROR(VLOOKUP(K179,Surp4!$B$1:$C$161,2,0),0)</f>
        <v>0</v>
      </c>
      <c r="AE179" s="95">
        <f>IFERROR(VLOOKUP(M179,Surp5!$B$1:$C$161,2,0),0)</f>
        <v>0</v>
      </c>
      <c r="AF179" s="95">
        <f>IFERROR(VLOOKUP(O179,Surp6!$B$1:$C$161,2,0),0)</f>
        <v>0</v>
      </c>
      <c r="AG179" s="95">
        <f>IFERROR(VLOOKUP(Q179,Surp7!$B$1:$C$161,2,0),0)</f>
        <v>0</v>
      </c>
      <c r="AH179" s="95">
        <f>IFERROR(VLOOKUP(S179,Surp8!$B$1:$C$161,2,0),0)</f>
        <v>0</v>
      </c>
      <c r="AI179" s="95">
        <f>IFERROR(VLOOKUP(U179,Surp9!$B$1:$C$161,2,0),0)</f>
        <v>0</v>
      </c>
      <c r="AJ179" s="95">
        <f>IFERROR(VLOOKUP(W179,Surp10!$B$1:$C$161,2,0),0)</f>
        <v>0</v>
      </c>
      <c r="AK179" s="95">
        <f>IFERROR(VLOOKUP(Y179,Surp11!$B$1:$C$161,2,0),0)</f>
        <v>0</v>
      </c>
    </row>
    <row r="180" ht="15.75" customHeight="1">
      <c r="A180" s="171">
        <v>179.0</v>
      </c>
      <c r="B180" s="6" t="s">
        <v>273</v>
      </c>
      <c r="C180" s="136">
        <f t="shared" si="1"/>
        <v>0</v>
      </c>
      <c r="D180" s="173"/>
      <c r="E180" s="174">
        <f>IFERROR(VLOOKUP($B180,Surp1!$A$1:$B$161,2,0),0)</f>
        <v>0</v>
      </c>
      <c r="F180" s="175">
        <f>IFERROR(VLOOKUP(E180,Surp1!$B$1:$C$161,2,0),0)</f>
        <v>0</v>
      </c>
      <c r="G180" s="174">
        <f>IFERROR(VLOOKUP($B180,Surp2!$A$1:$B$161,2,0),0)</f>
        <v>0</v>
      </c>
      <c r="H180" s="175">
        <f>IFERROR(VLOOKUP(G180,Surp2!$B$1:$C$161,2,0),0)</f>
        <v>0</v>
      </c>
      <c r="I180" s="174">
        <f>IFERROR(VLOOKUP($B180,Surp3!$A$1:$B$161,2,0),0)</f>
        <v>0</v>
      </c>
      <c r="J180" s="175">
        <f>IFERROR(VLOOKUP(I180,Surp3!$B$1:$C$161,2,0),0)</f>
        <v>0</v>
      </c>
      <c r="K180" s="174">
        <f>IFERROR(VLOOKUP($B180,Surp4!$A$1:$B$161,2,0),0)</f>
        <v>0</v>
      </c>
      <c r="L180" s="175">
        <f>IFERROR(VLOOKUP(K180,Surp4!$B$1:$C$161,2,0),0)</f>
        <v>0</v>
      </c>
      <c r="M180" s="174">
        <f>IFERROR(VLOOKUP($B180,Surp5!$A$1:$B$161,2,0),0)</f>
        <v>0</v>
      </c>
      <c r="N180" s="175">
        <f>IFERROR(VLOOKUP(M180,Surp5!$B$1:$C$161,2,0),0)</f>
        <v>0</v>
      </c>
      <c r="O180" s="174">
        <f>IFERROR(VLOOKUP($B180,Surp6!$A$1:$B$161,2,0),0)</f>
        <v>0</v>
      </c>
      <c r="P180" s="175">
        <f>IFERROR(VLOOKUP(O180,Surp6!$B$1:$C$161,2,0),0)</f>
        <v>0</v>
      </c>
      <c r="Q180" s="174">
        <f>IFERROR(VLOOKUP($B180,Surp7!$A$1:$B$161,2,0),0)</f>
        <v>0</v>
      </c>
      <c r="R180" s="175">
        <f>IFERROR(VLOOKUP(Q180,Surp7!$B$1:$C$161,2,0),0)</f>
        <v>0</v>
      </c>
      <c r="S180" s="174">
        <f>IFERROR(VLOOKUP($B180,Surp8!$A$1:$B$161,2,0),0)</f>
        <v>0</v>
      </c>
      <c r="T180" s="175">
        <f>IFERROR(VLOOKUP(S180,Surp8!$B$1:$C$161,2,0),0)</f>
        <v>0</v>
      </c>
      <c r="U180" s="174">
        <f>IFERROR(VLOOKUP($B180,Surp9!$A$1:$B$161,2,0),0)</f>
        <v>0</v>
      </c>
      <c r="V180" s="175">
        <f>IFERROR(VLOOKUP(U180,Surp9!$B$1:$C$161,2,0),0)</f>
        <v>0</v>
      </c>
      <c r="W180" s="174">
        <f>IFERROR(VLOOKUP($B180,Surp10!$A$1:$B$161,2,0),0)</f>
        <v>0</v>
      </c>
      <c r="X180" s="175">
        <f>IFERROR(VLOOKUP(W180,Surp10!$B$1:$C$161,2,0),0)</f>
        <v>0</v>
      </c>
      <c r="Y180" s="174">
        <f>IFERROR(VLOOKUP($B180,Surp11!$A$1:$B$161,2,0),0)</f>
        <v>0</v>
      </c>
      <c r="Z180" s="175">
        <f>IFERROR(VLOOKUP(Y180,Surp11!$B$1:$C$161,2,0),0)</f>
        <v>0</v>
      </c>
      <c r="AA180" s="175">
        <f>IFERROR(VLOOKUP(E180,Surp1!$B$1:$C$161,2,0),0)</f>
        <v>0</v>
      </c>
      <c r="AB180" s="175">
        <f>IFERROR(VLOOKUP(G180,Surp2!$B$1:$C$161,2,0),0)</f>
        <v>0</v>
      </c>
      <c r="AC180" s="175">
        <f>IFERROR(VLOOKUP(I180,Surp3!$B$1:$C$161,2,0),0)</f>
        <v>0</v>
      </c>
      <c r="AD180" s="175">
        <f>IFERROR(VLOOKUP(K180,Surp4!$B$1:$C$161,2,0),0)</f>
        <v>0</v>
      </c>
      <c r="AE180" s="175">
        <f>IFERROR(VLOOKUP(M180,Surp5!$B$1:$C$161,2,0),0)</f>
        <v>0</v>
      </c>
      <c r="AF180" s="175">
        <f>IFERROR(VLOOKUP(O180,Surp6!$B$1:$C$161,2,0),0)</f>
        <v>0</v>
      </c>
      <c r="AG180" s="175">
        <f>IFERROR(VLOOKUP(Q180,Surp7!$B$1:$C$161,2,0),0)</f>
        <v>0</v>
      </c>
      <c r="AH180" s="175">
        <f>IFERROR(VLOOKUP(S180,Surp8!$B$1:$C$161,2,0),0)</f>
        <v>0</v>
      </c>
      <c r="AI180" s="175">
        <f>IFERROR(VLOOKUP(U180,Surp9!$B$1:$C$161,2,0),0)</f>
        <v>0</v>
      </c>
      <c r="AJ180" s="175">
        <f>IFERROR(VLOOKUP(W180,Surp10!$B$1:$C$161,2,0),0)</f>
        <v>0</v>
      </c>
      <c r="AK180" s="175">
        <f>IFERROR(VLOOKUP(Y180,Surp11!$B$1:$C$161,2,0),0)</f>
        <v>0</v>
      </c>
    </row>
    <row r="181" ht="15.75" customHeight="1">
      <c r="A181" s="172">
        <v>180.0</v>
      </c>
      <c r="B181" s="15" t="s">
        <v>274</v>
      </c>
      <c r="C181" s="136">
        <f t="shared" si="1"/>
        <v>0</v>
      </c>
      <c r="D181" s="93"/>
      <c r="E181" s="94">
        <f>IFERROR(VLOOKUP($B181,Surp1!$A$1:$B$161,2,0),0)</f>
        <v>0</v>
      </c>
      <c r="F181" s="95">
        <f>IFERROR(VLOOKUP(E181,Surp1!$B$1:$C$161,2,0),0)</f>
        <v>0</v>
      </c>
      <c r="G181" s="94">
        <f>IFERROR(VLOOKUP($B181,Surp2!$A$1:$B$161,2,0),0)</f>
        <v>0</v>
      </c>
      <c r="H181" s="95">
        <f>IFERROR(VLOOKUP(G181,Surp2!$B$1:$C$161,2,0),0)</f>
        <v>0</v>
      </c>
      <c r="I181" s="94">
        <f>IFERROR(VLOOKUP($B181,Surp3!$A$1:$B$161,2,0),0)</f>
        <v>0</v>
      </c>
      <c r="J181" s="95">
        <f>IFERROR(VLOOKUP(I181,Surp3!$B$1:$C$161,2,0),0)</f>
        <v>0</v>
      </c>
      <c r="K181" s="94">
        <f>IFERROR(VLOOKUP($B181,Surp4!$A$1:$B$161,2,0),0)</f>
        <v>0</v>
      </c>
      <c r="L181" s="95">
        <f>IFERROR(VLOOKUP(K181,Surp4!$B$1:$C$161,2,0),0)</f>
        <v>0</v>
      </c>
      <c r="M181" s="94">
        <f>IFERROR(VLOOKUP($B181,Surp5!$A$1:$B$161,2,0),0)</f>
        <v>0</v>
      </c>
      <c r="N181" s="95">
        <f>IFERROR(VLOOKUP(M181,Surp5!$B$1:$C$161,2,0),0)</f>
        <v>0</v>
      </c>
      <c r="O181" s="94">
        <f>IFERROR(VLOOKUP($B181,Surp6!$A$1:$B$161,2,0),0)</f>
        <v>0</v>
      </c>
      <c r="P181" s="95">
        <f>IFERROR(VLOOKUP(O181,Surp6!$B$1:$C$161,2,0),0)</f>
        <v>0</v>
      </c>
      <c r="Q181" s="94">
        <f>IFERROR(VLOOKUP($B181,Surp7!$A$1:$B$161,2,0),0)</f>
        <v>0</v>
      </c>
      <c r="R181" s="95">
        <f>IFERROR(VLOOKUP(Q181,Surp7!$B$1:$C$161,2,0),0)</f>
        <v>0</v>
      </c>
      <c r="S181" s="94">
        <f>IFERROR(VLOOKUP($B181,Surp8!$A$1:$B$161,2,0),0)</f>
        <v>0</v>
      </c>
      <c r="T181" s="95">
        <f>IFERROR(VLOOKUP(S181,Surp8!$B$1:$C$161,2,0),0)</f>
        <v>0</v>
      </c>
      <c r="U181" s="94">
        <f>IFERROR(VLOOKUP($B181,Surp9!$A$1:$B$161,2,0),0)</f>
        <v>0</v>
      </c>
      <c r="V181" s="95">
        <f>IFERROR(VLOOKUP(U181,Surp9!$B$1:$C$161,2,0),0)</f>
        <v>0</v>
      </c>
      <c r="W181" s="94">
        <f>IFERROR(VLOOKUP($B181,Surp10!$A$1:$B$161,2,0),0)</f>
        <v>0</v>
      </c>
      <c r="X181" s="95">
        <f>IFERROR(VLOOKUP(W181,Surp10!$B$1:$C$161,2,0),0)</f>
        <v>0</v>
      </c>
      <c r="Y181" s="94">
        <f>IFERROR(VLOOKUP($B181,Surp11!$A$1:$B$161,2,0),0)</f>
        <v>0</v>
      </c>
      <c r="Z181" s="95">
        <f>IFERROR(VLOOKUP(Y181,Surp11!$B$1:$C$161,2,0),0)</f>
        <v>0</v>
      </c>
      <c r="AA181" s="95">
        <f>IFERROR(VLOOKUP(E181,Surp1!$B$1:$C$161,2,0),0)</f>
        <v>0</v>
      </c>
      <c r="AB181" s="95">
        <f>IFERROR(VLOOKUP(G181,Surp2!$B$1:$C$161,2,0),0)</f>
        <v>0</v>
      </c>
      <c r="AC181" s="95">
        <f>IFERROR(VLOOKUP(I181,Surp3!$B$1:$C$161,2,0),0)</f>
        <v>0</v>
      </c>
      <c r="AD181" s="95">
        <f>IFERROR(VLOOKUP(K181,Surp4!$B$1:$C$161,2,0),0)</f>
        <v>0</v>
      </c>
      <c r="AE181" s="95">
        <f>IFERROR(VLOOKUP(M181,Surp5!$B$1:$C$161,2,0),0)</f>
        <v>0</v>
      </c>
      <c r="AF181" s="95">
        <f>IFERROR(VLOOKUP(O181,Surp6!$B$1:$C$161,2,0),0)</f>
        <v>0</v>
      </c>
      <c r="AG181" s="95">
        <f>IFERROR(VLOOKUP(Q181,Surp7!$B$1:$C$161,2,0),0)</f>
        <v>0</v>
      </c>
      <c r="AH181" s="95">
        <f>IFERROR(VLOOKUP(S181,Surp8!$B$1:$C$161,2,0),0)</f>
        <v>0</v>
      </c>
      <c r="AI181" s="95">
        <f>IFERROR(VLOOKUP(U181,Surp9!$B$1:$C$161,2,0),0)</f>
        <v>0</v>
      </c>
      <c r="AJ181" s="95">
        <f>IFERROR(VLOOKUP(W181,Surp10!$B$1:$C$161,2,0),0)</f>
        <v>0</v>
      </c>
      <c r="AK181" s="95">
        <f>IFERROR(VLOOKUP(Y181,Surp11!$B$1:$C$161,2,0),0)</f>
        <v>0</v>
      </c>
    </row>
    <row r="182" ht="15.75" customHeight="1">
      <c r="A182" s="171">
        <v>181.0</v>
      </c>
      <c r="B182" s="6" t="s">
        <v>275</v>
      </c>
      <c r="C182" s="136">
        <f t="shared" si="1"/>
        <v>0</v>
      </c>
      <c r="D182" s="93"/>
      <c r="E182" s="94">
        <f>IFERROR(VLOOKUP($B182,Surp1!$A$1:$B$161,2,0),0)</f>
        <v>0</v>
      </c>
      <c r="F182" s="95">
        <f>IFERROR(VLOOKUP(E182,Surp1!$B$1:$C$161,2,0),0)</f>
        <v>0</v>
      </c>
      <c r="G182" s="94">
        <f>IFERROR(VLOOKUP($B182,Surp2!$A$1:$B$161,2,0),0)</f>
        <v>0</v>
      </c>
      <c r="H182" s="95">
        <f>IFERROR(VLOOKUP(G182,Surp2!$B$1:$C$161,2,0),0)</f>
        <v>0</v>
      </c>
      <c r="I182" s="94">
        <f>IFERROR(VLOOKUP($B182,Surp3!$A$1:$B$161,2,0),0)</f>
        <v>0</v>
      </c>
      <c r="J182" s="95">
        <f>IFERROR(VLOOKUP(I182,Surp3!$B$1:$C$161,2,0),0)</f>
        <v>0</v>
      </c>
      <c r="K182" s="94">
        <f>IFERROR(VLOOKUP($B182,Surp4!$A$1:$B$161,2,0),0)</f>
        <v>0</v>
      </c>
      <c r="L182" s="95">
        <f>IFERROR(VLOOKUP(K182,Surp4!$B$1:$C$161,2,0),0)</f>
        <v>0</v>
      </c>
      <c r="M182" s="94">
        <f>IFERROR(VLOOKUP($B182,Surp5!$A$1:$B$161,2,0),0)</f>
        <v>0</v>
      </c>
      <c r="N182" s="95">
        <f>IFERROR(VLOOKUP(M182,Surp5!$B$1:$C$161,2,0),0)</f>
        <v>0</v>
      </c>
      <c r="O182" s="94">
        <f>IFERROR(VLOOKUP($B182,Surp6!$A$1:$B$161,2,0),0)</f>
        <v>0</v>
      </c>
      <c r="P182" s="95">
        <f>IFERROR(VLOOKUP(O182,Surp6!$B$1:$C$161,2,0),0)</f>
        <v>0</v>
      </c>
      <c r="Q182" s="94">
        <f>IFERROR(VLOOKUP($B182,Surp7!$A$1:$B$161,2,0),0)</f>
        <v>0</v>
      </c>
      <c r="R182" s="95">
        <f>IFERROR(VLOOKUP(Q182,Surp7!$B$1:$C$161,2,0),0)</f>
        <v>0</v>
      </c>
      <c r="S182" s="94">
        <f>IFERROR(VLOOKUP($B182,Surp8!$A$1:$B$161,2,0),0)</f>
        <v>0</v>
      </c>
      <c r="T182" s="95">
        <f>IFERROR(VLOOKUP(S182,Surp8!$B$1:$C$161,2,0),0)</f>
        <v>0</v>
      </c>
      <c r="U182" s="94">
        <f>IFERROR(VLOOKUP($B182,Surp9!$A$1:$B$161,2,0),0)</f>
        <v>0</v>
      </c>
      <c r="V182" s="95">
        <f>IFERROR(VLOOKUP(U182,Surp9!$B$1:$C$161,2,0),0)</f>
        <v>0</v>
      </c>
      <c r="W182" s="94">
        <f>IFERROR(VLOOKUP($B182,Surp10!$A$1:$B$161,2,0),0)</f>
        <v>0</v>
      </c>
      <c r="X182" s="95">
        <f>IFERROR(VLOOKUP(W182,Surp10!$B$1:$C$161,2,0),0)</f>
        <v>0</v>
      </c>
      <c r="Y182" s="94">
        <f>IFERROR(VLOOKUP($B182,Surp11!$A$1:$B$161,2,0),0)</f>
        <v>0</v>
      </c>
      <c r="Z182" s="95">
        <f>IFERROR(VLOOKUP(Y182,Surp11!$B$1:$C$161,2,0),0)</f>
        <v>0</v>
      </c>
      <c r="AA182" s="95">
        <f>IFERROR(VLOOKUP(E182,Surp1!$B$1:$C$161,2,0),0)</f>
        <v>0</v>
      </c>
      <c r="AB182" s="95">
        <f>IFERROR(VLOOKUP(G182,Surp2!$B$1:$C$161,2,0),0)</f>
        <v>0</v>
      </c>
      <c r="AC182" s="95">
        <f>IFERROR(VLOOKUP(I182,Surp3!$B$1:$C$161,2,0),0)</f>
        <v>0</v>
      </c>
      <c r="AD182" s="95">
        <f>IFERROR(VLOOKUP(K182,Surp4!$B$1:$C$161,2,0),0)</f>
        <v>0</v>
      </c>
      <c r="AE182" s="95">
        <f>IFERROR(VLOOKUP(M182,Surp5!$B$1:$C$161,2,0),0)</f>
        <v>0</v>
      </c>
      <c r="AF182" s="95">
        <f>IFERROR(VLOOKUP(O182,Surp6!$B$1:$C$161,2,0),0)</f>
        <v>0</v>
      </c>
      <c r="AG182" s="95">
        <f>IFERROR(VLOOKUP(Q182,Surp7!$B$1:$C$161,2,0),0)</f>
        <v>0</v>
      </c>
      <c r="AH182" s="95">
        <f>IFERROR(VLOOKUP(S182,Surp8!$B$1:$C$161,2,0),0)</f>
        <v>0</v>
      </c>
      <c r="AI182" s="95">
        <f>IFERROR(VLOOKUP(U182,Surp9!$B$1:$C$161,2,0),0)</f>
        <v>0</v>
      </c>
      <c r="AJ182" s="95">
        <f>IFERROR(VLOOKUP(W182,Surp10!$B$1:$C$161,2,0),0)</f>
        <v>0</v>
      </c>
      <c r="AK182" s="95">
        <f>IFERROR(VLOOKUP(Y182,Surp11!$B$1:$C$161,2,0),0)</f>
        <v>0</v>
      </c>
    </row>
    <row r="183" ht="15.75" customHeight="1">
      <c r="A183" s="172">
        <v>182.0</v>
      </c>
      <c r="B183" s="6" t="s">
        <v>276</v>
      </c>
      <c r="C183" s="136">
        <f t="shared" si="1"/>
        <v>0</v>
      </c>
      <c r="D183" s="136"/>
      <c r="E183" s="137">
        <f>IFERROR(VLOOKUP($B183,Surp1!$A$1:$B$161,2,0),0)</f>
        <v>0</v>
      </c>
      <c r="F183" s="97">
        <f>IFERROR(VLOOKUP(E183,Surp1!$B$1:$C$161,2,0),0)</f>
        <v>0</v>
      </c>
      <c r="G183" s="137">
        <f>IFERROR(VLOOKUP($B183,Surp2!$A$1:$B$161,2,0),0)</f>
        <v>0</v>
      </c>
      <c r="H183" s="97">
        <f>IFERROR(VLOOKUP(G183,Surp2!$B$1:$C$161,2,0),0)</f>
        <v>0</v>
      </c>
      <c r="I183" s="137">
        <f>IFERROR(VLOOKUP($B183,Surp3!$A$1:$B$161,2,0),0)</f>
        <v>0</v>
      </c>
      <c r="J183" s="97">
        <f>IFERROR(VLOOKUP(I183,Surp3!$B$1:$C$161,2,0),0)</f>
        <v>0</v>
      </c>
      <c r="K183" s="137">
        <f>IFERROR(VLOOKUP($B183,Surp4!$A$1:$B$161,2,0),0)</f>
        <v>0</v>
      </c>
      <c r="L183" s="97">
        <f>IFERROR(VLOOKUP(K183,Surp4!$B$1:$C$161,2,0),0)</f>
        <v>0</v>
      </c>
      <c r="M183" s="137">
        <f>IFERROR(VLOOKUP($B183,Surp5!$A$1:$B$161,2,0),0)</f>
        <v>0</v>
      </c>
      <c r="N183" s="97">
        <f>IFERROR(VLOOKUP(M183,Surp5!$B$1:$C$161,2,0),0)</f>
        <v>0</v>
      </c>
      <c r="O183" s="137">
        <f>IFERROR(VLOOKUP($B183,Surp6!$A$1:$B$161,2,0),0)</f>
        <v>0</v>
      </c>
      <c r="P183" s="97">
        <f>IFERROR(VLOOKUP(O183,Surp6!$B$1:$C$161,2,0),0)</f>
        <v>0</v>
      </c>
      <c r="Q183" s="137">
        <f>IFERROR(VLOOKUP($B183,Surp7!$A$1:$B$161,2,0),0)</f>
        <v>0</v>
      </c>
      <c r="R183" s="97">
        <f>IFERROR(VLOOKUP(Q183,Surp7!$B$1:$C$161,2,0),0)</f>
        <v>0</v>
      </c>
      <c r="S183" s="137">
        <f>IFERROR(VLOOKUP($B183,Surp8!$A$1:$B$161,2,0),0)</f>
        <v>0</v>
      </c>
      <c r="T183" s="97">
        <f>IFERROR(VLOOKUP(S183,Surp8!$B$1:$C$161,2,0),0)</f>
        <v>0</v>
      </c>
      <c r="U183" s="137">
        <f>IFERROR(VLOOKUP($B183,Surp9!$A$1:$B$161,2,0),0)</f>
        <v>0</v>
      </c>
      <c r="V183" s="97">
        <f>IFERROR(VLOOKUP(U183,Surp9!$B$1:$C$161,2,0),0)</f>
        <v>0</v>
      </c>
      <c r="W183" s="137">
        <f>IFERROR(VLOOKUP($B183,Surp10!$A$1:$B$161,2,0),0)</f>
        <v>0</v>
      </c>
      <c r="X183" s="97">
        <f>IFERROR(VLOOKUP(W183,Surp10!$B$1:$C$161,2,0),0)</f>
        <v>0</v>
      </c>
      <c r="Y183" s="137">
        <f>IFERROR(VLOOKUP($B183,Surp11!$A$1:$B$161,2,0),0)</f>
        <v>0</v>
      </c>
      <c r="Z183" s="97">
        <f>IFERROR(VLOOKUP(Y183,Surp11!$B$1:$C$161,2,0),0)</f>
        <v>0</v>
      </c>
      <c r="AA183" s="97">
        <f>IFERROR(VLOOKUP(E183,Surp1!$B$1:$C$161,2,0),0)</f>
        <v>0</v>
      </c>
      <c r="AB183" s="97">
        <f>IFERROR(VLOOKUP(G183,Surp2!$B$1:$C$161,2,0),0)</f>
        <v>0</v>
      </c>
      <c r="AC183" s="97">
        <f>IFERROR(VLOOKUP(I183,Surp3!$B$1:$C$161,2,0),0)</f>
        <v>0</v>
      </c>
      <c r="AD183" s="97">
        <f>IFERROR(VLOOKUP(K183,Surp4!$B$1:$C$161,2,0),0)</f>
        <v>0</v>
      </c>
      <c r="AE183" s="97">
        <f>IFERROR(VLOOKUP(M183,Surp5!$B$1:$C$161,2,0),0)</f>
        <v>0</v>
      </c>
      <c r="AF183" s="97">
        <f>IFERROR(VLOOKUP(O183,Surp6!$B$1:$C$161,2,0),0)</f>
        <v>0</v>
      </c>
      <c r="AG183" s="97">
        <f>IFERROR(VLOOKUP(Q183,Surp7!$B$1:$C$161,2,0),0)</f>
        <v>0</v>
      </c>
      <c r="AH183" s="97">
        <f>IFERROR(VLOOKUP(S183,Surp8!$B$1:$C$161,2,0),0)</f>
        <v>0</v>
      </c>
      <c r="AI183" s="97">
        <f>IFERROR(VLOOKUP(U183,Surp9!$B$1:$C$161,2,0),0)</f>
        <v>0</v>
      </c>
      <c r="AJ183" s="97">
        <f>IFERROR(VLOOKUP(W183,Surp10!$B$1:$C$161,2,0),0)</f>
        <v>0</v>
      </c>
      <c r="AK183" s="97">
        <f>IFERROR(VLOOKUP(Y183,Surp11!$B$1:$C$161,2,0),0)</f>
        <v>0</v>
      </c>
    </row>
    <row r="184" ht="15.75" customHeight="1">
      <c r="A184" s="171">
        <v>183.0</v>
      </c>
      <c r="B184" s="6" t="s">
        <v>277</v>
      </c>
      <c r="C184" s="136">
        <f t="shared" si="1"/>
        <v>0</v>
      </c>
      <c r="D184" s="93"/>
      <c r="E184" s="94">
        <f>IFERROR(VLOOKUP($B184,Surp1!$A$1:$B$161,2,0),0)</f>
        <v>0</v>
      </c>
      <c r="F184" s="95">
        <f>IFERROR(VLOOKUP(E184,Surp1!$B$1:$C$161,2,0),0)</f>
        <v>0</v>
      </c>
      <c r="G184" s="94">
        <f>IFERROR(VLOOKUP($B184,Surp2!$A$1:$B$161,2,0),0)</f>
        <v>0</v>
      </c>
      <c r="H184" s="95">
        <f>IFERROR(VLOOKUP(G184,Surp2!$B$1:$C$161,2,0),0)</f>
        <v>0</v>
      </c>
      <c r="I184" s="94">
        <f>IFERROR(VLOOKUP($B184,Surp3!$A$1:$B$161,2,0),0)</f>
        <v>0</v>
      </c>
      <c r="J184" s="95">
        <f>IFERROR(VLOOKUP(I184,Surp3!$B$1:$C$161,2,0),0)</f>
        <v>0</v>
      </c>
      <c r="K184" s="94">
        <f>IFERROR(VLOOKUP($B184,Surp4!$A$1:$B$161,2,0),0)</f>
        <v>0</v>
      </c>
      <c r="L184" s="95">
        <f>IFERROR(VLOOKUP(K184,Surp4!$B$1:$C$161,2,0),0)</f>
        <v>0</v>
      </c>
      <c r="M184" s="94">
        <f>IFERROR(VLOOKUP($B184,Surp5!$A$1:$B$161,2,0),0)</f>
        <v>0</v>
      </c>
      <c r="N184" s="95">
        <f>IFERROR(VLOOKUP(M184,Surp5!$B$1:$C$161,2,0),0)</f>
        <v>0</v>
      </c>
      <c r="O184" s="94">
        <f>IFERROR(VLOOKUP($B184,Surp6!$A$1:$B$161,2,0),0)</f>
        <v>0</v>
      </c>
      <c r="P184" s="95">
        <f>IFERROR(VLOOKUP(O184,Surp6!$B$1:$C$161,2,0),0)</f>
        <v>0</v>
      </c>
      <c r="Q184" s="94">
        <f>IFERROR(VLOOKUP($B184,Surp7!$A$1:$B$161,2,0),0)</f>
        <v>0</v>
      </c>
      <c r="R184" s="95">
        <f>IFERROR(VLOOKUP(Q184,Surp7!$B$1:$C$161,2,0),0)</f>
        <v>0</v>
      </c>
      <c r="S184" s="94">
        <f>IFERROR(VLOOKUP($B184,Surp8!$A$1:$B$161,2,0),0)</f>
        <v>0</v>
      </c>
      <c r="T184" s="95">
        <f>IFERROR(VLOOKUP(S184,Surp8!$B$1:$C$161,2,0),0)</f>
        <v>0</v>
      </c>
      <c r="U184" s="94">
        <f>IFERROR(VLOOKUP($B184,Surp9!$A$1:$B$161,2,0),0)</f>
        <v>0</v>
      </c>
      <c r="V184" s="95">
        <f>IFERROR(VLOOKUP(U184,Surp9!$B$1:$C$161,2,0),0)</f>
        <v>0</v>
      </c>
      <c r="W184" s="94">
        <f>IFERROR(VLOOKUP($B184,Surp10!$A$1:$B$161,2,0),0)</f>
        <v>0</v>
      </c>
      <c r="X184" s="95">
        <f>IFERROR(VLOOKUP(W184,Surp10!$B$1:$C$161,2,0),0)</f>
        <v>0</v>
      </c>
      <c r="Y184" s="94">
        <f>IFERROR(VLOOKUP($B184,Surp11!$A$1:$B$161,2,0),0)</f>
        <v>0</v>
      </c>
      <c r="Z184" s="95">
        <f>IFERROR(VLOOKUP(Y184,Surp11!$B$1:$C$161,2,0),0)</f>
        <v>0</v>
      </c>
      <c r="AA184" s="95">
        <f>IFERROR(VLOOKUP(E184,Surp1!$B$1:$C$161,2,0),0)</f>
        <v>0</v>
      </c>
      <c r="AB184" s="95">
        <f>IFERROR(VLOOKUP(G184,Surp2!$B$1:$C$161,2,0),0)</f>
        <v>0</v>
      </c>
      <c r="AC184" s="95">
        <f>IFERROR(VLOOKUP(I184,Surp3!$B$1:$C$161,2,0),0)</f>
        <v>0</v>
      </c>
      <c r="AD184" s="95">
        <f>IFERROR(VLOOKUP(K184,Surp4!$B$1:$C$161,2,0),0)</f>
        <v>0</v>
      </c>
      <c r="AE184" s="95">
        <f>IFERROR(VLOOKUP(M184,Surp5!$B$1:$C$161,2,0),0)</f>
        <v>0</v>
      </c>
      <c r="AF184" s="95">
        <f>IFERROR(VLOOKUP(O184,Surp6!$B$1:$C$161,2,0),0)</f>
        <v>0</v>
      </c>
      <c r="AG184" s="95">
        <f>IFERROR(VLOOKUP(Q184,Surp7!$B$1:$C$161,2,0),0)</f>
        <v>0</v>
      </c>
      <c r="AH184" s="95">
        <f>IFERROR(VLOOKUP(S184,Surp8!$B$1:$C$161,2,0),0)</f>
        <v>0</v>
      </c>
      <c r="AI184" s="95">
        <f>IFERROR(VLOOKUP(U184,Surp9!$B$1:$C$161,2,0),0)</f>
        <v>0</v>
      </c>
      <c r="AJ184" s="95">
        <f>IFERROR(VLOOKUP(W184,Surp10!$B$1:$C$161,2,0),0)</f>
        <v>0</v>
      </c>
      <c r="AK184" s="95">
        <f>IFERROR(VLOOKUP(Y184,Surp11!$B$1:$C$161,2,0),0)</f>
        <v>0</v>
      </c>
    </row>
    <row r="185" ht="15.75" customHeight="1">
      <c r="A185" s="172">
        <v>184.0</v>
      </c>
      <c r="B185" s="6" t="s">
        <v>278</v>
      </c>
      <c r="C185" s="136">
        <f t="shared" si="1"/>
        <v>0</v>
      </c>
      <c r="D185" s="93"/>
      <c r="E185" s="94">
        <f>IFERROR(VLOOKUP($B185,Surp1!$A$1:$B$161,2,0),0)</f>
        <v>0</v>
      </c>
      <c r="F185" s="95">
        <f>IFERROR(VLOOKUP(E185,Surp1!$B$1:$C$161,2,0),0)</f>
        <v>0</v>
      </c>
      <c r="G185" s="94">
        <f>IFERROR(VLOOKUP($B185,Surp2!$A$1:$B$161,2,0),0)</f>
        <v>0</v>
      </c>
      <c r="H185" s="95">
        <f>IFERROR(VLOOKUP(G185,Surp2!$B$1:$C$161,2,0),0)</f>
        <v>0</v>
      </c>
      <c r="I185" s="94">
        <f>IFERROR(VLOOKUP($B185,Surp3!$A$1:$B$161,2,0),0)</f>
        <v>0</v>
      </c>
      <c r="J185" s="95">
        <f>IFERROR(VLOOKUP(I185,Surp3!$B$1:$C$161,2,0),0)</f>
        <v>0</v>
      </c>
      <c r="K185" s="94">
        <f>IFERROR(VLOOKUP($B185,Surp4!$A$1:$B$161,2,0),0)</f>
        <v>0</v>
      </c>
      <c r="L185" s="95">
        <f>IFERROR(VLOOKUP(K185,Surp4!$B$1:$C$161,2,0),0)</f>
        <v>0</v>
      </c>
      <c r="M185" s="94">
        <f>IFERROR(VLOOKUP($B185,Surp5!$A$1:$B$161,2,0),0)</f>
        <v>0</v>
      </c>
      <c r="N185" s="95">
        <f>IFERROR(VLOOKUP(M185,Surp5!$B$1:$C$161,2,0),0)</f>
        <v>0</v>
      </c>
      <c r="O185" s="94">
        <f>IFERROR(VLOOKUP($B185,Surp6!$A$1:$B$161,2,0),0)</f>
        <v>0</v>
      </c>
      <c r="P185" s="95">
        <f>IFERROR(VLOOKUP(O185,Surp6!$B$1:$C$161,2,0),0)</f>
        <v>0</v>
      </c>
      <c r="Q185" s="94">
        <f>IFERROR(VLOOKUP($B185,Surp7!$A$1:$B$161,2,0),0)</f>
        <v>0</v>
      </c>
      <c r="R185" s="95">
        <f>IFERROR(VLOOKUP(Q185,Surp7!$B$1:$C$161,2,0),0)</f>
        <v>0</v>
      </c>
      <c r="S185" s="94">
        <f>IFERROR(VLOOKUP($B185,Surp8!$A$1:$B$161,2,0),0)</f>
        <v>0</v>
      </c>
      <c r="T185" s="95">
        <f>IFERROR(VLOOKUP(S185,Surp8!$B$1:$C$161,2,0),0)</f>
        <v>0</v>
      </c>
      <c r="U185" s="94">
        <f>IFERROR(VLOOKUP($B185,Surp9!$A$1:$B$161,2,0),0)</f>
        <v>0</v>
      </c>
      <c r="V185" s="95">
        <f>IFERROR(VLOOKUP(U185,Surp9!$B$1:$C$161,2,0),0)</f>
        <v>0</v>
      </c>
      <c r="W185" s="94">
        <f>IFERROR(VLOOKUP($B185,Surp10!$A$1:$B$161,2,0),0)</f>
        <v>0</v>
      </c>
      <c r="X185" s="95">
        <f>IFERROR(VLOOKUP(W185,Surp10!$B$1:$C$161,2,0),0)</f>
        <v>0</v>
      </c>
      <c r="Y185" s="94">
        <f>IFERROR(VLOOKUP($B185,Surp11!$A$1:$B$161,2,0),0)</f>
        <v>0</v>
      </c>
      <c r="Z185" s="95">
        <f>IFERROR(VLOOKUP(Y185,Surp11!$B$1:$C$161,2,0),0)</f>
        <v>0</v>
      </c>
      <c r="AA185" s="95">
        <f>IFERROR(VLOOKUP(E185,Surp1!$B$1:$C$161,2,0),0)</f>
        <v>0</v>
      </c>
      <c r="AB185" s="95">
        <f>IFERROR(VLOOKUP(G185,Surp2!$B$1:$C$161,2,0),0)</f>
        <v>0</v>
      </c>
      <c r="AC185" s="95">
        <f>IFERROR(VLOOKUP(I185,Surp3!$B$1:$C$161,2,0),0)</f>
        <v>0</v>
      </c>
      <c r="AD185" s="95">
        <f>IFERROR(VLOOKUP(K185,Surp4!$B$1:$C$161,2,0),0)</f>
        <v>0</v>
      </c>
      <c r="AE185" s="95">
        <f>IFERROR(VLOOKUP(M185,Surp5!$B$1:$C$161,2,0),0)</f>
        <v>0</v>
      </c>
      <c r="AF185" s="95">
        <f>IFERROR(VLOOKUP(O185,Surp6!$B$1:$C$161,2,0),0)</f>
        <v>0</v>
      </c>
      <c r="AG185" s="95">
        <f>IFERROR(VLOOKUP(Q185,Surp7!$B$1:$C$161,2,0),0)</f>
        <v>0</v>
      </c>
      <c r="AH185" s="95">
        <f>IFERROR(VLOOKUP(S185,Surp8!$B$1:$C$161,2,0),0)</f>
        <v>0</v>
      </c>
      <c r="AI185" s="95">
        <f>IFERROR(VLOOKUP(U185,Surp9!$B$1:$C$161,2,0),0)</f>
        <v>0</v>
      </c>
      <c r="AJ185" s="95">
        <f>IFERROR(VLOOKUP(W185,Surp10!$B$1:$C$161,2,0),0)</f>
        <v>0</v>
      </c>
      <c r="AK185" s="95">
        <f>IFERROR(VLOOKUP(Y185,Surp11!$B$1:$C$161,2,0),0)</f>
        <v>0</v>
      </c>
    </row>
    <row r="186" ht="15.75" customHeight="1">
      <c r="A186" s="171">
        <v>185.0</v>
      </c>
      <c r="B186" s="6" t="s">
        <v>279</v>
      </c>
      <c r="C186" s="136">
        <f t="shared" ref="C186:C251" si="2">F186+H186+J186+L186+N186+P186+R186+T186+V186+X186+Z186-small((AA186:AK186),1)</f>
        <v>0</v>
      </c>
      <c r="D186" s="136"/>
      <c r="E186" s="137">
        <f>IFERROR(VLOOKUP($B186,Surp1!$A$1:$B$161,2,0),0)</f>
        <v>0</v>
      </c>
      <c r="F186" s="97">
        <f>IFERROR(VLOOKUP(E186,Surp1!$B$1:$C$161,2,0),0)</f>
        <v>0</v>
      </c>
      <c r="G186" s="137">
        <f>IFERROR(VLOOKUP($B186,Surp2!$A$1:$B$161,2,0),0)</f>
        <v>0</v>
      </c>
      <c r="H186" s="97">
        <f>IFERROR(VLOOKUP(G186,Surp2!$B$1:$C$161,2,0),0)</f>
        <v>0</v>
      </c>
      <c r="I186" s="137">
        <f>IFERROR(VLOOKUP($B186,Surp3!$A$1:$B$161,2,0),0)</f>
        <v>0</v>
      </c>
      <c r="J186" s="97">
        <f>IFERROR(VLOOKUP(I186,Surp3!$B$1:$C$161,2,0),0)</f>
        <v>0</v>
      </c>
      <c r="K186" s="137">
        <f>IFERROR(VLOOKUP($B186,Surp4!$A$1:$B$161,2,0),0)</f>
        <v>0</v>
      </c>
      <c r="L186" s="97">
        <f>IFERROR(VLOOKUP(K186,Surp4!$B$1:$C$161,2,0),0)</f>
        <v>0</v>
      </c>
      <c r="M186" s="137">
        <f>IFERROR(VLOOKUP($B186,Surp5!$A$1:$B$161,2,0),0)</f>
        <v>0</v>
      </c>
      <c r="N186" s="97">
        <f>IFERROR(VLOOKUP(M186,Surp5!$B$1:$C$161,2,0),0)</f>
        <v>0</v>
      </c>
      <c r="O186" s="137">
        <f>IFERROR(VLOOKUP($B186,Surp6!$A$1:$B$161,2,0),0)</f>
        <v>0</v>
      </c>
      <c r="P186" s="97">
        <f>IFERROR(VLOOKUP(O186,Surp6!$B$1:$C$161,2,0),0)</f>
        <v>0</v>
      </c>
      <c r="Q186" s="137">
        <f>IFERROR(VLOOKUP($B186,Surp7!$A$1:$B$161,2,0),0)</f>
        <v>0</v>
      </c>
      <c r="R186" s="97">
        <f>IFERROR(VLOOKUP(Q186,Surp7!$B$1:$C$161,2,0),0)</f>
        <v>0</v>
      </c>
      <c r="S186" s="137">
        <f>IFERROR(VLOOKUP($B186,Surp8!$A$1:$B$161,2,0),0)</f>
        <v>0</v>
      </c>
      <c r="T186" s="97">
        <f>IFERROR(VLOOKUP(S186,Surp8!$B$1:$C$161,2,0),0)</f>
        <v>0</v>
      </c>
      <c r="U186" s="137">
        <f>IFERROR(VLOOKUP($B186,Surp9!$A$1:$B$161,2,0),0)</f>
        <v>0</v>
      </c>
      <c r="V186" s="97">
        <f>IFERROR(VLOOKUP(U186,Surp9!$B$1:$C$161,2,0),0)</f>
        <v>0</v>
      </c>
      <c r="W186" s="137">
        <f>IFERROR(VLOOKUP($B186,Surp10!$A$1:$B$161,2,0),0)</f>
        <v>0</v>
      </c>
      <c r="X186" s="97">
        <f>IFERROR(VLOOKUP(W186,Surp10!$B$1:$C$161,2,0),0)</f>
        <v>0</v>
      </c>
      <c r="Y186" s="137">
        <f>IFERROR(VLOOKUP($B186,Surp11!$A$1:$B$161,2,0),0)</f>
        <v>0</v>
      </c>
      <c r="Z186" s="97">
        <f>IFERROR(VLOOKUP(Y186,Surp11!$B$1:$C$161,2,0),0)</f>
        <v>0</v>
      </c>
      <c r="AA186" s="97">
        <f>IFERROR(VLOOKUP(E186,Surp1!$B$1:$C$161,2,0),0)</f>
        <v>0</v>
      </c>
      <c r="AB186" s="97">
        <f>IFERROR(VLOOKUP(G186,Surp2!$B$1:$C$161,2,0),0)</f>
        <v>0</v>
      </c>
      <c r="AC186" s="97">
        <f>IFERROR(VLOOKUP(I186,Surp3!$B$1:$C$161,2,0),0)</f>
        <v>0</v>
      </c>
      <c r="AD186" s="97">
        <f>IFERROR(VLOOKUP(K186,Surp4!$B$1:$C$161,2,0),0)</f>
        <v>0</v>
      </c>
      <c r="AE186" s="97">
        <f>IFERROR(VLOOKUP(M186,Surp5!$B$1:$C$161,2,0),0)</f>
        <v>0</v>
      </c>
      <c r="AF186" s="97">
        <f>IFERROR(VLOOKUP(O186,Surp6!$B$1:$C$161,2,0),0)</f>
        <v>0</v>
      </c>
      <c r="AG186" s="97">
        <f>IFERROR(VLOOKUP(Q186,Surp7!$B$1:$C$161,2,0),0)</f>
        <v>0</v>
      </c>
      <c r="AH186" s="97">
        <f>IFERROR(VLOOKUP(S186,Surp8!$B$1:$C$161,2,0),0)</f>
        <v>0</v>
      </c>
      <c r="AI186" s="97">
        <f>IFERROR(VLOOKUP(U186,Surp9!$B$1:$C$161,2,0),0)</f>
        <v>0</v>
      </c>
      <c r="AJ186" s="97">
        <f>IFERROR(VLOOKUP(W186,Surp10!$B$1:$C$161,2,0),0)</f>
        <v>0</v>
      </c>
      <c r="AK186" s="97">
        <f>IFERROR(VLOOKUP(Y186,Surp11!$B$1:$C$161,2,0),0)</f>
        <v>0</v>
      </c>
    </row>
    <row r="187" ht="15.75" customHeight="1">
      <c r="A187" s="172">
        <v>186.0</v>
      </c>
      <c r="B187" s="103"/>
      <c r="C187" s="136">
        <f t="shared" si="2"/>
        <v>0</v>
      </c>
      <c r="D187" s="136"/>
      <c r="E187" s="137">
        <f>IFERROR(VLOOKUP($B187,Surp1!$A$1:$B$161,2,0),0)</f>
        <v>0</v>
      </c>
      <c r="F187" s="97">
        <f>IFERROR(VLOOKUP(E187,Surp1!$B$1:$C$161,2,0),0)</f>
        <v>0</v>
      </c>
      <c r="G187" s="137">
        <f>IFERROR(VLOOKUP($B187,Surp2!$A$1:$B$161,2,0),0)</f>
        <v>0</v>
      </c>
      <c r="H187" s="97">
        <f>IFERROR(VLOOKUP(G187,Surp2!$B$1:$C$161,2,0),0)</f>
        <v>0</v>
      </c>
      <c r="I187" s="137">
        <f>IFERROR(VLOOKUP($B187,Surp3!$A$1:$B$161,2,0),0)</f>
        <v>0</v>
      </c>
      <c r="J187" s="97">
        <f>IFERROR(VLOOKUP(I187,Surp3!$B$1:$C$161,2,0),0)</f>
        <v>0</v>
      </c>
      <c r="K187" s="137">
        <f>IFERROR(VLOOKUP($B187,Surp4!$A$1:$B$161,2,0),0)</f>
        <v>0</v>
      </c>
      <c r="L187" s="97">
        <f>IFERROR(VLOOKUP(K187,Surp4!$B$1:$C$161,2,0),0)</f>
        <v>0</v>
      </c>
      <c r="M187" s="137">
        <f>IFERROR(VLOOKUP($B187,Surp5!$A$1:$B$161,2,0),0)</f>
        <v>0</v>
      </c>
      <c r="N187" s="97">
        <f>IFERROR(VLOOKUP(M187,Surp5!$B$1:$C$161,2,0),0)</f>
        <v>0</v>
      </c>
      <c r="O187" s="137">
        <f>IFERROR(VLOOKUP($B187,Surp6!$A$1:$B$161,2,0),0)</f>
        <v>0</v>
      </c>
      <c r="P187" s="97">
        <f>IFERROR(VLOOKUP(O187,Surp6!$B$1:$C$161,2,0),0)</f>
        <v>0</v>
      </c>
      <c r="Q187" s="137">
        <f>IFERROR(VLOOKUP($B187,Surp7!$A$1:$B$161,2,0),0)</f>
        <v>0</v>
      </c>
      <c r="R187" s="97">
        <f>IFERROR(VLOOKUP(Q187,Surp7!$B$1:$C$161,2,0),0)</f>
        <v>0</v>
      </c>
      <c r="S187" s="137">
        <f>IFERROR(VLOOKUP($B187,Surp8!$A$1:$B$161,2,0),0)</f>
        <v>0</v>
      </c>
      <c r="T187" s="97">
        <f>IFERROR(VLOOKUP(S187,Surp8!$B$1:$C$161,2,0),0)</f>
        <v>0</v>
      </c>
      <c r="U187" s="137">
        <f>IFERROR(VLOOKUP($B187,Surp9!$A$1:$B$161,2,0),0)</f>
        <v>0</v>
      </c>
      <c r="V187" s="97">
        <f>IFERROR(VLOOKUP(U187,Surp9!$B$1:$C$161,2,0),0)</f>
        <v>0</v>
      </c>
      <c r="W187" s="137">
        <f>IFERROR(VLOOKUP($B187,Surp10!$A$1:$B$161,2,0),0)</f>
        <v>0</v>
      </c>
      <c r="X187" s="97">
        <f>IFERROR(VLOOKUP(W187,Surp10!$B$1:$C$161,2,0),0)</f>
        <v>0</v>
      </c>
      <c r="Y187" s="137">
        <f>IFERROR(VLOOKUP($B187,Surp11!$A$1:$B$161,2,0),0)</f>
        <v>0</v>
      </c>
      <c r="Z187" s="97">
        <f>IFERROR(VLOOKUP(Y187,Surp11!$B$1:$C$161,2,0),0)</f>
        <v>0</v>
      </c>
      <c r="AA187" s="97">
        <f>IFERROR(VLOOKUP(E187,Surp1!$B$1:$C$161,2,0),0)</f>
        <v>0</v>
      </c>
      <c r="AB187" s="97">
        <f>IFERROR(VLOOKUP(G187,Surp2!$B$1:$C$161,2,0),0)</f>
        <v>0</v>
      </c>
      <c r="AC187" s="97">
        <f>IFERROR(VLOOKUP(I187,Surp3!$B$1:$C$161,2,0),0)</f>
        <v>0</v>
      </c>
      <c r="AD187" s="97">
        <f>IFERROR(VLOOKUP(K187,Surp4!$B$1:$C$161,2,0),0)</f>
        <v>0</v>
      </c>
      <c r="AE187" s="97">
        <f>IFERROR(VLOOKUP(M187,Surp5!$B$1:$C$161,2,0),0)</f>
        <v>0</v>
      </c>
      <c r="AF187" s="97">
        <f>IFERROR(VLOOKUP(O187,Surp6!$B$1:$C$161,2,0),0)</f>
        <v>0</v>
      </c>
      <c r="AG187" s="97">
        <f>IFERROR(VLOOKUP(Q187,Surp7!$B$1:$C$161,2,0),0)</f>
        <v>0</v>
      </c>
      <c r="AH187" s="97">
        <f>IFERROR(VLOOKUP(S187,Surp8!$B$1:$C$161,2,0),0)</f>
        <v>0</v>
      </c>
      <c r="AI187" s="97">
        <f>IFERROR(VLOOKUP(U187,Surp9!$B$1:$C$161,2,0),0)</f>
        <v>0</v>
      </c>
      <c r="AJ187" s="97">
        <f>IFERROR(VLOOKUP(W187,Surp10!$B$1:$C$161,2,0),0)</f>
        <v>0</v>
      </c>
      <c r="AK187" s="97">
        <f>IFERROR(VLOOKUP(Y187,Surp11!$B$1:$C$161,2,0),0)</f>
        <v>0</v>
      </c>
    </row>
    <row r="188" ht="15.75" customHeight="1">
      <c r="A188" s="171">
        <v>187.0</v>
      </c>
      <c r="B188" s="103"/>
      <c r="C188" s="136">
        <f t="shared" si="2"/>
        <v>0</v>
      </c>
      <c r="D188" s="136"/>
      <c r="E188" s="137">
        <f>IFERROR(VLOOKUP($B188,Surp1!$A$1:$B$161,2,0),0)</f>
        <v>0</v>
      </c>
      <c r="F188" s="97">
        <f>IFERROR(VLOOKUP(E188,Surp1!$B$1:$C$161,2,0),0)</f>
        <v>0</v>
      </c>
      <c r="G188" s="137">
        <f>IFERROR(VLOOKUP($B188,Surp2!$A$1:$B$161,2,0),0)</f>
        <v>0</v>
      </c>
      <c r="H188" s="97">
        <f>IFERROR(VLOOKUP(G188,Surp2!$B$1:$C$161,2,0),0)</f>
        <v>0</v>
      </c>
      <c r="I188" s="137">
        <f>IFERROR(VLOOKUP($B188,Surp3!$A$1:$B$161,2,0),0)</f>
        <v>0</v>
      </c>
      <c r="J188" s="97">
        <f>IFERROR(VLOOKUP(I188,Surp3!$B$1:$C$161,2,0),0)</f>
        <v>0</v>
      </c>
      <c r="K188" s="137">
        <f>IFERROR(VLOOKUP($B188,Surp4!$A$1:$B$161,2,0),0)</f>
        <v>0</v>
      </c>
      <c r="L188" s="97">
        <f>IFERROR(VLOOKUP(K188,Surp4!$B$1:$C$161,2,0),0)</f>
        <v>0</v>
      </c>
      <c r="M188" s="137">
        <f>IFERROR(VLOOKUP($B188,Surp5!$A$1:$B$161,2,0),0)</f>
        <v>0</v>
      </c>
      <c r="N188" s="97">
        <f>IFERROR(VLOOKUP(M188,Surp5!$B$1:$C$161,2,0),0)</f>
        <v>0</v>
      </c>
      <c r="O188" s="137">
        <f>IFERROR(VLOOKUP($B188,Surp6!$A$1:$B$161,2,0),0)</f>
        <v>0</v>
      </c>
      <c r="P188" s="97">
        <f>IFERROR(VLOOKUP(O188,Surp6!$B$1:$C$161,2,0),0)</f>
        <v>0</v>
      </c>
      <c r="Q188" s="137">
        <f>IFERROR(VLOOKUP($B188,Surp7!$A$1:$B$161,2,0),0)</f>
        <v>0</v>
      </c>
      <c r="R188" s="97">
        <f>IFERROR(VLOOKUP(Q188,Surp7!$B$1:$C$161,2,0),0)</f>
        <v>0</v>
      </c>
      <c r="S188" s="137">
        <f>IFERROR(VLOOKUP($B188,Surp8!$A$1:$B$161,2,0),0)</f>
        <v>0</v>
      </c>
      <c r="T188" s="97">
        <f>IFERROR(VLOOKUP(S188,Surp8!$B$1:$C$161,2,0),0)</f>
        <v>0</v>
      </c>
      <c r="U188" s="137">
        <f>IFERROR(VLOOKUP($B188,Surp9!$A$1:$B$161,2,0),0)</f>
        <v>0</v>
      </c>
      <c r="V188" s="97">
        <f>IFERROR(VLOOKUP(U188,Surp9!$B$1:$C$161,2,0),0)</f>
        <v>0</v>
      </c>
      <c r="W188" s="137">
        <f>IFERROR(VLOOKUP($B188,Surp10!$A$1:$B$161,2,0),0)</f>
        <v>0</v>
      </c>
      <c r="X188" s="97">
        <f>IFERROR(VLOOKUP(W188,Surp10!$B$1:$C$161,2,0),0)</f>
        <v>0</v>
      </c>
      <c r="Y188" s="137">
        <f>IFERROR(VLOOKUP($B188,Surp11!$A$1:$B$161,2,0),0)</f>
        <v>0</v>
      </c>
      <c r="Z188" s="97">
        <f>IFERROR(VLOOKUP(Y188,Surp11!$B$1:$C$161,2,0),0)</f>
        <v>0</v>
      </c>
      <c r="AA188" s="97">
        <f>IFERROR(VLOOKUP(E188,Surp1!$B$1:$C$161,2,0),0)</f>
        <v>0</v>
      </c>
      <c r="AB188" s="97">
        <f>IFERROR(VLOOKUP(G188,Surp2!$B$1:$C$161,2,0),0)</f>
        <v>0</v>
      </c>
      <c r="AC188" s="97">
        <f>IFERROR(VLOOKUP(I188,Surp3!$B$1:$C$161,2,0),0)</f>
        <v>0</v>
      </c>
      <c r="AD188" s="97">
        <f>IFERROR(VLOOKUP(K188,Surp4!$B$1:$C$161,2,0),0)</f>
        <v>0</v>
      </c>
      <c r="AE188" s="97">
        <f>IFERROR(VLOOKUP(M188,Surp5!$B$1:$C$161,2,0),0)</f>
        <v>0</v>
      </c>
      <c r="AF188" s="97">
        <f>IFERROR(VLOOKUP(O188,Surp6!$B$1:$C$161,2,0),0)</f>
        <v>0</v>
      </c>
      <c r="AG188" s="97">
        <f>IFERROR(VLOOKUP(Q188,Surp7!$B$1:$C$161,2,0),0)</f>
        <v>0</v>
      </c>
      <c r="AH188" s="97">
        <f>IFERROR(VLOOKUP(S188,Surp8!$B$1:$C$161,2,0),0)</f>
        <v>0</v>
      </c>
      <c r="AI188" s="97">
        <f>IFERROR(VLOOKUP(U188,Surp9!$B$1:$C$161,2,0),0)</f>
        <v>0</v>
      </c>
      <c r="AJ188" s="97">
        <f>IFERROR(VLOOKUP(W188,Surp10!$B$1:$C$161,2,0),0)</f>
        <v>0</v>
      </c>
      <c r="AK188" s="97">
        <f>IFERROR(VLOOKUP(Y188,Surp11!$B$1:$C$161,2,0),0)</f>
        <v>0</v>
      </c>
    </row>
    <row r="189" ht="15.75" customHeight="1">
      <c r="A189" s="172">
        <v>188.0</v>
      </c>
      <c r="B189" s="103"/>
      <c r="C189" s="136">
        <f t="shared" si="2"/>
        <v>0</v>
      </c>
      <c r="D189" s="136"/>
      <c r="E189" s="137">
        <f>IFERROR(VLOOKUP($B189,Surp1!$A$1:$B$161,2,0),0)</f>
        <v>0</v>
      </c>
      <c r="F189" s="97">
        <f>IFERROR(VLOOKUP(E189,Surp1!$B$1:$C$161,2,0),0)</f>
        <v>0</v>
      </c>
      <c r="G189" s="137">
        <f>IFERROR(VLOOKUP($B189,Surp2!$A$1:$B$161,2,0),0)</f>
        <v>0</v>
      </c>
      <c r="H189" s="97">
        <f>IFERROR(VLOOKUP(G189,Surp2!$B$1:$C$161,2,0),0)</f>
        <v>0</v>
      </c>
      <c r="I189" s="137">
        <f>IFERROR(VLOOKUP($B189,Surp3!$A$1:$B$161,2,0),0)</f>
        <v>0</v>
      </c>
      <c r="J189" s="97">
        <f>IFERROR(VLOOKUP(I189,Surp3!$B$1:$C$161,2,0),0)</f>
        <v>0</v>
      </c>
      <c r="K189" s="137">
        <f>IFERROR(VLOOKUP($B189,Surp4!$A$1:$B$161,2,0),0)</f>
        <v>0</v>
      </c>
      <c r="L189" s="97">
        <f>IFERROR(VLOOKUP(K189,Surp4!$B$1:$C$161,2,0),0)</f>
        <v>0</v>
      </c>
      <c r="M189" s="137">
        <f>IFERROR(VLOOKUP($B189,Surp5!$A$1:$B$161,2,0),0)</f>
        <v>0</v>
      </c>
      <c r="N189" s="97">
        <f>IFERROR(VLOOKUP(M189,Surp5!$B$1:$C$161,2,0),0)</f>
        <v>0</v>
      </c>
      <c r="O189" s="137">
        <f>IFERROR(VLOOKUP($B189,Surp6!$A$1:$B$161,2,0),0)</f>
        <v>0</v>
      </c>
      <c r="P189" s="97">
        <f>IFERROR(VLOOKUP(O189,Surp6!$B$1:$C$161,2,0),0)</f>
        <v>0</v>
      </c>
      <c r="Q189" s="137">
        <f>IFERROR(VLOOKUP($B189,Surp7!$A$1:$B$161,2,0),0)</f>
        <v>0</v>
      </c>
      <c r="R189" s="97">
        <f>IFERROR(VLOOKUP(Q189,Surp7!$B$1:$C$161,2,0),0)</f>
        <v>0</v>
      </c>
      <c r="S189" s="137">
        <f>IFERROR(VLOOKUP($B189,Surp8!$A$1:$B$161,2,0),0)</f>
        <v>0</v>
      </c>
      <c r="T189" s="97">
        <f>IFERROR(VLOOKUP(S189,Surp8!$B$1:$C$161,2,0),0)</f>
        <v>0</v>
      </c>
      <c r="U189" s="137">
        <f>IFERROR(VLOOKUP($B189,Surp9!$A$1:$B$161,2,0),0)</f>
        <v>0</v>
      </c>
      <c r="V189" s="97">
        <f>IFERROR(VLOOKUP(U189,Surp9!$B$1:$C$161,2,0),0)</f>
        <v>0</v>
      </c>
      <c r="W189" s="137">
        <f>IFERROR(VLOOKUP($B189,Surp10!$A$1:$B$161,2,0),0)</f>
        <v>0</v>
      </c>
      <c r="X189" s="97">
        <f>IFERROR(VLOOKUP(W189,Surp10!$B$1:$C$161,2,0),0)</f>
        <v>0</v>
      </c>
      <c r="Y189" s="137">
        <f>IFERROR(VLOOKUP($B189,Surp11!$A$1:$B$161,2,0),0)</f>
        <v>0</v>
      </c>
      <c r="Z189" s="97">
        <f>IFERROR(VLOOKUP(Y189,Surp11!$B$1:$C$161,2,0),0)</f>
        <v>0</v>
      </c>
      <c r="AA189" s="97">
        <f>IFERROR(VLOOKUP(E189,Surp1!$B$1:$C$161,2,0),0)</f>
        <v>0</v>
      </c>
      <c r="AB189" s="97">
        <f>IFERROR(VLOOKUP(G189,Surp2!$B$1:$C$161,2,0),0)</f>
        <v>0</v>
      </c>
      <c r="AC189" s="97">
        <f>IFERROR(VLOOKUP(I189,Surp3!$B$1:$C$161,2,0),0)</f>
        <v>0</v>
      </c>
      <c r="AD189" s="97">
        <f>IFERROR(VLOOKUP(K189,Surp4!$B$1:$C$161,2,0),0)</f>
        <v>0</v>
      </c>
      <c r="AE189" s="97">
        <f>IFERROR(VLOOKUP(M189,Surp5!$B$1:$C$161,2,0),0)</f>
        <v>0</v>
      </c>
      <c r="AF189" s="97">
        <f>IFERROR(VLOOKUP(O189,Surp6!$B$1:$C$161,2,0),0)</f>
        <v>0</v>
      </c>
      <c r="AG189" s="97">
        <f>IFERROR(VLOOKUP(Q189,Surp7!$B$1:$C$161,2,0),0)</f>
        <v>0</v>
      </c>
      <c r="AH189" s="97">
        <f>IFERROR(VLOOKUP(S189,Surp8!$B$1:$C$161,2,0),0)</f>
        <v>0</v>
      </c>
      <c r="AI189" s="97">
        <f>IFERROR(VLOOKUP(U189,Surp9!$B$1:$C$161,2,0),0)</f>
        <v>0</v>
      </c>
      <c r="AJ189" s="97">
        <f>IFERROR(VLOOKUP(W189,Surp10!$B$1:$C$161,2,0),0)</f>
        <v>0</v>
      </c>
      <c r="AK189" s="97">
        <f>IFERROR(VLOOKUP(Y189,Surp11!$B$1:$C$161,2,0),0)</f>
        <v>0</v>
      </c>
    </row>
    <row r="190" ht="15.75" customHeight="1">
      <c r="A190" s="171">
        <v>189.0</v>
      </c>
      <c r="B190" s="103"/>
      <c r="C190" s="136">
        <f t="shared" si="2"/>
        <v>0</v>
      </c>
      <c r="D190" s="136"/>
      <c r="E190" s="137">
        <f>IFERROR(VLOOKUP($B190,Surp1!$A$1:$B$161,2,0),0)</f>
        <v>0</v>
      </c>
      <c r="F190" s="97">
        <f>IFERROR(VLOOKUP(E190,Surp1!$B$1:$C$161,2,0),0)</f>
        <v>0</v>
      </c>
      <c r="G190" s="137">
        <f>IFERROR(VLOOKUP($B190,Surp2!$A$1:$B$161,2,0),0)</f>
        <v>0</v>
      </c>
      <c r="H190" s="97">
        <f>IFERROR(VLOOKUP(G190,Surp2!$B$1:$C$161,2,0),0)</f>
        <v>0</v>
      </c>
      <c r="I190" s="137">
        <f>IFERROR(VLOOKUP($B190,Surp3!$A$1:$B$161,2,0),0)</f>
        <v>0</v>
      </c>
      <c r="J190" s="97">
        <f>IFERROR(VLOOKUP(I190,Surp3!$B$1:$C$161,2,0),0)</f>
        <v>0</v>
      </c>
      <c r="K190" s="137">
        <f>IFERROR(VLOOKUP($B190,Surp4!$A$1:$B$161,2,0),0)</f>
        <v>0</v>
      </c>
      <c r="L190" s="97">
        <f>IFERROR(VLOOKUP(K190,Surp4!$B$1:$C$161,2,0),0)</f>
        <v>0</v>
      </c>
      <c r="M190" s="137">
        <f>IFERROR(VLOOKUP($B190,Surp5!$A$1:$B$161,2,0),0)</f>
        <v>0</v>
      </c>
      <c r="N190" s="97">
        <f>IFERROR(VLOOKUP(M190,Surp5!$B$1:$C$161,2,0),0)</f>
        <v>0</v>
      </c>
      <c r="O190" s="137">
        <f>IFERROR(VLOOKUP($B190,Surp6!$A$1:$B$161,2,0),0)</f>
        <v>0</v>
      </c>
      <c r="P190" s="97">
        <f>IFERROR(VLOOKUP(O190,Surp6!$B$1:$C$161,2,0),0)</f>
        <v>0</v>
      </c>
      <c r="Q190" s="137">
        <f>IFERROR(VLOOKUP($B190,Surp7!$A$1:$B$161,2,0),0)</f>
        <v>0</v>
      </c>
      <c r="R190" s="97">
        <f>IFERROR(VLOOKUP(Q190,Surp7!$B$1:$C$161,2,0),0)</f>
        <v>0</v>
      </c>
      <c r="S190" s="137">
        <f>IFERROR(VLOOKUP($B190,Surp8!$A$1:$B$161,2,0),0)</f>
        <v>0</v>
      </c>
      <c r="T190" s="97">
        <f>IFERROR(VLOOKUP(S190,Surp8!$B$1:$C$161,2,0),0)</f>
        <v>0</v>
      </c>
      <c r="U190" s="137">
        <f>IFERROR(VLOOKUP($B190,Surp9!$A$1:$B$161,2,0),0)</f>
        <v>0</v>
      </c>
      <c r="V190" s="97">
        <f>IFERROR(VLOOKUP(U190,Surp9!$B$1:$C$161,2,0),0)</f>
        <v>0</v>
      </c>
      <c r="W190" s="137">
        <f>IFERROR(VLOOKUP($B190,Surp10!$A$1:$B$161,2,0),0)</f>
        <v>0</v>
      </c>
      <c r="X190" s="97">
        <f>IFERROR(VLOOKUP(W190,Surp10!$B$1:$C$161,2,0),0)</f>
        <v>0</v>
      </c>
      <c r="Y190" s="137">
        <f>IFERROR(VLOOKUP($B190,Surp11!$A$1:$B$161,2,0),0)</f>
        <v>0</v>
      </c>
      <c r="Z190" s="97">
        <f>IFERROR(VLOOKUP(Y190,Surp11!$B$1:$C$161,2,0),0)</f>
        <v>0</v>
      </c>
      <c r="AA190" s="97">
        <f>IFERROR(VLOOKUP(E190,Surp1!$B$1:$C$161,2,0),0)</f>
        <v>0</v>
      </c>
      <c r="AB190" s="97">
        <f>IFERROR(VLOOKUP(G190,Surp2!$B$1:$C$161,2,0),0)</f>
        <v>0</v>
      </c>
      <c r="AC190" s="97">
        <f>IFERROR(VLOOKUP(I190,Surp3!$B$1:$C$161,2,0),0)</f>
        <v>0</v>
      </c>
      <c r="AD190" s="97">
        <f>IFERROR(VLOOKUP(K190,Surp4!$B$1:$C$161,2,0),0)</f>
        <v>0</v>
      </c>
      <c r="AE190" s="97">
        <f>IFERROR(VLOOKUP(M190,Surp5!$B$1:$C$161,2,0),0)</f>
        <v>0</v>
      </c>
      <c r="AF190" s="97">
        <f>IFERROR(VLOOKUP(O190,Surp6!$B$1:$C$161,2,0),0)</f>
        <v>0</v>
      </c>
      <c r="AG190" s="97">
        <f>IFERROR(VLOOKUP(Q190,Surp7!$B$1:$C$161,2,0),0)</f>
        <v>0</v>
      </c>
      <c r="AH190" s="97">
        <f>IFERROR(VLOOKUP(S190,Surp8!$B$1:$C$161,2,0),0)</f>
        <v>0</v>
      </c>
      <c r="AI190" s="97">
        <f>IFERROR(VLOOKUP(U190,Surp9!$B$1:$C$161,2,0),0)</f>
        <v>0</v>
      </c>
      <c r="AJ190" s="97">
        <f>IFERROR(VLOOKUP(W190,Surp10!$B$1:$C$161,2,0),0)</f>
        <v>0</v>
      </c>
      <c r="AK190" s="97">
        <f>IFERROR(VLOOKUP(Y190,Surp11!$B$1:$C$161,2,0),0)</f>
        <v>0</v>
      </c>
    </row>
    <row r="191" ht="15.75" customHeight="1">
      <c r="A191" s="172">
        <v>190.0</v>
      </c>
      <c r="B191" s="103"/>
      <c r="C191" s="136">
        <f t="shared" si="2"/>
        <v>0</v>
      </c>
      <c r="D191" s="136"/>
      <c r="E191" s="137">
        <f>IFERROR(VLOOKUP($B191,Surp1!$A$1:$B$161,2,0),0)</f>
        <v>0</v>
      </c>
      <c r="F191" s="97">
        <f>IFERROR(VLOOKUP(E191,Surp1!$B$1:$C$161,2,0),0)</f>
        <v>0</v>
      </c>
      <c r="G191" s="137">
        <f>IFERROR(VLOOKUP($B191,Surp2!$A$1:$B$161,2,0),0)</f>
        <v>0</v>
      </c>
      <c r="H191" s="97">
        <f>IFERROR(VLOOKUP(G191,Surp2!$B$1:$C$161,2,0),0)</f>
        <v>0</v>
      </c>
      <c r="I191" s="137">
        <f>IFERROR(VLOOKUP($B191,Surp3!$A$1:$B$161,2,0),0)</f>
        <v>0</v>
      </c>
      <c r="J191" s="97">
        <f>IFERROR(VLOOKUP(I191,Surp3!$B$1:$C$161,2,0),0)</f>
        <v>0</v>
      </c>
      <c r="K191" s="137">
        <f>IFERROR(VLOOKUP($B191,Surp4!$A$1:$B$161,2,0),0)</f>
        <v>0</v>
      </c>
      <c r="L191" s="97">
        <f>IFERROR(VLOOKUP(K191,Surp4!$B$1:$C$161,2,0),0)</f>
        <v>0</v>
      </c>
      <c r="M191" s="137">
        <f>IFERROR(VLOOKUP($B191,Surp5!$A$1:$B$161,2,0),0)</f>
        <v>0</v>
      </c>
      <c r="N191" s="97">
        <f>IFERROR(VLOOKUP(M191,Surp5!$B$1:$C$161,2,0),0)</f>
        <v>0</v>
      </c>
      <c r="O191" s="137">
        <f>IFERROR(VLOOKUP($B191,Surp6!$A$1:$B$161,2,0),0)</f>
        <v>0</v>
      </c>
      <c r="P191" s="97">
        <f>IFERROR(VLOOKUP(O191,Surp6!$B$1:$C$161,2,0),0)</f>
        <v>0</v>
      </c>
      <c r="Q191" s="137">
        <f>IFERROR(VLOOKUP($B191,Surp7!$A$1:$B$161,2,0),0)</f>
        <v>0</v>
      </c>
      <c r="R191" s="97">
        <f>IFERROR(VLOOKUP(Q191,Surp7!$B$1:$C$161,2,0),0)</f>
        <v>0</v>
      </c>
      <c r="S191" s="137">
        <f>IFERROR(VLOOKUP($B191,Surp8!$A$1:$B$161,2,0),0)</f>
        <v>0</v>
      </c>
      <c r="T191" s="97">
        <f>IFERROR(VLOOKUP(S191,Surp8!$B$1:$C$161,2,0),0)</f>
        <v>0</v>
      </c>
      <c r="U191" s="137">
        <f>IFERROR(VLOOKUP($B191,Surp9!$A$1:$B$161,2,0),0)</f>
        <v>0</v>
      </c>
      <c r="V191" s="97">
        <f>IFERROR(VLOOKUP(U191,Surp9!$B$1:$C$161,2,0),0)</f>
        <v>0</v>
      </c>
      <c r="W191" s="137">
        <f>IFERROR(VLOOKUP($B191,Surp10!$A$1:$B$161,2,0),0)</f>
        <v>0</v>
      </c>
      <c r="X191" s="97">
        <f>IFERROR(VLOOKUP(W191,Surp10!$B$1:$C$161,2,0),0)</f>
        <v>0</v>
      </c>
      <c r="Y191" s="137">
        <f>IFERROR(VLOOKUP($B191,Surp11!$A$1:$B$161,2,0),0)</f>
        <v>0</v>
      </c>
      <c r="Z191" s="97">
        <f>IFERROR(VLOOKUP(Y191,Surp11!$B$1:$C$161,2,0),0)</f>
        <v>0</v>
      </c>
      <c r="AA191" s="97">
        <f>IFERROR(VLOOKUP(E191,Surp1!$B$1:$C$161,2,0),0)</f>
        <v>0</v>
      </c>
      <c r="AB191" s="97">
        <f>IFERROR(VLOOKUP(G191,Surp2!$B$1:$C$161,2,0),0)</f>
        <v>0</v>
      </c>
      <c r="AC191" s="97">
        <f>IFERROR(VLOOKUP(I191,Surp3!$B$1:$C$161,2,0),0)</f>
        <v>0</v>
      </c>
      <c r="AD191" s="97">
        <f>IFERROR(VLOOKUP(K191,Surp4!$B$1:$C$161,2,0),0)</f>
        <v>0</v>
      </c>
      <c r="AE191" s="97">
        <f>IFERROR(VLOOKUP(M191,Surp5!$B$1:$C$161,2,0),0)</f>
        <v>0</v>
      </c>
      <c r="AF191" s="97">
        <f>IFERROR(VLOOKUP(O191,Surp6!$B$1:$C$161,2,0),0)</f>
        <v>0</v>
      </c>
      <c r="AG191" s="97">
        <f>IFERROR(VLOOKUP(Q191,Surp7!$B$1:$C$161,2,0),0)</f>
        <v>0</v>
      </c>
      <c r="AH191" s="97">
        <f>IFERROR(VLOOKUP(S191,Surp8!$B$1:$C$161,2,0),0)</f>
        <v>0</v>
      </c>
      <c r="AI191" s="97">
        <f>IFERROR(VLOOKUP(U191,Surp9!$B$1:$C$161,2,0),0)</f>
        <v>0</v>
      </c>
      <c r="AJ191" s="97">
        <f>IFERROR(VLOOKUP(W191,Surp10!$B$1:$C$161,2,0),0)</f>
        <v>0</v>
      </c>
      <c r="AK191" s="97">
        <f>IFERROR(VLOOKUP(Y191,Surp11!$B$1:$C$161,2,0),0)</f>
        <v>0</v>
      </c>
    </row>
    <row r="192" ht="15.75" customHeight="1">
      <c r="A192" s="171">
        <v>191.0</v>
      </c>
      <c r="B192" s="103"/>
      <c r="C192" s="136">
        <f t="shared" si="2"/>
        <v>0</v>
      </c>
      <c r="D192" s="136"/>
      <c r="E192" s="137">
        <f>IFERROR(VLOOKUP($B192,Surp1!$A$1:$B$161,2,0),0)</f>
        <v>0</v>
      </c>
      <c r="F192" s="97">
        <f>IFERROR(VLOOKUP(E192,Surp1!$B$1:$C$161,2,0),0)</f>
        <v>0</v>
      </c>
      <c r="G192" s="137">
        <f>IFERROR(VLOOKUP($B192,Surp2!$A$1:$B$161,2,0),0)</f>
        <v>0</v>
      </c>
      <c r="H192" s="97">
        <f>IFERROR(VLOOKUP(G192,Surp2!$B$1:$C$161,2,0),0)</f>
        <v>0</v>
      </c>
      <c r="I192" s="137">
        <f>IFERROR(VLOOKUP($B192,Surp3!$A$1:$B$161,2,0),0)</f>
        <v>0</v>
      </c>
      <c r="J192" s="97">
        <f>IFERROR(VLOOKUP(I192,Surp3!$B$1:$C$161,2,0),0)</f>
        <v>0</v>
      </c>
      <c r="K192" s="137">
        <f>IFERROR(VLOOKUP($B192,Surp4!$A$1:$B$161,2,0),0)</f>
        <v>0</v>
      </c>
      <c r="L192" s="97">
        <f>IFERROR(VLOOKUP(K192,Surp4!$B$1:$C$161,2,0),0)</f>
        <v>0</v>
      </c>
      <c r="M192" s="137">
        <f>IFERROR(VLOOKUP($B192,Surp5!$A$1:$B$161,2,0),0)</f>
        <v>0</v>
      </c>
      <c r="N192" s="97">
        <f>IFERROR(VLOOKUP(M192,Surp5!$B$1:$C$161,2,0),0)</f>
        <v>0</v>
      </c>
      <c r="O192" s="137">
        <f>IFERROR(VLOOKUP($B192,Surp6!$A$1:$B$161,2,0),0)</f>
        <v>0</v>
      </c>
      <c r="P192" s="97">
        <f>IFERROR(VLOOKUP(O192,Surp6!$B$1:$C$161,2,0),0)</f>
        <v>0</v>
      </c>
      <c r="Q192" s="137">
        <f>IFERROR(VLOOKUP($B192,Surp7!$A$1:$B$161,2,0),0)</f>
        <v>0</v>
      </c>
      <c r="R192" s="97">
        <f>IFERROR(VLOOKUP(Q192,Surp7!$B$1:$C$161,2,0),0)</f>
        <v>0</v>
      </c>
      <c r="S192" s="137">
        <f>IFERROR(VLOOKUP($B192,Surp8!$A$1:$B$161,2,0),0)</f>
        <v>0</v>
      </c>
      <c r="T192" s="97">
        <f>IFERROR(VLOOKUP(S192,Surp8!$B$1:$C$161,2,0),0)</f>
        <v>0</v>
      </c>
      <c r="U192" s="137">
        <f>IFERROR(VLOOKUP($B192,Surp9!$A$1:$B$161,2,0),0)</f>
        <v>0</v>
      </c>
      <c r="V192" s="97">
        <f>IFERROR(VLOOKUP(U192,Surp9!$B$1:$C$161,2,0),0)</f>
        <v>0</v>
      </c>
      <c r="W192" s="137">
        <f>IFERROR(VLOOKUP($B192,Surp10!$A$1:$B$161,2,0),0)</f>
        <v>0</v>
      </c>
      <c r="X192" s="97">
        <f>IFERROR(VLOOKUP(W192,Surp10!$B$1:$C$161,2,0),0)</f>
        <v>0</v>
      </c>
      <c r="Y192" s="137">
        <f>IFERROR(VLOOKUP($B192,Surp11!$A$1:$B$161,2,0),0)</f>
        <v>0</v>
      </c>
      <c r="Z192" s="97">
        <f>IFERROR(VLOOKUP(Y192,Surp11!$B$1:$C$161,2,0),0)</f>
        <v>0</v>
      </c>
      <c r="AA192" s="97">
        <f>IFERROR(VLOOKUP(E192,Surp1!$B$1:$C$161,2,0),0)</f>
        <v>0</v>
      </c>
      <c r="AB192" s="97">
        <f>IFERROR(VLOOKUP(G192,Surp2!$B$1:$C$161,2,0),0)</f>
        <v>0</v>
      </c>
      <c r="AC192" s="97">
        <f>IFERROR(VLOOKUP(I192,Surp3!$B$1:$C$161,2,0),0)</f>
        <v>0</v>
      </c>
      <c r="AD192" s="97">
        <f>IFERROR(VLOOKUP(K192,Surp4!$B$1:$C$161,2,0),0)</f>
        <v>0</v>
      </c>
      <c r="AE192" s="97">
        <f>IFERROR(VLOOKUP(M192,Surp5!$B$1:$C$161,2,0),0)</f>
        <v>0</v>
      </c>
      <c r="AF192" s="97">
        <f>IFERROR(VLOOKUP(O192,Surp6!$B$1:$C$161,2,0),0)</f>
        <v>0</v>
      </c>
      <c r="AG192" s="97">
        <f>IFERROR(VLOOKUP(Q192,Surp7!$B$1:$C$161,2,0),0)</f>
        <v>0</v>
      </c>
      <c r="AH192" s="97">
        <f>IFERROR(VLOOKUP(S192,Surp8!$B$1:$C$161,2,0),0)</f>
        <v>0</v>
      </c>
      <c r="AI192" s="97">
        <f>IFERROR(VLOOKUP(U192,Surp9!$B$1:$C$161,2,0),0)</f>
        <v>0</v>
      </c>
      <c r="AJ192" s="97">
        <f>IFERROR(VLOOKUP(W192,Surp10!$B$1:$C$161,2,0),0)</f>
        <v>0</v>
      </c>
      <c r="AK192" s="97">
        <f>IFERROR(VLOOKUP(Y192,Surp11!$B$1:$C$161,2,0),0)</f>
        <v>0</v>
      </c>
    </row>
    <row r="193" ht="15.75" customHeight="1">
      <c r="A193" s="172">
        <v>192.0</v>
      </c>
      <c r="B193" s="103"/>
      <c r="C193" s="136">
        <f t="shared" si="2"/>
        <v>0</v>
      </c>
      <c r="D193" s="136"/>
      <c r="E193" s="137">
        <f>IFERROR(VLOOKUP($B193,Surp1!$A$1:$B$161,2,0),0)</f>
        <v>0</v>
      </c>
      <c r="F193" s="97">
        <f>IFERROR(VLOOKUP(E193,Surp1!$B$1:$C$161,2,0),0)</f>
        <v>0</v>
      </c>
      <c r="G193" s="137">
        <f>IFERROR(VLOOKUP($B193,Surp2!$A$1:$B$161,2,0),0)</f>
        <v>0</v>
      </c>
      <c r="H193" s="97">
        <f>IFERROR(VLOOKUP(G193,Surp2!$B$1:$C$161,2,0),0)</f>
        <v>0</v>
      </c>
      <c r="I193" s="137">
        <f>IFERROR(VLOOKUP($B193,Surp3!$A$1:$B$161,2,0),0)</f>
        <v>0</v>
      </c>
      <c r="J193" s="97">
        <f>IFERROR(VLOOKUP(I193,Surp3!$B$1:$C$161,2,0),0)</f>
        <v>0</v>
      </c>
      <c r="K193" s="137">
        <f>IFERROR(VLOOKUP($B193,Surp4!$A$1:$B$161,2,0),0)</f>
        <v>0</v>
      </c>
      <c r="L193" s="97">
        <f>IFERROR(VLOOKUP(K193,Surp4!$B$1:$C$161,2,0),0)</f>
        <v>0</v>
      </c>
      <c r="M193" s="137">
        <f>IFERROR(VLOOKUP($B193,Surp5!$A$1:$B$161,2,0),0)</f>
        <v>0</v>
      </c>
      <c r="N193" s="97">
        <f>IFERROR(VLOOKUP(M193,Surp5!$B$1:$C$161,2,0),0)</f>
        <v>0</v>
      </c>
      <c r="O193" s="137">
        <f>IFERROR(VLOOKUP($B193,Surp6!$A$1:$B$161,2,0),0)</f>
        <v>0</v>
      </c>
      <c r="P193" s="97">
        <f>IFERROR(VLOOKUP(O193,Surp6!$B$1:$C$161,2,0),0)</f>
        <v>0</v>
      </c>
      <c r="Q193" s="137">
        <f>IFERROR(VLOOKUP($B193,Surp7!$A$1:$B$161,2,0),0)</f>
        <v>0</v>
      </c>
      <c r="R193" s="97">
        <f>IFERROR(VLOOKUP(Q193,Surp7!$B$1:$C$161,2,0),0)</f>
        <v>0</v>
      </c>
      <c r="S193" s="137">
        <f>IFERROR(VLOOKUP($B193,Surp8!$A$1:$B$161,2,0),0)</f>
        <v>0</v>
      </c>
      <c r="T193" s="97">
        <f>IFERROR(VLOOKUP(S193,Surp8!$B$1:$C$161,2,0),0)</f>
        <v>0</v>
      </c>
      <c r="U193" s="137">
        <f>IFERROR(VLOOKUP($B193,Surp9!$A$1:$B$161,2,0),0)</f>
        <v>0</v>
      </c>
      <c r="V193" s="97">
        <f>IFERROR(VLOOKUP(U193,Surp9!$B$1:$C$161,2,0),0)</f>
        <v>0</v>
      </c>
      <c r="W193" s="137">
        <f>IFERROR(VLOOKUP($B193,Surp10!$A$1:$B$161,2,0),0)</f>
        <v>0</v>
      </c>
      <c r="X193" s="97">
        <f>IFERROR(VLOOKUP(W193,Surp10!$B$1:$C$161,2,0),0)</f>
        <v>0</v>
      </c>
      <c r="Y193" s="137">
        <f>IFERROR(VLOOKUP($B193,Surp11!$A$1:$B$161,2,0),0)</f>
        <v>0</v>
      </c>
      <c r="Z193" s="97">
        <f>IFERROR(VLOOKUP(Y193,Surp11!$B$1:$C$161,2,0),0)</f>
        <v>0</v>
      </c>
      <c r="AA193" s="97">
        <f>IFERROR(VLOOKUP(E193,Surp1!$B$1:$C$161,2,0),0)</f>
        <v>0</v>
      </c>
      <c r="AB193" s="97">
        <f>IFERROR(VLOOKUP(G193,Surp2!$B$1:$C$161,2,0),0)</f>
        <v>0</v>
      </c>
      <c r="AC193" s="97">
        <f>IFERROR(VLOOKUP(I193,Surp3!$B$1:$C$161,2,0),0)</f>
        <v>0</v>
      </c>
      <c r="AD193" s="97">
        <f>IFERROR(VLOOKUP(K193,Surp4!$B$1:$C$161,2,0),0)</f>
        <v>0</v>
      </c>
      <c r="AE193" s="97">
        <f>IFERROR(VLOOKUP(M193,Surp5!$B$1:$C$161,2,0),0)</f>
        <v>0</v>
      </c>
      <c r="AF193" s="97">
        <f>IFERROR(VLOOKUP(O193,Surp6!$B$1:$C$161,2,0),0)</f>
        <v>0</v>
      </c>
      <c r="AG193" s="97">
        <f>IFERROR(VLOOKUP(Q193,Surp7!$B$1:$C$161,2,0),0)</f>
        <v>0</v>
      </c>
      <c r="AH193" s="97">
        <f>IFERROR(VLOOKUP(S193,Surp8!$B$1:$C$161,2,0),0)</f>
        <v>0</v>
      </c>
      <c r="AI193" s="97">
        <f>IFERROR(VLOOKUP(U193,Surp9!$B$1:$C$161,2,0),0)</f>
        <v>0</v>
      </c>
      <c r="AJ193" s="97">
        <f>IFERROR(VLOOKUP(W193,Surp10!$B$1:$C$161,2,0),0)</f>
        <v>0</v>
      </c>
      <c r="AK193" s="97">
        <f>IFERROR(VLOOKUP(Y193,Surp11!$B$1:$C$161,2,0),0)</f>
        <v>0</v>
      </c>
    </row>
    <row r="194" ht="15.75" customHeight="1">
      <c r="A194" s="171">
        <v>193.0</v>
      </c>
      <c r="B194" s="103"/>
      <c r="C194" s="136">
        <f t="shared" si="2"/>
        <v>0</v>
      </c>
      <c r="D194" s="136"/>
      <c r="E194" s="137">
        <f>IFERROR(VLOOKUP($B194,Surp1!$A$1:$B$161,2,0),0)</f>
        <v>0</v>
      </c>
      <c r="F194" s="97">
        <f>IFERROR(VLOOKUP(E194,Surp1!$B$1:$C$161,2,0),0)</f>
        <v>0</v>
      </c>
      <c r="G194" s="137">
        <f>IFERROR(VLOOKUP($B194,Surp2!$A$1:$B$161,2,0),0)</f>
        <v>0</v>
      </c>
      <c r="H194" s="97">
        <f>IFERROR(VLOOKUP(G194,Surp2!$B$1:$C$161,2,0),0)</f>
        <v>0</v>
      </c>
      <c r="I194" s="137">
        <f>IFERROR(VLOOKUP($B194,Surp3!$A$1:$B$161,2,0),0)</f>
        <v>0</v>
      </c>
      <c r="J194" s="97">
        <f>IFERROR(VLOOKUP(I194,Surp3!$B$1:$C$161,2,0),0)</f>
        <v>0</v>
      </c>
      <c r="K194" s="137">
        <f>IFERROR(VLOOKUP($B194,Surp4!$A$1:$B$161,2,0),0)</f>
        <v>0</v>
      </c>
      <c r="L194" s="97">
        <f>IFERROR(VLOOKUP(K194,Surp4!$B$1:$C$161,2,0),0)</f>
        <v>0</v>
      </c>
      <c r="M194" s="137">
        <f>IFERROR(VLOOKUP($B194,Surp5!$A$1:$B$161,2,0),0)</f>
        <v>0</v>
      </c>
      <c r="N194" s="97">
        <f>IFERROR(VLOOKUP(M194,Surp5!$B$1:$C$161,2,0),0)</f>
        <v>0</v>
      </c>
      <c r="O194" s="137">
        <f>IFERROR(VLOOKUP($B194,Surp6!$A$1:$B$161,2,0),0)</f>
        <v>0</v>
      </c>
      <c r="P194" s="97">
        <f>IFERROR(VLOOKUP(O194,Surp6!$B$1:$C$161,2,0),0)</f>
        <v>0</v>
      </c>
      <c r="Q194" s="137">
        <f>IFERROR(VLOOKUP($B194,Surp7!$A$1:$B$161,2,0),0)</f>
        <v>0</v>
      </c>
      <c r="R194" s="97">
        <f>IFERROR(VLOOKUP(Q194,Surp7!$B$1:$C$161,2,0),0)</f>
        <v>0</v>
      </c>
      <c r="S194" s="137">
        <f>IFERROR(VLOOKUP($B194,Surp8!$A$1:$B$161,2,0),0)</f>
        <v>0</v>
      </c>
      <c r="T194" s="97">
        <f>IFERROR(VLOOKUP(S194,Surp8!$B$1:$C$161,2,0),0)</f>
        <v>0</v>
      </c>
      <c r="U194" s="137">
        <f>IFERROR(VLOOKUP($B194,Surp9!$A$1:$B$161,2,0),0)</f>
        <v>0</v>
      </c>
      <c r="V194" s="97">
        <f>IFERROR(VLOOKUP(U194,Surp9!$B$1:$C$161,2,0),0)</f>
        <v>0</v>
      </c>
      <c r="W194" s="137">
        <f>IFERROR(VLOOKUP($B194,Surp10!$A$1:$B$161,2,0),0)</f>
        <v>0</v>
      </c>
      <c r="X194" s="97">
        <f>IFERROR(VLOOKUP(W194,Surp10!$B$1:$C$161,2,0),0)</f>
        <v>0</v>
      </c>
      <c r="Y194" s="137">
        <f>IFERROR(VLOOKUP($B194,Surp11!$A$1:$B$161,2,0),0)</f>
        <v>0</v>
      </c>
      <c r="Z194" s="97">
        <f>IFERROR(VLOOKUP(Y194,Surp11!$B$1:$C$161,2,0),0)</f>
        <v>0</v>
      </c>
      <c r="AA194" s="97">
        <f>IFERROR(VLOOKUP(E194,Surp1!$B$1:$C$161,2,0),0)</f>
        <v>0</v>
      </c>
      <c r="AB194" s="97">
        <f>IFERROR(VLOOKUP(G194,Surp2!$B$1:$C$161,2,0),0)</f>
        <v>0</v>
      </c>
      <c r="AC194" s="97">
        <f>IFERROR(VLOOKUP(I194,Surp3!$B$1:$C$161,2,0),0)</f>
        <v>0</v>
      </c>
      <c r="AD194" s="97">
        <f>IFERROR(VLOOKUP(K194,Surp4!$B$1:$C$161,2,0),0)</f>
        <v>0</v>
      </c>
      <c r="AE194" s="97">
        <f>IFERROR(VLOOKUP(M194,Surp5!$B$1:$C$161,2,0),0)</f>
        <v>0</v>
      </c>
      <c r="AF194" s="97">
        <f>IFERROR(VLOOKUP(O194,Surp6!$B$1:$C$161,2,0),0)</f>
        <v>0</v>
      </c>
      <c r="AG194" s="97">
        <f>IFERROR(VLOOKUP(Q194,Surp7!$B$1:$C$161,2,0),0)</f>
        <v>0</v>
      </c>
      <c r="AH194" s="97">
        <f>IFERROR(VLOOKUP(S194,Surp8!$B$1:$C$161,2,0),0)</f>
        <v>0</v>
      </c>
      <c r="AI194" s="97">
        <f>IFERROR(VLOOKUP(U194,Surp9!$B$1:$C$161,2,0),0)</f>
        <v>0</v>
      </c>
      <c r="AJ194" s="97">
        <f>IFERROR(VLOOKUP(W194,Surp10!$B$1:$C$161,2,0),0)</f>
        <v>0</v>
      </c>
      <c r="AK194" s="97">
        <f>IFERROR(VLOOKUP(Y194,Surp11!$B$1:$C$161,2,0),0)</f>
        <v>0</v>
      </c>
    </row>
    <row r="195" ht="15.75" customHeight="1">
      <c r="A195" s="172">
        <v>194.0</v>
      </c>
      <c r="B195" s="103"/>
      <c r="C195" s="136">
        <f t="shared" si="2"/>
        <v>0</v>
      </c>
      <c r="D195" s="136"/>
      <c r="E195" s="137">
        <f>IFERROR(VLOOKUP($B195,Surp1!$A$1:$B$161,2,0),0)</f>
        <v>0</v>
      </c>
      <c r="F195" s="97">
        <f>IFERROR(VLOOKUP(E195,Surp1!$B$1:$C$161,2,0),0)</f>
        <v>0</v>
      </c>
      <c r="G195" s="137">
        <f>IFERROR(VLOOKUP($B195,Surp2!$A$1:$B$161,2,0),0)</f>
        <v>0</v>
      </c>
      <c r="H195" s="97">
        <f>IFERROR(VLOOKUP(G195,Surp2!$B$1:$C$161,2,0),0)</f>
        <v>0</v>
      </c>
      <c r="I195" s="137">
        <f>IFERROR(VLOOKUP($B195,Surp3!$A$1:$B$161,2,0),0)</f>
        <v>0</v>
      </c>
      <c r="J195" s="97">
        <f>IFERROR(VLOOKUP(I195,Surp3!$B$1:$C$161,2,0),0)</f>
        <v>0</v>
      </c>
      <c r="K195" s="137">
        <f>IFERROR(VLOOKUP($B195,Surp4!$A$1:$B$161,2,0),0)</f>
        <v>0</v>
      </c>
      <c r="L195" s="97">
        <f>IFERROR(VLOOKUP(K195,Surp4!$B$1:$C$161,2,0),0)</f>
        <v>0</v>
      </c>
      <c r="M195" s="137">
        <f>IFERROR(VLOOKUP($B195,Surp5!$A$1:$B$161,2,0),0)</f>
        <v>0</v>
      </c>
      <c r="N195" s="97">
        <f>IFERROR(VLOOKUP(M195,Surp5!$B$1:$C$161,2,0),0)</f>
        <v>0</v>
      </c>
      <c r="O195" s="137">
        <f>IFERROR(VLOOKUP($B195,Surp6!$A$1:$B$161,2,0),0)</f>
        <v>0</v>
      </c>
      <c r="P195" s="97">
        <f>IFERROR(VLOOKUP(O195,Surp6!$B$1:$C$161,2,0),0)</f>
        <v>0</v>
      </c>
      <c r="Q195" s="137">
        <f>IFERROR(VLOOKUP($B195,Surp7!$A$1:$B$161,2,0),0)</f>
        <v>0</v>
      </c>
      <c r="R195" s="97">
        <f>IFERROR(VLOOKUP(Q195,Surp7!$B$1:$C$161,2,0),0)</f>
        <v>0</v>
      </c>
      <c r="S195" s="137">
        <f>IFERROR(VLOOKUP($B195,Surp8!$A$1:$B$161,2,0),0)</f>
        <v>0</v>
      </c>
      <c r="T195" s="97">
        <f>IFERROR(VLOOKUP(S195,Surp8!$B$1:$C$161,2,0),0)</f>
        <v>0</v>
      </c>
      <c r="U195" s="137">
        <f>IFERROR(VLOOKUP($B195,Surp9!$A$1:$B$161,2,0),0)</f>
        <v>0</v>
      </c>
      <c r="V195" s="97">
        <f>IFERROR(VLOOKUP(U195,Surp9!$B$1:$C$161,2,0),0)</f>
        <v>0</v>
      </c>
      <c r="W195" s="137">
        <f>IFERROR(VLOOKUP($B195,Surp10!$A$1:$B$161,2,0),0)</f>
        <v>0</v>
      </c>
      <c r="X195" s="97">
        <f>IFERROR(VLOOKUP(W195,Surp10!$B$1:$C$161,2,0),0)</f>
        <v>0</v>
      </c>
      <c r="Y195" s="137">
        <f>IFERROR(VLOOKUP($B195,Surp11!$A$1:$B$161,2,0),0)</f>
        <v>0</v>
      </c>
      <c r="Z195" s="97">
        <f>IFERROR(VLOOKUP(Y195,Surp11!$B$1:$C$161,2,0),0)</f>
        <v>0</v>
      </c>
      <c r="AA195" s="97">
        <f>IFERROR(VLOOKUP(E195,Surp1!$B$1:$C$161,2,0),0)</f>
        <v>0</v>
      </c>
      <c r="AB195" s="97">
        <f>IFERROR(VLOOKUP(G195,Surp2!$B$1:$C$161,2,0),0)</f>
        <v>0</v>
      </c>
      <c r="AC195" s="97">
        <f>IFERROR(VLOOKUP(I195,Surp3!$B$1:$C$161,2,0),0)</f>
        <v>0</v>
      </c>
      <c r="AD195" s="97">
        <f>IFERROR(VLOOKUP(K195,Surp4!$B$1:$C$161,2,0),0)</f>
        <v>0</v>
      </c>
      <c r="AE195" s="97">
        <f>IFERROR(VLOOKUP(M195,Surp5!$B$1:$C$161,2,0),0)</f>
        <v>0</v>
      </c>
      <c r="AF195" s="97">
        <f>IFERROR(VLOOKUP(O195,Surp6!$B$1:$C$161,2,0),0)</f>
        <v>0</v>
      </c>
      <c r="AG195" s="97">
        <f>IFERROR(VLOOKUP(Q195,Surp7!$B$1:$C$161,2,0),0)</f>
        <v>0</v>
      </c>
      <c r="AH195" s="97">
        <f>IFERROR(VLOOKUP(S195,Surp8!$B$1:$C$161,2,0),0)</f>
        <v>0</v>
      </c>
      <c r="AI195" s="97">
        <f>IFERROR(VLOOKUP(U195,Surp9!$B$1:$C$161,2,0),0)</f>
        <v>0</v>
      </c>
      <c r="AJ195" s="97">
        <f>IFERROR(VLOOKUP(W195,Surp10!$B$1:$C$161,2,0),0)</f>
        <v>0</v>
      </c>
      <c r="AK195" s="97">
        <f>IFERROR(VLOOKUP(Y195,Surp11!$B$1:$C$161,2,0),0)</f>
        <v>0</v>
      </c>
    </row>
    <row r="196" ht="15.75" customHeight="1">
      <c r="A196" s="171">
        <v>195.0</v>
      </c>
      <c r="B196" s="103"/>
      <c r="C196" s="136">
        <f t="shared" si="2"/>
        <v>0</v>
      </c>
      <c r="D196" s="136"/>
      <c r="E196" s="137">
        <f>IFERROR(VLOOKUP($B196,Surp1!$A$1:$B$161,2,0),0)</f>
        <v>0</v>
      </c>
      <c r="F196" s="97">
        <f>IFERROR(VLOOKUP(E196,Surp1!$B$1:$C$161,2,0),0)</f>
        <v>0</v>
      </c>
      <c r="G196" s="137">
        <f>IFERROR(VLOOKUP($B196,Surp2!$A$1:$B$161,2,0),0)</f>
        <v>0</v>
      </c>
      <c r="H196" s="97">
        <f>IFERROR(VLOOKUP(G196,Surp2!$B$1:$C$161,2,0),0)</f>
        <v>0</v>
      </c>
      <c r="I196" s="137">
        <f>IFERROR(VLOOKUP($B196,Surp3!$A$1:$B$161,2,0),0)</f>
        <v>0</v>
      </c>
      <c r="J196" s="97">
        <f>IFERROR(VLOOKUP(I196,Surp3!$B$1:$C$161,2,0),0)</f>
        <v>0</v>
      </c>
      <c r="K196" s="137">
        <f>IFERROR(VLOOKUP($B196,Surp4!$A$1:$B$161,2,0),0)</f>
        <v>0</v>
      </c>
      <c r="L196" s="97">
        <f>IFERROR(VLOOKUP(K196,Surp4!$B$1:$C$161,2,0),0)</f>
        <v>0</v>
      </c>
      <c r="M196" s="137">
        <f>IFERROR(VLOOKUP($B196,Surp5!$A$1:$B$161,2,0),0)</f>
        <v>0</v>
      </c>
      <c r="N196" s="97">
        <f>IFERROR(VLOOKUP(M196,Surp5!$B$1:$C$161,2,0),0)</f>
        <v>0</v>
      </c>
      <c r="O196" s="137">
        <f>IFERROR(VLOOKUP($B196,Surp6!$A$1:$B$161,2,0),0)</f>
        <v>0</v>
      </c>
      <c r="P196" s="97">
        <f>IFERROR(VLOOKUP(O196,Surp6!$B$1:$C$161,2,0),0)</f>
        <v>0</v>
      </c>
      <c r="Q196" s="137">
        <f>IFERROR(VLOOKUP($B196,Surp7!$A$1:$B$161,2,0),0)</f>
        <v>0</v>
      </c>
      <c r="R196" s="97">
        <f>IFERROR(VLOOKUP(Q196,Surp7!$B$1:$C$161,2,0),0)</f>
        <v>0</v>
      </c>
      <c r="S196" s="137">
        <f>IFERROR(VLOOKUP($B196,Surp8!$A$1:$B$161,2,0),0)</f>
        <v>0</v>
      </c>
      <c r="T196" s="97">
        <f>IFERROR(VLOOKUP(S196,Surp8!$B$1:$C$161,2,0),0)</f>
        <v>0</v>
      </c>
      <c r="U196" s="137">
        <f>IFERROR(VLOOKUP($B196,Surp9!$A$1:$B$161,2,0),0)</f>
        <v>0</v>
      </c>
      <c r="V196" s="97">
        <f>IFERROR(VLOOKUP(U196,Surp9!$B$1:$C$161,2,0),0)</f>
        <v>0</v>
      </c>
      <c r="W196" s="137">
        <f>IFERROR(VLOOKUP($B196,Surp10!$A$1:$B$161,2,0),0)</f>
        <v>0</v>
      </c>
      <c r="X196" s="97">
        <f>IFERROR(VLOOKUP(W196,Surp10!$B$1:$C$161,2,0),0)</f>
        <v>0</v>
      </c>
      <c r="Y196" s="137">
        <f>IFERROR(VLOOKUP($B196,Surp11!$A$1:$B$161,2,0),0)</f>
        <v>0</v>
      </c>
      <c r="Z196" s="97">
        <f>IFERROR(VLOOKUP(Y196,Surp11!$B$1:$C$161,2,0),0)</f>
        <v>0</v>
      </c>
      <c r="AA196" s="97">
        <f>IFERROR(VLOOKUP(E196,Surp1!$B$1:$C$161,2,0),0)</f>
        <v>0</v>
      </c>
      <c r="AB196" s="97">
        <f>IFERROR(VLOOKUP(G196,Surp2!$B$1:$C$161,2,0),0)</f>
        <v>0</v>
      </c>
      <c r="AC196" s="97">
        <f>IFERROR(VLOOKUP(I196,Surp3!$B$1:$C$161,2,0),0)</f>
        <v>0</v>
      </c>
      <c r="AD196" s="97">
        <f>IFERROR(VLOOKUP(K196,Surp4!$B$1:$C$161,2,0),0)</f>
        <v>0</v>
      </c>
      <c r="AE196" s="97">
        <f>IFERROR(VLOOKUP(M196,Surp5!$B$1:$C$161,2,0),0)</f>
        <v>0</v>
      </c>
      <c r="AF196" s="97">
        <f>IFERROR(VLOOKUP(O196,Surp6!$B$1:$C$161,2,0),0)</f>
        <v>0</v>
      </c>
      <c r="AG196" s="97">
        <f>IFERROR(VLOOKUP(Q196,Surp7!$B$1:$C$161,2,0),0)</f>
        <v>0</v>
      </c>
      <c r="AH196" s="97">
        <f>IFERROR(VLOOKUP(S196,Surp8!$B$1:$C$161,2,0),0)</f>
        <v>0</v>
      </c>
      <c r="AI196" s="97">
        <f>IFERROR(VLOOKUP(U196,Surp9!$B$1:$C$161,2,0),0)</f>
        <v>0</v>
      </c>
      <c r="AJ196" s="97">
        <f>IFERROR(VLOOKUP(W196,Surp10!$B$1:$C$161,2,0),0)</f>
        <v>0</v>
      </c>
      <c r="AK196" s="97">
        <f>IFERROR(VLOOKUP(Y196,Surp11!$B$1:$C$161,2,0),0)</f>
        <v>0</v>
      </c>
    </row>
    <row r="197" ht="15.75" customHeight="1">
      <c r="A197" s="172">
        <v>196.0</v>
      </c>
      <c r="B197" s="103"/>
      <c r="C197" s="136">
        <f t="shared" si="2"/>
        <v>0</v>
      </c>
      <c r="D197" s="136"/>
      <c r="E197" s="137">
        <f>IFERROR(VLOOKUP($B197,Surp1!$A$1:$B$161,2,0),0)</f>
        <v>0</v>
      </c>
      <c r="F197" s="97">
        <f>IFERROR(VLOOKUP(E197,Surp1!$B$1:$C$161,2,0),0)</f>
        <v>0</v>
      </c>
      <c r="G197" s="137">
        <f>IFERROR(VLOOKUP($B197,Surp2!$A$1:$B$161,2,0),0)</f>
        <v>0</v>
      </c>
      <c r="H197" s="97">
        <f>IFERROR(VLOOKUP(G197,Surp2!$B$1:$C$161,2,0),0)</f>
        <v>0</v>
      </c>
      <c r="I197" s="137">
        <f>IFERROR(VLOOKUP($B197,Surp3!$A$1:$B$161,2,0),0)</f>
        <v>0</v>
      </c>
      <c r="J197" s="97">
        <f>IFERROR(VLOOKUP(I197,Surp3!$B$1:$C$161,2,0),0)</f>
        <v>0</v>
      </c>
      <c r="K197" s="137">
        <f>IFERROR(VLOOKUP($B197,Surp4!$A$1:$B$161,2,0),0)</f>
        <v>0</v>
      </c>
      <c r="L197" s="97">
        <f>IFERROR(VLOOKUP(K197,Surp4!$B$1:$C$161,2,0),0)</f>
        <v>0</v>
      </c>
      <c r="M197" s="137">
        <f>IFERROR(VLOOKUP($B197,Surp5!$A$1:$B$161,2,0),0)</f>
        <v>0</v>
      </c>
      <c r="N197" s="97">
        <f>IFERROR(VLOOKUP(M197,Surp5!$B$1:$C$161,2,0),0)</f>
        <v>0</v>
      </c>
      <c r="O197" s="137">
        <f>IFERROR(VLOOKUP($B197,Surp6!$A$1:$B$161,2,0),0)</f>
        <v>0</v>
      </c>
      <c r="P197" s="97">
        <f>IFERROR(VLOOKUP(O197,Surp6!$B$1:$C$161,2,0),0)</f>
        <v>0</v>
      </c>
      <c r="Q197" s="137">
        <f>IFERROR(VLOOKUP($B197,Surp7!$A$1:$B$161,2,0),0)</f>
        <v>0</v>
      </c>
      <c r="R197" s="97">
        <f>IFERROR(VLOOKUP(Q197,Surp7!$B$1:$C$161,2,0),0)</f>
        <v>0</v>
      </c>
      <c r="S197" s="137">
        <f>IFERROR(VLOOKUP($B197,Surp8!$A$1:$B$161,2,0),0)</f>
        <v>0</v>
      </c>
      <c r="T197" s="97">
        <f>IFERROR(VLOOKUP(S197,Surp8!$B$1:$C$161,2,0),0)</f>
        <v>0</v>
      </c>
      <c r="U197" s="137">
        <f>IFERROR(VLOOKUP($B197,Surp9!$A$1:$B$161,2,0),0)</f>
        <v>0</v>
      </c>
      <c r="V197" s="97">
        <f>IFERROR(VLOOKUP(U197,Surp9!$B$1:$C$161,2,0),0)</f>
        <v>0</v>
      </c>
      <c r="W197" s="137">
        <f>IFERROR(VLOOKUP($B197,Surp10!$A$1:$B$161,2,0),0)</f>
        <v>0</v>
      </c>
      <c r="X197" s="97">
        <f>IFERROR(VLOOKUP(W197,Surp10!$B$1:$C$161,2,0),0)</f>
        <v>0</v>
      </c>
      <c r="Y197" s="137">
        <f>IFERROR(VLOOKUP($B197,Surp11!$A$1:$B$161,2,0),0)</f>
        <v>0</v>
      </c>
      <c r="Z197" s="97">
        <f>IFERROR(VLOOKUP(Y197,Surp11!$B$1:$C$161,2,0),0)</f>
        <v>0</v>
      </c>
      <c r="AA197" s="97">
        <f>IFERROR(VLOOKUP(E197,Surp1!$B$1:$C$161,2,0),0)</f>
        <v>0</v>
      </c>
      <c r="AB197" s="97">
        <f>IFERROR(VLOOKUP(G197,Surp2!$B$1:$C$161,2,0),0)</f>
        <v>0</v>
      </c>
      <c r="AC197" s="97">
        <f>IFERROR(VLOOKUP(I197,Surp3!$B$1:$C$161,2,0),0)</f>
        <v>0</v>
      </c>
      <c r="AD197" s="97">
        <f>IFERROR(VLOOKUP(K197,Surp4!$B$1:$C$161,2,0),0)</f>
        <v>0</v>
      </c>
      <c r="AE197" s="97">
        <f>IFERROR(VLOOKUP(M197,Surp5!$B$1:$C$161,2,0),0)</f>
        <v>0</v>
      </c>
      <c r="AF197" s="97">
        <f>IFERROR(VLOOKUP(O197,Surp6!$B$1:$C$161,2,0),0)</f>
        <v>0</v>
      </c>
      <c r="AG197" s="97">
        <f>IFERROR(VLOOKUP(Q197,Surp7!$B$1:$C$161,2,0),0)</f>
        <v>0</v>
      </c>
      <c r="AH197" s="97">
        <f>IFERROR(VLOOKUP(S197,Surp8!$B$1:$C$161,2,0),0)</f>
        <v>0</v>
      </c>
      <c r="AI197" s="97">
        <f>IFERROR(VLOOKUP(U197,Surp9!$B$1:$C$161,2,0),0)</f>
        <v>0</v>
      </c>
      <c r="AJ197" s="97">
        <f>IFERROR(VLOOKUP(W197,Surp10!$B$1:$C$161,2,0),0)</f>
        <v>0</v>
      </c>
      <c r="AK197" s="97">
        <f>IFERROR(VLOOKUP(Y197,Surp11!$B$1:$C$161,2,0),0)</f>
        <v>0</v>
      </c>
    </row>
    <row r="198" ht="15.75" customHeight="1">
      <c r="A198" s="171">
        <v>197.0</v>
      </c>
      <c r="B198" s="103"/>
      <c r="C198" s="136">
        <f t="shared" si="2"/>
        <v>0</v>
      </c>
      <c r="D198" s="136"/>
      <c r="E198" s="137">
        <f>IFERROR(VLOOKUP($B198,Surp1!$A$1:$B$161,2,0),0)</f>
        <v>0</v>
      </c>
      <c r="F198" s="97">
        <f>IFERROR(VLOOKUP(E198,Surp1!$B$1:$C$161,2,0),0)</f>
        <v>0</v>
      </c>
      <c r="G198" s="137">
        <f>IFERROR(VLOOKUP($B198,Surp2!$A$1:$B$161,2,0),0)</f>
        <v>0</v>
      </c>
      <c r="H198" s="97">
        <f>IFERROR(VLOOKUP(G198,Surp2!$B$1:$C$161,2,0),0)</f>
        <v>0</v>
      </c>
      <c r="I198" s="137">
        <f>IFERROR(VLOOKUP($B198,Surp3!$A$1:$B$161,2,0),0)</f>
        <v>0</v>
      </c>
      <c r="J198" s="97">
        <f>IFERROR(VLOOKUP(I198,Surp3!$B$1:$C$161,2,0),0)</f>
        <v>0</v>
      </c>
      <c r="K198" s="137">
        <f>IFERROR(VLOOKUP($B198,Surp4!$A$1:$B$161,2,0),0)</f>
        <v>0</v>
      </c>
      <c r="L198" s="97">
        <f>IFERROR(VLOOKUP(K198,Surp4!$B$1:$C$161,2,0),0)</f>
        <v>0</v>
      </c>
      <c r="M198" s="137">
        <f>IFERROR(VLOOKUP($B198,Surp5!$A$1:$B$161,2,0),0)</f>
        <v>0</v>
      </c>
      <c r="N198" s="97">
        <f>IFERROR(VLOOKUP(M198,Surp5!$B$1:$C$161,2,0),0)</f>
        <v>0</v>
      </c>
      <c r="O198" s="137">
        <f>IFERROR(VLOOKUP($B198,Surp6!$A$1:$B$161,2,0),0)</f>
        <v>0</v>
      </c>
      <c r="P198" s="97">
        <f>IFERROR(VLOOKUP(O198,Surp6!$B$1:$C$161,2,0),0)</f>
        <v>0</v>
      </c>
      <c r="Q198" s="137">
        <f>IFERROR(VLOOKUP($B198,Surp7!$A$1:$B$161,2,0),0)</f>
        <v>0</v>
      </c>
      <c r="R198" s="97">
        <f>IFERROR(VLOOKUP(Q198,Surp7!$B$1:$C$161,2,0),0)</f>
        <v>0</v>
      </c>
      <c r="S198" s="137">
        <f>IFERROR(VLOOKUP($B198,Surp8!$A$1:$B$161,2,0),0)</f>
        <v>0</v>
      </c>
      <c r="T198" s="97">
        <f>IFERROR(VLOOKUP(S198,Surp8!$B$1:$C$161,2,0),0)</f>
        <v>0</v>
      </c>
      <c r="U198" s="137">
        <f>IFERROR(VLOOKUP($B198,Surp9!$A$1:$B$161,2,0),0)</f>
        <v>0</v>
      </c>
      <c r="V198" s="97">
        <f>IFERROR(VLOOKUP(U198,Surp9!$B$1:$C$161,2,0),0)</f>
        <v>0</v>
      </c>
      <c r="W198" s="137">
        <f>IFERROR(VLOOKUP($B198,Surp10!$A$1:$B$161,2,0),0)</f>
        <v>0</v>
      </c>
      <c r="X198" s="97">
        <f>IFERROR(VLOOKUP(W198,Surp10!$B$1:$C$161,2,0),0)</f>
        <v>0</v>
      </c>
      <c r="Y198" s="137">
        <f>IFERROR(VLOOKUP($B198,Surp11!$A$1:$B$161,2,0),0)</f>
        <v>0</v>
      </c>
      <c r="Z198" s="97">
        <f>IFERROR(VLOOKUP(Y198,Surp11!$B$1:$C$161,2,0),0)</f>
        <v>0</v>
      </c>
      <c r="AA198" s="97">
        <f>IFERROR(VLOOKUP(E198,Surp1!$B$1:$C$161,2,0),0)</f>
        <v>0</v>
      </c>
      <c r="AB198" s="97">
        <f>IFERROR(VLOOKUP(G198,Surp2!$B$1:$C$161,2,0),0)</f>
        <v>0</v>
      </c>
      <c r="AC198" s="97">
        <f>IFERROR(VLOOKUP(I198,Surp3!$B$1:$C$161,2,0),0)</f>
        <v>0</v>
      </c>
      <c r="AD198" s="97">
        <f>IFERROR(VLOOKUP(K198,Surp4!$B$1:$C$161,2,0),0)</f>
        <v>0</v>
      </c>
      <c r="AE198" s="97">
        <f>IFERROR(VLOOKUP(M198,Surp5!$B$1:$C$161,2,0),0)</f>
        <v>0</v>
      </c>
      <c r="AF198" s="97">
        <f>IFERROR(VLOOKUP(O198,Surp6!$B$1:$C$161,2,0),0)</f>
        <v>0</v>
      </c>
      <c r="AG198" s="97">
        <f>IFERROR(VLOOKUP(Q198,Surp7!$B$1:$C$161,2,0),0)</f>
        <v>0</v>
      </c>
      <c r="AH198" s="97">
        <f>IFERROR(VLOOKUP(S198,Surp8!$B$1:$C$161,2,0),0)</f>
        <v>0</v>
      </c>
      <c r="AI198" s="97">
        <f>IFERROR(VLOOKUP(U198,Surp9!$B$1:$C$161,2,0),0)</f>
        <v>0</v>
      </c>
      <c r="AJ198" s="97">
        <f>IFERROR(VLOOKUP(W198,Surp10!$B$1:$C$161,2,0),0)</f>
        <v>0</v>
      </c>
      <c r="AK198" s="97">
        <f>IFERROR(VLOOKUP(Y198,Surp11!$B$1:$C$161,2,0),0)</f>
        <v>0</v>
      </c>
    </row>
    <row r="199" ht="15.75" customHeight="1">
      <c r="A199" s="172">
        <v>198.0</v>
      </c>
      <c r="B199" s="103"/>
      <c r="C199" s="136">
        <f t="shared" si="2"/>
        <v>0</v>
      </c>
      <c r="D199" s="136"/>
      <c r="E199" s="137">
        <f>IFERROR(VLOOKUP($B199,Surp1!$A$1:$B$161,2,0),0)</f>
        <v>0</v>
      </c>
      <c r="F199" s="97">
        <f>IFERROR(VLOOKUP(E199,Surp1!$B$1:$C$161,2,0),0)</f>
        <v>0</v>
      </c>
      <c r="G199" s="137">
        <f>IFERROR(VLOOKUP($B199,Surp2!$A$1:$B$161,2,0),0)</f>
        <v>0</v>
      </c>
      <c r="H199" s="97">
        <f>IFERROR(VLOOKUP(G199,Surp2!$B$1:$C$161,2,0),0)</f>
        <v>0</v>
      </c>
      <c r="I199" s="137">
        <f>IFERROR(VLOOKUP($B199,Surp3!$A$1:$B$161,2,0),0)</f>
        <v>0</v>
      </c>
      <c r="J199" s="97">
        <f>IFERROR(VLOOKUP(I199,Surp3!$B$1:$C$161,2,0),0)</f>
        <v>0</v>
      </c>
      <c r="K199" s="137">
        <f>IFERROR(VLOOKUP($B199,Surp4!$A$1:$B$161,2,0),0)</f>
        <v>0</v>
      </c>
      <c r="L199" s="97">
        <f>IFERROR(VLOOKUP(K199,Surp4!$B$1:$C$161,2,0),0)</f>
        <v>0</v>
      </c>
      <c r="M199" s="137">
        <f>IFERROR(VLOOKUP($B199,Surp5!$A$1:$B$161,2,0),0)</f>
        <v>0</v>
      </c>
      <c r="N199" s="97">
        <f>IFERROR(VLOOKUP(M199,Surp5!$B$1:$C$161,2,0),0)</f>
        <v>0</v>
      </c>
      <c r="O199" s="137">
        <f>IFERROR(VLOOKUP($B199,Surp6!$A$1:$B$161,2,0),0)</f>
        <v>0</v>
      </c>
      <c r="P199" s="97">
        <f>IFERROR(VLOOKUP(O199,Surp6!$B$1:$C$161,2,0),0)</f>
        <v>0</v>
      </c>
      <c r="Q199" s="137">
        <f>IFERROR(VLOOKUP($B199,Surp7!$A$1:$B$161,2,0),0)</f>
        <v>0</v>
      </c>
      <c r="R199" s="97">
        <f>IFERROR(VLOOKUP(Q199,Surp7!$B$1:$C$161,2,0),0)</f>
        <v>0</v>
      </c>
      <c r="S199" s="137">
        <f>IFERROR(VLOOKUP($B199,Surp8!$A$1:$B$161,2,0),0)</f>
        <v>0</v>
      </c>
      <c r="T199" s="97">
        <f>IFERROR(VLOOKUP(S199,Surp8!$B$1:$C$161,2,0),0)</f>
        <v>0</v>
      </c>
      <c r="U199" s="137">
        <f>IFERROR(VLOOKUP($B199,Surp9!$A$1:$B$161,2,0),0)</f>
        <v>0</v>
      </c>
      <c r="V199" s="97">
        <f>IFERROR(VLOOKUP(U199,Surp9!$B$1:$C$161,2,0),0)</f>
        <v>0</v>
      </c>
      <c r="W199" s="137">
        <f>IFERROR(VLOOKUP($B199,Surp10!$A$1:$B$161,2,0),0)</f>
        <v>0</v>
      </c>
      <c r="X199" s="97">
        <f>IFERROR(VLOOKUP(W199,Surp10!$B$1:$C$161,2,0),0)</f>
        <v>0</v>
      </c>
      <c r="Y199" s="137">
        <f>IFERROR(VLOOKUP($B199,Surp11!$A$1:$B$161,2,0),0)</f>
        <v>0</v>
      </c>
      <c r="Z199" s="97">
        <f>IFERROR(VLOOKUP(Y199,Surp11!$B$1:$C$161,2,0),0)</f>
        <v>0</v>
      </c>
      <c r="AA199" s="97">
        <f>IFERROR(VLOOKUP(E199,Surp1!$B$1:$C$161,2,0),0)</f>
        <v>0</v>
      </c>
      <c r="AB199" s="97">
        <f>IFERROR(VLOOKUP(G199,Surp2!$B$1:$C$161,2,0),0)</f>
        <v>0</v>
      </c>
      <c r="AC199" s="97">
        <f>IFERROR(VLOOKUP(I199,Surp3!$B$1:$C$161,2,0),0)</f>
        <v>0</v>
      </c>
      <c r="AD199" s="97">
        <f>IFERROR(VLOOKUP(K199,Surp4!$B$1:$C$161,2,0),0)</f>
        <v>0</v>
      </c>
      <c r="AE199" s="97">
        <f>IFERROR(VLOOKUP(M199,Surp5!$B$1:$C$161,2,0),0)</f>
        <v>0</v>
      </c>
      <c r="AF199" s="97">
        <f>IFERROR(VLOOKUP(O199,Surp6!$B$1:$C$161,2,0),0)</f>
        <v>0</v>
      </c>
      <c r="AG199" s="97">
        <f>IFERROR(VLOOKUP(Q199,Surp7!$B$1:$C$161,2,0),0)</f>
        <v>0</v>
      </c>
      <c r="AH199" s="97">
        <f>IFERROR(VLOOKUP(S199,Surp8!$B$1:$C$161,2,0),0)</f>
        <v>0</v>
      </c>
      <c r="AI199" s="97">
        <f>IFERROR(VLOOKUP(U199,Surp9!$B$1:$C$161,2,0),0)</f>
        <v>0</v>
      </c>
      <c r="AJ199" s="97">
        <f>IFERROR(VLOOKUP(W199,Surp10!$B$1:$C$161,2,0),0)</f>
        <v>0</v>
      </c>
      <c r="AK199" s="97">
        <f>IFERROR(VLOOKUP(Y199,Surp11!$B$1:$C$161,2,0),0)</f>
        <v>0</v>
      </c>
    </row>
    <row r="200" ht="15.75" customHeight="1">
      <c r="A200" s="171">
        <v>199.0</v>
      </c>
      <c r="B200" s="103"/>
      <c r="C200" s="136">
        <f t="shared" si="2"/>
        <v>0</v>
      </c>
      <c r="D200" s="136"/>
      <c r="E200" s="137">
        <f>IFERROR(VLOOKUP($B200,Surp1!$A$1:$B$161,2,0),0)</f>
        <v>0</v>
      </c>
      <c r="F200" s="97">
        <f>IFERROR(VLOOKUP(E200,Surp1!$B$1:$C$161,2,0),0)</f>
        <v>0</v>
      </c>
      <c r="G200" s="137">
        <f>IFERROR(VLOOKUP($B200,Surp2!$A$1:$B$161,2,0),0)</f>
        <v>0</v>
      </c>
      <c r="H200" s="97">
        <f>IFERROR(VLOOKUP(G200,Surp2!$B$1:$C$161,2,0),0)</f>
        <v>0</v>
      </c>
      <c r="I200" s="137">
        <f>IFERROR(VLOOKUP($B200,Surp3!$A$1:$B$161,2,0),0)</f>
        <v>0</v>
      </c>
      <c r="J200" s="97">
        <f>IFERROR(VLOOKUP(I200,Surp3!$B$1:$C$161,2,0),0)</f>
        <v>0</v>
      </c>
      <c r="K200" s="137">
        <f>IFERROR(VLOOKUP($B200,Surp4!$A$1:$B$161,2,0),0)</f>
        <v>0</v>
      </c>
      <c r="L200" s="97">
        <f>IFERROR(VLOOKUP(K200,Surp4!$B$1:$C$161,2,0),0)</f>
        <v>0</v>
      </c>
      <c r="M200" s="137">
        <f>IFERROR(VLOOKUP($B200,Surp5!$A$1:$B$161,2,0),0)</f>
        <v>0</v>
      </c>
      <c r="N200" s="97">
        <f>IFERROR(VLOOKUP(M200,Surp5!$B$1:$C$161,2,0),0)</f>
        <v>0</v>
      </c>
      <c r="O200" s="137">
        <f>IFERROR(VLOOKUP($B200,Surp6!$A$1:$B$161,2,0),0)</f>
        <v>0</v>
      </c>
      <c r="P200" s="97">
        <f>IFERROR(VLOOKUP(O200,Surp6!$B$1:$C$161,2,0),0)</f>
        <v>0</v>
      </c>
      <c r="Q200" s="137">
        <f>IFERROR(VLOOKUP($B200,Surp7!$A$1:$B$161,2,0),0)</f>
        <v>0</v>
      </c>
      <c r="R200" s="97">
        <f>IFERROR(VLOOKUP(Q200,Surp7!$B$1:$C$161,2,0),0)</f>
        <v>0</v>
      </c>
      <c r="S200" s="137">
        <f>IFERROR(VLOOKUP($B200,Surp8!$A$1:$B$161,2,0),0)</f>
        <v>0</v>
      </c>
      <c r="T200" s="97">
        <f>IFERROR(VLOOKUP(S200,Surp8!$B$1:$C$161,2,0),0)</f>
        <v>0</v>
      </c>
      <c r="U200" s="137">
        <f>IFERROR(VLOOKUP($B200,Surp9!$A$1:$B$161,2,0),0)</f>
        <v>0</v>
      </c>
      <c r="V200" s="97">
        <f>IFERROR(VLOOKUP(U200,Surp9!$B$1:$C$161,2,0),0)</f>
        <v>0</v>
      </c>
      <c r="W200" s="137">
        <f>IFERROR(VLOOKUP($B200,Surp10!$A$1:$B$161,2,0),0)</f>
        <v>0</v>
      </c>
      <c r="X200" s="97">
        <f>IFERROR(VLOOKUP(W200,Surp10!$B$1:$C$161,2,0),0)</f>
        <v>0</v>
      </c>
      <c r="Y200" s="137">
        <f>IFERROR(VLOOKUP($B200,Surp11!$A$1:$B$161,2,0),0)</f>
        <v>0</v>
      </c>
      <c r="Z200" s="97">
        <f>IFERROR(VLOOKUP(Y200,Surp11!$B$1:$C$161,2,0),0)</f>
        <v>0</v>
      </c>
      <c r="AA200" s="97">
        <f>IFERROR(VLOOKUP(E200,Surp1!$B$1:$C$161,2,0),0)</f>
        <v>0</v>
      </c>
      <c r="AB200" s="97">
        <f>IFERROR(VLOOKUP(G200,Surp2!$B$1:$C$161,2,0),0)</f>
        <v>0</v>
      </c>
      <c r="AC200" s="97">
        <f>IFERROR(VLOOKUP(I200,Surp3!$B$1:$C$161,2,0),0)</f>
        <v>0</v>
      </c>
      <c r="AD200" s="97">
        <f>IFERROR(VLOOKUP(K200,Surp4!$B$1:$C$161,2,0),0)</f>
        <v>0</v>
      </c>
      <c r="AE200" s="97">
        <f>IFERROR(VLOOKUP(M200,Surp5!$B$1:$C$161,2,0),0)</f>
        <v>0</v>
      </c>
      <c r="AF200" s="97">
        <f>IFERROR(VLOOKUP(O200,Surp6!$B$1:$C$161,2,0),0)</f>
        <v>0</v>
      </c>
      <c r="AG200" s="97">
        <f>IFERROR(VLOOKUP(Q200,Surp7!$B$1:$C$161,2,0),0)</f>
        <v>0</v>
      </c>
      <c r="AH200" s="97">
        <f>IFERROR(VLOOKUP(S200,Surp8!$B$1:$C$161,2,0),0)</f>
        <v>0</v>
      </c>
      <c r="AI200" s="97">
        <f>IFERROR(VLOOKUP(U200,Surp9!$B$1:$C$161,2,0),0)</f>
        <v>0</v>
      </c>
      <c r="AJ200" s="97">
        <f>IFERROR(VLOOKUP(W200,Surp10!$B$1:$C$161,2,0),0)</f>
        <v>0</v>
      </c>
      <c r="AK200" s="97">
        <f>IFERROR(VLOOKUP(Y200,Surp11!$B$1:$C$161,2,0),0)</f>
        <v>0</v>
      </c>
    </row>
    <row r="201" ht="15.75" customHeight="1">
      <c r="A201" s="172">
        <v>200.0</v>
      </c>
      <c r="B201" s="103"/>
      <c r="C201" s="136">
        <f t="shared" si="2"/>
        <v>0</v>
      </c>
      <c r="D201" s="136"/>
      <c r="E201" s="137">
        <f>IFERROR(VLOOKUP($B201,Surp1!$A$1:$B$161,2,0),0)</f>
        <v>0</v>
      </c>
      <c r="F201" s="97">
        <f>IFERROR(VLOOKUP(E201,Surp1!$B$1:$C$161,2,0),0)</f>
        <v>0</v>
      </c>
      <c r="G201" s="137">
        <f>IFERROR(VLOOKUP($B201,Surp2!$A$1:$B$161,2,0),0)</f>
        <v>0</v>
      </c>
      <c r="H201" s="97">
        <f>IFERROR(VLOOKUP(G201,Surp2!$B$1:$C$161,2,0),0)</f>
        <v>0</v>
      </c>
      <c r="I201" s="137">
        <f>IFERROR(VLOOKUP($B201,Surp3!$A$1:$B$161,2,0),0)</f>
        <v>0</v>
      </c>
      <c r="J201" s="97">
        <f>IFERROR(VLOOKUP(I201,Surp3!$B$1:$C$161,2,0),0)</f>
        <v>0</v>
      </c>
      <c r="K201" s="137">
        <f>IFERROR(VLOOKUP($B201,Surp4!$A$1:$B$161,2,0),0)</f>
        <v>0</v>
      </c>
      <c r="L201" s="97">
        <f>IFERROR(VLOOKUP(K201,Surp4!$B$1:$C$161,2,0),0)</f>
        <v>0</v>
      </c>
      <c r="M201" s="137">
        <f>IFERROR(VLOOKUP($B201,Surp5!$A$1:$B$161,2,0),0)</f>
        <v>0</v>
      </c>
      <c r="N201" s="97">
        <f>IFERROR(VLOOKUP(M201,Surp5!$B$1:$C$161,2,0),0)</f>
        <v>0</v>
      </c>
      <c r="O201" s="137">
        <f>IFERROR(VLOOKUP($B201,Surp6!$A$1:$B$161,2,0),0)</f>
        <v>0</v>
      </c>
      <c r="P201" s="97">
        <f>IFERROR(VLOOKUP(O201,Surp6!$B$1:$C$161,2,0),0)</f>
        <v>0</v>
      </c>
      <c r="Q201" s="137">
        <f>IFERROR(VLOOKUP($B201,Surp7!$A$1:$B$161,2,0),0)</f>
        <v>0</v>
      </c>
      <c r="R201" s="97">
        <f>IFERROR(VLOOKUP(Q201,Surp7!$B$1:$C$161,2,0),0)</f>
        <v>0</v>
      </c>
      <c r="S201" s="137">
        <f>IFERROR(VLOOKUP($B201,Surp8!$A$1:$B$161,2,0),0)</f>
        <v>0</v>
      </c>
      <c r="T201" s="97">
        <f>IFERROR(VLOOKUP(S201,Surp8!$B$1:$C$161,2,0),0)</f>
        <v>0</v>
      </c>
      <c r="U201" s="137">
        <f>IFERROR(VLOOKUP($B201,Surp9!$A$1:$B$161,2,0),0)</f>
        <v>0</v>
      </c>
      <c r="V201" s="97">
        <f>IFERROR(VLOOKUP(U201,Surp9!$B$1:$C$161,2,0),0)</f>
        <v>0</v>
      </c>
      <c r="W201" s="137">
        <f>IFERROR(VLOOKUP($B201,Surp10!$A$1:$B$161,2,0),0)</f>
        <v>0</v>
      </c>
      <c r="X201" s="97">
        <f>IFERROR(VLOOKUP(W201,Surp10!$B$1:$C$161,2,0),0)</f>
        <v>0</v>
      </c>
      <c r="Y201" s="137">
        <f>IFERROR(VLOOKUP($B201,Surp11!$A$1:$B$161,2,0),0)</f>
        <v>0</v>
      </c>
      <c r="Z201" s="97">
        <f>IFERROR(VLOOKUP(Y201,Surp11!$B$1:$C$161,2,0),0)</f>
        <v>0</v>
      </c>
      <c r="AA201" s="97">
        <f>IFERROR(VLOOKUP(E201,Surp1!$B$1:$C$161,2,0),0)</f>
        <v>0</v>
      </c>
      <c r="AB201" s="97">
        <f>IFERROR(VLOOKUP(G201,Surp2!$B$1:$C$161,2,0),0)</f>
        <v>0</v>
      </c>
      <c r="AC201" s="97">
        <f>IFERROR(VLOOKUP(I201,Surp3!$B$1:$C$161,2,0),0)</f>
        <v>0</v>
      </c>
      <c r="AD201" s="97">
        <f>IFERROR(VLOOKUP(K201,Surp4!$B$1:$C$161,2,0),0)</f>
        <v>0</v>
      </c>
      <c r="AE201" s="97">
        <f>IFERROR(VLOOKUP(M201,Surp5!$B$1:$C$161,2,0),0)</f>
        <v>0</v>
      </c>
      <c r="AF201" s="97">
        <f>IFERROR(VLOOKUP(O201,Surp6!$B$1:$C$161,2,0),0)</f>
        <v>0</v>
      </c>
      <c r="AG201" s="97">
        <f>IFERROR(VLOOKUP(Q201,Surp7!$B$1:$C$161,2,0),0)</f>
        <v>0</v>
      </c>
      <c r="AH201" s="97">
        <f>IFERROR(VLOOKUP(S201,Surp8!$B$1:$C$161,2,0),0)</f>
        <v>0</v>
      </c>
      <c r="AI201" s="97">
        <f>IFERROR(VLOOKUP(U201,Surp9!$B$1:$C$161,2,0),0)</f>
        <v>0</v>
      </c>
      <c r="AJ201" s="97">
        <f>IFERROR(VLOOKUP(W201,Surp10!$B$1:$C$161,2,0),0)</f>
        <v>0</v>
      </c>
      <c r="AK201" s="97">
        <f>IFERROR(VLOOKUP(Y201,Surp11!$B$1:$C$161,2,0),0)</f>
        <v>0</v>
      </c>
    </row>
    <row r="202" ht="15.75" customHeight="1">
      <c r="A202" s="171">
        <v>201.0</v>
      </c>
      <c r="B202" s="103"/>
      <c r="C202" s="136">
        <f t="shared" si="2"/>
        <v>0</v>
      </c>
      <c r="D202" s="136"/>
      <c r="E202" s="137">
        <f>IFERROR(VLOOKUP($B202,Surp1!$A$1:$B$161,2,0),0)</f>
        <v>0</v>
      </c>
      <c r="F202" s="97">
        <f>IFERROR(VLOOKUP(E202,Surp1!$B$1:$C$161,2,0),0)</f>
        <v>0</v>
      </c>
      <c r="G202" s="137">
        <f>IFERROR(VLOOKUP($B202,Surp2!$A$1:$B$161,2,0),0)</f>
        <v>0</v>
      </c>
      <c r="H202" s="97">
        <f>IFERROR(VLOOKUP(G202,Surp2!$B$1:$C$161,2,0),0)</f>
        <v>0</v>
      </c>
      <c r="I202" s="137">
        <f>IFERROR(VLOOKUP($B202,Surp3!$A$1:$B$161,2,0),0)</f>
        <v>0</v>
      </c>
      <c r="J202" s="97">
        <f>IFERROR(VLOOKUP(I202,Surp3!$B$1:$C$161,2,0),0)</f>
        <v>0</v>
      </c>
      <c r="K202" s="137">
        <f>IFERROR(VLOOKUP($B202,Surp4!$A$1:$B$161,2,0),0)</f>
        <v>0</v>
      </c>
      <c r="L202" s="97">
        <f>IFERROR(VLOOKUP(K202,Surp4!$B$1:$C$161,2,0),0)</f>
        <v>0</v>
      </c>
      <c r="M202" s="137">
        <f>IFERROR(VLOOKUP($B202,Surp5!$A$1:$B$161,2,0),0)</f>
        <v>0</v>
      </c>
      <c r="N202" s="97">
        <f>IFERROR(VLOOKUP(M202,Surp5!$B$1:$C$161,2,0),0)</f>
        <v>0</v>
      </c>
      <c r="O202" s="137">
        <f>IFERROR(VLOOKUP($B202,Surp6!$A$1:$B$161,2,0),0)</f>
        <v>0</v>
      </c>
      <c r="P202" s="97">
        <f>IFERROR(VLOOKUP(O202,Surp6!$B$1:$C$161,2,0),0)</f>
        <v>0</v>
      </c>
      <c r="Q202" s="137">
        <f>IFERROR(VLOOKUP($B202,Surp7!$A$1:$B$161,2,0),0)</f>
        <v>0</v>
      </c>
      <c r="R202" s="97">
        <f>IFERROR(VLOOKUP(Q202,Surp7!$B$1:$C$161,2,0),0)</f>
        <v>0</v>
      </c>
      <c r="S202" s="137">
        <f>IFERROR(VLOOKUP($B202,Surp8!$A$1:$B$161,2,0),0)</f>
        <v>0</v>
      </c>
      <c r="T202" s="97">
        <f>IFERROR(VLOOKUP(S202,Surp8!$B$1:$C$161,2,0),0)</f>
        <v>0</v>
      </c>
      <c r="U202" s="137">
        <f>IFERROR(VLOOKUP($B202,Surp9!$A$1:$B$161,2,0),0)</f>
        <v>0</v>
      </c>
      <c r="V202" s="97">
        <f>IFERROR(VLOOKUP(U202,Surp9!$B$1:$C$161,2,0),0)</f>
        <v>0</v>
      </c>
      <c r="W202" s="137">
        <f>IFERROR(VLOOKUP($B202,Surp10!$A$1:$B$161,2,0),0)</f>
        <v>0</v>
      </c>
      <c r="X202" s="97">
        <f>IFERROR(VLOOKUP(W202,Surp10!$B$1:$C$161,2,0),0)</f>
        <v>0</v>
      </c>
      <c r="Y202" s="137">
        <f>IFERROR(VLOOKUP($B202,Surp11!$A$1:$B$161,2,0),0)</f>
        <v>0</v>
      </c>
      <c r="Z202" s="97">
        <f>IFERROR(VLOOKUP(Y202,Surp11!$B$1:$C$161,2,0),0)</f>
        <v>0</v>
      </c>
      <c r="AA202" s="97">
        <f>IFERROR(VLOOKUP(E202,Surp1!$B$1:$C$161,2,0),0)</f>
        <v>0</v>
      </c>
      <c r="AB202" s="97">
        <f>IFERROR(VLOOKUP(G202,Surp2!$B$1:$C$161,2,0),0)</f>
        <v>0</v>
      </c>
      <c r="AC202" s="97">
        <f>IFERROR(VLOOKUP(I202,Surp3!$B$1:$C$161,2,0),0)</f>
        <v>0</v>
      </c>
      <c r="AD202" s="97">
        <f>IFERROR(VLOOKUP(K202,Surp4!$B$1:$C$161,2,0),0)</f>
        <v>0</v>
      </c>
      <c r="AE202" s="97">
        <f>IFERROR(VLOOKUP(M202,Surp5!$B$1:$C$161,2,0),0)</f>
        <v>0</v>
      </c>
      <c r="AF202" s="97">
        <f>IFERROR(VLOOKUP(O202,Surp6!$B$1:$C$161,2,0),0)</f>
        <v>0</v>
      </c>
      <c r="AG202" s="97">
        <f>IFERROR(VLOOKUP(Q202,Surp7!$B$1:$C$161,2,0),0)</f>
        <v>0</v>
      </c>
      <c r="AH202" s="97">
        <f>IFERROR(VLOOKUP(S202,Surp8!$B$1:$C$161,2,0),0)</f>
        <v>0</v>
      </c>
      <c r="AI202" s="97">
        <f>IFERROR(VLOOKUP(U202,Surp9!$B$1:$C$161,2,0),0)</f>
        <v>0</v>
      </c>
      <c r="AJ202" s="97">
        <f>IFERROR(VLOOKUP(W202,Surp10!$B$1:$C$161,2,0),0)</f>
        <v>0</v>
      </c>
      <c r="AK202" s="97">
        <f>IFERROR(VLOOKUP(Y202,Surp11!$B$1:$C$161,2,0),0)</f>
        <v>0</v>
      </c>
    </row>
    <row r="203" ht="15.75" customHeight="1">
      <c r="A203" s="172">
        <v>202.0</v>
      </c>
      <c r="B203" s="103"/>
      <c r="C203" s="136">
        <f t="shared" si="2"/>
        <v>0</v>
      </c>
      <c r="D203" s="136"/>
      <c r="E203" s="137">
        <f>IFERROR(VLOOKUP($B203,Surp1!$A$1:$B$161,2,0),0)</f>
        <v>0</v>
      </c>
      <c r="F203" s="97">
        <f>IFERROR(VLOOKUP(E203,Surp1!$B$1:$C$161,2,0),0)</f>
        <v>0</v>
      </c>
      <c r="G203" s="137">
        <f>IFERROR(VLOOKUP($B203,Surp2!$A$1:$B$161,2,0),0)</f>
        <v>0</v>
      </c>
      <c r="H203" s="97">
        <f>IFERROR(VLOOKUP(G203,Surp2!$B$1:$C$161,2,0),0)</f>
        <v>0</v>
      </c>
      <c r="I203" s="137">
        <f>IFERROR(VLOOKUP($B203,Surp3!$A$1:$B$161,2,0),0)</f>
        <v>0</v>
      </c>
      <c r="J203" s="97">
        <f>IFERROR(VLOOKUP(I203,Surp3!$B$1:$C$161,2,0),0)</f>
        <v>0</v>
      </c>
      <c r="K203" s="137">
        <f>IFERROR(VLOOKUP($B203,Surp4!$A$1:$B$161,2,0),0)</f>
        <v>0</v>
      </c>
      <c r="L203" s="97">
        <f>IFERROR(VLOOKUP(K203,Surp4!$B$1:$C$161,2,0),0)</f>
        <v>0</v>
      </c>
      <c r="M203" s="137">
        <f>IFERROR(VLOOKUP($B203,Surp5!$A$1:$B$161,2,0),0)</f>
        <v>0</v>
      </c>
      <c r="N203" s="97">
        <f>IFERROR(VLOOKUP(M203,Surp5!$B$1:$C$161,2,0),0)</f>
        <v>0</v>
      </c>
      <c r="O203" s="137">
        <f>IFERROR(VLOOKUP($B203,Surp6!$A$1:$B$161,2,0),0)</f>
        <v>0</v>
      </c>
      <c r="P203" s="97">
        <f>IFERROR(VLOOKUP(O203,Surp6!$B$1:$C$161,2,0),0)</f>
        <v>0</v>
      </c>
      <c r="Q203" s="137">
        <f>IFERROR(VLOOKUP($B203,Surp7!$A$1:$B$161,2,0),0)</f>
        <v>0</v>
      </c>
      <c r="R203" s="97">
        <f>IFERROR(VLOOKUP(Q203,Surp7!$B$1:$C$161,2,0),0)</f>
        <v>0</v>
      </c>
      <c r="S203" s="137">
        <f>IFERROR(VLOOKUP($B203,Surp8!$A$1:$B$161,2,0),0)</f>
        <v>0</v>
      </c>
      <c r="T203" s="97">
        <f>IFERROR(VLOOKUP(S203,Surp8!$B$1:$C$161,2,0),0)</f>
        <v>0</v>
      </c>
      <c r="U203" s="137">
        <f>IFERROR(VLOOKUP($B203,Surp9!$A$1:$B$161,2,0),0)</f>
        <v>0</v>
      </c>
      <c r="V203" s="97">
        <f>IFERROR(VLOOKUP(U203,Surp9!$B$1:$C$161,2,0),0)</f>
        <v>0</v>
      </c>
      <c r="W203" s="137">
        <f>IFERROR(VLOOKUP($B203,Surp10!$A$1:$B$161,2,0),0)</f>
        <v>0</v>
      </c>
      <c r="X203" s="97">
        <f>IFERROR(VLOOKUP(W203,Surp10!$B$1:$C$161,2,0),0)</f>
        <v>0</v>
      </c>
      <c r="Y203" s="137">
        <f>IFERROR(VLOOKUP($B203,Surp11!$A$1:$B$161,2,0),0)</f>
        <v>0</v>
      </c>
      <c r="Z203" s="97">
        <f>IFERROR(VLOOKUP(Y203,Surp11!$B$1:$C$161,2,0),0)</f>
        <v>0</v>
      </c>
      <c r="AA203" s="97">
        <f>IFERROR(VLOOKUP(E203,Surp1!$B$1:$C$161,2,0),0)</f>
        <v>0</v>
      </c>
      <c r="AB203" s="97">
        <f>IFERROR(VLOOKUP(G203,Surp2!$B$1:$C$161,2,0),0)</f>
        <v>0</v>
      </c>
      <c r="AC203" s="97">
        <f>IFERROR(VLOOKUP(I203,Surp3!$B$1:$C$161,2,0),0)</f>
        <v>0</v>
      </c>
      <c r="AD203" s="97">
        <f>IFERROR(VLOOKUP(K203,Surp4!$B$1:$C$161,2,0),0)</f>
        <v>0</v>
      </c>
      <c r="AE203" s="97">
        <f>IFERROR(VLOOKUP(M203,Surp5!$B$1:$C$161,2,0),0)</f>
        <v>0</v>
      </c>
      <c r="AF203" s="97">
        <f>IFERROR(VLOOKUP(O203,Surp6!$B$1:$C$161,2,0),0)</f>
        <v>0</v>
      </c>
      <c r="AG203" s="97">
        <f>IFERROR(VLOOKUP(Q203,Surp7!$B$1:$C$161,2,0),0)</f>
        <v>0</v>
      </c>
      <c r="AH203" s="97">
        <f>IFERROR(VLOOKUP(S203,Surp8!$B$1:$C$161,2,0),0)</f>
        <v>0</v>
      </c>
      <c r="AI203" s="97">
        <f>IFERROR(VLOOKUP(U203,Surp9!$B$1:$C$161,2,0),0)</f>
        <v>0</v>
      </c>
      <c r="AJ203" s="97">
        <f>IFERROR(VLOOKUP(W203,Surp10!$B$1:$C$161,2,0),0)</f>
        <v>0</v>
      </c>
      <c r="AK203" s="97">
        <f>IFERROR(VLOOKUP(Y203,Surp11!$B$1:$C$161,2,0),0)</f>
        <v>0</v>
      </c>
    </row>
    <row r="204" ht="15.75" customHeight="1">
      <c r="A204" s="171">
        <v>203.0</v>
      </c>
      <c r="B204" s="103"/>
      <c r="C204" s="136">
        <f t="shared" si="2"/>
        <v>0</v>
      </c>
      <c r="D204" s="136"/>
      <c r="E204" s="137">
        <f>IFERROR(VLOOKUP($B204,Surp1!$A$1:$B$161,2,0),0)</f>
        <v>0</v>
      </c>
      <c r="F204" s="97">
        <f>IFERROR(VLOOKUP(E204,Surp1!$B$1:$C$161,2,0),0)</f>
        <v>0</v>
      </c>
      <c r="G204" s="137">
        <f>IFERROR(VLOOKUP($B204,Surp2!$A$1:$B$161,2,0),0)</f>
        <v>0</v>
      </c>
      <c r="H204" s="97">
        <f>IFERROR(VLOOKUP(G204,Surp2!$B$1:$C$161,2,0),0)</f>
        <v>0</v>
      </c>
      <c r="I204" s="137">
        <f>IFERROR(VLOOKUP($B204,Surp3!$A$1:$B$161,2,0),0)</f>
        <v>0</v>
      </c>
      <c r="J204" s="97">
        <f>IFERROR(VLOOKUP(I204,Surp3!$B$1:$C$161,2,0),0)</f>
        <v>0</v>
      </c>
      <c r="K204" s="137">
        <f>IFERROR(VLOOKUP($B204,Surp4!$A$1:$B$161,2,0),0)</f>
        <v>0</v>
      </c>
      <c r="L204" s="97">
        <f>IFERROR(VLOOKUP(K204,Surp4!$B$1:$C$161,2,0),0)</f>
        <v>0</v>
      </c>
      <c r="M204" s="137">
        <f>IFERROR(VLOOKUP($B204,Surp5!$A$1:$B$161,2,0),0)</f>
        <v>0</v>
      </c>
      <c r="N204" s="97">
        <f>IFERROR(VLOOKUP(M204,Surp5!$B$1:$C$161,2,0),0)</f>
        <v>0</v>
      </c>
      <c r="O204" s="137">
        <f>IFERROR(VLOOKUP($B204,Surp6!$A$1:$B$161,2,0),0)</f>
        <v>0</v>
      </c>
      <c r="P204" s="97">
        <f>IFERROR(VLOOKUP(O204,Surp6!$B$1:$C$161,2,0),0)</f>
        <v>0</v>
      </c>
      <c r="Q204" s="137">
        <f>IFERROR(VLOOKUP($B204,Surp7!$A$1:$B$161,2,0),0)</f>
        <v>0</v>
      </c>
      <c r="R204" s="97">
        <f>IFERROR(VLOOKUP(Q204,Surp7!$B$1:$C$161,2,0),0)</f>
        <v>0</v>
      </c>
      <c r="S204" s="137">
        <f>IFERROR(VLOOKUP($B204,Surp8!$A$1:$B$161,2,0),0)</f>
        <v>0</v>
      </c>
      <c r="T204" s="97">
        <f>IFERROR(VLOOKUP(S204,Surp8!$B$1:$C$161,2,0),0)</f>
        <v>0</v>
      </c>
      <c r="U204" s="137">
        <f>IFERROR(VLOOKUP($B204,Surp9!$A$1:$B$161,2,0),0)</f>
        <v>0</v>
      </c>
      <c r="V204" s="97">
        <f>IFERROR(VLOOKUP(U204,Surp9!$B$1:$C$161,2,0),0)</f>
        <v>0</v>
      </c>
      <c r="W204" s="137">
        <f>IFERROR(VLOOKUP($B204,Surp10!$A$1:$B$161,2,0),0)</f>
        <v>0</v>
      </c>
      <c r="X204" s="97">
        <f>IFERROR(VLOOKUP(W204,Surp10!$B$1:$C$161,2,0),0)</f>
        <v>0</v>
      </c>
      <c r="Y204" s="137">
        <f>IFERROR(VLOOKUP($B204,Surp11!$A$1:$B$161,2,0),0)</f>
        <v>0</v>
      </c>
      <c r="Z204" s="97">
        <f>IFERROR(VLOOKUP(Y204,Surp11!$B$1:$C$161,2,0),0)</f>
        <v>0</v>
      </c>
      <c r="AA204" s="97">
        <f>IFERROR(VLOOKUP(E204,Surp1!$B$1:$C$161,2,0),0)</f>
        <v>0</v>
      </c>
      <c r="AB204" s="97">
        <f>IFERROR(VLOOKUP(G204,Surp2!$B$1:$C$161,2,0),0)</f>
        <v>0</v>
      </c>
      <c r="AC204" s="97">
        <f>IFERROR(VLOOKUP(I204,Surp3!$B$1:$C$161,2,0),0)</f>
        <v>0</v>
      </c>
      <c r="AD204" s="97">
        <f>IFERROR(VLOOKUP(K204,Surp4!$B$1:$C$161,2,0),0)</f>
        <v>0</v>
      </c>
      <c r="AE204" s="97">
        <f>IFERROR(VLOOKUP(M204,Surp5!$B$1:$C$161,2,0),0)</f>
        <v>0</v>
      </c>
      <c r="AF204" s="97">
        <f>IFERROR(VLOOKUP(O204,Surp6!$B$1:$C$161,2,0),0)</f>
        <v>0</v>
      </c>
      <c r="AG204" s="97">
        <f>IFERROR(VLOOKUP(Q204,Surp7!$B$1:$C$161,2,0),0)</f>
        <v>0</v>
      </c>
      <c r="AH204" s="97">
        <f>IFERROR(VLOOKUP(S204,Surp8!$B$1:$C$161,2,0),0)</f>
        <v>0</v>
      </c>
      <c r="AI204" s="97">
        <f>IFERROR(VLOOKUP(U204,Surp9!$B$1:$C$161,2,0),0)</f>
        <v>0</v>
      </c>
      <c r="AJ204" s="97">
        <f>IFERROR(VLOOKUP(W204,Surp10!$B$1:$C$161,2,0),0)</f>
        <v>0</v>
      </c>
      <c r="AK204" s="97">
        <f>IFERROR(VLOOKUP(Y204,Surp11!$B$1:$C$161,2,0),0)</f>
        <v>0</v>
      </c>
    </row>
    <row r="205" ht="15.75" customHeight="1">
      <c r="A205" s="172">
        <v>204.0</v>
      </c>
      <c r="B205" s="103"/>
      <c r="C205" s="136">
        <f t="shared" si="2"/>
        <v>0</v>
      </c>
      <c r="D205" s="136"/>
      <c r="E205" s="137">
        <f>IFERROR(VLOOKUP($B205,Surp1!$A$1:$B$161,2,0),0)</f>
        <v>0</v>
      </c>
      <c r="F205" s="97">
        <f>IFERROR(VLOOKUP(E205,Surp1!$B$1:$C$161,2,0),0)</f>
        <v>0</v>
      </c>
      <c r="G205" s="137">
        <f>IFERROR(VLOOKUP($B205,Surp2!$A$1:$B$161,2,0),0)</f>
        <v>0</v>
      </c>
      <c r="H205" s="97">
        <f>IFERROR(VLOOKUP(G205,Surp2!$B$1:$C$161,2,0),0)</f>
        <v>0</v>
      </c>
      <c r="I205" s="137">
        <f>IFERROR(VLOOKUP($B205,Surp3!$A$1:$B$161,2,0),0)</f>
        <v>0</v>
      </c>
      <c r="J205" s="97">
        <f>IFERROR(VLOOKUP(I205,Surp3!$B$1:$C$161,2,0),0)</f>
        <v>0</v>
      </c>
      <c r="K205" s="137">
        <f>IFERROR(VLOOKUP($B205,Surp4!$A$1:$B$161,2,0),0)</f>
        <v>0</v>
      </c>
      <c r="L205" s="97">
        <f>IFERROR(VLOOKUP(K205,Surp4!$B$1:$C$161,2,0),0)</f>
        <v>0</v>
      </c>
      <c r="M205" s="137">
        <f>IFERROR(VLOOKUP($B205,Surp5!$A$1:$B$161,2,0),0)</f>
        <v>0</v>
      </c>
      <c r="N205" s="97">
        <f>IFERROR(VLOOKUP(M205,Surp5!$B$1:$C$161,2,0),0)</f>
        <v>0</v>
      </c>
      <c r="O205" s="137">
        <f>IFERROR(VLOOKUP($B205,Surp6!$A$1:$B$161,2,0),0)</f>
        <v>0</v>
      </c>
      <c r="P205" s="97">
        <f>IFERROR(VLOOKUP(O205,Surp6!$B$1:$C$161,2,0),0)</f>
        <v>0</v>
      </c>
      <c r="Q205" s="137">
        <f>IFERROR(VLOOKUP($B205,Surp7!$A$1:$B$161,2,0),0)</f>
        <v>0</v>
      </c>
      <c r="R205" s="97">
        <f>IFERROR(VLOOKUP(Q205,Surp7!$B$1:$C$161,2,0),0)</f>
        <v>0</v>
      </c>
      <c r="S205" s="137">
        <f>IFERROR(VLOOKUP($B205,Surp8!$A$1:$B$161,2,0),0)</f>
        <v>0</v>
      </c>
      <c r="T205" s="97">
        <f>IFERROR(VLOOKUP(S205,Surp8!$B$1:$C$161,2,0),0)</f>
        <v>0</v>
      </c>
      <c r="U205" s="137">
        <f>IFERROR(VLOOKUP($B205,Surp9!$A$1:$B$161,2,0),0)</f>
        <v>0</v>
      </c>
      <c r="V205" s="97">
        <f>IFERROR(VLOOKUP(U205,Surp9!$B$1:$C$161,2,0),0)</f>
        <v>0</v>
      </c>
      <c r="W205" s="137">
        <f>IFERROR(VLOOKUP($B205,Surp10!$A$1:$B$161,2,0),0)</f>
        <v>0</v>
      </c>
      <c r="X205" s="97">
        <f>IFERROR(VLOOKUP(W205,Surp10!$B$1:$C$161,2,0),0)</f>
        <v>0</v>
      </c>
      <c r="Y205" s="137">
        <f>IFERROR(VLOOKUP($B205,Surp11!$A$1:$B$161,2,0),0)</f>
        <v>0</v>
      </c>
      <c r="Z205" s="97">
        <f>IFERROR(VLOOKUP(Y205,Surp11!$B$1:$C$161,2,0),0)</f>
        <v>0</v>
      </c>
      <c r="AA205" s="97">
        <f>IFERROR(VLOOKUP(E205,Surp1!$B$1:$C$161,2,0),0)</f>
        <v>0</v>
      </c>
      <c r="AB205" s="97">
        <f>IFERROR(VLOOKUP(G205,Surp2!$B$1:$C$161,2,0),0)</f>
        <v>0</v>
      </c>
      <c r="AC205" s="97">
        <f>IFERROR(VLOOKUP(I205,Surp3!$B$1:$C$161,2,0),0)</f>
        <v>0</v>
      </c>
      <c r="AD205" s="97">
        <f>IFERROR(VLOOKUP(K205,Surp4!$B$1:$C$161,2,0),0)</f>
        <v>0</v>
      </c>
      <c r="AE205" s="97">
        <f>IFERROR(VLOOKUP(M205,Surp5!$B$1:$C$161,2,0),0)</f>
        <v>0</v>
      </c>
      <c r="AF205" s="97">
        <f>IFERROR(VLOOKUP(O205,Surp6!$B$1:$C$161,2,0),0)</f>
        <v>0</v>
      </c>
      <c r="AG205" s="97">
        <f>IFERROR(VLOOKUP(Q205,Surp7!$B$1:$C$161,2,0),0)</f>
        <v>0</v>
      </c>
      <c r="AH205" s="97">
        <f>IFERROR(VLOOKUP(S205,Surp8!$B$1:$C$161,2,0),0)</f>
        <v>0</v>
      </c>
      <c r="AI205" s="97">
        <f>IFERROR(VLOOKUP(U205,Surp9!$B$1:$C$161,2,0),0)</f>
        <v>0</v>
      </c>
      <c r="AJ205" s="97">
        <f>IFERROR(VLOOKUP(W205,Surp10!$B$1:$C$161,2,0),0)</f>
        <v>0</v>
      </c>
      <c r="AK205" s="97">
        <f>IFERROR(VLOOKUP(Y205,Surp11!$B$1:$C$161,2,0),0)</f>
        <v>0</v>
      </c>
    </row>
    <row r="206" ht="15.75" customHeight="1">
      <c r="A206" s="171">
        <v>205.0</v>
      </c>
      <c r="B206" s="103"/>
      <c r="C206" s="136">
        <f t="shared" si="2"/>
        <v>0</v>
      </c>
      <c r="D206" s="136"/>
      <c r="E206" s="137">
        <f>IFERROR(VLOOKUP($B206,Surp1!$A$1:$B$161,2,0),0)</f>
        <v>0</v>
      </c>
      <c r="F206" s="97">
        <f>IFERROR(VLOOKUP(E206,Surp1!$B$1:$C$161,2,0),0)</f>
        <v>0</v>
      </c>
      <c r="G206" s="137">
        <f>IFERROR(VLOOKUP($B206,Surp2!$A$1:$B$161,2,0),0)</f>
        <v>0</v>
      </c>
      <c r="H206" s="97">
        <f>IFERROR(VLOOKUP(G206,Surp2!$B$1:$C$161,2,0),0)</f>
        <v>0</v>
      </c>
      <c r="I206" s="137">
        <f>IFERROR(VLOOKUP($B206,Surp3!$A$1:$B$161,2,0),0)</f>
        <v>0</v>
      </c>
      <c r="J206" s="97">
        <f>IFERROR(VLOOKUP(I206,Surp3!$B$1:$C$161,2,0),0)</f>
        <v>0</v>
      </c>
      <c r="K206" s="137">
        <f>IFERROR(VLOOKUP($B206,Surp4!$A$1:$B$161,2,0),0)</f>
        <v>0</v>
      </c>
      <c r="L206" s="97">
        <f>IFERROR(VLOOKUP(K206,Surp4!$B$1:$C$161,2,0),0)</f>
        <v>0</v>
      </c>
      <c r="M206" s="137">
        <f>IFERROR(VLOOKUP($B206,Surp5!$A$1:$B$161,2,0),0)</f>
        <v>0</v>
      </c>
      <c r="N206" s="97">
        <f>IFERROR(VLOOKUP(M206,Surp5!$B$1:$C$161,2,0),0)</f>
        <v>0</v>
      </c>
      <c r="O206" s="137">
        <f>IFERROR(VLOOKUP($B206,Surp6!$A$1:$B$161,2,0),0)</f>
        <v>0</v>
      </c>
      <c r="P206" s="97">
        <f>IFERROR(VLOOKUP(O206,Surp6!$B$1:$C$161,2,0),0)</f>
        <v>0</v>
      </c>
      <c r="Q206" s="137">
        <f>IFERROR(VLOOKUP($B206,Surp7!$A$1:$B$161,2,0),0)</f>
        <v>0</v>
      </c>
      <c r="R206" s="97">
        <f>IFERROR(VLOOKUP(Q206,Surp7!$B$1:$C$161,2,0),0)</f>
        <v>0</v>
      </c>
      <c r="S206" s="137">
        <f>IFERROR(VLOOKUP($B206,Surp8!$A$1:$B$161,2,0),0)</f>
        <v>0</v>
      </c>
      <c r="T206" s="97">
        <f>IFERROR(VLOOKUP(S206,Surp8!$B$1:$C$161,2,0),0)</f>
        <v>0</v>
      </c>
      <c r="U206" s="137">
        <f>IFERROR(VLOOKUP($B206,Surp9!$A$1:$B$161,2,0),0)</f>
        <v>0</v>
      </c>
      <c r="V206" s="97">
        <f>IFERROR(VLOOKUP(U206,Surp9!$B$1:$C$161,2,0),0)</f>
        <v>0</v>
      </c>
      <c r="W206" s="137">
        <f>IFERROR(VLOOKUP($B206,Surp10!$A$1:$B$161,2,0),0)</f>
        <v>0</v>
      </c>
      <c r="X206" s="97">
        <f>IFERROR(VLOOKUP(W206,Surp10!$B$1:$C$161,2,0),0)</f>
        <v>0</v>
      </c>
      <c r="Y206" s="137">
        <f>IFERROR(VLOOKUP($B206,Surp11!$A$1:$B$161,2,0),0)</f>
        <v>0</v>
      </c>
      <c r="Z206" s="97">
        <f>IFERROR(VLOOKUP(Y206,Surp11!$B$1:$C$161,2,0),0)</f>
        <v>0</v>
      </c>
      <c r="AA206" s="97">
        <f>IFERROR(VLOOKUP(E206,Surp1!$B$1:$C$161,2,0),0)</f>
        <v>0</v>
      </c>
      <c r="AB206" s="97">
        <f>IFERROR(VLOOKUP(G206,Surp2!$B$1:$C$161,2,0),0)</f>
        <v>0</v>
      </c>
      <c r="AC206" s="97">
        <f>IFERROR(VLOOKUP(I206,Surp3!$B$1:$C$161,2,0),0)</f>
        <v>0</v>
      </c>
      <c r="AD206" s="97">
        <f>IFERROR(VLOOKUP(K206,Surp4!$B$1:$C$161,2,0),0)</f>
        <v>0</v>
      </c>
      <c r="AE206" s="97">
        <f>IFERROR(VLOOKUP(M206,Surp5!$B$1:$C$161,2,0),0)</f>
        <v>0</v>
      </c>
      <c r="AF206" s="97">
        <f>IFERROR(VLOOKUP(O206,Surp6!$B$1:$C$161,2,0),0)</f>
        <v>0</v>
      </c>
      <c r="AG206" s="97">
        <f>IFERROR(VLOOKUP(Q206,Surp7!$B$1:$C$161,2,0),0)</f>
        <v>0</v>
      </c>
      <c r="AH206" s="97">
        <f>IFERROR(VLOOKUP(S206,Surp8!$B$1:$C$161,2,0),0)</f>
        <v>0</v>
      </c>
      <c r="AI206" s="97">
        <f>IFERROR(VLOOKUP(U206,Surp9!$B$1:$C$161,2,0),0)</f>
        <v>0</v>
      </c>
      <c r="AJ206" s="97">
        <f>IFERROR(VLOOKUP(W206,Surp10!$B$1:$C$161,2,0),0)</f>
        <v>0</v>
      </c>
      <c r="AK206" s="97">
        <f>IFERROR(VLOOKUP(Y206,Surp11!$B$1:$C$161,2,0),0)</f>
        <v>0</v>
      </c>
    </row>
    <row r="207" ht="15.75" customHeight="1">
      <c r="A207" s="172">
        <v>206.0</v>
      </c>
      <c r="B207" s="103"/>
      <c r="C207" s="136">
        <f t="shared" si="2"/>
        <v>0</v>
      </c>
      <c r="D207" s="136"/>
      <c r="E207" s="137">
        <f>IFERROR(VLOOKUP($B207,Surp1!$A$1:$B$161,2,0),0)</f>
        <v>0</v>
      </c>
      <c r="F207" s="97">
        <f>IFERROR(VLOOKUP(E207,Surp1!$B$1:$C$161,2,0),0)</f>
        <v>0</v>
      </c>
      <c r="G207" s="137">
        <f>IFERROR(VLOOKUP($B207,Surp2!$A$1:$B$161,2,0),0)</f>
        <v>0</v>
      </c>
      <c r="H207" s="97">
        <f>IFERROR(VLOOKUP(G207,Surp2!$B$1:$C$161,2,0),0)</f>
        <v>0</v>
      </c>
      <c r="I207" s="137">
        <f>IFERROR(VLOOKUP($B207,Surp3!$A$1:$B$161,2,0),0)</f>
        <v>0</v>
      </c>
      <c r="J207" s="97">
        <f>IFERROR(VLOOKUP(I207,Surp3!$B$1:$C$161,2,0),0)</f>
        <v>0</v>
      </c>
      <c r="K207" s="137">
        <f>IFERROR(VLOOKUP($B207,Surp4!$A$1:$B$161,2,0),0)</f>
        <v>0</v>
      </c>
      <c r="L207" s="97">
        <f>IFERROR(VLOOKUP(K207,Surp4!$B$1:$C$161,2,0),0)</f>
        <v>0</v>
      </c>
      <c r="M207" s="137">
        <f>IFERROR(VLOOKUP($B207,Surp5!$A$1:$B$161,2,0),0)</f>
        <v>0</v>
      </c>
      <c r="N207" s="97">
        <f>IFERROR(VLOOKUP(M207,Surp5!$B$1:$C$161,2,0),0)</f>
        <v>0</v>
      </c>
      <c r="O207" s="137">
        <f>IFERROR(VLOOKUP($B207,Surp6!$A$1:$B$161,2,0),0)</f>
        <v>0</v>
      </c>
      <c r="P207" s="97">
        <f>IFERROR(VLOOKUP(O207,Surp6!$B$1:$C$161,2,0),0)</f>
        <v>0</v>
      </c>
      <c r="Q207" s="137">
        <f>IFERROR(VLOOKUP($B207,Surp7!$A$1:$B$161,2,0),0)</f>
        <v>0</v>
      </c>
      <c r="R207" s="97">
        <f>IFERROR(VLOOKUP(Q207,Surp7!$B$1:$C$161,2,0),0)</f>
        <v>0</v>
      </c>
      <c r="S207" s="137">
        <f>IFERROR(VLOOKUP($B207,Surp8!$A$1:$B$161,2,0),0)</f>
        <v>0</v>
      </c>
      <c r="T207" s="97">
        <f>IFERROR(VLOOKUP(S207,Surp8!$B$1:$C$161,2,0),0)</f>
        <v>0</v>
      </c>
      <c r="U207" s="137">
        <f>IFERROR(VLOOKUP($B207,Surp9!$A$1:$B$161,2,0),0)</f>
        <v>0</v>
      </c>
      <c r="V207" s="97">
        <f>IFERROR(VLOOKUP(U207,Surp9!$B$1:$C$161,2,0),0)</f>
        <v>0</v>
      </c>
      <c r="W207" s="137">
        <f>IFERROR(VLOOKUP($B207,Surp10!$A$1:$B$161,2,0),0)</f>
        <v>0</v>
      </c>
      <c r="X207" s="97">
        <f>IFERROR(VLOOKUP(W207,Surp10!$B$1:$C$161,2,0),0)</f>
        <v>0</v>
      </c>
      <c r="Y207" s="137">
        <f>IFERROR(VLOOKUP($B207,Surp11!$A$1:$B$161,2,0),0)</f>
        <v>0</v>
      </c>
      <c r="Z207" s="97">
        <f>IFERROR(VLOOKUP(Y207,Surp11!$B$1:$C$161,2,0),0)</f>
        <v>0</v>
      </c>
      <c r="AA207" s="97">
        <f>IFERROR(VLOOKUP(E207,Surp1!$B$1:$C$161,2,0),0)</f>
        <v>0</v>
      </c>
      <c r="AB207" s="97">
        <f>IFERROR(VLOOKUP(G207,Surp2!$B$1:$C$161,2,0),0)</f>
        <v>0</v>
      </c>
      <c r="AC207" s="97">
        <f>IFERROR(VLOOKUP(I207,Surp3!$B$1:$C$161,2,0),0)</f>
        <v>0</v>
      </c>
      <c r="AD207" s="97">
        <f>IFERROR(VLOOKUP(K207,Surp4!$B$1:$C$161,2,0),0)</f>
        <v>0</v>
      </c>
      <c r="AE207" s="97">
        <f>IFERROR(VLOOKUP(M207,Surp5!$B$1:$C$161,2,0),0)</f>
        <v>0</v>
      </c>
      <c r="AF207" s="97">
        <f>IFERROR(VLOOKUP(O207,Surp6!$B$1:$C$161,2,0),0)</f>
        <v>0</v>
      </c>
      <c r="AG207" s="97">
        <f>IFERROR(VLOOKUP(Q207,Surp7!$B$1:$C$161,2,0),0)</f>
        <v>0</v>
      </c>
      <c r="AH207" s="97">
        <f>IFERROR(VLOOKUP(S207,Surp8!$B$1:$C$161,2,0),0)</f>
        <v>0</v>
      </c>
      <c r="AI207" s="97">
        <f>IFERROR(VLOOKUP(U207,Surp9!$B$1:$C$161,2,0),0)</f>
        <v>0</v>
      </c>
      <c r="AJ207" s="97">
        <f>IFERROR(VLOOKUP(W207,Surp10!$B$1:$C$161,2,0),0)</f>
        <v>0</v>
      </c>
      <c r="AK207" s="97">
        <f>IFERROR(VLOOKUP(Y207,Surp11!$B$1:$C$161,2,0),0)</f>
        <v>0</v>
      </c>
    </row>
    <row r="208" ht="15.75" customHeight="1">
      <c r="A208" s="171">
        <v>207.0</v>
      </c>
      <c r="B208" s="103"/>
      <c r="C208" s="136">
        <f t="shared" si="2"/>
        <v>0</v>
      </c>
      <c r="D208" s="136"/>
      <c r="E208" s="137">
        <f>IFERROR(VLOOKUP($B208,Surp1!$A$1:$B$161,2,0),0)</f>
        <v>0</v>
      </c>
      <c r="F208" s="97">
        <f>IFERROR(VLOOKUP(E208,Surp1!$B$1:$C$161,2,0),0)</f>
        <v>0</v>
      </c>
      <c r="G208" s="137">
        <f>IFERROR(VLOOKUP($B208,Surp2!$A$1:$B$161,2,0),0)</f>
        <v>0</v>
      </c>
      <c r="H208" s="97">
        <f>IFERROR(VLOOKUP(G208,Surp2!$B$1:$C$161,2,0),0)</f>
        <v>0</v>
      </c>
      <c r="I208" s="137">
        <f>IFERROR(VLOOKUP($B208,Surp3!$A$1:$B$161,2,0),0)</f>
        <v>0</v>
      </c>
      <c r="J208" s="97">
        <f>IFERROR(VLOOKUP(I208,Surp3!$B$1:$C$161,2,0),0)</f>
        <v>0</v>
      </c>
      <c r="K208" s="137">
        <f>IFERROR(VLOOKUP($B208,Surp4!$A$1:$B$161,2,0),0)</f>
        <v>0</v>
      </c>
      <c r="L208" s="97">
        <f>IFERROR(VLOOKUP(K208,Surp4!$B$1:$C$161,2,0),0)</f>
        <v>0</v>
      </c>
      <c r="M208" s="137">
        <f>IFERROR(VLOOKUP($B208,Surp5!$A$1:$B$161,2,0),0)</f>
        <v>0</v>
      </c>
      <c r="N208" s="97">
        <f>IFERROR(VLOOKUP(M208,Surp5!$B$1:$C$161,2,0),0)</f>
        <v>0</v>
      </c>
      <c r="O208" s="137">
        <f>IFERROR(VLOOKUP($B208,Surp6!$A$1:$B$161,2,0),0)</f>
        <v>0</v>
      </c>
      <c r="P208" s="97">
        <f>IFERROR(VLOOKUP(O208,Surp6!$B$1:$C$161,2,0),0)</f>
        <v>0</v>
      </c>
      <c r="Q208" s="137">
        <f>IFERROR(VLOOKUP($B208,Surp7!$A$1:$B$161,2,0),0)</f>
        <v>0</v>
      </c>
      <c r="R208" s="97">
        <f>IFERROR(VLOOKUP(Q208,Surp7!$B$1:$C$161,2,0),0)</f>
        <v>0</v>
      </c>
      <c r="S208" s="137">
        <f>IFERROR(VLOOKUP($B208,Surp8!$A$1:$B$161,2,0),0)</f>
        <v>0</v>
      </c>
      <c r="T208" s="97">
        <f>IFERROR(VLOOKUP(S208,Surp8!$B$1:$C$161,2,0),0)</f>
        <v>0</v>
      </c>
      <c r="U208" s="137">
        <f>IFERROR(VLOOKUP($B208,Surp9!$A$1:$B$161,2,0),0)</f>
        <v>0</v>
      </c>
      <c r="V208" s="97">
        <f>IFERROR(VLOOKUP(U208,Surp9!$B$1:$C$161,2,0),0)</f>
        <v>0</v>
      </c>
      <c r="W208" s="137">
        <f>IFERROR(VLOOKUP($B208,Surp10!$A$1:$B$161,2,0),0)</f>
        <v>0</v>
      </c>
      <c r="X208" s="97">
        <f>IFERROR(VLOOKUP(W208,Surp10!$B$1:$C$161,2,0),0)</f>
        <v>0</v>
      </c>
      <c r="Y208" s="137">
        <f>IFERROR(VLOOKUP($B208,Surp11!$A$1:$B$161,2,0),0)</f>
        <v>0</v>
      </c>
      <c r="Z208" s="97">
        <f>IFERROR(VLOOKUP(Y208,Surp11!$B$1:$C$161,2,0),0)</f>
        <v>0</v>
      </c>
      <c r="AA208" s="97">
        <f>IFERROR(VLOOKUP(E208,Surp1!$B$1:$C$161,2,0),0)</f>
        <v>0</v>
      </c>
      <c r="AB208" s="97">
        <f>IFERROR(VLOOKUP(G208,Surp2!$B$1:$C$161,2,0),0)</f>
        <v>0</v>
      </c>
      <c r="AC208" s="97">
        <f>IFERROR(VLOOKUP(I208,Surp3!$B$1:$C$161,2,0),0)</f>
        <v>0</v>
      </c>
      <c r="AD208" s="97">
        <f>IFERROR(VLOOKUP(K208,Surp4!$B$1:$C$161,2,0),0)</f>
        <v>0</v>
      </c>
      <c r="AE208" s="97">
        <f>IFERROR(VLOOKUP(M208,Surp5!$B$1:$C$161,2,0),0)</f>
        <v>0</v>
      </c>
      <c r="AF208" s="97">
        <f>IFERROR(VLOOKUP(O208,Surp6!$B$1:$C$161,2,0),0)</f>
        <v>0</v>
      </c>
      <c r="AG208" s="97">
        <f>IFERROR(VLOOKUP(Q208,Surp7!$B$1:$C$161,2,0),0)</f>
        <v>0</v>
      </c>
      <c r="AH208" s="97">
        <f>IFERROR(VLOOKUP(S208,Surp8!$B$1:$C$161,2,0),0)</f>
        <v>0</v>
      </c>
      <c r="AI208" s="97">
        <f>IFERROR(VLOOKUP(U208,Surp9!$B$1:$C$161,2,0),0)</f>
        <v>0</v>
      </c>
      <c r="AJ208" s="97">
        <f>IFERROR(VLOOKUP(W208,Surp10!$B$1:$C$161,2,0),0)</f>
        <v>0</v>
      </c>
      <c r="AK208" s="97">
        <f>IFERROR(VLOOKUP(Y208,Surp11!$B$1:$C$161,2,0),0)</f>
        <v>0</v>
      </c>
    </row>
    <row r="209" ht="15.75" customHeight="1">
      <c r="A209" s="172">
        <v>208.0</v>
      </c>
      <c r="B209" s="103"/>
      <c r="C209" s="136">
        <f t="shared" si="2"/>
        <v>0</v>
      </c>
      <c r="D209" s="136"/>
      <c r="E209" s="137">
        <f>IFERROR(VLOOKUP($B209,Surp1!$A$1:$B$161,2,0),0)</f>
        <v>0</v>
      </c>
      <c r="F209" s="97">
        <f>IFERROR(VLOOKUP(E209,Surp1!$B$1:$C$161,2,0),0)</f>
        <v>0</v>
      </c>
      <c r="G209" s="137">
        <f>IFERROR(VLOOKUP($B209,Surp2!$A$1:$B$161,2,0),0)</f>
        <v>0</v>
      </c>
      <c r="H209" s="97">
        <f>IFERROR(VLOOKUP(G209,Surp2!$B$1:$C$161,2,0),0)</f>
        <v>0</v>
      </c>
      <c r="I209" s="137">
        <f>IFERROR(VLOOKUP($B209,Surp3!$A$1:$B$161,2,0),0)</f>
        <v>0</v>
      </c>
      <c r="J209" s="97">
        <f>IFERROR(VLOOKUP(I209,Surp3!$B$1:$C$161,2,0),0)</f>
        <v>0</v>
      </c>
      <c r="K209" s="137">
        <f>IFERROR(VLOOKUP($B209,Surp4!$A$1:$B$161,2,0),0)</f>
        <v>0</v>
      </c>
      <c r="L209" s="97">
        <f>IFERROR(VLOOKUP(K209,Surp4!$B$1:$C$161,2,0),0)</f>
        <v>0</v>
      </c>
      <c r="M209" s="137">
        <f>IFERROR(VLOOKUP($B209,Surp5!$A$1:$B$161,2,0),0)</f>
        <v>0</v>
      </c>
      <c r="N209" s="97">
        <f>IFERROR(VLOOKUP(M209,Surp5!$B$1:$C$161,2,0),0)</f>
        <v>0</v>
      </c>
      <c r="O209" s="137">
        <f>IFERROR(VLOOKUP($B209,Surp6!$A$1:$B$161,2,0),0)</f>
        <v>0</v>
      </c>
      <c r="P209" s="97">
        <f>IFERROR(VLOOKUP(O209,Surp6!$B$1:$C$161,2,0),0)</f>
        <v>0</v>
      </c>
      <c r="Q209" s="137">
        <f>IFERROR(VLOOKUP($B209,Surp7!$A$1:$B$161,2,0),0)</f>
        <v>0</v>
      </c>
      <c r="R209" s="97">
        <f>IFERROR(VLOOKUP(Q209,Surp7!$B$1:$C$161,2,0),0)</f>
        <v>0</v>
      </c>
      <c r="S209" s="137">
        <f>IFERROR(VLOOKUP($B209,Surp8!$A$1:$B$161,2,0),0)</f>
        <v>0</v>
      </c>
      <c r="T209" s="97">
        <f>IFERROR(VLOOKUP(S209,Surp8!$B$1:$C$161,2,0),0)</f>
        <v>0</v>
      </c>
      <c r="U209" s="137">
        <f>IFERROR(VLOOKUP($B209,Surp9!$A$1:$B$161,2,0),0)</f>
        <v>0</v>
      </c>
      <c r="V209" s="97">
        <f>IFERROR(VLOOKUP(U209,Surp9!$B$1:$C$161,2,0),0)</f>
        <v>0</v>
      </c>
      <c r="W209" s="137">
        <f>IFERROR(VLOOKUP($B209,Surp10!$A$1:$B$161,2,0),0)</f>
        <v>0</v>
      </c>
      <c r="X209" s="97">
        <f>IFERROR(VLOOKUP(W209,Surp10!$B$1:$C$161,2,0),0)</f>
        <v>0</v>
      </c>
      <c r="Y209" s="137">
        <f>IFERROR(VLOOKUP($B209,Surp11!$A$1:$B$161,2,0),0)</f>
        <v>0</v>
      </c>
      <c r="Z209" s="97">
        <f>IFERROR(VLOOKUP(Y209,Surp11!$B$1:$C$161,2,0),0)</f>
        <v>0</v>
      </c>
      <c r="AA209" s="97">
        <f>IFERROR(VLOOKUP(E209,Surp1!$B$1:$C$161,2,0),0)</f>
        <v>0</v>
      </c>
      <c r="AB209" s="97">
        <f>IFERROR(VLOOKUP(G209,Surp2!$B$1:$C$161,2,0),0)</f>
        <v>0</v>
      </c>
      <c r="AC209" s="97">
        <f>IFERROR(VLOOKUP(I209,Surp3!$B$1:$C$161,2,0),0)</f>
        <v>0</v>
      </c>
      <c r="AD209" s="97">
        <f>IFERROR(VLOOKUP(K209,Surp4!$B$1:$C$161,2,0),0)</f>
        <v>0</v>
      </c>
      <c r="AE209" s="97">
        <f>IFERROR(VLOOKUP(M209,Surp5!$B$1:$C$161,2,0),0)</f>
        <v>0</v>
      </c>
      <c r="AF209" s="97">
        <f>IFERROR(VLOOKUP(O209,Surp6!$B$1:$C$161,2,0),0)</f>
        <v>0</v>
      </c>
      <c r="AG209" s="97">
        <f>IFERROR(VLOOKUP(Q209,Surp7!$B$1:$C$161,2,0),0)</f>
        <v>0</v>
      </c>
      <c r="AH209" s="97">
        <f>IFERROR(VLOOKUP(S209,Surp8!$B$1:$C$161,2,0),0)</f>
        <v>0</v>
      </c>
      <c r="AI209" s="97">
        <f>IFERROR(VLOOKUP(U209,Surp9!$B$1:$C$161,2,0),0)</f>
        <v>0</v>
      </c>
      <c r="AJ209" s="97">
        <f>IFERROR(VLOOKUP(W209,Surp10!$B$1:$C$161,2,0),0)</f>
        <v>0</v>
      </c>
      <c r="AK209" s="97">
        <f>IFERROR(VLOOKUP(Y209,Surp11!$B$1:$C$161,2,0),0)</f>
        <v>0</v>
      </c>
    </row>
    <row r="210" ht="15.75" customHeight="1">
      <c r="A210" s="171">
        <v>209.0</v>
      </c>
      <c r="B210" s="103"/>
      <c r="C210" s="136">
        <f t="shared" si="2"/>
        <v>0</v>
      </c>
      <c r="D210" s="136"/>
      <c r="E210" s="137">
        <f>IFERROR(VLOOKUP($B210,Surp1!$A$1:$B$161,2,0),0)</f>
        <v>0</v>
      </c>
      <c r="F210" s="97">
        <f>IFERROR(VLOOKUP(E210,Surp1!$B$1:$C$161,2,0),0)</f>
        <v>0</v>
      </c>
      <c r="G210" s="137">
        <f>IFERROR(VLOOKUP($B210,Surp2!$A$1:$B$161,2,0),0)</f>
        <v>0</v>
      </c>
      <c r="H210" s="97">
        <f>IFERROR(VLOOKUP(G210,Surp2!$B$1:$C$161,2,0),0)</f>
        <v>0</v>
      </c>
      <c r="I210" s="137">
        <f>IFERROR(VLOOKUP($B210,Surp3!$A$1:$B$161,2,0),0)</f>
        <v>0</v>
      </c>
      <c r="J210" s="97">
        <f>IFERROR(VLOOKUP(I210,Surp3!$B$1:$C$161,2,0),0)</f>
        <v>0</v>
      </c>
      <c r="K210" s="137">
        <f>IFERROR(VLOOKUP($B210,Surp4!$A$1:$B$161,2,0),0)</f>
        <v>0</v>
      </c>
      <c r="L210" s="97">
        <f>IFERROR(VLOOKUP(K210,Surp4!$B$1:$C$161,2,0),0)</f>
        <v>0</v>
      </c>
      <c r="M210" s="137">
        <f>IFERROR(VLOOKUP($B210,Surp5!$A$1:$B$161,2,0),0)</f>
        <v>0</v>
      </c>
      <c r="N210" s="97">
        <f>IFERROR(VLOOKUP(M210,Surp5!$B$1:$C$161,2,0),0)</f>
        <v>0</v>
      </c>
      <c r="O210" s="137">
        <f>IFERROR(VLOOKUP($B210,Surp6!$A$1:$B$161,2,0),0)</f>
        <v>0</v>
      </c>
      <c r="P210" s="97">
        <f>IFERROR(VLOOKUP(O210,Surp6!$B$1:$C$161,2,0),0)</f>
        <v>0</v>
      </c>
      <c r="Q210" s="137">
        <f>IFERROR(VLOOKUP($B210,Surp7!$A$1:$B$161,2,0),0)</f>
        <v>0</v>
      </c>
      <c r="R210" s="97">
        <f>IFERROR(VLOOKUP(Q210,Surp7!$B$1:$C$161,2,0),0)</f>
        <v>0</v>
      </c>
      <c r="S210" s="137">
        <f>IFERROR(VLOOKUP($B210,Surp8!$A$1:$B$161,2,0),0)</f>
        <v>0</v>
      </c>
      <c r="T210" s="97">
        <f>IFERROR(VLOOKUP(S210,Surp8!$B$1:$C$161,2,0),0)</f>
        <v>0</v>
      </c>
      <c r="U210" s="137">
        <f>IFERROR(VLOOKUP($B210,Surp9!$A$1:$B$161,2,0),0)</f>
        <v>0</v>
      </c>
      <c r="V210" s="97">
        <f>IFERROR(VLOOKUP(U210,Surp9!$B$1:$C$161,2,0),0)</f>
        <v>0</v>
      </c>
      <c r="W210" s="137">
        <f>IFERROR(VLOOKUP($B210,Surp10!$A$1:$B$161,2,0),0)</f>
        <v>0</v>
      </c>
      <c r="X210" s="97">
        <f>IFERROR(VLOOKUP(W210,Surp10!$B$1:$C$161,2,0),0)</f>
        <v>0</v>
      </c>
      <c r="Y210" s="137">
        <f>IFERROR(VLOOKUP($B210,Surp11!$A$1:$B$161,2,0),0)</f>
        <v>0</v>
      </c>
      <c r="Z210" s="97">
        <f>IFERROR(VLOOKUP(Y210,Surp11!$B$1:$C$161,2,0),0)</f>
        <v>0</v>
      </c>
      <c r="AA210" s="97">
        <f>IFERROR(VLOOKUP(E210,Surp1!$B$1:$C$161,2,0),0)</f>
        <v>0</v>
      </c>
      <c r="AB210" s="97">
        <f>IFERROR(VLOOKUP(G210,Surp2!$B$1:$C$161,2,0),0)</f>
        <v>0</v>
      </c>
      <c r="AC210" s="97">
        <f>IFERROR(VLOOKUP(I210,Surp3!$B$1:$C$161,2,0),0)</f>
        <v>0</v>
      </c>
      <c r="AD210" s="97">
        <f>IFERROR(VLOOKUP(K210,Surp4!$B$1:$C$161,2,0),0)</f>
        <v>0</v>
      </c>
      <c r="AE210" s="97">
        <f>IFERROR(VLOOKUP(M210,Surp5!$B$1:$C$161,2,0),0)</f>
        <v>0</v>
      </c>
      <c r="AF210" s="97">
        <f>IFERROR(VLOOKUP(O210,Surp6!$B$1:$C$161,2,0),0)</f>
        <v>0</v>
      </c>
      <c r="AG210" s="97">
        <f>IFERROR(VLOOKUP(Q210,Surp7!$B$1:$C$161,2,0),0)</f>
        <v>0</v>
      </c>
      <c r="AH210" s="97">
        <f>IFERROR(VLOOKUP(S210,Surp8!$B$1:$C$161,2,0),0)</f>
        <v>0</v>
      </c>
      <c r="AI210" s="97">
        <f>IFERROR(VLOOKUP(U210,Surp9!$B$1:$C$161,2,0),0)</f>
        <v>0</v>
      </c>
      <c r="AJ210" s="97">
        <f>IFERROR(VLOOKUP(W210,Surp10!$B$1:$C$161,2,0),0)</f>
        <v>0</v>
      </c>
      <c r="AK210" s="97">
        <f>IFERROR(VLOOKUP(Y210,Surp11!$B$1:$C$161,2,0),0)</f>
        <v>0</v>
      </c>
    </row>
    <row r="211" ht="15.75" customHeight="1">
      <c r="A211" s="172">
        <v>210.0</v>
      </c>
      <c r="B211" s="103"/>
      <c r="C211" s="136">
        <f t="shared" si="2"/>
        <v>0</v>
      </c>
      <c r="D211" s="136"/>
      <c r="E211" s="137">
        <f>IFERROR(VLOOKUP($B211,Surp1!$A$1:$B$161,2,0),0)</f>
        <v>0</v>
      </c>
      <c r="F211" s="97">
        <f>IFERROR(VLOOKUP(E211,Surp1!$B$1:$C$161,2,0),0)</f>
        <v>0</v>
      </c>
      <c r="G211" s="137">
        <f>IFERROR(VLOOKUP($B211,Surp2!$A$1:$B$161,2,0),0)</f>
        <v>0</v>
      </c>
      <c r="H211" s="97">
        <f>IFERROR(VLOOKUP(G211,Surp2!$B$1:$C$161,2,0),0)</f>
        <v>0</v>
      </c>
      <c r="I211" s="137">
        <f>IFERROR(VLOOKUP($B211,Surp3!$A$1:$B$161,2,0),0)</f>
        <v>0</v>
      </c>
      <c r="J211" s="97">
        <f>IFERROR(VLOOKUP(I211,Surp3!$B$1:$C$161,2,0),0)</f>
        <v>0</v>
      </c>
      <c r="K211" s="137">
        <f>IFERROR(VLOOKUP($B211,Surp4!$A$1:$B$161,2,0),0)</f>
        <v>0</v>
      </c>
      <c r="L211" s="97">
        <f>IFERROR(VLOOKUP(K211,Surp4!$B$1:$C$161,2,0),0)</f>
        <v>0</v>
      </c>
      <c r="M211" s="137">
        <f>IFERROR(VLOOKUP($B211,Surp5!$A$1:$B$161,2,0),0)</f>
        <v>0</v>
      </c>
      <c r="N211" s="97">
        <f>IFERROR(VLOOKUP(M211,Surp5!$B$1:$C$161,2,0),0)</f>
        <v>0</v>
      </c>
      <c r="O211" s="137">
        <f>IFERROR(VLOOKUP($B211,Surp6!$A$1:$B$161,2,0),0)</f>
        <v>0</v>
      </c>
      <c r="P211" s="97">
        <f>IFERROR(VLOOKUP(O211,Surp6!$B$1:$C$161,2,0),0)</f>
        <v>0</v>
      </c>
      <c r="Q211" s="137">
        <f>IFERROR(VLOOKUP($B211,Surp7!$A$1:$B$161,2,0),0)</f>
        <v>0</v>
      </c>
      <c r="R211" s="97">
        <f>IFERROR(VLOOKUP(Q211,Surp7!$B$1:$C$161,2,0),0)</f>
        <v>0</v>
      </c>
      <c r="S211" s="137">
        <f>IFERROR(VLOOKUP($B211,Surp8!$A$1:$B$161,2,0),0)</f>
        <v>0</v>
      </c>
      <c r="T211" s="97">
        <f>IFERROR(VLOOKUP(S211,Surp8!$B$1:$C$161,2,0),0)</f>
        <v>0</v>
      </c>
      <c r="U211" s="137">
        <f>IFERROR(VLOOKUP($B211,Surp9!$A$1:$B$161,2,0),0)</f>
        <v>0</v>
      </c>
      <c r="V211" s="97">
        <f>IFERROR(VLOOKUP(U211,Surp9!$B$1:$C$161,2,0),0)</f>
        <v>0</v>
      </c>
      <c r="W211" s="137">
        <f>IFERROR(VLOOKUP($B211,Surp10!$A$1:$B$161,2,0),0)</f>
        <v>0</v>
      </c>
      <c r="X211" s="97">
        <f>IFERROR(VLOOKUP(W211,Surp10!$B$1:$C$161,2,0),0)</f>
        <v>0</v>
      </c>
      <c r="Y211" s="137">
        <f>IFERROR(VLOOKUP($B211,Surp11!$A$1:$B$161,2,0),0)</f>
        <v>0</v>
      </c>
      <c r="Z211" s="97">
        <f>IFERROR(VLOOKUP(Y211,Surp11!$B$1:$C$161,2,0),0)</f>
        <v>0</v>
      </c>
      <c r="AA211" s="97">
        <f>IFERROR(VLOOKUP(E211,Surp1!$B$1:$C$161,2,0),0)</f>
        <v>0</v>
      </c>
      <c r="AB211" s="97">
        <f>IFERROR(VLOOKUP(G211,Surp2!$B$1:$C$161,2,0),0)</f>
        <v>0</v>
      </c>
      <c r="AC211" s="97">
        <f>IFERROR(VLOOKUP(I211,Surp3!$B$1:$C$161,2,0),0)</f>
        <v>0</v>
      </c>
      <c r="AD211" s="97">
        <f>IFERROR(VLOOKUP(K211,Surp4!$B$1:$C$161,2,0),0)</f>
        <v>0</v>
      </c>
      <c r="AE211" s="97">
        <f>IFERROR(VLOOKUP(M211,Surp5!$B$1:$C$161,2,0),0)</f>
        <v>0</v>
      </c>
      <c r="AF211" s="97">
        <f>IFERROR(VLOOKUP(O211,Surp6!$B$1:$C$161,2,0),0)</f>
        <v>0</v>
      </c>
      <c r="AG211" s="97">
        <f>IFERROR(VLOOKUP(Q211,Surp7!$B$1:$C$161,2,0),0)</f>
        <v>0</v>
      </c>
      <c r="AH211" s="97">
        <f>IFERROR(VLOOKUP(S211,Surp8!$B$1:$C$161,2,0),0)</f>
        <v>0</v>
      </c>
      <c r="AI211" s="97">
        <f>IFERROR(VLOOKUP(U211,Surp9!$B$1:$C$161,2,0),0)</f>
        <v>0</v>
      </c>
      <c r="AJ211" s="97">
        <f>IFERROR(VLOOKUP(W211,Surp10!$B$1:$C$161,2,0),0)</f>
        <v>0</v>
      </c>
      <c r="AK211" s="97">
        <f>IFERROR(VLOOKUP(Y211,Surp11!$B$1:$C$161,2,0),0)</f>
        <v>0</v>
      </c>
    </row>
    <row r="212" ht="15.75" customHeight="1">
      <c r="A212" s="171">
        <v>211.0</v>
      </c>
      <c r="B212" s="103"/>
      <c r="C212" s="136">
        <f t="shared" si="2"/>
        <v>0</v>
      </c>
      <c r="D212" s="136"/>
      <c r="E212" s="137">
        <f>IFERROR(VLOOKUP($B212,Surp1!$A$1:$B$161,2,0),0)</f>
        <v>0</v>
      </c>
      <c r="F212" s="97">
        <f>IFERROR(VLOOKUP(E212,Surp1!$B$1:$C$161,2,0),0)</f>
        <v>0</v>
      </c>
      <c r="G212" s="137">
        <f>IFERROR(VLOOKUP($B212,Surp2!$A$1:$B$161,2,0),0)</f>
        <v>0</v>
      </c>
      <c r="H212" s="97">
        <f>IFERROR(VLOOKUP(G212,Surp2!$B$1:$C$161,2,0),0)</f>
        <v>0</v>
      </c>
      <c r="I212" s="137">
        <f>IFERROR(VLOOKUP($B212,Surp3!$A$1:$B$161,2,0),0)</f>
        <v>0</v>
      </c>
      <c r="J212" s="97">
        <f>IFERROR(VLOOKUP(I212,Surp3!$B$1:$C$161,2,0),0)</f>
        <v>0</v>
      </c>
      <c r="K212" s="137">
        <f>IFERROR(VLOOKUP($B212,Surp4!$A$1:$B$161,2,0),0)</f>
        <v>0</v>
      </c>
      <c r="L212" s="97">
        <f>IFERROR(VLOOKUP(K212,Surp4!$B$1:$C$161,2,0),0)</f>
        <v>0</v>
      </c>
      <c r="M212" s="137">
        <f>IFERROR(VLOOKUP($B212,Surp5!$A$1:$B$161,2,0),0)</f>
        <v>0</v>
      </c>
      <c r="N212" s="97">
        <f>IFERROR(VLOOKUP(M212,Surp5!$B$1:$C$161,2,0),0)</f>
        <v>0</v>
      </c>
      <c r="O212" s="137">
        <f>IFERROR(VLOOKUP($B212,Surp6!$A$1:$B$161,2,0),0)</f>
        <v>0</v>
      </c>
      <c r="P212" s="97">
        <f>IFERROR(VLOOKUP(O212,Surp6!$B$1:$C$161,2,0),0)</f>
        <v>0</v>
      </c>
      <c r="Q212" s="137">
        <f>IFERROR(VLOOKUP($B212,Surp7!$A$1:$B$161,2,0),0)</f>
        <v>0</v>
      </c>
      <c r="R212" s="97">
        <f>IFERROR(VLOOKUP(Q212,Surp7!$B$1:$C$161,2,0),0)</f>
        <v>0</v>
      </c>
      <c r="S212" s="137">
        <f>IFERROR(VLOOKUP($B212,Surp8!$A$1:$B$161,2,0),0)</f>
        <v>0</v>
      </c>
      <c r="T212" s="97">
        <f>IFERROR(VLOOKUP(S212,Surp8!$B$1:$C$161,2,0),0)</f>
        <v>0</v>
      </c>
      <c r="U212" s="137">
        <f>IFERROR(VLOOKUP($B212,Surp9!$A$1:$B$161,2,0),0)</f>
        <v>0</v>
      </c>
      <c r="V212" s="97">
        <f>IFERROR(VLOOKUP(U212,Surp9!$B$1:$C$161,2,0),0)</f>
        <v>0</v>
      </c>
      <c r="W212" s="137">
        <f>IFERROR(VLOOKUP($B212,Surp10!$A$1:$B$161,2,0),0)</f>
        <v>0</v>
      </c>
      <c r="X212" s="97">
        <f>IFERROR(VLOOKUP(W212,Surp10!$B$1:$C$161,2,0),0)</f>
        <v>0</v>
      </c>
      <c r="Y212" s="137">
        <f>IFERROR(VLOOKUP($B212,Surp11!$A$1:$B$161,2,0),0)</f>
        <v>0</v>
      </c>
      <c r="Z212" s="97">
        <f>IFERROR(VLOOKUP(Y212,Surp11!$B$1:$C$161,2,0),0)</f>
        <v>0</v>
      </c>
      <c r="AA212" s="97">
        <f>IFERROR(VLOOKUP(E212,Surp1!$B$1:$C$161,2,0),0)</f>
        <v>0</v>
      </c>
      <c r="AB212" s="97">
        <f>IFERROR(VLOOKUP(G212,Surp2!$B$1:$C$161,2,0),0)</f>
        <v>0</v>
      </c>
      <c r="AC212" s="97">
        <f>IFERROR(VLOOKUP(I212,Surp3!$B$1:$C$161,2,0),0)</f>
        <v>0</v>
      </c>
      <c r="AD212" s="97">
        <f>IFERROR(VLOOKUP(K212,Surp4!$B$1:$C$161,2,0),0)</f>
        <v>0</v>
      </c>
      <c r="AE212" s="97">
        <f>IFERROR(VLOOKUP(M212,Surp5!$B$1:$C$161,2,0),0)</f>
        <v>0</v>
      </c>
      <c r="AF212" s="97">
        <f>IFERROR(VLOOKUP(O212,Surp6!$B$1:$C$161,2,0),0)</f>
        <v>0</v>
      </c>
      <c r="AG212" s="97">
        <f>IFERROR(VLOOKUP(Q212,Surp7!$B$1:$C$161,2,0),0)</f>
        <v>0</v>
      </c>
      <c r="AH212" s="97">
        <f>IFERROR(VLOOKUP(S212,Surp8!$B$1:$C$161,2,0),0)</f>
        <v>0</v>
      </c>
      <c r="AI212" s="97">
        <f>IFERROR(VLOOKUP(U212,Surp9!$B$1:$C$161,2,0),0)</f>
        <v>0</v>
      </c>
      <c r="AJ212" s="97">
        <f>IFERROR(VLOOKUP(W212,Surp10!$B$1:$C$161,2,0),0)</f>
        <v>0</v>
      </c>
      <c r="AK212" s="97">
        <f>IFERROR(VLOOKUP(Y212,Surp11!$B$1:$C$161,2,0),0)</f>
        <v>0</v>
      </c>
    </row>
    <row r="213" ht="15.75" customHeight="1">
      <c r="A213" s="172">
        <v>212.0</v>
      </c>
      <c r="B213" s="103"/>
      <c r="C213" s="136">
        <f t="shared" si="2"/>
        <v>0</v>
      </c>
      <c r="D213" s="136"/>
      <c r="E213" s="137">
        <f>IFERROR(VLOOKUP($B213,Surp1!$A$1:$B$161,2,0),0)</f>
        <v>0</v>
      </c>
      <c r="F213" s="97">
        <f>IFERROR(VLOOKUP(E213,Surp1!$B$1:$C$161,2,0),0)</f>
        <v>0</v>
      </c>
      <c r="G213" s="137">
        <f>IFERROR(VLOOKUP($B213,Surp2!$A$1:$B$161,2,0),0)</f>
        <v>0</v>
      </c>
      <c r="H213" s="97">
        <f>IFERROR(VLOOKUP(G213,Surp2!$B$1:$C$161,2,0),0)</f>
        <v>0</v>
      </c>
      <c r="I213" s="137">
        <f>IFERROR(VLOOKUP($B213,Surp3!$A$1:$B$161,2,0),0)</f>
        <v>0</v>
      </c>
      <c r="J213" s="97">
        <f>IFERROR(VLOOKUP(I213,Surp3!$B$1:$C$161,2,0),0)</f>
        <v>0</v>
      </c>
      <c r="K213" s="137">
        <f>IFERROR(VLOOKUP($B213,Surp4!$A$1:$B$161,2,0),0)</f>
        <v>0</v>
      </c>
      <c r="L213" s="97">
        <f>IFERROR(VLOOKUP(K213,Surp4!$B$1:$C$161,2,0),0)</f>
        <v>0</v>
      </c>
      <c r="M213" s="137">
        <f>IFERROR(VLOOKUP($B213,Surp5!$A$1:$B$161,2,0),0)</f>
        <v>0</v>
      </c>
      <c r="N213" s="97">
        <f>IFERROR(VLOOKUP(M213,Surp5!$B$1:$C$161,2,0),0)</f>
        <v>0</v>
      </c>
      <c r="O213" s="137">
        <f>IFERROR(VLOOKUP($B213,Surp6!$A$1:$B$161,2,0),0)</f>
        <v>0</v>
      </c>
      <c r="P213" s="97">
        <f>IFERROR(VLOOKUP(O213,Surp6!$B$1:$C$161,2,0),0)</f>
        <v>0</v>
      </c>
      <c r="Q213" s="137">
        <f>IFERROR(VLOOKUP($B213,Surp7!$A$1:$B$161,2,0),0)</f>
        <v>0</v>
      </c>
      <c r="R213" s="97">
        <f>IFERROR(VLOOKUP(Q213,Surp7!$B$1:$C$161,2,0),0)</f>
        <v>0</v>
      </c>
      <c r="S213" s="137">
        <f>IFERROR(VLOOKUP($B213,Surp8!$A$1:$B$161,2,0),0)</f>
        <v>0</v>
      </c>
      <c r="T213" s="97">
        <f>IFERROR(VLOOKUP(S213,Surp8!$B$1:$C$161,2,0),0)</f>
        <v>0</v>
      </c>
      <c r="U213" s="137">
        <f>IFERROR(VLOOKUP($B213,Surp9!$A$1:$B$161,2,0),0)</f>
        <v>0</v>
      </c>
      <c r="V213" s="97">
        <f>IFERROR(VLOOKUP(U213,Surp9!$B$1:$C$161,2,0),0)</f>
        <v>0</v>
      </c>
      <c r="W213" s="137">
        <f>IFERROR(VLOOKUP($B213,Surp10!$A$1:$B$161,2,0),0)</f>
        <v>0</v>
      </c>
      <c r="X213" s="97">
        <f>IFERROR(VLOOKUP(W213,Surp10!$B$1:$C$161,2,0),0)</f>
        <v>0</v>
      </c>
      <c r="Y213" s="137">
        <f>IFERROR(VLOOKUP($B213,Surp11!$A$1:$B$161,2,0),0)</f>
        <v>0</v>
      </c>
      <c r="Z213" s="97">
        <f>IFERROR(VLOOKUP(Y213,Surp11!$B$1:$C$161,2,0),0)</f>
        <v>0</v>
      </c>
      <c r="AA213" s="97">
        <f>IFERROR(VLOOKUP(E213,Surp1!$B$1:$C$161,2,0),0)</f>
        <v>0</v>
      </c>
      <c r="AB213" s="97">
        <f>IFERROR(VLOOKUP(G213,Surp2!$B$1:$C$161,2,0),0)</f>
        <v>0</v>
      </c>
      <c r="AC213" s="97">
        <f>IFERROR(VLOOKUP(I213,Surp3!$B$1:$C$161,2,0),0)</f>
        <v>0</v>
      </c>
      <c r="AD213" s="97">
        <f>IFERROR(VLOOKUP(K213,Surp4!$B$1:$C$161,2,0),0)</f>
        <v>0</v>
      </c>
      <c r="AE213" s="97">
        <f>IFERROR(VLOOKUP(M213,Surp5!$B$1:$C$161,2,0),0)</f>
        <v>0</v>
      </c>
      <c r="AF213" s="97">
        <f>IFERROR(VLOOKUP(O213,Surp6!$B$1:$C$161,2,0),0)</f>
        <v>0</v>
      </c>
      <c r="AG213" s="97">
        <f>IFERROR(VLOOKUP(Q213,Surp7!$B$1:$C$161,2,0),0)</f>
        <v>0</v>
      </c>
      <c r="AH213" s="97">
        <f>IFERROR(VLOOKUP(S213,Surp8!$B$1:$C$161,2,0),0)</f>
        <v>0</v>
      </c>
      <c r="AI213" s="97">
        <f>IFERROR(VLOOKUP(U213,Surp9!$B$1:$C$161,2,0),0)</f>
        <v>0</v>
      </c>
      <c r="AJ213" s="97">
        <f>IFERROR(VLOOKUP(W213,Surp10!$B$1:$C$161,2,0),0)</f>
        <v>0</v>
      </c>
      <c r="AK213" s="97">
        <f>IFERROR(VLOOKUP(Y213,Surp11!$B$1:$C$161,2,0),0)</f>
        <v>0</v>
      </c>
    </row>
    <row r="214" ht="15.75" customHeight="1">
      <c r="A214" s="171">
        <v>213.0</v>
      </c>
      <c r="B214" s="103"/>
      <c r="C214" s="136">
        <f t="shared" si="2"/>
        <v>0</v>
      </c>
      <c r="D214" s="136"/>
      <c r="E214" s="137">
        <f>IFERROR(VLOOKUP($B214,Surp1!$A$1:$B$161,2,0),0)</f>
        <v>0</v>
      </c>
      <c r="F214" s="97">
        <f>IFERROR(VLOOKUP(E214,Surp1!$B$1:$C$161,2,0),0)</f>
        <v>0</v>
      </c>
      <c r="G214" s="137">
        <f>IFERROR(VLOOKUP($B214,Surp2!$A$1:$B$161,2,0),0)</f>
        <v>0</v>
      </c>
      <c r="H214" s="97">
        <f>IFERROR(VLOOKUP(G214,Surp2!$B$1:$C$161,2,0),0)</f>
        <v>0</v>
      </c>
      <c r="I214" s="137">
        <f>IFERROR(VLOOKUP($B214,Surp3!$A$1:$B$161,2,0),0)</f>
        <v>0</v>
      </c>
      <c r="J214" s="97">
        <f>IFERROR(VLOOKUP(I214,Surp3!$B$1:$C$161,2,0),0)</f>
        <v>0</v>
      </c>
      <c r="K214" s="137">
        <f>IFERROR(VLOOKUP($B214,Surp4!$A$1:$B$161,2,0),0)</f>
        <v>0</v>
      </c>
      <c r="L214" s="97">
        <f>IFERROR(VLOOKUP(K214,Surp4!$B$1:$C$161,2,0),0)</f>
        <v>0</v>
      </c>
      <c r="M214" s="137">
        <f>IFERROR(VLOOKUP($B214,Surp5!$A$1:$B$161,2,0),0)</f>
        <v>0</v>
      </c>
      <c r="N214" s="97">
        <f>IFERROR(VLOOKUP(M214,Surp5!$B$1:$C$161,2,0),0)</f>
        <v>0</v>
      </c>
      <c r="O214" s="137">
        <f>IFERROR(VLOOKUP($B214,Surp6!$A$1:$B$161,2,0),0)</f>
        <v>0</v>
      </c>
      <c r="P214" s="97">
        <f>IFERROR(VLOOKUP(O214,Surp6!$B$1:$C$161,2,0),0)</f>
        <v>0</v>
      </c>
      <c r="Q214" s="137">
        <f>IFERROR(VLOOKUP($B214,Surp7!$A$1:$B$161,2,0),0)</f>
        <v>0</v>
      </c>
      <c r="R214" s="97">
        <f>IFERROR(VLOOKUP(Q214,Surp7!$B$1:$C$161,2,0),0)</f>
        <v>0</v>
      </c>
      <c r="S214" s="137">
        <f>IFERROR(VLOOKUP($B214,Surp8!$A$1:$B$161,2,0),0)</f>
        <v>0</v>
      </c>
      <c r="T214" s="97">
        <f>IFERROR(VLOOKUP(S214,Surp8!$B$1:$C$161,2,0),0)</f>
        <v>0</v>
      </c>
      <c r="U214" s="137">
        <f>IFERROR(VLOOKUP($B214,Surp9!$A$1:$B$161,2,0),0)</f>
        <v>0</v>
      </c>
      <c r="V214" s="97">
        <f>IFERROR(VLOOKUP(U214,Surp9!$B$1:$C$161,2,0),0)</f>
        <v>0</v>
      </c>
      <c r="W214" s="137">
        <f>IFERROR(VLOOKUP($B214,Surp10!$A$1:$B$161,2,0),0)</f>
        <v>0</v>
      </c>
      <c r="X214" s="97">
        <f>IFERROR(VLOOKUP(W214,Surp10!$B$1:$C$161,2,0),0)</f>
        <v>0</v>
      </c>
      <c r="Y214" s="137">
        <f>IFERROR(VLOOKUP($B214,Surp11!$A$1:$B$161,2,0),0)</f>
        <v>0</v>
      </c>
      <c r="Z214" s="97">
        <f>IFERROR(VLOOKUP(Y214,Surp11!$B$1:$C$161,2,0),0)</f>
        <v>0</v>
      </c>
      <c r="AA214" s="97">
        <f>IFERROR(VLOOKUP(E214,Surp1!$B$1:$C$161,2,0),0)</f>
        <v>0</v>
      </c>
      <c r="AB214" s="97">
        <f>IFERROR(VLOOKUP(G214,Surp2!$B$1:$C$161,2,0),0)</f>
        <v>0</v>
      </c>
      <c r="AC214" s="97">
        <f>IFERROR(VLOOKUP(I214,Surp3!$B$1:$C$161,2,0),0)</f>
        <v>0</v>
      </c>
      <c r="AD214" s="97">
        <f>IFERROR(VLOOKUP(K214,Surp4!$B$1:$C$161,2,0),0)</f>
        <v>0</v>
      </c>
      <c r="AE214" s="97">
        <f>IFERROR(VLOOKUP(M214,Surp5!$B$1:$C$161,2,0),0)</f>
        <v>0</v>
      </c>
      <c r="AF214" s="97">
        <f>IFERROR(VLOOKUP(O214,Surp6!$B$1:$C$161,2,0),0)</f>
        <v>0</v>
      </c>
      <c r="AG214" s="97">
        <f>IFERROR(VLOOKUP(Q214,Surp7!$B$1:$C$161,2,0),0)</f>
        <v>0</v>
      </c>
      <c r="AH214" s="97">
        <f>IFERROR(VLOOKUP(S214,Surp8!$B$1:$C$161,2,0),0)</f>
        <v>0</v>
      </c>
      <c r="AI214" s="97">
        <f>IFERROR(VLOOKUP(U214,Surp9!$B$1:$C$161,2,0),0)</f>
        <v>0</v>
      </c>
      <c r="AJ214" s="97">
        <f>IFERROR(VLOOKUP(W214,Surp10!$B$1:$C$161,2,0),0)</f>
        <v>0</v>
      </c>
      <c r="AK214" s="97">
        <f>IFERROR(VLOOKUP(Y214,Surp11!$B$1:$C$161,2,0),0)</f>
        <v>0</v>
      </c>
    </row>
    <row r="215" ht="15.75" customHeight="1">
      <c r="A215" s="172">
        <v>214.0</v>
      </c>
      <c r="B215" s="103"/>
      <c r="C215" s="136">
        <f t="shared" si="2"/>
        <v>0</v>
      </c>
      <c r="D215" s="136"/>
      <c r="E215" s="137">
        <f>IFERROR(VLOOKUP($B215,Surp1!$A$1:$B$161,2,0),0)</f>
        <v>0</v>
      </c>
      <c r="F215" s="97">
        <f>IFERROR(VLOOKUP(E215,Surp1!$B$1:$C$161,2,0),0)</f>
        <v>0</v>
      </c>
      <c r="G215" s="137">
        <f>IFERROR(VLOOKUP($B215,Surp2!$A$1:$B$161,2,0),0)</f>
        <v>0</v>
      </c>
      <c r="H215" s="97">
        <f>IFERROR(VLOOKUP(G215,Surp2!$B$1:$C$161,2,0),0)</f>
        <v>0</v>
      </c>
      <c r="I215" s="137">
        <f>IFERROR(VLOOKUP($B215,Surp3!$A$1:$B$161,2,0),0)</f>
        <v>0</v>
      </c>
      <c r="J215" s="97">
        <f>IFERROR(VLOOKUP(I215,Surp3!$B$1:$C$161,2,0),0)</f>
        <v>0</v>
      </c>
      <c r="K215" s="137">
        <f>IFERROR(VLOOKUP($B215,Surp4!$A$1:$B$161,2,0),0)</f>
        <v>0</v>
      </c>
      <c r="L215" s="97">
        <f>IFERROR(VLOOKUP(K215,Surp4!$B$1:$C$161,2,0),0)</f>
        <v>0</v>
      </c>
      <c r="M215" s="137">
        <f>IFERROR(VLOOKUP($B215,Surp5!$A$1:$B$161,2,0),0)</f>
        <v>0</v>
      </c>
      <c r="N215" s="97">
        <f>IFERROR(VLOOKUP(M215,Surp5!$B$1:$C$161,2,0),0)</f>
        <v>0</v>
      </c>
      <c r="O215" s="137">
        <f>IFERROR(VLOOKUP($B215,Surp6!$A$1:$B$161,2,0),0)</f>
        <v>0</v>
      </c>
      <c r="P215" s="97">
        <f>IFERROR(VLOOKUP(O215,Surp6!$B$1:$C$161,2,0),0)</f>
        <v>0</v>
      </c>
      <c r="Q215" s="137">
        <f>IFERROR(VLOOKUP($B215,Surp7!$A$1:$B$161,2,0),0)</f>
        <v>0</v>
      </c>
      <c r="R215" s="97">
        <f>IFERROR(VLOOKUP(Q215,Surp7!$B$1:$C$161,2,0),0)</f>
        <v>0</v>
      </c>
      <c r="S215" s="137">
        <f>IFERROR(VLOOKUP($B215,Surp8!$A$1:$B$161,2,0),0)</f>
        <v>0</v>
      </c>
      <c r="T215" s="97">
        <f>IFERROR(VLOOKUP(S215,Surp8!$B$1:$C$161,2,0),0)</f>
        <v>0</v>
      </c>
      <c r="U215" s="137">
        <f>IFERROR(VLOOKUP($B215,Surp9!$A$1:$B$161,2,0),0)</f>
        <v>0</v>
      </c>
      <c r="V215" s="97">
        <f>IFERROR(VLOOKUP(U215,Surp9!$B$1:$C$161,2,0),0)</f>
        <v>0</v>
      </c>
      <c r="W215" s="137">
        <f>IFERROR(VLOOKUP($B215,Surp10!$A$1:$B$161,2,0),0)</f>
        <v>0</v>
      </c>
      <c r="X215" s="97">
        <f>IFERROR(VLOOKUP(W215,Surp10!$B$1:$C$161,2,0),0)</f>
        <v>0</v>
      </c>
      <c r="Y215" s="137">
        <f>IFERROR(VLOOKUP($B215,Surp11!$A$1:$B$161,2,0),0)</f>
        <v>0</v>
      </c>
      <c r="Z215" s="97">
        <f>IFERROR(VLOOKUP(Y215,Surp11!$B$1:$C$161,2,0),0)</f>
        <v>0</v>
      </c>
      <c r="AA215" s="97">
        <f>IFERROR(VLOOKUP(E215,Surp1!$B$1:$C$161,2,0),0)</f>
        <v>0</v>
      </c>
      <c r="AB215" s="97">
        <f>IFERROR(VLOOKUP(G215,Surp2!$B$1:$C$161,2,0),0)</f>
        <v>0</v>
      </c>
      <c r="AC215" s="97">
        <f>IFERROR(VLOOKUP(I215,Surp3!$B$1:$C$161,2,0),0)</f>
        <v>0</v>
      </c>
      <c r="AD215" s="97">
        <f>IFERROR(VLOOKUP(K215,Surp4!$B$1:$C$161,2,0),0)</f>
        <v>0</v>
      </c>
      <c r="AE215" s="97">
        <f>IFERROR(VLOOKUP(M215,Surp5!$B$1:$C$161,2,0),0)</f>
        <v>0</v>
      </c>
      <c r="AF215" s="97">
        <f>IFERROR(VLOOKUP(O215,Surp6!$B$1:$C$161,2,0),0)</f>
        <v>0</v>
      </c>
      <c r="AG215" s="97">
        <f>IFERROR(VLOOKUP(Q215,Surp7!$B$1:$C$161,2,0),0)</f>
        <v>0</v>
      </c>
      <c r="AH215" s="97">
        <f>IFERROR(VLOOKUP(S215,Surp8!$B$1:$C$161,2,0),0)</f>
        <v>0</v>
      </c>
      <c r="AI215" s="97">
        <f>IFERROR(VLOOKUP(U215,Surp9!$B$1:$C$161,2,0),0)</f>
        <v>0</v>
      </c>
      <c r="AJ215" s="97">
        <f>IFERROR(VLOOKUP(W215,Surp10!$B$1:$C$161,2,0),0)</f>
        <v>0</v>
      </c>
      <c r="AK215" s="97">
        <f>IFERROR(VLOOKUP(Y215,Surp11!$B$1:$C$161,2,0),0)</f>
        <v>0</v>
      </c>
    </row>
    <row r="216" ht="15.75" customHeight="1">
      <c r="A216" s="171">
        <v>215.0</v>
      </c>
      <c r="B216" s="103"/>
      <c r="C216" s="136">
        <f t="shared" si="2"/>
        <v>0</v>
      </c>
      <c r="D216" s="136"/>
      <c r="E216" s="137">
        <f>IFERROR(VLOOKUP($B216,Surp1!$A$1:$B$161,2,0),0)</f>
        <v>0</v>
      </c>
      <c r="F216" s="97">
        <f>IFERROR(VLOOKUP(E216,Surp1!$B$1:$C$161,2,0),0)</f>
        <v>0</v>
      </c>
      <c r="G216" s="137">
        <f>IFERROR(VLOOKUP($B216,Surp2!$A$1:$B$161,2,0),0)</f>
        <v>0</v>
      </c>
      <c r="H216" s="97">
        <f>IFERROR(VLOOKUP(G216,Surp2!$B$1:$C$161,2,0),0)</f>
        <v>0</v>
      </c>
      <c r="I216" s="137">
        <f>IFERROR(VLOOKUP($B216,Surp3!$A$1:$B$161,2,0),0)</f>
        <v>0</v>
      </c>
      <c r="J216" s="97">
        <f>IFERROR(VLOOKUP(I216,Surp3!$B$1:$C$161,2,0),0)</f>
        <v>0</v>
      </c>
      <c r="K216" s="137">
        <f>IFERROR(VLOOKUP($B216,Surp4!$A$1:$B$161,2,0),0)</f>
        <v>0</v>
      </c>
      <c r="L216" s="97">
        <f>IFERROR(VLOOKUP(K216,Surp4!$B$1:$C$161,2,0),0)</f>
        <v>0</v>
      </c>
      <c r="M216" s="137">
        <f>IFERROR(VLOOKUP($B216,Surp5!$A$1:$B$161,2,0),0)</f>
        <v>0</v>
      </c>
      <c r="N216" s="97">
        <f>IFERROR(VLOOKUP(M216,Surp5!$B$1:$C$161,2,0),0)</f>
        <v>0</v>
      </c>
      <c r="O216" s="137">
        <f>IFERROR(VLOOKUP($B216,Surp6!$A$1:$B$161,2,0),0)</f>
        <v>0</v>
      </c>
      <c r="P216" s="97">
        <f>IFERROR(VLOOKUP(O216,Surp6!$B$1:$C$161,2,0),0)</f>
        <v>0</v>
      </c>
      <c r="Q216" s="137">
        <f>IFERROR(VLOOKUP($B216,Surp7!$A$1:$B$161,2,0),0)</f>
        <v>0</v>
      </c>
      <c r="R216" s="97">
        <f>IFERROR(VLOOKUP(Q216,Surp7!$B$1:$C$161,2,0),0)</f>
        <v>0</v>
      </c>
      <c r="S216" s="137">
        <f>IFERROR(VLOOKUP($B216,Surp8!$A$1:$B$161,2,0),0)</f>
        <v>0</v>
      </c>
      <c r="T216" s="97">
        <f>IFERROR(VLOOKUP(S216,Surp8!$B$1:$C$161,2,0),0)</f>
        <v>0</v>
      </c>
      <c r="U216" s="137">
        <f>IFERROR(VLOOKUP($B216,Surp9!$A$1:$B$161,2,0),0)</f>
        <v>0</v>
      </c>
      <c r="V216" s="97">
        <f>IFERROR(VLOOKUP(U216,Surp9!$B$1:$C$161,2,0),0)</f>
        <v>0</v>
      </c>
      <c r="W216" s="137">
        <f>IFERROR(VLOOKUP($B216,Surp10!$A$1:$B$161,2,0),0)</f>
        <v>0</v>
      </c>
      <c r="X216" s="97">
        <f>IFERROR(VLOOKUP(W216,Surp10!$B$1:$C$161,2,0),0)</f>
        <v>0</v>
      </c>
      <c r="Y216" s="137">
        <f>IFERROR(VLOOKUP($B216,Surp11!$A$1:$B$161,2,0),0)</f>
        <v>0</v>
      </c>
      <c r="Z216" s="97">
        <f>IFERROR(VLOOKUP(Y216,Surp11!$B$1:$C$161,2,0),0)</f>
        <v>0</v>
      </c>
      <c r="AA216" s="97">
        <f>IFERROR(VLOOKUP(E216,Surp1!$B$1:$C$161,2,0),0)</f>
        <v>0</v>
      </c>
      <c r="AB216" s="97">
        <f>IFERROR(VLOOKUP(G216,Surp2!$B$1:$C$161,2,0),0)</f>
        <v>0</v>
      </c>
      <c r="AC216" s="97">
        <f>IFERROR(VLOOKUP(I216,Surp3!$B$1:$C$161,2,0),0)</f>
        <v>0</v>
      </c>
      <c r="AD216" s="97">
        <f>IFERROR(VLOOKUP(K216,Surp4!$B$1:$C$161,2,0),0)</f>
        <v>0</v>
      </c>
      <c r="AE216" s="97">
        <f>IFERROR(VLOOKUP(M216,Surp5!$B$1:$C$161,2,0),0)</f>
        <v>0</v>
      </c>
      <c r="AF216" s="97">
        <f>IFERROR(VLOOKUP(O216,Surp6!$B$1:$C$161,2,0),0)</f>
        <v>0</v>
      </c>
      <c r="AG216" s="97">
        <f>IFERROR(VLOOKUP(Q216,Surp7!$B$1:$C$161,2,0),0)</f>
        <v>0</v>
      </c>
      <c r="AH216" s="97">
        <f>IFERROR(VLOOKUP(S216,Surp8!$B$1:$C$161,2,0),0)</f>
        <v>0</v>
      </c>
      <c r="AI216" s="97">
        <f>IFERROR(VLOOKUP(U216,Surp9!$B$1:$C$161,2,0),0)</f>
        <v>0</v>
      </c>
      <c r="AJ216" s="97">
        <f>IFERROR(VLOOKUP(W216,Surp10!$B$1:$C$161,2,0),0)</f>
        <v>0</v>
      </c>
      <c r="AK216" s="97">
        <f>IFERROR(VLOOKUP(Y216,Surp11!$B$1:$C$161,2,0),0)</f>
        <v>0</v>
      </c>
    </row>
    <row r="217" ht="15.75" customHeight="1">
      <c r="A217" s="172">
        <v>216.0</v>
      </c>
      <c r="B217" s="103"/>
      <c r="C217" s="136">
        <f t="shared" si="2"/>
        <v>0</v>
      </c>
      <c r="D217" s="136"/>
      <c r="E217" s="137">
        <f>IFERROR(VLOOKUP($B217,Surp1!$A$1:$B$161,2,0),0)</f>
        <v>0</v>
      </c>
      <c r="F217" s="97">
        <f>IFERROR(VLOOKUP(E217,Surp1!$B$1:$C$161,2,0),0)</f>
        <v>0</v>
      </c>
      <c r="G217" s="137">
        <f>IFERROR(VLOOKUP($B217,Surp2!$A$1:$B$161,2,0),0)</f>
        <v>0</v>
      </c>
      <c r="H217" s="97">
        <f>IFERROR(VLOOKUP(G217,Surp2!$B$1:$C$161,2,0),0)</f>
        <v>0</v>
      </c>
      <c r="I217" s="137">
        <f>IFERROR(VLOOKUP($B217,Surp3!$A$1:$B$161,2,0),0)</f>
        <v>0</v>
      </c>
      <c r="J217" s="97">
        <f>IFERROR(VLOOKUP(I217,Surp3!$B$1:$C$161,2,0),0)</f>
        <v>0</v>
      </c>
      <c r="K217" s="137">
        <f>IFERROR(VLOOKUP($B217,Surp4!$A$1:$B$161,2,0),0)</f>
        <v>0</v>
      </c>
      <c r="L217" s="97">
        <f>IFERROR(VLOOKUP(K217,Surp4!$B$1:$C$161,2,0),0)</f>
        <v>0</v>
      </c>
      <c r="M217" s="137">
        <f>IFERROR(VLOOKUP($B217,Surp5!$A$1:$B$161,2,0),0)</f>
        <v>0</v>
      </c>
      <c r="N217" s="97">
        <f>IFERROR(VLOOKUP(M217,Surp5!$B$1:$C$161,2,0),0)</f>
        <v>0</v>
      </c>
      <c r="O217" s="137">
        <f>IFERROR(VLOOKUP($B217,Surp6!$A$1:$B$161,2,0),0)</f>
        <v>0</v>
      </c>
      <c r="P217" s="97">
        <f>IFERROR(VLOOKUP(O217,Surp6!$B$1:$C$161,2,0),0)</f>
        <v>0</v>
      </c>
      <c r="Q217" s="137">
        <f>IFERROR(VLOOKUP($B217,Surp7!$A$1:$B$161,2,0),0)</f>
        <v>0</v>
      </c>
      <c r="R217" s="97">
        <f>IFERROR(VLOOKUP(Q217,Surp7!$B$1:$C$161,2,0),0)</f>
        <v>0</v>
      </c>
      <c r="S217" s="137">
        <f>IFERROR(VLOOKUP($B217,Surp8!$A$1:$B$161,2,0),0)</f>
        <v>0</v>
      </c>
      <c r="T217" s="97">
        <f>IFERROR(VLOOKUP(S217,Surp8!$B$1:$C$161,2,0),0)</f>
        <v>0</v>
      </c>
      <c r="U217" s="137">
        <f>IFERROR(VLOOKUP($B217,Surp9!$A$1:$B$161,2,0),0)</f>
        <v>0</v>
      </c>
      <c r="V217" s="97">
        <f>IFERROR(VLOOKUP(U217,Surp9!$B$1:$C$161,2,0),0)</f>
        <v>0</v>
      </c>
      <c r="W217" s="137">
        <f>IFERROR(VLOOKUP($B217,Surp10!$A$1:$B$161,2,0),0)</f>
        <v>0</v>
      </c>
      <c r="X217" s="97">
        <f>IFERROR(VLOOKUP(W217,Surp10!$B$1:$C$161,2,0),0)</f>
        <v>0</v>
      </c>
      <c r="Y217" s="137">
        <f>IFERROR(VLOOKUP($B217,Surp11!$A$1:$B$161,2,0),0)</f>
        <v>0</v>
      </c>
      <c r="Z217" s="97">
        <f>IFERROR(VLOOKUP(Y217,Surp11!$B$1:$C$161,2,0),0)</f>
        <v>0</v>
      </c>
      <c r="AA217" s="97">
        <f>IFERROR(VLOOKUP(E217,Surp1!$B$1:$C$161,2,0),0)</f>
        <v>0</v>
      </c>
      <c r="AB217" s="97">
        <f>IFERROR(VLOOKUP(G217,Surp2!$B$1:$C$161,2,0),0)</f>
        <v>0</v>
      </c>
      <c r="AC217" s="97">
        <f>IFERROR(VLOOKUP(I217,Surp3!$B$1:$C$161,2,0),0)</f>
        <v>0</v>
      </c>
      <c r="AD217" s="97">
        <f>IFERROR(VLOOKUP(K217,Surp4!$B$1:$C$161,2,0),0)</f>
        <v>0</v>
      </c>
      <c r="AE217" s="97">
        <f>IFERROR(VLOOKUP(M217,Surp5!$B$1:$C$161,2,0),0)</f>
        <v>0</v>
      </c>
      <c r="AF217" s="97">
        <f>IFERROR(VLOOKUP(O217,Surp6!$B$1:$C$161,2,0),0)</f>
        <v>0</v>
      </c>
      <c r="AG217" s="97">
        <f>IFERROR(VLOOKUP(Q217,Surp7!$B$1:$C$161,2,0),0)</f>
        <v>0</v>
      </c>
      <c r="AH217" s="97">
        <f>IFERROR(VLOOKUP(S217,Surp8!$B$1:$C$161,2,0),0)</f>
        <v>0</v>
      </c>
      <c r="AI217" s="97">
        <f>IFERROR(VLOOKUP(U217,Surp9!$B$1:$C$161,2,0),0)</f>
        <v>0</v>
      </c>
      <c r="AJ217" s="97">
        <f>IFERROR(VLOOKUP(W217,Surp10!$B$1:$C$161,2,0),0)</f>
        <v>0</v>
      </c>
      <c r="AK217" s="97">
        <f>IFERROR(VLOOKUP(Y217,Surp11!$B$1:$C$161,2,0),0)</f>
        <v>0</v>
      </c>
    </row>
    <row r="218" ht="15.75" customHeight="1">
      <c r="A218" s="171">
        <v>217.0</v>
      </c>
      <c r="B218" s="103"/>
      <c r="C218" s="136">
        <f t="shared" si="2"/>
        <v>0</v>
      </c>
      <c r="D218" s="136"/>
      <c r="E218" s="137">
        <f>IFERROR(VLOOKUP($B218,Surp1!$A$1:$B$161,2,0),0)</f>
        <v>0</v>
      </c>
      <c r="F218" s="97">
        <f>IFERROR(VLOOKUP(E218,Surp1!$B$1:$C$161,2,0),0)</f>
        <v>0</v>
      </c>
      <c r="G218" s="137">
        <f>IFERROR(VLOOKUP($B218,Surp2!$A$1:$B$161,2,0),0)</f>
        <v>0</v>
      </c>
      <c r="H218" s="97">
        <f>IFERROR(VLOOKUP(G218,Surp2!$B$1:$C$161,2,0),0)</f>
        <v>0</v>
      </c>
      <c r="I218" s="137">
        <f>IFERROR(VLOOKUP($B218,Surp3!$A$1:$B$161,2,0),0)</f>
        <v>0</v>
      </c>
      <c r="J218" s="97">
        <f>IFERROR(VLOOKUP(I218,Surp3!$B$1:$C$161,2,0),0)</f>
        <v>0</v>
      </c>
      <c r="K218" s="137">
        <f>IFERROR(VLOOKUP($B218,Surp4!$A$1:$B$161,2,0),0)</f>
        <v>0</v>
      </c>
      <c r="L218" s="97">
        <f>IFERROR(VLOOKUP(K218,Surp4!$B$1:$C$161,2,0),0)</f>
        <v>0</v>
      </c>
      <c r="M218" s="137">
        <f>IFERROR(VLOOKUP($B218,Surp5!$A$1:$B$161,2,0),0)</f>
        <v>0</v>
      </c>
      <c r="N218" s="97">
        <f>IFERROR(VLOOKUP(M218,Surp5!$B$1:$C$161,2,0),0)</f>
        <v>0</v>
      </c>
      <c r="O218" s="137">
        <f>IFERROR(VLOOKUP($B218,Surp6!$A$1:$B$161,2,0),0)</f>
        <v>0</v>
      </c>
      <c r="P218" s="97">
        <f>IFERROR(VLOOKUP(O218,Surp6!$B$1:$C$161,2,0),0)</f>
        <v>0</v>
      </c>
      <c r="Q218" s="137">
        <f>IFERROR(VLOOKUP($B218,Surp7!$A$1:$B$161,2,0),0)</f>
        <v>0</v>
      </c>
      <c r="R218" s="97">
        <f>IFERROR(VLOOKUP(Q218,Surp7!$B$1:$C$161,2,0),0)</f>
        <v>0</v>
      </c>
      <c r="S218" s="137">
        <f>IFERROR(VLOOKUP($B218,Surp8!$A$1:$B$161,2,0),0)</f>
        <v>0</v>
      </c>
      <c r="T218" s="97">
        <f>IFERROR(VLOOKUP(S218,Surp8!$B$1:$C$161,2,0),0)</f>
        <v>0</v>
      </c>
      <c r="U218" s="137">
        <f>IFERROR(VLOOKUP($B218,Surp9!$A$1:$B$161,2,0),0)</f>
        <v>0</v>
      </c>
      <c r="V218" s="97">
        <f>IFERROR(VLOOKUP(U218,Surp9!$B$1:$C$161,2,0),0)</f>
        <v>0</v>
      </c>
      <c r="W218" s="137">
        <f>IFERROR(VLOOKUP($B218,Surp10!$A$1:$B$161,2,0),0)</f>
        <v>0</v>
      </c>
      <c r="X218" s="97">
        <f>IFERROR(VLOOKUP(W218,Surp10!$B$1:$C$161,2,0),0)</f>
        <v>0</v>
      </c>
      <c r="Y218" s="137">
        <f>IFERROR(VLOOKUP($B218,Surp11!$A$1:$B$161,2,0),0)</f>
        <v>0</v>
      </c>
      <c r="Z218" s="97">
        <f>IFERROR(VLOOKUP(Y218,Surp11!$B$1:$C$161,2,0),0)</f>
        <v>0</v>
      </c>
      <c r="AA218" s="97">
        <f>IFERROR(VLOOKUP(E218,Surp1!$B$1:$C$161,2,0),0)</f>
        <v>0</v>
      </c>
      <c r="AB218" s="97">
        <f>IFERROR(VLOOKUP(G218,Surp2!$B$1:$C$161,2,0),0)</f>
        <v>0</v>
      </c>
      <c r="AC218" s="97">
        <f>IFERROR(VLOOKUP(I218,Surp3!$B$1:$C$161,2,0),0)</f>
        <v>0</v>
      </c>
      <c r="AD218" s="97">
        <f>IFERROR(VLOOKUP(K218,Surp4!$B$1:$C$161,2,0),0)</f>
        <v>0</v>
      </c>
      <c r="AE218" s="97">
        <f>IFERROR(VLOOKUP(M218,Surp5!$B$1:$C$161,2,0),0)</f>
        <v>0</v>
      </c>
      <c r="AF218" s="97">
        <f>IFERROR(VLOOKUP(O218,Surp6!$B$1:$C$161,2,0),0)</f>
        <v>0</v>
      </c>
      <c r="AG218" s="97">
        <f>IFERROR(VLOOKUP(Q218,Surp7!$B$1:$C$161,2,0),0)</f>
        <v>0</v>
      </c>
      <c r="AH218" s="97">
        <f>IFERROR(VLOOKUP(S218,Surp8!$B$1:$C$161,2,0),0)</f>
        <v>0</v>
      </c>
      <c r="AI218" s="97">
        <f>IFERROR(VLOOKUP(U218,Surp9!$B$1:$C$161,2,0),0)</f>
        <v>0</v>
      </c>
      <c r="AJ218" s="97">
        <f>IFERROR(VLOOKUP(W218,Surp10!$B$1:$C$161,2,0),0)</f>
        <v>0</v>
      </c>
      <c r="AK218" s="97">
        <f>IFERROR(VLOOKUP(Y218,Surp11!$B$1:$C$161,2,0),0)</f>
        <v>0</v>
      </c>
    </row>
    <row r="219" ht="15.75" customHeight="1">
      <c r="A219" s="172">
        <v>218.0</v>
      </c>
      <c r="B219" s="103"/>
      <c r="C219" s="136">
        <f t="shared" si="2"/>
        <v>0</v>
      </c>
      <c r="D219" s="136"/>
      <c r="E219" s="137">
        <f>IFERROR(VLOOKUP($B219,Surp1!$A$1:$B$161,2,0),0)</f>
        <v>0</v>
      </c>
      <c r="F219" s="97">
        <f>IFERROR(VLOOKUP(E219,Surp1!$B$1:$C$161,2,0),0)</f>
        <v>0</v>
      </c>
      <c r="G219" s="137">
        <f>IFERROR(VLOOKUP($B219,Surp2!$A$1:$B$161,2,0),0)</f>
        <v>0</v>
      </c>
      <c r="H219" s="97">
        <f>IFERROR(VLOOKUP(G219,Surp2!$B$1:$C$161,2,0),0)</f>
        <v>0</v>
      </c>
      <c r="I219" s="137">
        <f>IFERROR(VLOOKUP($B219,Surp3!$A$1:$B$161,2,0),0)</f>
        <v>0</v>
      </c>
      <c r="J219" s="97">
        <f>IFERROR(VLOOKUP(I219,Surp3!$B$1:$C$161,2,0),0)</f>
        <v>0</v>
      </c>
      <c r="K219" s="137">
        <f>IFERROR(VLOOKUP($B219,Surp4!$A$1:$B$161,2,0),0)</f>
        <v>0</v>
      </c>
      <c r="L219" s="97">
        <f>IFERROR(VLOOKUP(K219,Surp4!$B$1:$C$161,2,0),0)</f>
        <v>0</v>
      </c>
      <c r="M219" s="137">
        <f>IFERROR(VLOOKUP($B219,Surp5!$A$1:$B$161,2,0),0)</f>
        <v>0</v>
      </c>
      <c r="N219" s="97">
        <f>IFERROR(VLOOKUP(M219,Surp5!$B$1:$C$161,2,0),0)</f>
        <v>0</v>
      </c>
      <c r="O219" s="137">
        <f>IFERROR(VLOOKUP($B219,Surp6!$A$1:$B$161,2,0),0)</f>
        <v>0</v>
      </c>
      <c r="P219" s="97">
        <f>IFERROR(VLOOKUP(O219,Surp6!$B$1:$C$161,2,0),0)</f>
        <v>0</v>
      </c>
      <c r="Q219" s="137">
        <f>IFERROR(VLOOKUP($B219,Surp7!$A$1:$B$161,2,0),0)</f>
        <v>0</v>
      </c>
      <c r="R219" s="97">
        <f>IFERROR(VLOOKUP(Q219,Surp7!$B$1:$C$161,2,0),0)</f>
        <v>0</v>
      </c>
      <c r="S219" s="137">
        <f>IFERROR(VLOOKUP($B219,Surp8!$A$1:$B$161,2,0),0)</f>
        <v>0</v>
      </c>
      <c r="T219" s="97">
        <f>IFERROR(VLOOKUP(S219,Surp8!$B$1:$C$161,2,0),0)</f>
        <v>0</v>
      </c>
      <c r="U219" s="137">
        <f>IFERROR(VLOOKUP($B219,Surp9!$A$1:$B$161,2,0),0)</f>
        <v>0</v>
      </c>
      <c r="V219" s="97">
        <f>IFERROR(VLOOKUP(U219,Surp9!$B$1:$C$161,2,0),0)</f>
        <v>0</v>
      </c>
      <c r="W219" s="137">
        <f>IFERROR(VLOOKUP($B219,Surp10!$A$1:$B$161,2,0),0)</f>
        <v>0</v>
      </c>
      <c r="X219" s="97">
        <f>IFERROR(VLOOKUP(W219,Surp10!$B$1:$C$161,2,0),0)</f>
        <v>0</v>
      </c>
      <c r="Y219" s="137">
        <f>IFERROR(VLOOKUP($B219,Surp11!$A$1:$B$161,2,0),0)</f>
        <v>0</v>
      </c>
      <c r="Z219" s="97">
        <f>IFERROR(VLOOKUP(Y219,Surp11!$B$1:$C$161,2,0),0)</f>
        <v>0</v>
      </c>
      <c r="AA219" s="97">
        <f>IFERROR(VLOOKUP(E219,Surp1!$B$1:$C$161,2,0),0)</f>
        <v>0</v>
      </c>
      <c r="AB219" s="97">
        <f>IFERROR(VLOOKUP(G219,Surp2!$B$1:$C$161,2,0),0)</f>
        <v>0</v>
      </c>
      <c r="AC219" s="97">
        <f>IFERROR(VLOOKUP(I219,Surp3!$B$1:$C$161,2,0),0)</f>
        <v>0</v>
      </c>
      <c r="AD219" s="97">
        <f>IFERROR(VLOOKUP(K219,Surp4!$B$1:$C$161,2,0),0)</f>
        <v>0</v>
      </c>
      <c r="AE219" s="97">
        <f>IFERROR(VLOOKUP(M219,Surp5!$B$1:$C$161,2,0),0)</f>
        <v>0</v>
      </c>
      <c r="AF219" s="97">
        <f>IFERROR(VLOOKUP(O219,Surp6!$B$1:$C$161,2,0),0)</f>
        <v>0</v>
      </c>
      <c r="AG219" s="97">
        <f>IFERROR(VLOOKUP(Q219,Surp7!$B$1:$C$161,2,0),0)</f>
        <v>0</v>
      </c>
      <c r="AH219" s="97">
        <f>IFERROR(VLOOKUP(S219,Surp8!$B$1:$C$161,2,0),0)</f>
        <v>0</v>
      </c>
      <c r="AI219" s="97">
        <f>IFERROR(VLOOKUP(U219,Surp9!$B$1:$C$161,2,0),0)</f>
        <v>0</v>
      </c>
      <c r="AJ219" s="97">
        <f>IFERROR(VLOOKUP(W219,Surp10!$B$1:$C$161,2,0),0)</f>
        <v>0</v>
      </c>
      <c r="AK219" s="97">
        <f>IFERROR(VLOOKUP(Y219,Surp11!$B$1:$C$161,2,0),0)</f>
        <v>0</v>
      </c>
    </row>
    <row r="220" ht="15.75" customHeight="1">
      <c r="A220" s="171">
        <v>219.0</v>
      </c>
      <c r="B220" s="103"/>
      <c r="C220" s="136">
        <f t="shared" si="2"/>
        <v>0</v>
      </c>
      <c r="D220" s="136"/>
      <c r="E220" s="137">
        <f>IFERROR(VLOOKUP($B220,Surp1!$A$1:$B$161,2,0),0)</f>
        <v>0</v>
      </c>
      <c r="F220" s="97">
        <f>IFERROR(VLOOKUP(E220,Surp1!$B$1:$C$161,2,0),0)</f>
        <v>0</v>
      </c>
      <c r="G220" s="137">
        <f>IFERROR(VLOOKUP($B220,Surp2!$A$1:$B$161,2,0),0)</f>
        <v>0</v>
      </c>
      <c r="H220" s="97">
        <f>IFERROR(VLOOKUP(G220,Surp2!$B$1:$C$161,2,0),0)</f>
        <v>0</v>
      </c>
      <c r="I220" s="137">
        <f>IFERROR(VLOOKUP($B220,Surp3!$A$1:$B$161,2,0),0)</f>
        <v>0</v>
      </c>
      <c r="J220" s="97">
        <f>IFERROR(VLOOKUP(I220,Surp3!$B$1:$C$161,2,0),0)</f>
        <v>0</v>
      </c>
      <c r="K220" s="137">
        <f>IFERROR(VLOOKUP($B220,Surp4!$A$1:$B$161,2,0),0)</f>
        <v>0</v>
      </c>
      <c r="L220" s="97">
        <f>IFERROR(VLOOKUP(K220,Surp4!$B$1:$C$161,2,0),0)</f>
        <v>0</v>
      </c>
      <c r="M220" s="137">
        <f>IFERROR(VLOOKUP($B220,Surp5!$A$1:$B$161,2,0),0)</f>
        <v>0</v>
      </c>
      <c r="N220" s="97">
        <f>IFERROR(VLOOKUP(M220,Surp5!$B$1:$C$161,2,0),0)</f>
        <v>0</v>
      </c>
      <c r="O220" s="137">
        <f>IFERROR(VLOOKUP($B220,Surp6!$A$1:$B$161,2,0),0)</f>
        <v>0</v>
      </c>
      <c r="P220" s="97">
        <f>IFERROR(VLOOKUP(O220,Surp6!$B$1:$C$161,2,0),0)</f>
        <v>0</v>
      </c>
      <c r="Q220" s="137">
        <f>IFERROR(VLOOKUP($B220,Surp7!$A$1:$B$161,2,0),0)</f>
        <v>0</v>
      </c>
      <c r="R220" s="97">
        <f>IFERROR(VLOOKUP(Q220,Surp7!$B$1:$C$161,2,0),0)</f>
        <v>0</v>
      </c>
      <c r="S220" s="137">
        <f>IFERROR(VLOOKUP($B220,Surp8!$A$1:$B$161,2,0),0)</f>
        <v>0</v>
      </c>
      <c r="T220" s="97">
        <f>IFERROR(VLOOKUP(S220,Surp8!$B$1:$C$161,2,0),0)</f>
        <v>0</v>
      </c>
      <c r="U220" s="137">
        <f>IFERROR(VLOOKUP($B220,Surp9!$A$1:$B$161,2,0),0)</f>
        <v>0</v>
      </c>
      <c r="V220" s="97">
        <f>IFERROR(VLOOKUP(U220,Surp9!$B$1:$C$161,2,0),0)</f>
        <v>0</v>
      </c>
      <c r="W220" s="137">
        <f>IFERROR(VLOOKUP($B220,Surp10!$A$1:$B$161,2,0),0)</f>
        <v>0</v>
      </c>
      <c r="X220" s="97">
        <f>IFERROR(VLOOKUP(W220,Surp10!$B$1:$C$161,2,0),0)</f>
        <v>0</v>
      </c>
      <c r="Y220" s="137">
        <f>IFERROR(VLOOKUP($B220,Surp11!$A$1:$B$161,2,0),0)</f>
        <v>0</v>
      </c>
      <c r="Z220" s="97">
        <f>IFERROR(VLOOKUP(Y220,Surp11!$B$1:$C$161,2,0),0)</f>
        <v>0</v>
      </c>
      <c r="AA220" s="97">
        <f>IFERROR(VLOOKUP(E220,Surp1!$B$1:$C$161,2,0),0)</f>
        <v>0</v>
      </c>
      <c r="AB220" s="97">
        <f>IFERROR(VLOOKUP(G220,Surp2!$B$1:$C$161,2,0),0)</f>
        <v>0</v>
      </c>
      <c r="AC220" s="97">
        <f>IFERROR(VLOOKUP(I220,Surp3!$B$1:$C$161,2,0),0)</f>
        <v>0</v>
      </c>
      <c r="AD220" s="97">
        <f>IFERROR(VLOOKUP(K220,Surp4!$B$1:$C$161,2,0),0)</f>
        <v>0</v>
      </c>
      <c r="AE220" s="97">
        <f>IFERROR(VLOOKUP(M220,Surp5!$B$1:$C$161,2,0),0)</f>
        <v>0</v>
      </c>
      <c r="AF220" s="97">
        <f>IFERROR(VLOOKUP(O220,Surp6!$B$1:$C$161,2,0),0)</f>
        <v>0</v>
      </c>
      <c r="AG220" s="97">
        <f>IFERROR(VLOOKUP(Q220,Surp7!$B$1:$C$161,2,0),0)</f>
        <v>0</v>
      </c>
      <c r="AH220" s="97">
        <f>IFERROR(VLOOKUP(S220,Surp8!$B$1:$C$161,2,0),0)</f>
        <v>0</v>
      </c>
      <c r="AI220" s="97">
        <f>IFERROR(VLOOKUP(U220,Surp9!$B$1:$C$161,2,0),0)</f>
        <v>0</v>
      </c>
      <c r="AJ220" s="97">
        <f>IFERROR(VLOOKUP(W220,Surp10!$B$1:$C$161,2,0),0)</f>
        <v>0</v>
      </c>
      <c r="AK220" s="97">
        <f>IFERROR(VLOOKUP(Y220,Surp11!$B$1:$C$161,2,0),0)</f>
        <v>0</v>
      </c>
    </row>
    <row r="221" ht="15.75" customHeight="1">
      <c r="A221" s="172">
        <v>220.0</v>
      </c>
      <c r="B221" s="103"/>
      <c r="C221" s="136">
        <f t="shared" si="2"/>
        <v>0</v>
      </c>
      <c r="D221" s="136"/>
      <c r="E221" s="137">
        <f>IFERROR(VLOOKUP($B221,Surp1!$A$1:$B$161,2,0),0)</f>
        <v>0</v>
      </c>
      <c r="F221" s="97">
        <f>IFERROR(VLOOKUP(E221,Surp1!$B$1:$C$161,2,0),0)</f>
        <v>0</v>
      </c>
      <c r="G221" s="137">
        <f>IFERROR(VLOOKUP($B221,Surp2!$A$1:$B$161,2,0),0)</f>
        <v>0</v>
      </c>
      <c r="H221" s="97">
        <f>IFERROR(VLOOKUP(G221,Surp2!$B$1:$C$161,2,0),0)</f>
        <v>0</v>
      </c>
      <c r="I221" s="137">
        <f>IFERROR(VLOOKUP($B221,Surp3!$A$1:$B$161,2,0),0)</f>
        <v>0</v>
      </c>
      <c r="J221" s="97">
        <f>IFERROR(VLOOKUP(I221,Surp3!$B$1:$C$161,2,0),0)</f>
        <v>0</v>
      </c>
      <c r="K221" s="137">
        <f>IFERROR(VLOOKUP($B221,Surp4!$A$1:$B$161,2,0),0)</f>
        <v>0</v>
      </c>
      <c r="L221" s="97">
        <f>IFERROR(VLOOKUP(K221,Surp4!$B$1:$C$161,2,0),0)</f>
        <v>0</v>
      </c>
      <c r="M221" s="137">
        <f>IFERROR(VLOOKUP($B221,Surp5!$A$1:$B$161,2,0),0)</f>
        <v>0</v>
      </c>
      <c r="N221" s="97">
        <f>IFERROR(VLOOKUP(M221,Surp5!$B$1:$C$161,2,0),0)</f>
        <v>0</v>
      </c>
      <c r="O221" s="137">
        <f>IFERROR(VLOOKUP($B221,Surp6!$A$1:$B$161,2,0),0)</f>
        <v>0</v>
      </c>
      <c r="P221" s="97">
        <f>IFERROR(VLOOKUP(O221,Surp6!$B$1:$C$161,2,0),0)</f>
        <v>0</v>
      </c>
      <c r="Q221" s="137">
        <f>IFERROR(VLOOKUP($B221,Surp7!$A$1:$B$161,2,0),0)</f>
        <v>0</v>
      </c>
      <c r="R221" s="97">
        <f>IFERROR(VLOOKUP(Q221,Surp7!$B$1:$C$161,2,0),0)</f>
        <v>0</v>
      </c>
      <c r="S221" s="137">
        <f>IFERROR(VLOOKUP($B221,Surp8!$A$1:$B$161,2,0),0)</f>
        <v>0</v>
      </c>
      <c r="T221" s="97">
        <f>IFERROR(VLOOKUP(S221,Surp8!$B$1:$C$161,2,0),0)</f>
        <v>0</v>
      </c>
      <c r="U221" s="137">
        <f>IFERROR(VLOOKUP($B221,Surp9!$A$1:$B$161,2,0),0)</f>
        <v>0</v>
      </c>
      <c r="V221" s="97">
        <f>IFERROR(VLOOKUP(U221,Surp9!$B$1:$C$161,2,0),0)</f>
        <v>0</v>
      </c>
      <c r="W221" s="137">
        <f>IFERROR(VLOOKUP($B221,Surp10!$A$1:$B$161,2,0),0)</f>
        <v>0</v>
      </c>
      <c r="X221" s="97">
        <f>IFERROR(VLOOKUP(W221,Surp10!$B$1:$C$161,2,0),0)</f>
        <v>0</v>
      </c>
      <c r="Y221" s="137">
        <f>IFERROR(VLOOKUP($B221,Surp11!$A$1:$B$161,2,0),0)</f>
        <v>0</v>
      </c>
      <c r="Z221" s="97">
        <f>IFERROR(VLOOKUP(Y221,Surp11!$B$1:$C$161,2,0),0)</f>
        <v>0</v>
      </c>
      <c r="AA221" s="97">
        <f>IFERROR(VLOOKUP(E221,Surp1!$B$1:$C$161,2,0),0)</f>
        <v>0</v>
      </c>
      <c r="AB221" s="97">
        <f>IFERROR(VLOOKUP(G221,Surp2!$B$1:$C$161,2,0),0)</f>
        <v>0</v>
      </c>
      <c r="AC221" s="97">
        <f>IFERROR(VLOOKUP(I221,Surp3!$B$1:$C$161,2,0),0)</f>
        <v>0</v>
      </c>
      <c r="AD221" s="97">
        <f>IFERROR(VLOOKUP(K221,Surp4!$B$1:$C$161,2,0),0)</f>
        <v>0</v>
      </c>
      <c r="AE221" s="97">
        <f>IFERROR(VLOOKUP(M221,Surp5!$B$1:$C$161,2,0),0)</f>
        <v>0</v>
      </c>
      <c r="AF221" s="97">
        <f>IFERROR(VLOOKUP(O221,Surp6!$B$1:$C$161,2,0),0)</f>
        <v>0</v>
      </c>
      <c r="AG221" s="97">
        <f>IFERROR(VLOOKUP(Q221,Surp7!$B$1:$C$161,2,0),0)</f>
        <v>0</v>
      </c>
      <c r="AH221" s="97">
        <f>IFERROR(VLOOKUP(S221,Surp8!$B$1:$C$161,2,0),0)</f>
        <v>0</v>
      </c>
      <c r="AI221" s="97">
        <f>IFERROR(VLOOKUP(U221,Surp9!$B$1:$C$161,2,0),0)</f>
        <v>0</v>
      </c>
      <c r="AJ221" s="97">
        <f>IFERROR(VLOOKUP(W221,Surp10!$B$1:$C$161,2,0),0)</f>
        <v>0</v>
      </c>
      <c r="AK221" s="97">
        <f>IFERROR(VLOOKUP(Y221,Surp11!$B$1:$C$161,2,0),0)</f>
        <v>0</v>
      </c>
    </row>
    <row r="222" ht="15.75" customHeight="1">
      <c r="A222" s="171">
        <v>221.0</v>
      </c>
      <c r="B222" s="103"/>
      <c r="C222" s="136">
        <f t="shared" si="2"/>
        <v>0</v>
      </c>
      <c r="D222" s="136"/>
      <c r="E222" s="137">
        <f>IFERROR(VLOOKUP($B222,Surp1!$A$1:$B$161,2,0),0)</f>
        <v>0</v>
      </c>
      <c r="F222" s="97">
        <f>IFERROR(VLOOKUP(E222,Surp1!$B$1:$C$161,2,0),0)</f>
        <v>0</v>
      </c>
      <c r="G222" s="137">
        <f>IFERROR(VLOOKUP($B222,Surp2!$A$1:$B$161,2,0),0)</f>
        <v>0</v>
      </c>
      <c r="H222" s="97">
        <f>IFERROR(VLOOKUP(G222,Surp2!$B$1:$C$161,2,0),0)</f>
        <v>0</v>
      </c>
      <c r="I222" s="137">
        <f>IFERROR(VLOOKUP($B222,Surp3!$A$1:$B$161,2,0),0)</f>
        <v>0</v>
      </c>
      <c r="J222" s="97">
        <f>IFERROR(VLOOKUP(I222,Surp3!$B$1:$C$161,2,0),0)</f>
        <v>0</v>
      </c>
      <c r="K222" s="137">
        <f>IFERROR(VLOOKUP($B222,Surp4!$A$1:$B$161,2,0),0)</f>
        <v>0</v>
      </c>
      <c r="L222" s="97">
        <f>IFERROR(VLOOKUP(K222,Surp4!$B$1:$C$161,2,0),0)</f>
        <v>0</v>
      </c>
      <c r="M222" s="137">
        <f>IFERROR(VLOOKUP($B222,Surp5!$A$1:$B$161,2,0),0)</f>
        <v>0</v>
      </c>
      <c r="N222" s="97">
        <f>IFERROR(VLOOKUP(M222,Surp5!$B$1:$C$161,2,0),0)</f>
        <v>0</v>
      </c>
      <c r="O222" s="137">
        <f>IFERROR(VLOOKUP($B222,Surp6!$A$1:$B$161,2,0),0)</f>
        <v>0</v>
      </c>
      <c r="P222" s="97">
        <f>IFERROR(VLOOKUP(O222,Surp6!$B$1:$C$161,2,0),0)</f>
        <v>0</v>
      </c>
      <c r="Q222" s="137">
        <f>IFERROR(VLOOKUP($B222,Surp7!$A$1:$B$161,2,0),0)</f>
        <v>0</v>
      </c>
      <c r="R222" s="97">
        <f>IFERROR(VLOOKUP(Q222,Surp7!$B$1:$C$161,2,0),0)</f>
        <v>0</v>
      </c>
      <c r="S222" s="137">
        <f>IFERROR(VLOOKUP($B222,Surp8!$A$1:$B$161,2,0),0)</f>
        <v>0</v>
      </c>
      <c r="T222" s="97">
        <f>IFERROR(VLOOKUP(S222,Surp8!$B$1:$C$161,2,0),0)</f>
        <v>0</v>
      </c>
      <c r="U222" s="137">
        <f>IFERROR(VLOOKUP($B222,Surp9!$A$1:$B$161,2,0),0)</f>
        <v>0</v>
      </c>
      <c r="V222" s="97">
        <f>IFERROR(VLOOKUP(U222,Surp9!$B$1:$C$161,2,0),0)</f>
        <v>0</v>
      </c>
      <c r="W222" s="137">
        <f>IFERROR(VLOOKUP($B222,Surp10!$A$1:$B$161,2,0),0)</f>
        <v>0</v>
      </c>
      <c r="X222" s="97">
        <f>IFERROR(VLOOKUP(W222,Surp10!$B$1:$C$161,2,0),0)</f>
        <v>0</v>
      </c>
      <c r="Y222" s="137">
        <f>IFERROR(VLOOKUP($B222,Surp11!$A$1:$B$161,2,0),0)</f>
        <v>0</v>
      </c>
      <c r="Z222" s="97">
        <f>IFERROR(VLOOKUP(Y222,Surp11!$B$1:$C$161,2,0),0)</f>
        <v>0</v>
      </c>
      <c r="AA222" s="97">
        <f>IFERROR(VLOOKUP(E222,Surp1!$B$1:$C$161,2,0),0)</f>
        <v>0</v>
      </c>
      <c r="AB222" s="97">
        <f>IFERROR(VLOOKUP(G222,Surp2!$B$1:$C$161,2,0),0)</f>
        <v>0</v>
      </c>
      <c r="AC222" s="97">
        <f>IFERROR(VLOOKUP(I222,Surp3!$B$1:$C$161,2,0),0)</f>
        <v>0</v>
      </c>
      <c r="AD222" s="97">
        <f>IFERROR(VLOOKUP(K222,Surp4!$B$1:$C$161,2,0),0)</f>
        <v>0</v>
      </c>
      <c r="AE222" s="97">
        <f>IFERROR(VLOOKUP(M222,Surp5!$B$1:$C$161,2,0),0)</f>
        <v>0</v>
      </c>
      <c r="AF222" s="97">
        <f>IFERROR(VLOOKUP(O222,Surp6!$B$1:$C$161,2,0),0)</f>
        <v>0</v>
      </c>
      <c r="AG222" s="97">
        <f>IFERROR(VLOOKUP(Q222,Surp7!$B$1:$C$161,2,0),0)</f>
        <v>0</v>
      </c>
      <c r="AH222" s="97">
        <f>IFERROR(VLOOKUP(S222,Surp8!$B$1:$C$161,2,0),0)</f>
        <v>0</v>
      </c>
      <c r="AI222" s="97">
        <f>IFERROR(VLOOKUP(U222,Surp9!$B$1:$C$161,2,0),0)</f>
        <v>0</v>
      </c>
      <c r="AJ222" s="97">
        <f>IFERROR(VLOOKUP(W222,Surp10!$B$1:$C$161,2,0),0)</f>
        <v>0</v>
      </c>
      <c r="AK222" s="97">
        <f>IFERROR(VLOOKUP(Y222,Surp11!$B$1:$C$161,2,0),0)</f>
        <v>0</v>
      </c>
    </row>
    <row r="223" ht="15.75" customHeight="1">
      <c r="A223" s="172">
        <v>222.0</v>
      </c>
      <c r="B223" s="103"/>
      <c r="C223" s="136">
        <f t="shared" si="2"/>
        <v>0</v>
      </c>
      <c r="D223" s="136"/>
      <c r="E223" s="137">
        <f>IFERROR(VLOOKUP($B223,Surp1!$A$1:$B$161,2,0),0)</f>
        <v>0</v>
      </c>
      <c r="F223" s="97">
        <f>IFERROR(VLOOKUP(E223,Surp1!$B$1:$C$161,2,0),0)</f>
        <v>0</v>
      </c>
      <c r="G223" s="137">
        <f>IFERROR(VLOOKUP($B223,Surp2!$A$1:$B$161,2,0),0)</f>
        <v>0</v>
      </c>
      <c r="H223" s="97">
        <f>IFERROR(VLOOKUP(G223,Surp2!$B$1:$C$161,2,0),0)</f>
        <v>0</v>
      </c>
      <c r="I223" s="137">
        <f>IFERROR(VLOOKUP($B223,Surp3!$A$1:$B$161,2,0),0)</f>
        <v>0</v>
      </c>
      <c r="J223" s="97">
        <f>IFERROR(VLOOKUP(I223,Surp3!$B$1:$C$161,2,0),0)</f>
        <v>0</v>
      </c>
      <c r="K223" s="137">
        <f>IFERROR(VLOOKUP($B223,Surp4!$A$1:$B$161,2,0),0)</f>
        <v>0</v>
      </c>
      <c r="L223" s="97">
        <f>IFERROR(VLOOKUP(K223,Surp4!$B$1:$C$161,2,0),0)</f>
        <v>0</v>
      </c>
      <c r="M223" s="137">
        <f>IFERROR(VLOOKUP($B223,Surp5!$A$1:$B$161,2,0),0)</f>
        <v>0</v>
      </c>
      <c r="N223" s="97">
        <f>IFERROR(VLOOKUP(M223,Surp5!$B$1:$C$161,2,0),0)</f>
        <v>0</v>
      </c>
      <c r="O223" s="137">
        <f>IFERROR(VLOOKUP($B223,Surp6!$A$1:$B$161,2,0),0)</f>
        <v>0</v>
      </c>
      <c r="P223" s="97">
        <f>IFERROR(VLOOKUP(O223,Surp6!$B$1:$C$161,2,0),0)</f>
        <v>0</v>
      </c>
      <c r="Q223" s="137">
        <f>IFERROR(VLOOKUP($B223,Surp7!$A$1:$B$161,2,0),0)</f>
        <v>0</v>
      </c>
      <c r="R223" s="97">
        <f>IFERROR(VLOOKUP(Q223,Surp7!$B$1:$C$161,2,0),0)</f>
        <v>0</v>
      </c>
      <c r="S223" s="137">
        <f>IFERROR(VLOOKUP($B223,Surp8!$A$1:$B$161,2,0),0)</f>
        <v>0</v>
      </c>
      <c r="T223" s="97">
        <f>IFERROR(VLOOKUP(S223,Surp8!$B$1:$C$161,2,0),0)</f>
        <v>0</v>
      </c>
      <c r="U223" s="137">
        <f>IFERROR(VLOOKUP($B223,Surp9!$A$1:$B$161,2,0),0)</f>
        <v>0</v>
      </c>
      <c r="V223" s="97">
        <f>IFERROR(VLOOKUP(U223,Surp9!$B$1:$C$161,2,0),0)</f>
        <v>0</v>
      </c>
      <c r="W223" s="137">
        <f>IFERROR(VLOOKUP($B223,Surp10!$A$1:$B$161,2,0),0)</f>
        <v>0</v>
      </c>
      <c r="X223" s="97">
        <f>IFERROR(VLOOKUP(W223,Surp10!$B$1:$C$161,2,0),0)</f>
        <v>0</v>
      </c>
      <c r="Y223" s="137">
        <f>IFERROR(VLOOKUP($B223,Surp11!$A$1:$B$161,2,0),0)</f>
        <v>0</v>
      </c>
      <c r="Z223" s="97">
        <f>IFERROR(VLOOKUP(Y223,Surp11!$B$1:$C$161,2,0),0)</f>
        <v>0</v>
      </c>
      <c r="AA223" s="97">
        <f>IFERROR(VLOOKUP(E223,Surp1!$B$1:$C$161,2,0),0)</f>
        <v>0</v>
      </c>
      <c r="AB223" s="97">
        <f>IFERROR(VLOOKUP(G223,Surp2!$B$1:$C$161,2,0),0)</f>
        <v>0</v>
      </c>
      <c r="AC223" s="97">
        <f>IFERROR(VLOOKUP(I223,Surp3!$B$1:$C$161,2,0),0)</f>
        <v>0</v>
      </c>
      <c r="AD223" s="97">
        <f>IFERROR(VLOOKUP(K223,Surp4!$B$1:$C$161,2,0),0)</f>
        <v>0</v>
      </c>
      <c r="AE223" s="97">
        <f>IFERROR(VLOOKUP(M223,Surp5!$B$1:$C$161,2,0),0)</f>
        <v>0</v>
      </c>
      <c r="AF223" s="97">
        <f>IFERROR(VLOOKUP(O223,Surp6!$B$1:$C$161,2,0),0)</f>
        <v>0</v>
      </c>
      <c r="AG223" s="97">
        <f>IFERROR(VLOOKUP(Q223,Surp7!$B$1:$C$161,2,0),0)</f>
        <v>0</v>
      </c>
      <c r="AH223" s="97">
        <f>IFERROR(VLOOKUP(S223,Surp8!$B$1:$C$161,2,0),0)</f>
        <v>0</v>
      </c>
      <c r="AI223" s="97">
        <f>IFERROR(VLOOKUP(U223,Surp9!$B$1:$C$161,2,0),0)</f>
        <v>0</v>
      </c>
      <c r="AJ223" s="97">
        <f>IFERROR(VLOOKUP(W223,Surp10!$B$1:$C$161,2,0),0)</f>
        <v>0</v>
      </c>
      <c r="AK223" s="97">
        <f>IFERROR(VLOOKUP(Y223,Surp11!$B$1:$C$161,2,0),0)</f>
        <v>0</v>
      </c>
    </row>
    <row r="224" ht="15.75" customHeight="1">
      <c r="A224" s="171">
        <v>223.0</v>
      </c>
      <c r="B224" s="103"/>
      <c r="C224" s="136">
        <f t="shared" si="2"/>
        <v>0</v>
      </c>
      <c r="D224" s="136"/>
      <c r="E224" s="137">
        <f>IFERROR(VLOOKUP($B224,Surp1!$A$1:$B$161,2,0),0)</f>
        <v>0</v>
      </c>
      <c r="F224" s="97">
        <f>IFERROR(VLOOKUP(E224,Surp1!$B$1:$C$161,2,0),0)</f>
        <v>0</v>
      </c>
      <c r="G224" s="137">
        <f>IFERROR(VLOOKUP($B224,Surp2!$A$1:$B$161,2,0),0)</f>
        <v>0</v>
      </c>
      <c r="H224" s="97">
        <f>IFERROR(VLOOKUP(G224,Surp2!$B$1:$C$161,2,0),0)</f>
        <v>0</v>
      </c>
      <c r="I224" s="137">
        <f>IFERROR(VLOOKUP($B224,Surp3!$A$1:$B$161,2,0),0)</f>
        <v>0</v>
      </c>
      <c r="J224" s="97">
        <f>IFERROR(VLOOKUP(I224,Surp3!$B$1:$C$161,2,0),0)</f>
        <v>0</v>
      </c>
      <c r="K224" s="137">
        <f>IFERROR(VLOOKUP($B224,Surp4!$A$1:$B$161,2,0),0)</f>
        <v>0</v>
      </c>
      <c r="L224" s="97">
        <f>IFERROR(VLOOKUP(K224,Surp4!$B$1:$C$161,2,0),0)</f>
        <v>0</v>
      </c>
      <c r="M224" s="137">
        <f>IFERROR(VLOOKUP($B224,Surp5!$A$1:$B$161,2,0),0)</f>
        <v>0</v>
      </c>
      <c r="N224" s="97">
        <f>IFERROR(VLOOKUP(M224,Surp5!$B$1:$C$161,2,0),0)</f>
        <v>0</v>
      </c>
      <c r="O224" s="137">
        <f>IFERROR(VLOOKUP($B224,Surp6!$A$1:$B$161,2,0),0)</f>
        <v>0</v>
      </c>
      <c r="P224" s="97">
        <f>IFERROR(VLOOKUP(O224,Surp6!$B$1:$C$161,2,0),0)</f>
        <v>0</v>
      </c>
      <c r="Q224" s="137">
        <f>IFERROR(VLOOKUP($B224,Surp7!$A$1:$B$161,2,0),0)</f>
        <v>0</v>
      </c>
      <c r="R224" s="97">
        <f>IFERROR(VLOOKUP(Q224,Surp7!$B$1:$C$161,2,0),0)</f>
        <v>0</v>
      </c>
      <c r="S224" s="137">
        <f>IFERROR(VLOOKUP($B224,Surp8!$A$1:$B$161,2,0),0)</f>
        <v>0</v>
      </c>
      <c r="T224" s="97">
        <f>IFERROR(VLOOKUP(S224,Surp8!$B$1:$C$161,2,0),0)</f>
        <v>0</v>
      </c>
      <c r="U224" s="137">
        <f>IFERROR(VLOOKUP($B224,Surp9!$A$1:$B$161,2,0),0)</f>
        <v>0</v>
      </c>
      <c r="V224" s="97">
        <f>IFERROR(VLOOKUP(U224,Surp9!$B$1:$C$161,2,0),0)</f>
        <v>0</v>
      </c>
      <c r="W224" s="137">
        <f>IFERROR(VLOOKUP($B224,Surp10!$A$1:$B$161,2,0),0)</f>
        <v>0</v>
      </c>
      <c r="X224" s="97">
        <f>IFERROR(VLOOKUP(W224,Surp10!$B$1:$C$161,2,0),0)</f>
        <v>0</v>
      </c>
      <c r="Y224" s="137">
        <f>IFERROR(VLOOKUP($B224,Surp11!$A$1:$B$161,2,0),0)</f>
        <v>0</v>
      </c>
      <c r="Z224" s="97">
        <f>IFERROR(VLOOKUP(Y224,Surp11!$B$1:$C$161,2,0),0)</f>
        <v>0</v>
      </c>
      <c r="AA224" s="97">
        <f>IFERROR(VLOOKUP(E224,Surp1!$B$1:$C$161,2,0),0)</f>
        <v>0</v>
      </c>
      <c r="AB224" s="97">
        <f>IFERROR(VLOOKUP(G224,Surp2!$B$1:$C$161,2,0),0)</f>
        <v>0</v>
      </c>
      <c r="AC224" s="97">
        <f>IFERROR(VLOOKUP(I224,Surp3!$B$1:$C$161,2,0),0)</f>
        <v>0</v>
      </c>
      <c r="AD224" s="97">
        <f>IFERROR(VLOOKUP(K224,Surp4!$B$1:$C$161,2,0),0)</f>
        <v>0</v>
      </c>
      <c r="AE224" s="97">
        <f>IFERROR(VLOOKUP(M224,Surp5!$B$1:$C$161,2,0),0)</f>
        <v>0</v>
      </c>
      <c r="AF224" s="97">
        <f>IFERROR(VLOOKUP(O224,Surp6!$B$1:$C$161,2,0),0)</f>
        <v>0</v>
      </c>
      <c r="AG224" s="97">
        <f>IFERROR(VLOOKUP(Q224,Surp7!$B$1:$C$161,2,0),0)</f>
        <v>0</v>
      </c>
      <c r="AH224" s="97">
        <f>IFERROR(VLOOKUP(S224,Surp8!$B$1:$C$161,2,0),0)</f>
        <v>0</v>
      </c>
      <c r="AI224" s="97">
        <f>IFERROR(VLOOKUP(U224,Surp9!$B$1:$C$161,2,0),0)</f>
        <v>0</v>
      </c>
      <c r="AJ224" s="97">
        <f>IFERROR(VLOOKUP(W224,Surp10!$B$1:$C$161,2,0),0)</f>
        <v>0</v>
      </c>
      <c r="AK224" s="97">
        <f>IFERROR(VLOOKUP(Y224,Surp11!$B$1:$C$161,2,0),0)</f>
        <v>0</v>
      </c>
    </row>
    <row r="225" ht="15.75" customHeight="1">
      <c r="A225" s="109">
        <v>224.0</v>
      </c>
      <c r="B225" s="103"/>
      <c r="C225" s="136">
        <f t="shared" si="2"/>
        <v>0</v>
      </c>
      <c r="D225" s="136"/>
      <c r="E225" s="137">
        <f>IFERROR(VLOOKUP($B225,Surp1!$A$1:$B$161,2,0),0)</f>
        <v>0</v>
      </c>
      <c r="F225" s="97">
        <f>IFERROR(VLOOKUP(E225,Surp1!$B$1:$C$161,2,0),0)</f>
        <v>0</v>
      </c>
      <c r="G225" s="137">
        <f>IFERROR(VLOOKUP($B225,Surp2!$A$1:$B$161,2,0),0)</f>
        <v>0</v>
      </c>
      <c r="H225" s="97">
        <f>IFERROR(VLOOKUP(G225,Surp2!$B$1:$C$161,2,0),0)</f>
        <v>0</v>
      </c>
      <c r="I225" s="137">
        <f>IFERROR(VLOOKUP($B225,Surp3!$A$1:$B$161,2,0),0)</f>
        <v>0</v>
      </c>
      <c r="J225" s="97">
        <f>IFERROR(VLOOKUP(I225,Surp3!$B$1:$C$161,2,0),0)</f>
        <v>0</v>
      </c>
      <c r="K225" s="137">
        <f>IFERROR(VLOOKUP($B225,Surp4!$A$1:$B$161,2,0),0)</f>
        <v>0</v>
      </c>
      <c r="L225" s="97">
        <f>IFERROR(VLOOKUP(K225,Surp4!$B$1:$C$161,2,0),0)</f>
        <v>0</v>
      </c>
      <c r="M225" s="137">
        <f>IFERROR(VLOOKUP($B225,Surp5!$A$1:$B$161,2,0),0)</f>
        <v>0</v>
      </c>
      <c r="N225" s="97">
        <f>IFERROR(VLOOKUP(M225,Surp5!$B$1:$C$161,2,0),0)</f>
        <v>0</v>
      </c>
      <c r="O225" s="137">
        <f>IFERROR(VLOOKUP($B225,Surp6!$A$1:$B$161,2,0),0)</f>
        <v>0</v>
      </c>
      <c r="P225" s="97">
        <f>IFERROR(VLOOKUP(O225,Surp6!$B$1:$C$161,2,0),0)</f>
        <v>0</v>
      </c>
      <c r="Q225" s="137">
        <f>IFERROR(VLOOKUP($B225,Surp7!$A$1:$B$161,2,0),0)</f>
        <v>0</v>
      </c>
      <c r="R225" s="97">
        <f>IFERROR(VLOOKUP(Q225,Surp7!$B$1:$C$161,2,0),0)</f>
        <v>0</v>
      </c>
      <c r="S225" s="137">
        <f>IFERROR(VLOOKUP($B225,Surp8!$A$1:$B$161,2,0),0)</f>
        <v>0</v>
      </c>
      <c r="T225" s="97">
        <f>IFERROR(VLOOKUP(S225,Surp8!$B$1:$C$161,2,0),0)</f>
        <v>0</v>
      </c>
      <c r="U225" s="137">
        <f>IFERROR(VLOOKUP($B225,Surp9!$A$1:$B$161,2,0),0)</f>
        <v>0</v>
      </c>
      <c r="V225" s="97">
        <f>IFERROR(VLOOKUP(U225,Surp9!$B$1:$C$161,2,0),0)</f>
        <v>0</v>
      </c>
      <c r="W225" s="137">
        <f>IFERROR(VLOOKUP($B225,Surp10!$A$1:$B$161,2,0),0)</f>
        <v>0</v>
      </c>
      <c r="X225" s="97">
        <f>IFERROR(VLOOKUP(W225,Surp10!$B$1:$C$161,2,0),0)</f>
        <v>0</v>
      </c>
      <c r="Y225" s="137">
        <f>IFERROR(VLOOKUP($B225,Surp11!$A$1:$B$161,2,0),0)</f>
        <v>0</v>
      </c>
      <c r="Z225" s="97">
        <f>IFERROR(VLOOKUP(Y225,Surp11!$B$1:$C$161,2,0),0)</f>
        <v>0</v>
      </c>
      <c r="AA225" s="97">
        <f>IFERROR(VLOOKUP(E225,Surp1!$B$1:$C$161,2,0),0)</f>
        <v>0</v>
      </c>
      <c r="AB225" s="97">
        <f>IFERROR(VLOOKUP(G225,Surp2!$B$1:$C$161,2,0),0)</f>
        <v>0</v>
      </c>
      <c r="AC225" s="97">
        <f>IFERROR(VLOOKUP(I225,Surp3!$B$1:$C$161,2,0),0)</f>
        <v>0</v>
      </c>
      <c r="AD225" s="97">
        <f>IFERROR(VLOOKUP(K225,Surp4!$B$1:$C$161,2,0),0)</f>
        <v>0</v>
      </c>
      <c r="AE225" s="97">
        <f>IFERROR(VLOOKUP(M225,Surp5!$B$1:$C$161,2,0),0)</f>
        <v>0</v>
      </c>
      <c r="AF225" s="97">
        <f>IFERROR(VLOOKUP(O225,Surp6!$B$1:$C$161,2,0),0)</f>
        <v>0</v>
      </c>
      <c r="AG225" s="97">
        <f>IFERROR(VLOOKUP(Q225,Surp7!$B$1:$C$161,2,0),0)</f>
        <v>0</v>
      </c>
      <c r="AH225" s="97">
        <f>IFERROR(VLOOKUP(S225,Surp8!$B$1:$C$161,2,0),0)</f>
        <v>0</v>
      </c>
      <c r="AI225" s="97">
        <f>IFERROR(VLOOKUP(U225,Surp9!$B$1:$C$161,2,0),0)</f>
        <v>0</v>
      </c>
      <c r="AJ225" s="97">
        <f>IFERROR(VLOOKUP(W225,Surp10!$B$1:$C$161,2,0),0)</f>
        <v>0</v>
      </c>
      <c r="AK225" s="97">
        <f>IFERROR(VLOOKUP(Y225,Surp11!$B$1:$C$161,2,0),0)</f>
        <v>0</v>
      </c>
    </row>
    <row r="226" ht="15.75" customHeight="1">
      <c r="A226" s="109">
        <v>225.0</v>
      </c>
      <c r="B226" s="103"/>
      <c r="C226" s="136">
        <f t="shared" si="2"/>
        <v>0</v>
      </c>
      <c r="D226" s="136"/>
      <c r="E226" s="137">
        <f>IFERROR(VLOOKUP($B226,Surp1!$A$1:$B$161,2,0),0)</f>
        <v>0</v>
      </c>
      <c r="F226" s="97">
        <f>IFERROR(VLOOKUP(E226,Surp1!$B$1:$C$161,2,0),0)</f>
        <v>0</v>
      </c>
      <c r="G226" s="137">
        <f>IFERROR(VLOOKUP($B226,Surp2!$A$1:$B$161,2,0),0)</f>
        <v>0</v>
      </c>
      <c r="H226" s="97">
        <f>IFERROR(VLOOKUP(G226,Surp2!$B$1:$C$161,2,0),0)</f>
        <v>0</v>
      </c>
      <c r="I226" s="137">
        <f>IFERROR(VLOOKUP($B226,Surp3!$A$1:$B$161,2,0),0)</f>
        <v>0</v>
      </c>
      <c r="J226" s="97">
        <f>IFERROR(VLOOKUP(I226,Surp3!$B$1:$C$161,2,0),0)</f>
        <v>0</v>
      </c>
      <c r="K226" s="137">
        <f>IFERROR(VLOOKUP($B226,Surp4!$A$1:$B$161,2,0),0)</f>
        <v>0</v>
      </c>
      <c r="L226" s="97">
        <f>IFERROR(VLOOKUP(K226,Surp4!$B$1:$C$161,2,0),0)</f>
        <v>0</v>
      </c>
      <c r="M226" s="137">
        <f>IFERROR(VLOOKUP($B226,Surp5!$A$1:$B$161,2,0),0)</f>
        <v>0</v>
      </c>
      <c r="N226" s="97">
        <f>IFERROR(VLOOKUP(M226,Surp5!$B$1:$C$161,2,0),0)</f>
        <v>0</v>
      </c>
      <c r="O226" s="137">
        <f>IFERROR(VLOOKUP($B226,Surp6!$A$1:$B$161,2,0),0)</f>
        <v>0</v>
      </c>
      <c r="P226" s="97">
        <f>IFERROR(VLOOKUP(O226,Surp6!$B$1:$C$161,2,0),0)</f>
        <v>0</v>
      </c>
      <c r="Q226" s="137">
        <f>IFERROR(VLOOKUP($B226,Surp7!$A$1:$B$161,2,0),0)</f>
        <v>0</v>
      </c>
      <c r="R226" s="97">
        <f>IFERROR(VLOOKUP(Q226,Surp7!$B$1:$C$161,2,0),0)</f>
        <v>0</v>
      </c>
      <c r="S226" s="137">
        <f>IFERROR(VLOOKUP($B226,Surp8!$A$1:$B$161,2,0),0)</f>
        <v>0</v>
      </c>
      <c r="T226" s="97">
        <f>IFERROR(VLOOKUP(S226,Surp8!$B$1:$C$161,2,0),0)</f>
        <v>0</v>
      </c>
      <c r="U226" s="137">
        <f>IFERROR(VLOOKUP($B226,Surp9!$A$1:$B$161,2,0),0)</f>
        <v>0</v>
      </c>
      <c r="V226" s="97">
        <f>IFERROR(VLOOKUP(U226,Surp9!$B$1:$C$161,2,0),0)</f>
        <v>0</v>
      </c>
      <c r="W226" s="137">
        <f>IFERROR(VLOOKUP($B226,Surp10!$A$1:$B$161,2,0),0)</f>
        <v>0</v>
      </c>
      <c r="X226" s="97">
        <f>IFERROR(VLOOKUP(W226,Surp10!$B$1:$C$161,2,0),0)</f>
        <v>0</v>
      </c>
      <c r="Y226" s="137">
        <f>IFERROR(VLOOKUP($B226,Surp11!$A$1:$B$161,2,0),0)</f>
        <v>0</v>
      </c>
      <c r="Z226" s="97">
        <f>IFERROR(VLOOKUP(Y226,Surp11!$B$1:$C$161,2,0),0)</f>
        <v>0</v>
      </c>
      <c r="AA226" s="97">
        <f>IFERROR(VLOOKUP(E226,Surp1!$B$1:$C$161,2,0),0)</f>
        <v>0</v>
      </c>
      <c r="AB226" s="97">
        <f>IFERROR(VLOOKUP(G226,Surp2!$B$1:$C$161,2,0),0)</f>
        <v>0</v>
      </c>
      <c r="AC226" s="97">
        <f>IFERROR(VLOOKUP(I226,Surp3!$B$1:$C$161,2,0),0)</f>
        <v>0</v>
      </c>
      <c r="AD226" s="97">
        <f>IFERROR(VLOOKUP(K226,Surp4!$B$1:$C$161,2,0),0)</f>
        <v>0</v>
      </c>
      <c r="AE226" s="97">
        <f>IFERROR(VLOOKUP(M226,Surp5!$B$1:$C$161,2,0),0)</f>
        <v>0</v>
      </c>
      <c r="AF226" s="97">
        <f>IFERROR(VLOOKUP(O226,Surp6!$B$1:$C$161,2,0),0)</f>
        <v>0</v>
      </c>
      <c r="AG226" s="97">
        <f>IFERROR(VLOOKUP(Q226,Surp7!$B$1:$C$161,2,0),0)</f>
        <v>0</v>
      </c>
      <c r="AH226" s="97">
        <f>IFERROR(VLOOKUP(S226,Surp8!$B$1:$C$161,2,0),0)</f>
        <v>0</v>
      </c>
      <c r="AI226" s="97">
        <f>IFERROR(VLOOKUP(U226,Surp9!$B$1:$C$161,2,0),0)</f>
        <v>0</v>
      </c>
      <c r="AJ226" s="97">
        <f>IFERROR(VLOOKUP(W226,Surp10!$B$1:$C$161,2,0),0)</f>
        <v>0</v>
      </c>
      <c r="AK226" s="97">
        <f>IFERROR(VLOOKUP(Y226,Surp11!$B$1:$C$161,2,0),0)</f>
        <v>0</v>
      </c>
    </row>
    <row r="227" ht="15.75" customHeight="1">
      <c r="A227" s="109">
        <v>226.0</v>
      </c>
      <c r="B227" s="103"/>
      <c r="C227" s="136">
        <f t="shared" si="2"/>
        <v>0</v>
      </c>
      <c r="D227" s="136"/>
      <c r="E227" s="137">
        <f>IFERROR(VLOOKUP($B227,Surp1!$A$1:$B$161,2,0),0)</f>
        <v>0</v>
      </c>
      <c r="F227" s="97">
        <f>IFERROR(VLOOKUP(E227,Surp1!$B$1:$C$161,2,0),0)</f>
        <v>0</v>
      </c>
      <c r="G227" s="137">
        <f>IFERROR(VLOOKUP($B227,Surp2!$A$1:$B$161,2,0),0)</f>
        <v>0</v>
      </c>
      <c r="H227" s="97">
        <f>IFERROR(VLOOKUP(G227,Surp2!$B$1:$C$161,2,0),0)</f>
        <v>0</v>
      </c>
      <c r="I227" s="137">
        <f>IFERROR(VLOOKUP($B227,Surp3!$A$1:$B$161,2,0),0)</f>
        <v>0</v>
      </c>
      <c r="J227" s="97">
        <f>IFERROR(VLOOKUP(I227,Surp3!$B$1:$C$161,2,0),0)</f>
        <v>0</v>
      </c>
      <c r="K227" s="137">
        <f>IFERROR(VLOOKUP($B227,Surp4!$A$1:$B$161,2,0),0)</f>
        <v>0</v>
      </c>
      <c r="L227" s="97">
        <f>IFERROR(VLOOKUP(K227,Surp4!$B$1:$C$161,2,0),0)</f>
        <v>0</v>
      </c>
      <c r="M227" s="137">
        <f>IFERROR(VLOOKUP($B227,Surp5!$A$1:$B$161,2,0),0)</f>
        <v>0</v>
      </c>
      <c r="N227" s="97">
        <f>IFERROR(VLOOKUP(M227,Surp5!$B$1:$C$161,2,0),0)</f>
        <v>0</v>
      </c>
      <c r="O227" s="137">
        <f>IFERROR(VLOOKUP($B227,Surp6!$A$1:$B$161,2,0),0)</f>
        <v>0</v>
      </c>
      <c r="P227" s="97">
        <f>IFERROR(VLOOKUP(O227,Surp6!$B$1:$C$161,2,0),0)</f>
        <v>0</v>
      </c>
      <c r="Q227" s="137">
        <f>IFERROR(VLOOKUP($B227,Surp7!$A$1:$B$161,2,0),0)</f>
        <v>0</v>
      </c>
      <c r="R227" s="97">
        <f>IFERROR(VLOOKUP(Q227,Surp7!$B$1:$C$161,2,0),0)</f>
        <v>0</v>
      </c>
      <c r="S227" s="137">
        <f>IFERROR(VLOOKUP($B227,Surp8!$A$1:$B$161,2,0),0)</f>
        <v>0</v>
      </c>
      <c r="T227" s="97">
        <f>IFERROR(VLOOKUP(S227,Surp8!$B$1:$C$161,2,0),0)</f>
        <v>0</v>
      </c>
      <c r="U227" s="137">
        <f>IFERROR(VLOOKUP($B227,Surp9!$A$1:$B$161,2,0),0)</f>
        <v>0</v>
      </c>
      <c r="V227" s="97">
        <f>IFERROR(VLOOKUP(U227,Surp9!$B$1:$C$161,2,0),0)</f>
        <v>0</v>
      </c>
      <c r="W227" s="137">
        <f>IFERROR(VLOOKUP($B227,Surp10!$A$1:$B$161,2,0),0)</f>
        <v>0</v>
      </c>
      <c r="X227" s="97">
        <f>IFERROR(VLOOKUP(W227,Surp10!$B$1:$C$161,2,0),0)</f>
        <v>0</v>
      </c>
      <c r="Y227" s="137">
        <f>IFERROR(VLOOKUP($B227,Surp11!$A$1:$B$161,2,0),0)</f>
        <v>0</v>
      </c>
      <c r="Z227" s="97">
        <f>IFERROR(VLOOKUP(Y227,Surp11!$B$1:$C$161,2,0),0)</f>
        <v>0</v>
      </c>
      <c r="AA227" s="97">
        <f>IFERROR(VLOOKUP(E227,Surp1!$B$1:$C$161,2,0),0)</f>
        <v>0</v>
      </c>
      <c r="AB227" s="97">
        <f>IFERROR(VLOOKUP(G227,Surp2!$B$1:$C$161,2,0),0)</f>
        <v>0</v>
      </c>
      <c r="AC227" s="97">
        <f>IFERROR(VLOOKUP(I227,Surp3!$B$1:$C$161,2,0),0)</f>
        <v>0</v>
      </c>
      <c r="AD227" s="97">
        <f>IFERROR(VLOOKUP(K227,Surp4!$B$1:$C$161,2,0),0)</f>
        <v>0</v>
      </c>
      <c r="AE227" s="97">
        <f>IFERROR(VLOOKUP(M227,Surp5!$B$1:$C$161,2,0),0)</f>
        <v>0</v>
      </c>
      <c r="AF227" s="97">
        <f>IFERROR(VLOOKUP(O227,Surp6!$B$1:$C$161,2,0),0)</f>
        <v>0</v>
      </c>
      <c r="AG227" s="97">
        <f>IFERROR(VLOOKUP(Q227,Surp7!$B$1:$C$161,2,0),0)</f>
        <v>0</v>
      </c>
      <c r="AH227" s="97">
        <f>IFERROR(VLOOKUP(S227,Surp8!$B$1:$C$161,2,0),0)</f>
        <v>0</v>
      </c>
      <c r="AI227" s="97">
        <f>IFERROR(VLOOKUP(U227,Surp9!$B$1:$C$161,2,0),0)</f>
        <v>0</v>
      </c>
      <c r="AJ227" s="97">
        <f>IFERROR(VLOOKUP(W227,Surp10!$B$1:$C$161,2,0),0)</f>
        <v>0</v>
      </c>
      <c r="AK227" s="97">
        <f>IFERROR(VLOOKUP(Y227,Surp11!$B$1:$C$161,2,0),0)</f>
        <v>0</v>
      </c>
    </row>
    <row r="228" ht="15.75" customHeight="1">
      <c r="A228" s="109">
        <v>227.0</v>
      </c>
      <c r="B228" s="103"/>
      <c r="C228" s="136">
        <f t="shared" si="2"/>
        <v>0</v>
      </c>
      <c r="D228" s="136"/>
      <c r="E228" s="137">
        <f>IFERROR(VLOOKUP($B228,Surp1!$A$1:$B$161,2,0),0)</f>
        <v>0</v>
      </c>
      <c r="F228" s="97">
        <f>IFERROR(VLOOKUP(E228,Surp1!$B$1:$C$161,2,0),0)</f>
        <v>0</v>
      </c>
      <c r="G228" s="137">
        <f>IFERROR(VLOOKUP($B228,Surp2!$A$1:$B$161,2,0),0)</f>
        <v>0</v>
      </c>
      <c r="H228" s="97">
        <f>IFERROR(VLOOKUP(G228,Surp2!$B$1:$C$161,2,0),0)</f>
        <v>0</v>
      </c>
      <c r="I228" s="137">
        <f>IFERROR(VLOOKUP($B228,Surp3!$A$1:$B$161,2,0),0)</f>
        <v>0</v>
      </c>
      <c r="J228" s="97">
        <f>IFERROR(VLOOKUP(I228,Surp3!$B$1:$C$161,2,0),0)</f>
        <v>0</v>
      </c>
      <c r="K228" s="137">
        <f>IFERROR(VLOOKUP($B228,Surp4!$A$1:$B$161,2,0),0)</f>
        <v>0</v>
      </c>
      <c r="L228" s="97">
        <f>IFERROR(VLOOKUP(K228,Surp4!$B$1:$C$161,2,0),0)</f>
        <v>0</v>
      </c>
      <c r="M228" s="137">
        <f>IFERROR(VLOOKUP($B228,Surp5!$A$1:$B$161,2,0),0)</f>
        <v>0</v>
      </c>
      <c r="N228" s="97">
        <f>IFERROR(VLOOKUP(M228,Surp5!$B$1:$C$161,2,0),0)</f>
        <v>0</v>
      </c>
      <c r="O228" s="137">
        <f>IFERROR(VLOOKUP($B228,Surp6!$A$1:$B$161,2,0),0)</f>
        <v>0</v>
      </c>
      <c r="P228" s="97">
        <f>IFERROR(VLOOKUP(O228,Surp6!$B$1:$C$161,2,0),0)</f>
        <v>0</v>
      </c>
      <c r="Q228" s="137">
        <f>IFERROR(VLOOKUP($B228,Surp7!$A$1:$B$161,2,0),0)</f>
        <v>0</v>
      </c>
      <c r="R228" s="97">
        <f>IFERROR(VLOOKUP(Q228,Surp7!$B$1:$C$161,2,0),0)</f>
        <v>0</v>
      </c>
      <c r="S228" s="137">
        <f>IFERROR(VLOOKUP($B228,Surp8!$A$1:$B$161,2,0),0)</f>
        <v>0</v>
      </c>
      <c r="T228" s="97">
        <f>IFERROR(VLOOKUP(S228,Surp8!$B$1:$C$161,2,0),0)</f>
        <v>0</v>
      </c>
      <c r="U228" s="137">
        <f>IFERROR(VLOOKUP($B228,Surp9!$A$1:$B$161,2,0),0)</f>
        <v>0</v>
      </c>
      <c r="V228" s="97">
        <f>IFERROR(VLOOKUP(U228,Surp9!$B$1:$C$161,2,0),0)</f>
        <v>0</v>
      </c>
      <c r="W228" s="137">
        <f>IFERROR(VLOOKUP($B228,Surp10!$A$1:$B$161,2,0),0)</f>
        <v>0</v>
      </c>
      <c r="X228" s="97">
        <f>IFERROR(VLOOKUP(W228,Surp10!$B$1:$C$161,2,0),0)</f>
        <v>0</v>
      </c>
      <c r="Y228" s="137">
        <f>IFERROR(VLOOKUP($B228,Surp11!$A$1:$B$161,2,0),0)</f>
        <v>0</v>
      </c>
      <c r="Z228" s="97">
        <f>IFERROR(VLOOKUP(Y228,Surp11!$B$1:$C$161,2,0),0)</f>
        <v>0</v>
      </c>
      <c r="AA228" s="97">
        <f>IFERROR(VLOOKUP(E228,Surp1!$B$1:$C$161,2,0),0)</f>
        <v>0</v>
      </c>
      <c r="AB228" s="97">
        <f>IFERROR(VLOOKUP(G228,Surp2!$B$1:$C$161,2,0),0)</f>
        <v>0</v>
      </c>
      <c r="AC228" s="97">
        <f>IFERROR(VLOOKUP(I228,Surp3!$B$1:$C$161,2,0),0)</f>
        <v>0</v>
      </c>
      <c r="AD228" s="97">
        <f>IFERROR(VLOOKUP(K228,Surp4!$B$1:$C$161,2,0),0)</f>
        <v>0</v>
      </c>
      <c r="AE228" s="97">
        <f>IFERROR(VLOOKUP(M228,Surp5!$B$1:$C$161,2,0),0)</f>
        <v>0</v>
      </c>
      <c r="AF228" s="97">
        <f>IFERROR(VLOOKUP(O228,Surp6!$B$1:$C$161,2,0),0)</f>
        <v>0</v>
      </c>
      <c r="AG228" s="97">
        <f>IFERROR(VLOOKUP(Q228,Surp7!$B$1:$C$161,2,0),0)</f>
        <v>0</v>
      </c>
      <c r="AH228" s="97">
        <f>IFERROR(VLOOKUP(S228,Surp8!$B$1:$C$161,2,0),0)</f>
        <v>0</v>
      </c>
      <c r="AI228" s="97">
        <f>IFERROR(VLOOKUP(U228,Surp9!$B$1:$C$161,2,0),0)</f>
        <v>0</v>
      </c>
      <c r="AJ228" s="97">
        <f>IFERROR(VLOOKUP(W228,Surp10!$B$1:$C$161,2,0),0)</f>
        <v>0</v>
      </c>
      <c r="AK228" s="97">
        <f>IFERROR(VLOOKUP(Y228,Surp11!$B$1:$C$161,2,0),0)</f>
        <v>0</v>
      </c>
    </row>
    <row r="229" ht="15.75" customHeight="1">
      <c r="A229" s="109">
        <v>228.0</v>
      </c>
      <c r="B229" s="103"/>
      <c r="C229" s="136">
        <f t="shared" si="2"/>
        <v>0</v>
      </c>
      <c r="D229" s="136"/>
      <c r="E229" s="137">
        <f>IFERROR(VLOOKUP($B229,Surp1!$A$1:$B$161,2,0),0)</f>
        <v>0</v>
      </c>
      <c r="F229" s="97">
        <f>IFERROR(VLOOKUP(E229,Surp1!$B$1:$C$161,2,0),0)</f>
        <v>0</v>
      </c>
      <c r="G229" s="137">
        <f>IFERROR(VLOOKUP($B229,Surp2!$A$1:$B$161,2,0),0)</f>
        <v>0</v>
      </c>
      <c r="H229" s="97">
        <f>IFERROR(VLOOKUP(G229,Surp2!$B$1:$C$161,2,0),0)</f>
        <v>0</v>
      </c>
      <c r="I229" s="137">
        <f>IFERROR(VLOOKUP($B229,Surp3!$A$1:$B$161,2,0),0)</f>
        <v>0</v>
      </c>
      <c r="J229" s="97">
        <f>IFERROR(VLOOKUP(I229,Surp3!$B$1:$C$161,2,0),0)</f>
        <v>0</v>
      </c>
      <c r="K229" s="137">
        <f>IFERROR(VLOOKUP($B229,Surp4!$A$1:$B$161,2,0),0)</f>
        <v>0</v>
      </c>
      <c r="L229" s="97">
        <f>IFERROR(VLOOKUP(K229,Surp4!$B$1:$C$161,2,0),0)</f>
        <v>0</v>
      </c>
      <c r="M229" s="137">
        <f>IFERROR(VLOOKUP($B229,Surp5!$A$1:$B$161,2,0),0)</f>
        <v>0</v>
      </c>
      <c r="N229" s="97">
        <f>IFERROR(VLOOKUP(M229,Surp5!$B$1:$C$161,2,0),0)</f>
        <v>0</v>
      </c>
      <c r="O229" s="137">
        <f>IFERROR(VLOOKUP($B229,Surp6!$A$1:$B$161,2,0),0)</f>
        <v>0</v>
      </c>
      <c r="P229" s="97">
        <f>IFERROR(VLOOKUP(O229,Surp6!$B$1:$C$161,2,0),0)</f>
        <v>0</v>
      </c>
      <c r="Q229" s="137">
        <f>IFERROR(VLOOKUP($B229,Surp7!$A$1:$B$161,2,0),0)</f>
        <v>0</v>
      </c>
      <c r="R229" s="97">
        <f>IFERROR(VLOOKUP(Q229,Surp7!$B$1:$C$161,2,0),0)</f>
        <v>0</v>
      </c>
      <c r="S229" s="137">
        <f>IFERROR(VLOOKUP($B229,Surp8!$A$1:$B$161,2,0),0)</f>
        <v>0</v>
      </c>
      <c r="T229" s="97">
        <f>IFERROR(VLOOKUP(S229,Surp8!$B$1:$C$161,2,0),0)</f>
        <v>0</v>
      </c>
      <c r="U229" s="137">
        <f>IFERROR(VLOOKUP($B229,Surp9!$A$1:$B$161,2,0),0)</f>
        <v>0</v>
      </c>
      <c r="V229" s="97">
        <f>IFERROR(VLOOKUP(U229,Surp9!$B$1:$C$161,2,0),0)</f>
        <v>0</v>
      </c>
      <c r="W229" s="137">
        <f>IFERROR(VLOOKUP($B229,Surp10!$A$1:$B$161,2,0),0)</f>
        <v>0</v>
      </c>
      <c r="X229" s="97">
        <f>IFERROR(VLOOKUP(W229,Surp10!$B$1:$C$161,2,0),0)</f>
        <v>0</v>
      </c>
      <c r="Y229" s="137">
        <f>IFERROR(VLOOKUP($B229,Surp11!$A$1:$B$161,2,0),0)</f>
        <v>0</v>
      </c>
      <c r="Z229" s="97">
        <f>IFERROR(VLOOKUP(Y229,Surp11!$B$1:$C$161,2,0),0)</f>
        <v>0</v>
      </c>
      <c r="AA229" s="97">
        <f>IFERROR(VLOOKUP(E229,Surp1!$B$1:$C$161,2,0),0)</f>
        <v>0</v>
      </c>
      <c r="AB229" s="97">
        <f>IFERROR(VLOOKUP(G229,Surp2!$B$1:$C$161,2,0),0)</f>
        <v>0</v>
      </c>
      <c r="AC229" s="97">
        <f>IFERROR(VLOOKUP(I229,Surp3!$B$1:$C$161,2,0),0)</f>
        <v>0</v>
      </c>
      <c r="AD229" s="97">
        <f>IFERROR(VLOOKUP(K229,Surp4!$B$1:$C$161,2,0),0)</f>
        <v>0</v>
      </c>
      <c r="AE229" s="97">
        <f>IFERROR(VLOOKUP(M229,Surp5!$B$1:$C$161,2,0),0)</f>
        <v>0</v>
      </c>
      <c r="AF229" s="97">
        <f>IFERROR(VLOOKUP(O229,Surp6!$B$1:$C$161,2,0),0)</f>
        <v>0</v>
      </c>
      <c r="AG229" s="97">
        <f>IFERROR(VLOOKUP(Q229,Surp7!$B$1:$C$161,2,0),0)</f>
        <v>0</v>
      </c>
      <c r="AH229" s="97">
        <f>IFERROR(VLOOKUP(S229,Surp8!$B$1:$C$161,2,0),0)</f>
        <v>0</v>
      </c>
      <c r="AI229" s="97">
        <f>IFERROR(VLOOKUP(U229,Surp9!$B$1:$C$161,2,0),0)</f>
        <v>0</v>
      </c>
      <c r="AJ229" s="97">
        <f>IFERROR(VLOOKUP(W229,Surp10!$B$1:$C$161,2,0),0)</f>
        <v>0</v>
      </c>
      <c r="AK229" s="97">
        <f>IFERROR(VLOOKUP(Y229,Surp11!$B$1:$C$161,2,0),0)</f>
        <v>0</v>
      </c>
    </row>
    <row r="230" ht="15.75" customHeight="1">
      <c r="A230" s="109">
        <v>229.0</v>
      </c>
      <c r="B230" s="103"/>
      <c r="C230" s="136">
        <f t="shared" si="2"/>
        <v>0</v>
      </c>
      <c r="D230" s="136"/>
      <c r="E230" s="137">
        <f>IFERROR(VLOOKUP($B230,Surp1!$A$1:$B$161,2,0),0)</f>
        <v>0</v>
      </c>
      <c r="F230" s="97">
        <f>IFERROR(VLOOKUP(E230,Surp1!$B$1:$C$161,2,0),0)</f>
        <v>0</v>
      </c>
      <c r="G230" s="137">
        <f>IFERROR(VLOOKUP($B230,Surp2!$A$1:$B$161,2,0),0)</f>
        <v>0</v>
      </c>
      <c r="H230" s="97">
        <f>IFERROR(VLOOKUP(G230,Surp2!$B$1:$C$161,2,0),0)</f>
        <v>0</v>
      </c>
      <c r="I230" s="137">
        <f>IFERROR(VLOOKUP($B230,Surp3!$A$1:$B$161,2,0),0)</f>
        <v>0</v>
      </c>
      <c r="J230" s="97">
        <f>IFERROR(VLOOKUP(I230,Surp3!$B$1:$C$161,2,0),0)</f>
        <v>0</v>
      </c>
      <c r="K230" s="137">
        <f>IFERROR(VLOOKUP($B230,Surp4!$A$1:$B$161,2,0),0)</f>
        <v>0</v>
      </c>
      <c r="L230" s="97">
        <f>IFERROR(VLOOKUP(K230,Surp4!$B$1:$C$161,2,0),0)</f>
        <v>0</v>
      </c>
      <c r="M230" s="137">
        <f>IFERROR(VLOOKUP($B230,Surp5!$A$1:$B$161,2,0),0)</f>
        <v>0</v>
      </c>
      <c r="N230" s="97">
        <f>IFERROR(VLOOKUP(M230,Surp5!$B$1:$C$161,2,0),0)</f>
        <v>0</v>
      </c>
      <c r="O230" s="137">
        <f>IFERROR(VLOOKUP($B230,Surp6!$A$1:$B$161,2,0),0)</f>
        <v>0</v>
      </c>
      <c r="P230" s="97">
        <f>IFERROR(VLOOKUP(O230,Surp6!$B$1:$C$161,2,0),0)</f>
        <v>0</v>
      </c>
      <c r="Q230" s="137">
        <f>IFERROR(VLOOKUP($B230,Surp7!$A$1:$B$161,2,0),0)</f>
        <v>0</v>
      </c>
      <c r="R230" s="97">
        <f>IFERROR(VLOOKUP(Q230,Surp7!$B$1:$C$161,2,0),0)</f>
        <v>0</v>
      </c>
      <c r="S230" s="137">
        <f>IFERROR(VLOOKUP($B230,Surp8!$A$1:$B$161,2,0),0)</f>
        <v>0</v>
      </c>
      <c r="T230" s="97">
        <f>IFERROR(VLOOKUP(S230,Surp8!$B$1:$C$161,2,0),0)</f>
        <v>0</v>
      </c>
      <c r="U230" s="137">
        <f>IFERROR(VLOOKUP($B230,Surp9!$A$1:$B$161,2,0),0)</f>
        <v>0</v>
      </c>
      <c r="V230" s="97">
        <f>IFERROR(VLOOKUP(U230,Surp9!$B$1:$C$161,2,0),0)</f>
        <v>0</v>
      </c>
      <c r="W230" s="137">
        <f>IFERROR(VLOOKUP($B230,Surp10!$A$1:$B$161,2,0),0)</f>
        <v>0</v>
      </c>
      <c r="X230" s="97">
        <f>IFERROR(VLOOKUP(W230,Surp10!$B$1:$C$161,2,0),0)</f>
        <v>0</v>
      </c>
      <c r="Y230" s="137">
        <f>IFERROR(VLOOKUP($B230,Surp11!$A$1:$B$161,2,0),0)</f>
        <v>0</v>
      </c>
      <c r="Z230" s="97">
        <f>IFERROR(VLOOKUP(Y230,Surp11!$B$1:$C$161,2,0),0)</f>
        <v>0</v>
      </c>
      <c r="AA230" s="97">
        <f>IFERROR(VLOOKUP(E230,Surp1!$B$1:$C$161,2,0),0)</f>
        <v>0</v>
      </c>
      <c r="AB230" s="97">
        <f>IFERROR(VLOOKUP(G230,Surp2!$B$1:$C$161,2,0),0)</f>
        <v>0</v>
      </c>
      <c r="AC230" s="97">
        <f>IFERROR(VLOOKUP(I230,Surp3!$B$1:$C$161,2,0),0)</f>
        <v>0</v>
      </c>
      <c r="AD230" s="97">
        <f>IFERROR(VLOOKUP(K230,Surp4!$B$1:$C$161,2,0),0)</f>
        <v>0</v>
      </c>
      <c r="AE230" s="97">
        <f>IFERROR(VLOOKUP(M230,Surp5!$B$1:$C$161,2,0),0)</f>
        <v>0</v>
      </c>
      <c r="AF230" s="97">
        <f>IFERROR(VLOOKUP(O230,Surp6!$B$1:$C$161,2,0),0)</f>
        <v>0</v>
      </c>
      <c r="AG230" s="97">
        <f>IFERROR(VLOOKUP(Q230,Surp7!$B$1:$C$161,2,0),0)</f>
        <v>0</v>
      </c>
      <c r="AH230" s="97">
        <f>IFERROR(VLOOKUP(S230,Surp8!$B$1:$C$161,2,0),0)</f>
        <v>0</v>
      </c>
      <c r="AI230" s="97">
        <f>IFERROR(VLOOKUP(U230,Surp9!$B$1:$C$161,2,0),0)</f>
        <v>0</v>
      </c>
      <c r="AJ230" s="97">
        <f>IFERROR(VLOOKUP(W230,Surp10!$B$1:$C$161,2,0),0)</f>
        <v>0</v>
      </c>
      <c r="AK230" s="97">
        <f>IFERROR(VLOOKUP(Y230,Surp11!$B$1:$C$161,2,0),0)</f>
        <v>0</v>
      </c>
    </row>
    <row r="231" ht="15.75" customHeight="1">
      <c r="A231" s="109">
        <v>230.0</v>
      </c>
      <c r="B231" s="103"/>
      <c r="C231" s="136">
        <f t="shared" si="2"/>
        <v>0</v>
      </c>
      <c r="D231" s="136"/>
      <c r="E231" s="137">
        <f>IFERROR(VLOOKUP($B231,Surp1!$A$1:$B$161,2,0),0)</f>
        <v>0</v>
      </c>
      <c r="F231" s="97">
        <f>IFERROR(VLOOKUP(E231,Surp1!$B$1:$C$161,2,0),0)</f>
        <v>0</v>
      </c>
      <c r="G231" s="137">
        <f>IFERROR(VLOOKUP($B231,Surp2!$A$1:$B$161,2,0),0)</f>
        <v>0</v>
      </c>
      <c r="H231" s="97">
        <f>IFERROR(VLOOKUP(G231,Surp2!$B$1:$C$161,2,0),0)</f>
        <v>0</v>
      </c>
      <c r="I231" s="137">
        <f>IFERROR(VLOOKUP($B231,Surp3!$A$1:$B$161,2,0),0)</f>
        <v>0</v>
      </c>
      <c r="J231" s="97">
        <f>IFERROR(VLOOKUP(I231,Surp3!$B$1:$C$161,2,0),0)</f>
        <v>0</v>
      </c>
      <c r="K231" s="137">
        <f>IFERROR(VLOOKUP($B231,Surp4!$A$1:$B$161,2,0),0)</f>
        <v>0</v>
      </c>
      <c r="L231" s="97">
        <f>IFERROR(VLOOKUP(K231,Surp4!$B$1:$C$161,2,0),0)</f>
        <v>0</v>
      </c>
      <c r="M231" s="137">
        <f>IFERROR(VLOOKUP($B231,Surp5!$A$1:$B$161,2,0),0)</f>
        <v>0</v>
      </c>
      <c r="N231" s="97">
        <f>IFERROR(VLOOKUP(M231,Surp5!$B$1:$C$161,2,0),0)</f>
        <v>0</v>
      </c>
      <c r="O231" s="137">
        <f>IFERROR(VLOOKUP($B231,Surp6!$A$1:$B$161,2,0),0)</f>
        <v>0</v>
      </c>
      <c r="P231" s="97">
        <f>IFERROR(VLOOKUP(O231,Surp6!$B$1:$C$161,2,0),0)</f>
        <v>0</v>
      </c>
      <c r="Q231" s="137">
        <f>IFERROR(VLOOKUP($B231,Surp7!$A$1:$B$161,2,0),0)</f>
        <v>0</v>
      </c>
      <c r="R231" s="97">
        <f>IFERROR(VLOOKUP(Q231,Surp7!$B$1:$C$161,2,0),0)</f>
        <v>0</v>
      </c>
      <c r="S231" s="137">
        <f>IFERROR(VLOOKUP($B231,Surp8!$A$1:$B$161,2,0),0)</f>
        <v>0</v>
      </c>
      <c r="T231" s="97">
        <f>IFERROR(VLOOKUP(S231,Surp8!$B$1:$C$161,2,0),0)</f>
        <v>0</v>
      </c>
      <c r="U231" s="137">
        <f>IFERROR(VLOOKUP($B231,Surp9!$A$1:$B$161,2,0),0)</f>
        <v>0</v>
      </c>
      <c r="V231" s="97">
        <f>IFERROR(VLOOKUP(U231,Surp9!$B$1:$C$161,2,0),0)</f>
        <v>0</v>
      </c>
      <c r="W231" s="137">
        <f>IFERROR(VLOOKUP($B231,Surp10!$A$1:$B$161,2,0),0)</f>
        <v>0</v>
      </c>
      <c r="X231" s="97">
        <f>IFERROR(VLOOKUP(W231,Surp10!$B$1:$C$161,2,0),0)</f>
        <v>0</v>
      </c>
      <c r="Y231" s="137">
        <f>IFERROR(VLOOKUP($B231,Surp11!$A$1:$B$161,2,0),0)</f>
        <v>0</v>
      </c>
      <c r="Z231" s="97">
        <f>IFERROR(VLOOKUP(Y231,Surp11!$B$1:$C$161,2,0),0)</f>
        <v>0</v>
      </c>
      <c r="AA231" s="97">
        <f>IFERROR(VLOOKUP(E231,Surp1!$B$1:$C$161,2,0),0)</f>
        <v>0</v>
      </c>
      <c r="AB231" s="97">
        <f>IFERROR(VLOOKUP(G231,Surp2!$B$1:$C$161,2,0),0)</f>
        <v>0</v>
      </c>
      <c r="AC231" s="97">
        <f>IFERROR(VLOOKUP(I231,Surp3!$B$1:$C$161,2,0),0)</f>
        <v>0</v>
      </c>
      <c r="AD231" s="97">
        <f>IFERROR(VLOOKUP(K231,Surp4!$B$1:$C$161,2,0),0)</f>
        <v>0</v>
      </c>
      <c r="AE231" s="97">
        <f>IFERROR(VLOOKUP(M231,Surp5!$B$1:$C$161,2,0),0)</f>
        <v>0</v>
      </c>
      <c r="AF231" s="97">
        <f>IFERROR(VLOOKUP(O231,Surp6!$B$1:$C$161,2,0),0)</f>
        <v>0</v>
      </c>
      <c r="AG231" s="97">
        <f>IFERROR(VLOOKUP(Q231,Surp7!$B$1:$C$161,2,0),0)</f>
        <v>0</v>
      </c>
      <c r="AH231" s="97">
        <f>IFERROR(VLOOKUP(S231,Surp8!$B$1:$C$161,2,0),0)</f>
        <v>0</v>
      </c>
      <c r="AI231" s="97">
        <f>IFERROR(VLOOKUP(U231,Surp9!$B$1:$C$161,2,0),0)</f>
        <v>0</v>
      </c>
      <c r="AJ231" s="97">
        <f>IFERROR(VLOOKUP(W231,Surp10!$B$1:$C$161,2,0),0)</f>
        <v>0</v>
      </c>
      <c r="AK231" s="97">
        <f>IFERROR(VLOOKUP(Y231,Surp11!$B$1:$C$161,2,0),0)</f>
        <v>0</v>
      </c>
    </row>
    <row r="232" ht="15.75" customHeight="1">
      <c r="A232" s="109">
        <v>231.0</v>
      </c>
      <c r="B232" s="103"/>
      <c r="C232" s="136">
        <f t="shared" si="2"/>
        <v>0</v>
      </c>
      <c r="D232" s="136"/>
      <c r="E232" s="137">
        <f>IFERROR(VLOOKUP($B232,Surp1!$A$1:$B$161,2,0),0)</f>
        <v>0</v>
      </c>
      <c r="F232" s="97">
        <f>IFERROR(VLOOKUP(E232,Surp1!$B$1:$C$161,2,0),0)</f>
        <v>0</v>
      </c>
      <c r="G232" s="137">
        <f>IFERROR(VLOOKUP($B232,Surp2!$A$1:$B$161,2,0),0)</f>
        <v>0</v>
      </c>
      <c r="H232" s="97">
        <f>IFERROR(VLOOKUP(G232,Surp2!$B$1:$C$161,2,0),0)</f>
        <v>0</v>
      </c>
      <c r="I232" s="137">
        <f>IFERROR(VLOOKUP($B232,Surp3!$A$1:$B$161,2,0),0)</f>
        <v>0</v>
      </c>
      <c r="J232" s="97">
        <f>IFERROR(VLOOKUP(I232,Surp3!$B$1:$C$161,2,0),0)</f>
        <v>0</v>
      </c>
      <c r="K232" s="137">
        <f>IFERROR(VLOOKUP($B232,Surp4!$A$1:$B$161,2,0),0)</f>
        <v>0</v>
      </c>
      <c r="L232" s="97">
        <f>IFERROR(VLOOKUP(K232,Surp4!$B$1:$C$161,2,0),0)</f>
        <v>0</v>
      </c>
      <c r="M232" s="137">
        <f>IFERROR(VLOOKUP($B232,Surp5!$A$1:$B$161,2,0),0)</f>
        <v>0</v>
      </c>
      <c r="N232" s="97">
        <f>IFERROR(VLOOKUP(M232,Surp5!$B$1:$C$161,2,0),0)</f>
        <v>0</v>
      </c>
      <c r="O232" s="137">
        <f>IFERROR(VLOOKUP($B232,Surp6!$A$1:$B$161,2,0),0)</f>
        <v>0</v>
      </c>
      <c r="P232" s="97">
        <f>IFERROR(VLOOKUP(O232,Surp6!$B$1:$C$161,2,0),0)</f>
        <v>0</v>
      </c>
      <c r="Q232" s="137">
        <f>IFERROR(VLOOKUP($B232,Surp7!$A$1:$B$161,2,0),0)</f>
        <v>0</v>
      </c>
      <c r="R232" s="97">
        <f>IFERROR(VLOOKUP(Q232,Surp7!$B$1:$C$161,2,0),0)</f>
        <v>0</v>
      </c>
      <c r="S232" s="137">
        <f>IFERROR(VLOOKUP($B232,Surp8!$A$1:$B$161,2,0),0)</f>
        <v>0</v>
      </c>
      <c r="T232" s="97">
        <f>IFERROR(VLOOKUP(S232,Surp8!$B$1:$C$161,2,0),0)</f>
        <v>0</v>
      </c>
      <c r="U232" s="137">
        <f>IFERROR(VLOOKUP($B232,Surp9!$A$1:$B$161,2,0),0)</f>
        <v>0</v>
      </c>
      <c r="V232" s="97">
        <f>IFERROR(VLOOKUP(U232,Surp9!$B$1:$C$161,2,0),0)</f>
        <v>0</v>
      </c>
      <c r="W232" s="137">
        <f>IFERROR(VLOOKUP($B232,Surp10!$A$1:$B$161,2,0),0)</f>
        <v>0</v>
      </c>
      <c r="X232" s="97">
        <f>IFERROR(VLOOKUP(W232,Surp10!$B$1:$C$161,2,0),0)</f>
        <v>0</v>
      </c>
      <c r="Y232" s="137">
        <f>IFERROR(VLOOKUP($B232,Surp11!$A$1:$B$161,2,0),0)</f>
        <v>0</v>
      </c>
      <c r="Z232" s="97">
        <f>IFERROR(VLOOKUP(Y232,Surp11!$B$1:$C$161,2,0),0)</f>
        <v>0</v>
      </c>
      <c r="AA232" s="97">
        <f>IFERROR(VLOOKUP(E232,Surp1!$B$1:$C$161,2,0),0)</f>
        <v>0</v>
      </c>
      <c r="AB232" s="97">
        <f>IFERROR(VLOOKUP(G232,Surp2!$B$1:$C$161,2,0),0)</f>
        <v>0</v>
      </c>
      <c r="AC232" s="97">
        <f>IFERROR(VLOOKUP(I232,Surp3!$B$1:$C$161,2,0),0)</f>
        <v>0</v>
      </c>
      <c r="AD232" s="97">
        <f>IFERROR(VLOOKUP(K232,Surp4!$B$1:$C$161,2,0),0)</f>
        <v>0</v>
      </c>
      <c r="AE232" s="97">
        <f>IFERROR(VLOOKUP(M232,Surp5!$B$1:$C$161,2,0),0)</f>
        <v>0</v>
      </c>
      <c r="AF232" s="97">
        <f>IFERROR(VLOOKUP(O232,Surp6!$B$1:$C$161,2,0),0)</f>
        <v>0</v>
      </c>
      <c r="AG232" s="97">
        <f>IFERROR(VLOOKUP(Q232,Surp7!$B$1:$C$161,2,0),0)</f>
        <v>0</v>
      </c>
      <c r="AH232" s="97">
        <f>IFERROR(VLOOKUP(S232,Surp8!$B$1:$C$161,2,0),0)</f>
        <v>0</v>
      </c>
      <c r="AI232" s="97">
        <f>IFERROR(VLOOKUP(U232,Surp9!$B$1:$C$161,2,0),0)</f>
        <v>0</v>
      </c>
      <c r="AJ232" s="97">
        <f>IFERROR(VLOOKUP(W232,Surp10!$B$1:$C$161,2,0),0)</f>
        <v>0</v>
      </c>
      <c r="AK232" s="97">
        <f>IFERROR(VLOOKUP(Y232,Surp11!$B$1:$C$161,2,0),0)</f>
        <v>0</v>
      </c>
    </row>
    <row r="233" ht="15.75" customHeight="1">
      <c r="A233" s="109">
        <v>232.0</v>
      </c>
      <c r="B233" s="103"/>
      <c r="C233" s="136">
        <f t="shared" si="2"/>
        <v>0</v>
      </c>
      <c r="D233" s="136"/>
      <c r="E233" s="137">
        <f>IFERROR(VLOOKUP($B233,Surp1!$A$1:$B$161,2,0),0)</f>
        <v>0</v>
      </c>
      <c r="F233" s="97">
        <f>IFERROR(VLOOKUP(E233,Surp1!$B$1:$C$161,2,0),0)</f>
        <v>0</v>
      </c>
      <c r="G233" s="137">
        <f>IFERROR(VLOOKUP($B233,Surp2!$A$1:$B$161,2,0),0)</f>
        <v>0</v>
      </c>
      <c r="H233" s="97">
        <f>IFERROR(VLOOKUP(G233,Surp2!$B$1:$C$161,2,0),0)</f>
        <v>0</v>
      </c>
      <c r="I233" s="137">
        <f>IFERROR(VLOOKUP($B233,Surp3!$A$1:$B$161,2,0),0)</f>
        <v>0</v>
      </c>
      <c r="J233" s="97">
        <f>IFERROR(VLOOKUP(I233,Surp3!$B$1:$C$161,2,0),0)</f>
        <v>0</v>
      </c>
      <c r="K233" s="137">
        <f>IFERROR(VLOOKUP($B233,Surp4!$A$1:$B$161,2,0),0)</f>
        <v>0</v>
      </c>
      <c r="L233" s="97">
        <f>IFERROR(VLOOKUP(K233,Surp4!$B$1:$C$161,2,0),0)</f>
        <v>0</v>
      </c>
      <c r="M233" s="137">
        <f>IFERROR(VLOOKUP($B233,Surp5!$A$1:$B$161,2,0),0)</f>
        <v>0</v>
      </c>
      <c r="N233" s="97">
        <f>IFERROR(VLOOKUP(M233,Surp5!$B$1:$C$161,2,0),0)</f>
        <v>0</v>
      </c>
      <c r="O233" s="137">
        <f>IFERROR(VLOOKUP($B233,Surp6!$A$1:$B$161,2,0),0)</f>
        <v>0</v>
      </c>
      <c r="P233" s="97">
        <f>IFERROR(VLOOKUP(O233,Surp6!$B$1:$C$161,2,0),0)</f>
        <v>0</v>
      </c>
      <c r="Q233" s="137">
        <f>IFERROR(VLOOKUP($B233,Surp7!$A$1:$B$161,2,0),0)</f>
        <v>0</v>
      </c>
      <c r="R233" s="97">
        <f>IFERROR(VLOOKUP(Q233,Surp7!$B$1:$C$161,2,0),0)</f>
        <v>0</v>
      </c>
      <c r="S233" s="137">
        <f>IFERROR(VLOOKUP($B233,Surp8!$A$1:$B$161,2,0),0)</f>
        <v>0</v>
      </c>
      <c r="T233" s="97">
        <f>IFERROR(VLOOKUP(S233,Surp8!$B$1:$C$161,2,0),0)</f>
        <v>0</v>
      </c>
      <c r="U233" s="137">
        <f>IFERROR(VLOOKUP($B233,Surp9!$A$1:$B$161,2,0),0)</f>
        <v>0</v>
      </c>
      <c r="V233" s="97">
        <f>IFERROR(VLOOKUP(U233,Surp9!$B$1:$C$161,2,0),0)</f>
        <v>0</v>
      </c>
      <c r="W233" s="137">
        <f>IFERROR(VLOOKUP($B233,Surp10!$A$1:$B$161,2,0),0)</f>
        <v>0</v>
      </c>
      <c r="X233" s="97">
        <f>IFERROR(VLOOKUP(W233,Surp10!$B$1:$C$161,2,0),0)</f>
        <v>0</v>
      </c>
      <c r="Y233" s="137">
        <f>IFERROR(VLOOKUP($B233,Surp11!$A$1:$B$161,2,0),0)</f>
        <v>0</v>
      </c>
      <c r="Z233" s="97">
        <f>IFERROR(VLOOKUP(Y233,Surp11!$B$1:$C$161,2,0),0)</f>
        <v>0</v>
      </c>
      <c r="AA233" s="97">
        <f>IFERROR(VLOOKUP(E233,Surp1!$B$1:$C$161,2,0),0)</f>
        <v>0</v>
      </c>
      <c r="AB233" s="97">
        <f>IFERROR(VLOOKUP(G233,Surp2!$B$1:$C$161,2,0),0)</f>
        <v>0</v>
      </c>
      <c r="AC233" s="97">
        <f>IFERROR(VLOOKUP(I233,Surp3!$B$1:$C$161,2,0),0)</f>
        <v>0</v>
      </c>
      <c r="AD233" s="97">
        <f>IFERROR(VLOOKUP(K233,Surp4!$B$1:$C$161,2,0),0)</f>
        <v>0</v>
      </c>
      <c r="AE233" s="97">
        <f>IFERROR(VLOOKUP(M233,Surp5!$B$1:$C$161,2,0),0)</f>
        <v>0</v>
      </c>
      <c r="AF233" s="97">
        <f>IFERROR(VLOOKUP(O233,Surp6!$B$1:$C$161,2,0),0)</f>
        <v>0</v>
      </c>
      <c r="AG233" s="97">
        <f>IFERROR(VLOOKUP(Q233,Surp7!$B$1:$C$161,2,0),0)</f>
        <v>0</v>
      </c>
      <c r="AH233" s="97">
        <f>IFERROR(VLOOKUP(S233,Surp8!$B$1:$C$161,2,0),0)</f>
        <v>0</v>
      </c>
      <c r="AI233" s="97">
        <f>IFERROR(VLOOKUP(U233,Surp9!$B$1:$C$161,2,0),0)</f>
        <v>0</v>
      </c>
      <c r="AJ233" s="97">
        <f>IFERROR(VLOOKUP(W233,Surp10!$B$1:$C$161,2,0),0)</f>
        <v>0</v>
      </c>
      <c r="AK233" s="97">
        <f>IFERROR(VLOOKUP(Y233,Surp11!$B$1:$C$161,2,0),0)</f>
        <v>0</v>
      </c>
    </row>
    <row r="234" ht="15.75" customHeight="1">
      <c r="A234" s="109">
        <v>233.0</v>
      </c>
      <c r="B234" s="103"/>
      <c r="C234" s="136">
        <f t="shared" si="2"/>
        <v>0</v>
      </c>
      <c r="D234" s="136"/>
      <c r="E234" s="137">
        <f>IFERROR(VLOOKUP($B234,Surp1!$A$1:$B$161,2,0),0)</f>
        <v>0</v>
      </c>
      <c r="F234" s="97">
        <f>IFERROR(VLOOKUP(E234,Surp1!$B$1:$C$161,2,0),0)</f>
        <v>0</v>
      </c>
      <c r="G234" s="137">
        <f>IFERROR(VLOOKUP($B234,Surp2!$A$1:$B$161,2,0),0)</f>
        <v>0</v>
      </c>
      <c r="H234" s="97">
        <f>IFERROR(VLOOKUP(G234,Surp2!$B$1:$C$161,2,0),0)</f>
        <v>0</v>
      </c>
      <c r="I234" s="137">
        <f>IFERROR(VLOOKUP($B234,Surp3!$A$1:$B$161,2,0),0)</f>
        <v>0</v>
      </c>
      <c r="J234" s="97">
        <f>IFERROR(VLOOKUP(I234,Surp3!$B$1:$C$161,2,0),0)</f>
        <v>0</v>
      </c>
      <c r="K234" s="137">
        <f>IFERROR(VLOOKUP($B234,Surp4!$A$1:$B$161,2,0),0)</f>
        <v>0</v>
      </c>
      <c r="L234" s="97">
        <f>IFERROR(VLOOKUP(K234,Surp4!$B$1:$C$161,2,0),0)</f>
        <v>0</v>
      </c>
      <c r="M234" s="137">
        <f>IFERROR(VLOOKUP($B234,Surp5!$A$1:$B$161,2,0),0)</f>
        <v>0</v>
      </c>
      <c r="N234" s="97">
        <f>IFERROR(VLOOKUP(M234,Surp5!$B$1:$C$161,2,0),0)</f>
        <v>0</v>
      </c>
      <c r="O234" s="137">
        <f>IFERROR(VLOOKUP($B234,Surp6!$A$1:$B$161,2,0),0)</f>
        <v>0</v>
      </c>
      <c r="P234" s="97">
        <f>IFERROR(VLOOKUP(O234,Surp6!$B$1:$C$161,2,0),0)</f>
        <v>0</v>
      </c>
      <c r="Q234" s="137">
        <f>IFERROR(VLOOKUP($B234,Surp7!$A$1:$B$161,2,0),0)</f>
        <v>0</v>
      </c>
      <c r="R234" s="97">
        <f>IFERROR(VLOOKUP(Q234,Surp7!$B$1:$C$161,2,0),0)</f>
        <v>0</v>
      </c>
      <c r="S234" s="137">
        <f>IFERROR(VLOOKUP($B234,Surp8!$A$1:$B$161,2,0),0)</f>
        <v>0</v>
      </c>
      <c r="T234" s="97">
        <f>IFERROR(VLOOKUP(S234,Surp8!$B$1:$C$161,2,0),0)</f>
        <v>0</v>
      </c>
      <c r="U234" s="137">
        <f>IFERROR(VLOOKUP($B234,Surp9!$A$1:$B$161,2,0),0)</f>
        <v>0</v>
      </c>
      <c r="V234" s="97">
        <f>IFERROR(VLOOKUP(U234,Surp9!$B$1:$C$161,2,0),0)</f>
        <v>0</v>
      </c>
      <c r="W234" s="137">
        <f>IFERROR(VLOOKUP($B234,Surp10!$A$1:$B$161,2,0),0)</f>
        <v>0</v>
      </c>
      <c r="X234" s="97">
        <f>IFERROR(VLOOKUP(W234,Surp10!$B$1:$C$161,2,0),0)</f>
        <v>0</v>
      </c>
      <c r="Y234" s="137">
        <f>IFERROR(VLOOKUP($B234,Surp11!$A$1:$B$161,2,0),0)</f>
        <v>0</v>
      </c>
      <c r="Z234" s="97">
        <f>IFERROR(VLOOKUP(Y234,Surp11!$B$1:$C$161,2,0),0)</f>
        <v>0</v>
      </c>
      <c r="AA234" s="97">
        <f>IFERROR(VLOOKUP(E234,Surp1!$B$1:$C$161,2,0),0)</f>
        <v>0</v>
      </c>
      <c r="AB234" s="97">
        <f>IFERROR(VLOOKUP(G234,Surp2!$B$1:$C$161,2,0),0)</f>
        <v>0</v>
      </c>
      <c r="AC234" s="97">
        <f>IFERROR(VLOOKUP(I234,Surp3!$B$1:$C$161,2,0),0)</f>
        <v>0</v>
      </c>
      <c r="AD234" s="97">
        <f>IFERROR(VLOOKUP(K234,Surp4!$B$1:$C$161,2,0),0)</f>
        <v>0</v>
      </c>
      <c r="AE234" s="97">
        <f>IFERROR(VLOOKUP(M234,Surp5!$B$1:$C$161,2,0),0)</f>
        <v>0</v>
      </c>
      <c r="AF234" s="97">
        <f>IFERROR(VLOOKUP(O234,Surp6!$B$1:$C$161,2,0),0)</f>
        <v>0</v>
      </c>
      <c r="AG234" s="97">
        <f>IFERROR(VLOOKUP(Q234,Surp7!$B$1:$C$161,2,0),0)</f>
        <v>0</v>
      </c>
      <c r="AH234" s="97">
        <f>IFERROR(VLOOKUP(S234,Surp8!$B$1:$C$161,2,0),0)</f>
        <v>0</v>
      </c>
      <c r="AI234" s="97">
        <f>IFERROR(VLOOKUP(U234,Surp9!$B$1:$C$161,2,0),0)</f>
        <v>0</v>
      </c>
      <c r="AJ234" s="97">
        <f>IFERROR(VLOOKUP(W234,Surp10!$B$1:$C$161,2,0),0)</f>
        <v>0</v>
      </c>
      <c r="AK234" s="97">
        <f>IFERROR(VLOOKUP(Y234,Surp11!$B$1:$C$161,2,0),0)</f>
        <v>0</v>
      </c>
    </row>
    <row r="235" ht="15.75" customHeight="1">
      <c r="A235" s="109">
        <v>234.0</v>
      </c>
      <c r="B235" s="103"/>
      <c r="C235" s="136">
        <f t="shared" si="2"/>
        <v>0</v>
      </c>
      <c r="D235" s="136"/>
      <c r="E235" s="137">
        <f>IFERROR(VLOOKUP($B235,Surp1!$A$1:$B$161,2,0),0)</f>
        <v>0</v>
      </c>
      <c r="F235" s="97">
        <f>IFERROR(VLOOKUP(E235,Surp1!$B$1:$C$161,2,0),0)</f>
        <v>0</v>
      </c>
      <c r="G235" s="137">
        <f>IFERROR(VLOOKUP($B235,Surp2!$A$1:$B$161,2,0),0)</f>
        <v>0</v>
      </c>
      <c r="H235" s="97">
        <f>IFERROR(VLOOKUP(G235,Surp2!$B$1:$C$161,2,0),0)</f>
        <v>0</v>
      </c>
      <c r="I235" s="137">
        <f>IFERROR(VLOOKUP($B235,Surp3!$A$1:$B$161,2,0),0)</f>
        <v>0</v>
      </c>
      <c r="J235" s="97">
        <f>IFERROR(VLOOKUP(I235,Surp3!$B$1:$C$161,2,0),0)</f>
        <v>0</v>
      </c>
      <c r="K235" s="137">
        <f>IFERROR(VLOOKUP($B235,Surp4!$A$1:$B$161,2,0),0)</f>
        <v>0</v>
      </c>
      <c r="L235" s="97">
        <f>IFERROR(VLOOKUP(K235,Surp4!$B$1:$C$161,2,0),0)</f>
        <v>0</v>
      </c>
      <c r="M235" s="137">
        <f>IFERROR(VLOOKUP($B235,Surp5!$A$1:$B$161,2,0),0)</f>
        <v>0</v>
      </c>
      <c r="N235" s="97">
        <f>IFERROR(VLOOKUP(M235,Surp5!$B$1:$C$161,2,0),0)</f>
        <v>0</v>
      </c>
      <c r="O235" s="137">
        <f>IFERROR(VLOOKUP($B235,Surp6!$A$1:$B$161,2,0),0)</f>
        <v>0</v>
      </c>
      <c r="P235" s="97">
        <f>IFERROR(VLOOKUP(O235,Surp6!$B$1:$C$161,2,0),0)</f>
        <v>0</v>
      </c>
      <c r="Q235" s="137">
        <f>IFERROR(VLOOKUP($B235,Surp7!$A$1:$B$161,2,0),0)</f>
        <v>0</v>
      </c>
      <c r="R235" s="97">
        <f>IFERROR(VLOOKUP(Q235,Surp7!$B$1:$C$161,2,0),0)</f>
        <v>0</v>
      </c>
      <c r="S235" s="137">
        <f>IFERROR(VLOOKUP($B235,Surp8!$A$1:$B$161,2,0),0)</f>
        <v>0</v>
      </c>
      <c r="T235" s="97">
        <f>IFERROR(VLOOKUP(S235,Surp8!$B$1:$C$161,2,0),0)</f>
        <v>0</v>
      </c>
      <c r="U235" s="137">
        <f>IFERROR(VLOOKUP($B235,Surp9!$A$1:$B$161,2,0),0)</f>
        <v>0</v>
      </c>
      <c r="V235" s="97">
        <f>IFERROR(VLOOKUP(U235,Surp9!$B$1:$C$161,2,0),0)</f>
        <v>0</v>
      </c>
      <c r="W235" s="137">
        <f>IFERROR(VLOOKUP($B235,Surp10!$A$1:$B$161,2,0),0)</f>
        <v>0</v>
      </c>
      <c r="X235" s="97">
        <f>IFERROR(VLOOKUP(W235,Surp10!$B$1:$C$161,2,0),0)</f>
        <v>0</v>
      </c>
      <c r="Y235" s="137">
        <f>IFERROR(VLOOKUP($B235,Surp11!$A$1:$B$161,2,0),0)</f>
        <v>0</v>
      </c>
      <c r="Z235" s="97">
        <f>IFERROR(VLOOKUP(Y235,Surp11!$B$1:$C$161,2,0),0)</f>
        <v>0</v>
      </c>
      <c r="AA235" s="97">
        <f>IFERROR(VLOOKUP(E235,Surp1!$B$1:$C$161,2,0),0)</f>
        <v>0</v>
      </c>
      <c r="AB235" s="97">
        <f>IFERROR(VLOOKUP(G235,Surp2!$B$1:$C$161,2,0),0)</f>
        <v>0</v>
      </c>
      <c r="AC235" s="97">
        <f>IFERROR(VLOOKUP(I235,Surp3!$B$1:$C$161,2,0),0)</f>
        <v>0</v>
      </c>
      <c r="AD235" s="97">
        <f>IFERROR(VLOOKUP(K235,Surp4!$B$1:$C$161,2,0),0)</f>
        <v>0</v>
      </c>
      <c r="AE235" s="97">
        <f>IFERROR(VLOOKUP(M235,Surp5!$B$1:$C$161,2,0),0)</f>
        <v>0</v>
      </c>
      <c r="AF235" s="97">
        <f>IFERROR(VLOOKUP(O235,Surp6!$B$1:$C$161,2,0),0)</f>
        <v>0</v>
      </c>
      <c r="AG235" s="97">
        <f>IFERROR(VLOOKUP(Q235,Surp7!$B$1:$C$161,2,0),0)</f>
        <v>0</v>
      </c>
      <c r="AH235" s="97">
        <f>IFERROR(VLOOKUP(S235,Surp8!$B$1:$C$161,2,0),0)</f>
        <v>0</v>
      </c>
      <c r="AI235" s="97">
        <f>IFERROR(VLOOKUP(U235,Surp9!$B$1:$C$161,2,0),0)</f>
        <v>0</v>
      </c>
      <c r="AJ235" s="97">
        <f>IFERROR(VLOOKUP(W235,Surp10!$B$1:$C$161,2,0),0)</f>
        <v>0</v>
      </c>
      <c r="AK235" s="97">
        <f>IFERROR(VLOOKUP(Y235,Surp11!$B$1:$C$161,2,0),0)</f>
        <v>0</v>
      </c>
    </row>
    <row r="236" ht="15.75" customHeight="1">
      <c r="A236" s="109">
        <v>235.0</v>
      </c>
      <c r="B236" s="103"/>
      <c r="C236" s="136">
        <f t="shared" si="2"/>
        <v>0</v>
      </c>
      <c r="D236" s="136"/>
      <c r="E236" s="137">
        <f>IFERROR(VLOOKUP($B236,Surp1!$A$1:$B$161,2,0),0)</f>
        <v>0</v>
      </c>
      <c r="F236" s="97">
        <f>IFERROR(VLOOKUP(E236,Surp1!$B$1:$C$161,2,0),0)</f>
        <v>0</v>
      </c>
      <c r="G236" s="137">
        <f>IFERROR(VLOOKUP($B236,Surp2!$A$1:$B$161,2,0),0)</f>
        <v>0</v>
      </c>
      <c r="H236" s="97">
        <f>IFERROR(VLOOKUP(G236,Surp2!$B$1:$C$161,2,0),0)</f>
        <v>0</v>
      </c>
      <c r="I236" s="137">
        <f>IFERROR(VLOOKUP($B236,Surp3!$A$1:$B$161,2,0),0)</f>
        <v>0</v>
      </c>
      <c r="J236" s="97">
        <f>IFERROR(VLOOKUP(I236,Surp3!$B$1:$C$161,2,0),0)</f>
        <v>0</v>
      </c>
      <c r="K236" s="137">
        <f>IFERROR(VLOOKUP($B236,Surp4!$A$1:$B$161,2,0),0)</f>
        <v>0</v>
      </c>
      <c r="L236" s="97">
        <f>IFERROR(VLOOKUP(K236,Surp4!$B$1:$C$161,2,0),0)</f>
        <v>0</v>
      </c>
      <c r="M236" s="137">
        <f>IFERROR(VLOOKUP($B236,Surp5!$A$1:$B$161,2,0),0)</f>
        <v>0</v>
      </c>
      <c r="N236" s="97">
        <f>IFERROR(VLOOKUP(M236,Surp5!$B$1:$C$161,2,0),0)</f>
        <v>0</v>
      </c>
      <c r="O236" s="137">
        <f>IFERROR(VLOOKUP($B236,Surp6!$A$1:$B$161,2,0),0)</f>
        <v>0</v>
      </c>
      <c r="P236" s="97">
        <f>IFERROR(VLOOKUP(O236,Surp6!$B$1:$C$161,2,0),0)</f>
        <v>0</v>
      </c>
      <c r="Q236" s="137">
        <f>IFERROR(VLOOKUP($B236,Surp7!$A$1:$B$161,2,0),0)</f>
        <v>0</v>
      </c>
      <c r="R236" s="97">
        <f>IFERROR(VLOOKUP(Q236,Surp7!$B$1:$C$161,2,0),0)</f>
        <v>0</v>
      </c>
      <c r="S236" s="137">
        <f>IFERROR(VLOOKUP($B236,Surp8!$A$1:$B$161,2,0),0)</f>
        <v>0</v>
      </c>
      <c r="T236" s="97">
        <f>IFERROR(VLOOKUP(S236,Surp8!$B$1:$C$161,2,0),0)</f>
        <v>0</v>
      </c>
      <c r="U236" s="137">
        <f>IFERROR(VLOOKUP($B236,Surp9!$A$1:$B$161,2,0),0)</f>
        <v>0</v>
      </c>
      <c r="V236" s="97">
        <f>IFERROR(VLOOKUP(U236,Surp9!$B$1:$C$161,2,0),0)</f>
        <v>0</v>
      </c>
      <c r="W236" s="137">
        <f>IFERROR(VLOOKUP($B236,Surp10!$A$1:$B$161,2,0),0)</f>
        <v>0</v>
      </c>
      <c r="X236" s="97">
        <f>IFERROR(VLOOKUP(W236,Surp10!$B$1:$C$161,2,0),0)</f>
        <v>0</v>
      </c>
      <c r="Y236" s="137">
        <f>IFERROR(VLOOKUP($B236,Surp11!$A$1:$B$161,2,0),0)</f>
        <v>0</v>
      </c>
      <c r="Z236" s="97">
        <f>IFERROR(VLOOKUP(Y236,Surp11!$B$1:$C$161,2,0),0)</f>
        <v>0</v>
      </c>
      <c r="AA236" s="97">
        <f>IFERROR(VLOOKUP(E236,Surp1!$B$1:$C$161,2,0),0)</f>
        <v>0</v>
      </c>
      <c r="AB236" s="97">
        <f>IFERROR(VLOOKUP(G236,Surp2!$B$1:$C$161,2,0),0)</f>
        <v>0</v>
      </c>
      <c r="AC236" s="97">
        <f>IFERROR(VLOOKUP(I236,Surp3!$B$1:$C$161,2,0),0)</f>
        <v>0</v>
      </c>
      <c r="AD236" s="97">
        <f>IFERROR(VLOOKUP(K236,Surp4!$B$1:$C$161,2,0),0)</f>
        <v>0</v>
      </c>
      <c r="AE236" s="97">
        <f>IFERROR(VLOOKUP(M236,Surp5!$B$1:$C$161,2,0),0)</f>
        <v>0</v>
      </c>
      <c r="AF236" s="97">
        <f>IFERROR(VLOOKUP(O236,Surp6!$B$1:$C$161,2,0),0)</f>
        <v>0</v>
      </c>
      <c r="AG236" s="97">
        <f>IFERROR(VLOOKUP(Q236,Surp7!$B$1:$C$161,2,0),0)</f>
        <v>0</v>
      </c>
      <c r="AH236" s="97">
        <f>IFERROR(VLOOKUP(S236,Surp8!$B$1:$C$161,2,0),0)</f>
        <v>0</v>
      </c>
      <c r="AI236" s="97">
        <f>IFERROR(VLOOKUP(U236,Surp9!$B$1:$C$161,2,0),0)</f>
        <v>0</v>
      </c>
      <c r="AJ236" s="97">
        <f>IFERROR(VLOOKUP(W236,Surp10!$B$1:$C$161,2,0),0)</f>
        <v>0</v>
      </c>
      <c r="AK236" s="97">
        <f>IFERROR(VLOOKUP(Y236,Surp11!$B$1:$C$161,2,0),0)</f>
        <v>0</v>
      </c>
    </row>
    <row r="237" ht="15.75" customHeight="1">
      <c r="A237" s="109">
        <v>236.0</v>
      </c>
      <c r="B237" s="103"/>
      <c r="C237" s="136">
        <f t="shared" si="2"/>
        <v>0</v>
      </c>
      <c r="D237" s="136"/>
      <c r="E237" s="137">
        <f>IFERROR(VLOOKUP($B237,Surp1!$A$1:$B$161,2,0),0)</f>
        <v>0</v>
      </c>
      <c r="F237" s="97">
        <f>IFERROR(VLOOKUP(E237,Surp1!$B$1:$C$161,2,0),0)</f>
        <v>0</v>
      </c>
      <c r="G237" s="137">
        <f>IFERROR(VLOOKUP($B237,Surp2!$A$1:$B$161,2,0),0)</f>
        <v>0</v>
      </c>
      <c r="H237" s="97">
        <f>IFERROR(VLOOKUP(G237,Surp2!$B$1:$C$161,2,0),0)</f>
        <v>0</v>
      </c>
      <c r="I237" s="137">
        <f>IFERROR(VLOOKUP($B237,Surp3!$A$1:$B$161,2,0),0)</f>
        <v>0</v>
      </c>
      <c r="J237" s="97">
        <f>IFERROR(VLOOKUP(I237,Surp3!$B$1:$C$161,2,0),0)</f>
        <v>0</v>
      </c>
      <c r="K237" s="137">
        <f>IFERROR(VLOOKUP($B237,Surp4!$A$1:$B$161,2,0),0)</f>
        <v>0</v>
      </c>
      <c r="L237" s="97">
        <f>IFERROR(VLOOKUP(K237,Surp4!$B$1:$C$161,2,0),0)</f>
        <v>0</v>
      </c>
      <c r="M237" s="137">
        <f>IFERROR(VLOOKUP($B237,Surp5!$A$1:$B$161,2,0),0)</f>
        <v>0</v>
      </c>
      <c r="N237" s="97">
        <f>IFERROR(VLOOKUP(M237,Surp5!$B$1:$C$161,2,0),0)</f>
        <v>0</v>
      </c>
      <c r="O237" s="137">
        <f>IFERROR(VLOOKUP($B237,Surp6!$A$1:$B$161,2,0),0)</f>
        <v>0</v>
      </c>
      <c r="P237" s="97">
        <f>IFERROR(VLOOKUP(O237,Surp6!$B$1:$C$161,2,0),0)</f>
        <v>0</v>
      </c>
      <c r="Q237" s="137">
        <f>IFERROR(VLOOKUP($B237,Surp7!$A$1:$B$161,2,0),0)</f>
        <v>0</v>
      </c>
      <c r="R237" s="97">
        <f>IFERROR(VLOOKUP(Q237,Surp7!$B$1:$C$161,2,0),0)</f>
        <v>0</v>
      </c>
      <c r="S237" s="137">
        <f>IFERROR(VLOOKUP($B237,Surp8!$A$1:$B$161,2,0),0)</f>
        <v>0</v>
      </c>
      <c r="T237" s="97">
        <f>IFERROR(VLOOKUP(S237,Surp8!$B$1:$C$161,2,0),0)</f>
        <v>0</v>
      </c>
      <c r="U237" s="137">
        <f>IFERROR(VLOOKUP($B237,Surp9!$A$1:$B$161,2,0),0)</f>
        <v>0</v>
      </c>
      <c r="V237" s="97">
        <f>IFERROR(VLOOKUP(U237,Surp9!$B$1:$C$161,2,0),0)</f>
        <v>0</v>
      </c>
      <c r="W237" s="137">
        <f>IFERROR(VLOOKUP($B237,Surp10!$A$1:$B$161,2,0),0)</f>
        <v>0</v>
      </c>
      <c r="X237" s="97">
        <f>IFERROR(VLOOKUP(W237,Surp10!$B$1:$C$161,2,0),0)</f>
        <v>0</v>
      </c>
      <c r="Y237" s="137">
        <f>IFERROR(VLOOKUP($B237,Surp11!$A$1:$B$161,2,0),0)</f>
        <v>0</v>
      </c>
      <c r="Z237" s="97">
        <f>IFERROR(VLOOKUP(Y237,Surp11!$B$1:$C$161,2,0),0)</f>
        <v>0</v>
      </c>
      <c r="AA237" s="97">
        <f>IFERROR(VLOOKUP(E237,Surp1!$B$1:$C$161,2,0),0)</f>
        <v>0</v>
      </c>
      <c r="AB237" s="97">
        <f>IFERROR(VLOOKUP(G237,Surp2!$B$1:$C$161,2,0),0)</f>
        <v>0</v>
      </c>
      <c r="AC237" s="97">
        <f>IFERROR(VLOOKUP(I237,Surp3!$B$1:$C$161,2,0),0)</f>
        <v>0</v>
      </c>
      <c r="AD237" s="97">
        <f>IFERROR(VLOOKUP(K237,Surp4!$B$1:$C$161,2,0),0)</f>
        <v>0</v>
      </c>
      <c r="AE237" s="97">
        <f>IFERROR(VLOOKUP(M237,Surp5!$B$1:$C$161,2,0),0)</f>
        <v>0</v>
      </c>
      <c r="AF237" s="97">
        <f>IFERROR(VLOOKUP(O237,Surp6!$B$1:$C$161,2,0),0)</f>
        <v>0</v>
      </c>
      <c r="AG237" s="97">
        <f>IFERROR(VLOOKUP(Q237,Surp7!$B$1:$C$161,2,0),0)</f>
        <v>0</v>
      </c>
      <c r="AH237" s="97">
        <f>IFERROR(VLOOKUP(S237,Surp8!$B$1:$C$161,2,0),0)</f>
        <v>0</v>
      </c>
      <c r="AI237" s="97">
        <f>IFERROR(VLOOKUP(U237,Surp9!$B$1:$C$161,2,0),0)</f>
        <v>0</v>
      </c>
      <c r="AJ237" s="97">
        <f>IFERROR(VLOOKUP(W237,Surp10!$B$1:$C$161,2,0),0)</f>
        <v>0</v>
      </c>
      <c r="AK237" s="97">
        <f>IFERROR(VLOOKUP(Y237,Surp11!$B$1:$C$161,2,0),0)</f>
        <v>0</v>
      </c>
    </row>
    <row r="238" ht="15.75" customHeight="1">
      <c r="A238" s="109">
        <v>237.0</v>
      </c>
      <c r="B238" s="103"/>
      <c r="C238" s="136">
        <f t="shared" si="2"/>
        <v>0</v>
      </c>
      <c r="D238" s="136"/>
      <c r="E238" s="137">
        <f>IFERROR(VLOOKUP($B238,Surp1!$A$1:$B$161,2,0),0)</f>
        <v>0</v>
      </c>
      <c r="F238" s="97">
        <f>IFERROR(VLOOKUP(E238,Surp1!$B$1:$C$161,2,0),0)</f>
        <v>0</v>
      </c>
      <c r="G238" s="137">
        <f>IFERROR(VLOOKUP($B238,Surp2!$A$1:$B$161,2,0),0)</f>
        <v>0</v>
      </c>
      <c r="H238" s="97">
        <f>IFERROR(VLOOKUP(G238,Surp2!$B$1:$C$161,2,0),0)</f>
        <v>0</v>
      </c>
      <c r="I238" s="137">
        <f>IFERROR(VLOOKUP($B238,Surp3!$A$1:$B$161,2,0),0)</f>
        <v>0</v>
      </c>
      <c r="J238" s="97">
        <f>IFERROR(VLOOKUP(I238,Surp3!$B$1:$C$161,2,0),0)</f>
        <v>0</v>
      </c>
      <c r="K238" s="137">
        <f>IFERROR(VLOOKUP($B238,Surp4!$A$1:$B$161,2,0),0)</f>
        <v>0</v>
      </c>
      <c r="L238" s="97">
        <f>IFERROR(VLOOKUP(K238,Surp4!$B$1:$C$161,2,0),0)</f>
        <v>0</v>
      </c>
      <c r="M238" s="137">
        <f>IFERROR(VLOOKUP($B238,Surp5!$A$1:$B$161,2,0),0)</f>
        <v>0</v>
      </c>
      <c r="N238" s="97">
        <f>IFERROR(VLOOKUP(M238,Surp5!$B$1:$C$161,2,0),0)</f>
        <v>0</v>
      </c>
      <c r="O238" s="137">
        <f>IFERROR(VLOOKUP($B238,Surp6!$A$1:$B$161,2,0),0)</f>
        <v>0</v>
      </c>
      <c r="P238" s="97">
        <f>IFERROR(VLOOKUP(O238,Surp6!$B$1:$C$161,2,0),0)</f>
        <v>0</v>
      </c>
      <c r="Q238" s="137">
        <f>IFERROR(VLOOKUP($B238,Surp7!$A$1:$B$161,2,0),0)</f>
        <v>0</v>
      </c>
      <c r="R238" s="97">
        <f>IFERROR(VLOOKUP(Q238,Surp7!$B$1:$C$161,2,0),0)</f>
        <v>0</v>
      </c>
      <c r="S238" s="137">
        <f>IFERROR(VLOOKUP($B238,Surp8!$A$1:$B$161,2,0),0)</f>
        <v>0</v>
      </c>
      <c r="T238" s="97">
        <f>IFERROR(VLOOKUP(S238,Surp8!$B$1:$C$161,2,0),0)</f>
        <v>0</v>
      </c>
      <c r="U238" s="137">
        <f>IFERROR(VLOOKUP($B238,Surp9!$A$1:$B$161,2,0),0)</f>
        <v>0</v>
      </c>
      <c r="V238" s="97">
        <f>IFERROR(VLOOKUP(U238,Surp9!$B$1:$C$161,2,0),0)</f>
        <v>0</v>
      </c>
      <c r="W238" s="137">
        <f>IFERROR(VLOOKUP($B238,Surp10!$A$1:$B$161,2,0),0)</f>
        <v>0</v>
      </c>
      <c r="X238" s="97">
        <f>IFERROR(VLOOKUP(W238,Surp10!$B$1:$C$161,2,0),0)</f>
        <v>0</v>
      </c>
      <c r="Y238" s="137">
        <f>IFERROR(VLOOKUP($B238,Surp11!$A$1:$B$161,2,0),0)</f>
        <v>0</v>
      </c>
      <c r="Z238" s="97">
        <f>IFERROR(VLOOKUP(Y238,Surp11!$B$1:$C$161,2,0),0)</f>
        <v>0</v>
      </c>
      <c r="AA238" s="97">
        <f>IFERROR(VLOOKUP(E238,Surp1!$B$1:$C$161,2,0),0)</f>
        <v>0</v>
      </c>
      <c r="AB238" s="97">
        <f>IFERROR(VLOOKUP(G238,Surp2!$B$1:$C$161,2,0),0)</f>
        <v>0</v>
      </c>
      <c r="AC238" s="97">
        <f>IFERROR(VLOOKUP(I238,Surp3!$B$1:$C$161,2,0),0)</f>
        <v>0</v>
      </c>
      <c r="AD238" s="97">
        <f>IFERROR(VLOOKUP(K238,Surp4!$B$1:$C$161,2,0),0)</f>
        <v>0</v>
      </c>
      <c r="AE238" s="97">
        <f>IFERROR(VLOOKUP(M238,Surp5!$B$1:$C$161,2,0),0)</f>
        <v>0</v>
      </c>
      <c r="AF238" s="97">
        <f>IFERROR(VLOOKUP(O238,Surp6!$B$1:$C$161,2,0),0)</f>
        <v>0</v>
      </c>
      <c r="AG238" s="97">
        <f>IFERROR(VLOOKUP(Q238,Surp7!$B$1:$C$161,2,0),0)</f>
        <v>0</v>
      </c>
      <c r="AH238" s="97">
        <f>IFERROR(VLOOKUP(S238,Surp8!$B$1:$C$161,2,0),0)</f>
        <v>0</v>
      </c>
      <c r="AI238" s="97">
        <f>IFERROR(VLOOKUP(U238,Surp9!$B$1:$C$161,2,0),0)</f>
        <v>0</v>
      </c>
      <c r="AJ238" s="97">
        <f>IFERROR(VLOOKUP(W238,Surp10!$B$1:$C$161,2,0),0)</f>
        <v>0</v>
      </c>
      <c r="AK238" s="97">
        <f>IFERROR(VLOOKUP(Y238,Surp11!$B$1:$C$161,2,0),0)</f>
        <v>0</v>
      </c>
    </row>
    <row r="239" ht="15.75" customHeight="1">
      <c r="A239" s="109">
        <v>238.0</v>
      </c>
      <c r="B239" s="103"/>
      <c r="C239" s="136">
        <f t="shared" si="2"/>
        <v>0</v>
      </c>
      <c r="D239" s="136"/>
      <c r="E239" s="137">
        <f>IFERROR(VLOOKUP($B239,Surp1!$A$1:$B$161,2,0),0)</f>
        <v>0</v>
      </c>
      <c r="F239" s="97">
        <f>IFERROR(VLOOKUP(E239,Surp1!$B$1:$C$161,2,0),0)</f>
        <v>0</v>
      </c>
      <c r="G239" s="137">
        <f>IFERROR(VLOOKUP($B239,Surp2!$A$1:$B$161,2,0),0)</f>
        <v>0</v>
      </c>
      <c r="H239" s="97">
        <f>IFERROR(VLOOKUP(G239,Surp2!$B$1:$C$161,2,0),0)</f>
        <v>0</v>
      </c>
      <c r="I239" s="137">
        <f>IFERROR(VLOOKUP($B239,Surp3!$A$1:$B$161,2,0),0)</f>
        <v>0</v>
      </c>
      <c r="J239" s="97">
        <f>IFERROR(VLOOKUP(I239,Surp3!$B$1:$C$161,2,0),0)</f>
        <v>0</v>
      </c>
      <c r="K239" s="137">
        <f>IFERROR(VLOOKUP($B239,Surp4!$A$1:$B$161,2,0),0)</f>
        <v>0</v>
      </c>
      <c r="L239" s="97">
        <f>IFERROR(VLOOKUP(K239,Surp4!$B$1:$C$161,2,0),0)</f>
        <v>0</v>
      </c>
      <c r="M239" s="137">
        <f>IFERROR(VLOOKUP($B239,Surp5!$A$1:$B$161,2,0),0)</f>
        <v>0</v>
      </c>
      <c r="N239" s="97">
        <f>IFERROR(VLOOKUP(M239,Surp5!$B$1:$C$161,2,0),0)</f>
        <v>0</v>
      </c>
      <c r="O239" s="137">
        <f>IFERROR(VLOOKUP($B239,Surp6!$A$1:$B$161,2,0),0)</f>
        <v>0</v>
      </c>
      <c r="P239" s="97">
        <f>IFERROR(VLOOKUP(O239,Surp6!$B$1:$C$161,2,0),0)</f>
        <v>0</v>
      </c>
      <c r="Q239" s="137">
        <f>IFERROR(VLOOKUP($B239,Surp7!$A$1:$B$161,2,0),0)</f>
        <v>0</v>
      </c>
      <c r="R239" s="97">
        <f>IFERROR(VLOOKUP(Q239,Surp7!$B$1:$C$161,2,0),0)</f>
        <v>0</v>
      </c>
      <c r="S239" s="137">
        <f>IFERROR(VLOOKUP($B239,Surp8!$A$1:$B$161,2,0),0)</f>
        <v>0</v>
      </c>
      <c r="T239" s="97">
        <f>IFERROR(VLOOKUP(S239,Surp8!$B$1:$C$161,2,0),0)</f>
        <v>0</v>
      </c>
      <c r="U239" s="137">
        <f>IFERROR(VLOOKUP($B239,Surp9!$A$1:$B$161,2,0),0)</f>
        <v>0</v>
      </c>
      <c r="V239" s="97">
        <f>IFERROR(VLOOKUP(U239,Surp9!$B$1:$C$161,2,0),0)</f>
        <v>0</v>
      </c>
      <c r="W239" s="137">
        <f>IFERROR(VLOOKUP($B239,Surp10!$A$1:$B$161,2,0),0)</f>
        <v>0</v>
      </c>
      <c r="X239" s="97">
        <f>IFERROR(VLOOKUP(W239,Surp10!$B$1:$C$161,2,0),0)</f>
        <v>0</v>
      </c>
      <c r="Y239" s="137">
        <f>IFERROR(VLOOKUP($B239,Surp11!$A$1:$B$161,2,0),0)</f>
        <v>0</v>
      </c>
      <c r="Z239" s="97">
        <f>IFERROR(VLOOKUP(Y239,Surp11!$B$1:$C$161,2,0),0)</f>
        <v>0</v>
      </c>
      <c r="AA239" s="97">
        <f>IFERROR(VLOOKUP(E239,Surp1!$B$1:$C$161,2,0),0)</f>
        <v>0</v>
      </c>
      <c r="AB239" s="97">
        <f>IFERROR(VLOOKUP(G239,Surp2!$B$1:$C$161,2,0),0)</f>
        <v>0</v>
      </c>
      <c r="AC239" s="97">
        <f>IFERROR(VLOOKUP(I239,Surp3!$B$1:$C$161,2,0),0)</f>
        <v>0</v>
      </c>
      <c r="AD239" s="97">
        <f>IFERROR(VLOOKUP(K239,Surp4!$B$1:$C$161,2,0),0)</f>
        <v>0</v>
      </c>
      <c r="AE239" s="97">
        <f>IFERROR(VLOOKUP(M239,Surp5!$B$1:$C$161,2,0),0)</f>
        <v>0</v>
      </c>
      <c r="AF239" s="97">
        <f>IFERROR(VLOOKUP(O239,Surp6!$B$1:$C$161,2,0),0)</f>
        <v>0</v>
      </c>
      <c r="AG239" s="97">
        <f>IFERROR(VLOOKUP(Q239,Surp7!$B$1:$C$161,2,0),0)</f>
        <v>0</v>
      </c>
      <c r="AH239" s="97">
        <f>IFERROR(VLOOKUP(S239,Surp8!$B$1:$C$161,2,0),0)</f>
        <v>0</v>
      </c>
      <c r="AI239" s="97">
        <f>IFERROR(VLOOKUP(U239,Surp9!$B$1:$C$161,2,0),0)</f>
        <v>0</v>
      </c>
      <c r="AJ239" s="97">
        <f>IFERROR(VLOOKUP(W239,Surp10!$B$1:$C$161,2,0),0)</f>
        <v>0</v>
      </c>
      <c r="AK239" s="97">
        <f>IFERROR(VLOOKUP(Y239,Surp11!$B$1:$C$161,2,0),0)</f>
        <v>0</v>
      </c>
    </row>
    <row r="240" ht="15.75" customHeight="1">
      <c r="A240" s="109">
        <v>239.0</v>
      </c>
      <c r="B240" s="103"/>
      <c r="C240" s="136">
        <f t="shared" si="2"/>
        <v>0</v>
      </c>
      <c r="D240" s="136"/>
      <c r="E240" s="137">
        <f>IFERROR(VLOOKUP($B240,Surp1!$A$1:$B$161,2,0),0)</f>
        <v>0</v>
      </c>
      <c r="F240" s="97">
        <f>IFERROR(VLOOKUP(E240,Surp1!$B$1:$C$161,2,0),0)</f>
        <v>0</v>
      </c>
      <c r="G240" s="137">
        <f>IFERROR(VLOOKUP($B240,Surp2!$A$1:$B$161,2,0),0)</f>
        <v>0</v>
      </c>
      <c r="H240" s="97">
        <f>IFERROR(VLOOKUP(G240,Surp2!$B$1:$C$161,2,0),0)</f>
        <v>0</v>
      </c>
      <c r="I240" s="137">
        <f>IFERROR(VLOOKUP($B240,Surp3!$A$1:$B$161,2,0),0)</f>
        <v>0</v>
      </c>
      <c r="J240" s="97">
        <f>IFERROR(VLOOKUP(I240,Surp3!$B$1:$C$161,2,0),0)</f>
        <v>0</v>
      </c>
      <c r="K240" s="137">
        <f>IFERROR(VLOOKUP($B240,Surp4!$A$1:$B$161,2,0),0)</f>
        <v>0</v>
      </c>
      <c r="L240" s="97">
        <f>IFERROR(VLOOKUP(K240,Surp4!$B$1:$C$161,2,0),0)</f>
        <v>0</v>
      </c>
      <c r="M240" s="137">
        <f>IFERROR(VLOOKUP($B240,Surp5!$A$1:$B$161,2,0),0)</f>
        <v>0</v>
      </c>
      <c r="N240" s="97">
        <f>IFERROR(VLOOKUP(M240,Surp5!$B$1:$C$161,2,0),0)</f>
        <v>0</v>
      </c>
      <c r="O240" s="137">
        <f>IFERROR(VLOOKUP($B240,Surp6!$A$1:$B$161,2,0),0)</f>
        <v>0</v>
      </c>
      <c r="P240" s="97">
        <f>IFERROR(VLOOKUP(O240,Surp6!$B$1:$C$161,2,0),0)</f>
        <v>0</v>
      </c>
      <c r="Q240" s="137">
        <f>IFERROR(VLOOKUP($B240,Surp7!$A$1:$B$161,2,0),0)</f>
        <v>0</v>
      </c>
      <c r="R240" s="97">
        <f>IFERROR(VLOOKUP(Q240,Surp7!$B$1:$C$161,2,0),0)</f>
        <v>0</v>
      </c>
      <c r="S240" s="137">
        <f>IFERROR(VLOOKUP($B240,Surp8!$A$1:$B$161,2,0),0)</f>
        <v>0</v>
      </c>
      <c r="T240" s="97">
        <f>IFERROR(VLOOKUP(S240,Surp8!$B$1:$C$161,2,0),0)</f>
        <v>0</v>
      </c>
      <c r="U240" s="137">
        <f>IFERROR(VLOOKUP($B240,Surp9!$A$1:$B$161,2,0),0)</f>
        <v>0</v>
      </c>
      <c r="V240" s="97">
        <f>IFERROR(VLOOKUP(U240,Surp9!$B$1:$C$161,2,0),0)</f>
        <v>0</v>
      </c>
      <c r="W240" s="137">
        <f>IFERROR(VLOOKUP($B240,Surp10!$A$1:$B$161,2,0),0)</f>
        <v>0</v>
      </c>
      <c r="X240" s="97">
        <f>IFERROR(VLOOKUP(W240,Surp10!$B$1:$C$161,2,0),0)</f>
        <v>0</v>
      </c>
      <c r="Y240" s="137">
        <f>IFERROR(VLOOKUP($B240,Surp11!$A$1:$B$161,2,0),0)</f>
        <v>0</v>
      </c>
      <c r="Z240" s="97">
        <f>IFERROR(VLOOKUP(Y240,Surp11!$B$1:$C$161,2,0),0)</f>
        <v>0</v>
      </c>
      <c r="AA240" s="97">
        <f>IFERROR(VLOOKUP(E240,Surp1!$B$1:$C$161,2,0),0)</f>
        <v>0</v>
      </c>
      <c r="AB240" s="97">
        <f>IFERROR(VLOOKUP(G240,Surp2!$B$1:$C$161,2,0),0)</f>
        <v>0</v>
      </c>
      <c r="AC240" s="97">
        <f>IFERROR(VLOOKUP(I240,Surp3!$B$1:$C$161,2,0),0)</f>
        <v>0</v>
      </c>
      <c r="AD240" s="97">
        <f>IFERROR(VLOOKUP(K240,Surp4!$B$1:$C$161,2,0),0)</f>
        <v>0</v>
      </c>
      <c r="AE240" s="97">
        <f>IFERROR(VLOOKUP(M240,Surp5!$B$1:$C$161,2,0),0)</f>
        <v>0</v>
      </c>
      <c r="AF240" s="97">
        <f>IFERROR(VLOOKUP(O240,Surp6!$B$1:$C$161,2,0),0)</f>
        <v>0</v>
      </c>
      <c r="AG240" s="97">
        <f>IFERROR(VLOOKUP(Q240,Surp7!$B$1:$C$161,2,0),0)</f>
        <v>0</v>
      </c>
      <c r="AH240" s="97">
        <f>IFERROR(VLOOKUP(S240,Surp8!$B$1:$C$161,2,0),0)</f>
        <v>0</v>
      </c>
      <c r="AI240" s="97">
        <f>IFERROR(VLOOKUP(U240,Surp9!$B$1:$C$161,2,0),0)</f>
        <v>0</v>
      </c>
      <c r="AJ240" s="97">
        <f>IFERROR(VLOOKUP(W240,Surp10!$B$1:$C$161,2,0),0)</f>
        <v>0</v>
      </c>
      <c r="AK240" s="97">
        <f>IFERROR(VLOOKUP(Y240,Surp11!$B$1:$C$161,2,0),0)</f>
        <v>0</v>
      </c>
    </row>
    <row r="241" ht="15.75" customHeight="1">
      <c r="A241" s="109">
        <v>240.0</v>
      </c>
      <c r="B241" s="103"/>
      <c r="C241" s="136">
        <f t="shared" si="2"/>
        <v>0</v>
      </c>
      <c r="D241" s="136"/>
      <c r="E241" s="137">
        <f>IFERROR(VLOOKUP($B241,Surp1!$A$1:$B$161,2,0),0)</f>
        <v>0</v>
      </c>
      <c r="F241" s="97">
        <f>IFERROR(VLOOKUP(E241,Surp1!$B$1:$C$161,2,0),0)</f>
        <v>0</v>
      </c>
      <c r="G241" s="137">
        <f>IFERROR(VLOOKUP($B241,Surp2!$A$1:$B$161,2,0),0)</f>
        <v>0</v>
      </c>
      <c r="H241" s="97">
        <f>IFERROR(VLOOKUP(G241,Surp2!$B$1:$C$161,2,0),0)</f>
        <v>0</v>
      </c>
      <c r="I241" s="137">
        <f>IFERROR(VLOOKUP($B241,Surp3!$A$1:$B$161,2,0),0)</f>
        <v>0</v>
      </c>
      <c r="J241" s="97">
        <f>IFERROR(VLOOKUP(I241,Surp3!$B$1:$C$161,2,0),0)</f>
        <v>0</v>
      </c>
      <c r="K241" s="137">
        <f>IFERROR(VLOOKUP($B241,Surp4!$A$1:$B$161,2,0),0)</f>
        <v>0</v>
      </c>
      <c r="L241" s="97">
        <f>IFERROR(VLOOKUP(K241,Surp4!$B$1:$C$161,2,0),0)</f>
        <v>0</v>
      </c>
      <c r="M241" s="137">
        <f>IFERROR(VLOOKUP($B241,Surp5!$A$1:$B$161,2,0),0)</f>
        <v>0</v>
      </c>
      <c r="N241" s="97">
        <f>IFERROR(VLOOKUP(M241,Surp5!$B$1:$C$161,2,0),0)</f>
        <v>0</v>
      </c>
      <c r="O241" s="137">
        <f>IFERROR(VLOOKUP($B241,Surp6!$A$1:$B$161,2,0),0)</f>
        <v>0</v>
      </c>
      <c r="P241" s="97">
        <f>IFERROR(VLOOKUP(O241,Surp6!$B$1:$C$161,2,0),0)</f>
        <v>0</v>
      </c>
      <c r="Q241" s="137">
        <f>IFERROR(VLOOKUP($B241,Surp7!$A$1:$B$161,2,0),0)</f>
        <v>0</v>
      </c>
      <c r="R241" s="97">
        <f>IFERROR(VLOOKUP(Q241,Surp7!$B$1:$C$161,2,0),0)</f>
        <v>0</v>
      </c>
      <c r="S241" s="137">
        <f>IFERROR(VLOOKUP($B241,Surp8!$A$1:$B$161,2,0),0)</f>
        <v>0</v>
      </c>
      <c r="T241" s="97">
        <f>IFERROR(VLOOKUP(S241,Surp8!$B$1:$C$161,2,0),0)</f>
        <v>0</v>
      </c>
      <c r="U241" s="137">
        <f>IFERROR(VLOOKUP($B241,Surp9!$A$1:$B$161,2,0),0)</f>
        <v>0</v>
      </c>
      <c r="V241" s="97">
        <f>IFERROR(VLOOKUP(U241,Surp9!$B$1:$C$161,2,0),0)</f>
        <v>0</v>
      </c>
      <c r="W241" s="137">
        <f>IFERROR(VLOOKUP($B241,Surp10!$A$1:$B$161,2,0),0)</f>
        <v>0</v>
      </c>
      <c r="X241" s="97">
        <f>IFERROR(VLOOKUP(W241,Surp10!$B$1:$C$161,2,0),0)</f>
        <v>0</v>
      </c>
      <c r="Y241" s="137">
        <f>IFERROR(VLOOKUP($B241,Surp11!$A$1:$B$161,2,0),0)</f>
        <v>0</v>
      </c>
      <c r="Z241" s="97">
        <f>IFERROR(VLOOKUP(Y241,Surp11!$B$1:$C$161,2,0),0)</f>
        <v>0</v>
      </c>
      <c r="AA241" s="97">
        <f>IFERROR(VLOOKUP(E241,Surp1!$B$1:$C$161,2,0),0)</f>
        <v>0</v>
      </c>
      <c r="AB241" s="97">
        <f>IFERROR(VLOOKUP(G241,Surp2!$B$1:$C$161,2,0),0)</f>
        <v>0</v>
      </c>
      <c r="AC241" s="97">
        <f>IFERROR(VLOOKUP(I241,Surp3!$B$1:$C$161,2,0),0)</f>
        <v>0</v>
      </c>
      <c r="AD241" s="97">
        <f>IFERROR(VLOOKUP(K241,Surp4!$B$1:$C$161,2,0),0)</f>
        <v>0</v>
      </c>
      <c r="AE241" s="97">
        <f>IFERROR(VLOOKUP(M241,Surp5!$B$1:$C$161,2,0),0)</f>
        <v>0</v>
      </c>
      <c r="AF241" s="97">
        <f>IFERROR(VLOOKUP(O241,Surp6!$B$1:$C$161,2,0),0)</f>
        <v>0</v>
      </c>
      <c r="AG241" s="97">
        <f>IFERROR(VLOOKUP(Q241,Surp7!$B$1:$C$161,2,0),0)</f>
        <v>0</v>
      </c>
      <c r="AH241" s="97">
        <f>IFERROR(VLOOKUP(S241,Surp8!$B$1:$C$161,2,0),0)</f>
        <v>0</v>
      </c>
      <c r="AI241" s="97">
        <f>IFERROR(VLOOKUP(U241,Surp9!$B$1:$C$161,2,0),0)</f>
        <v>0</v>
      </c>
      <c r="AJ241" s="97">
        <f>IFERROR(VLOOKUP(W241,Surp10!$B$1:$C$161,2,0),0)</f>
        <v>0</v>
      </c>
      <c r="AK241" s="97">
        <f>IFERROR(VLOOKUP(Y241,Surp11!$B$1:$C$161,2,0),0)</f>
        <v>0</v>
      </c>
    </row>
    <row r="242" ht="15.75" customHeight="1">
      <c r="A242" s="109">
        <v>241.0</v>
      </c>
      <c r="B242" s="103"/>
      <c r="C242" s="136">
        <f t="shared" si="2"/>
        <v>0</v>
      </c>
      <c r="D242" s="136"/>
      <c r="E242" s="137">
        <f>IFERROR(VLOOKUP($B242,Surp1!$A$1:$B$161,2,0),0)</f>
        <v>0</v>
      </c>
      <c r="F242" s="97">
        <f>IFERROR(VLOOKUP(E242,Surp1!$B$1:$C$161,2,0),0)</f>
        <v>0</v>
      </c>
      <c r="G242" s="137">
        <f>IFERROR(VLOOKUP($B242,Surp2!$A$1:$B$161,2,0),0)</f>
        <v>0</v>
      </c>
      <c r="H242" s="97">
        <f>IFERROR(VLOOKUP(G242,Surp2!$B$1:$C$161,2,0),0)</f>
        <v>0</v>
      </c>
      <c r="I242" s="137">
        <f>IFERROR(VLOOKUP($B242,Surp3!$A$1:$B$161,2,0),0)</f>
        <v>0</v>
      </c>
      <c r="J242" s="97">
        <f>IFERROR(VLOOKUP(I242,Surp3!$B$1:$C$161,2,0),0)</f>
        <v>0</v>
      </c>
      <c r="K242" s="137">
        <f>IFERROR(VLOOKUP($B242,Surp4!$A$1:$B$161,2,0),0)</f>
        <v>0</v>
      </c>
      <c r="L242" s="97">
        <f>IFERROR(VLOOKUP(K242,Surp4!$B$1:$C$161,2,0),0)</f>
        <v>0</v>
      </c>
      <c r="M242" s="137">
        <f>IFERROR(VLOOKUP($B242,Surp5!$A$1:$B$161,2,0),0)</f>
        <v>0</v>
      </c>
      <c r="N242" s="97">
        <f>IFERROR(VLOOKUP(M242,Surp5!$B$1:$C$161,2,0),0)</f>
        <v>0</v>
      </c>
      <c r="O242" s="137">
        <f>IFERROR(VLOOKUP($B242,Surp6!$A$1:$B$161,2,0),0)</f>
        <v>0</v>
      </c>
      <c r="P242" s="97">
        <f>IFERROR(VLOOKUP(O242,Surp6!$B$1:$C$161,2,0),0)</f>
        <v>0</v>
      </c>
      <c r="Q242" s="137">
        <f>IFERROR(VLOOKUP($B242,Surp7!$A$1:$B$161,2,0),0)</f>
        <v>0</v>
      </c>
      <c r="R242" s="97">
        <f>IFERROR(VLOOKUP(Q242,Surp7!$B$1:$C$161,2,0),0)</f>
        <v>0</v>
      </c>
      <c r="S242" s="137">
        <f>IFERROR(VLOOKUP($B242,Surp8!$A$1:$B$161,2,0),0)</f>
        <v>0</v>
      </c>
      <c r="T242" s="97">
        <f>IFERROR(VLOOKUP(S242,Surp8!$B$1:$C$161,2,0),0)</f>
        <v>0</v>
      </c>
      <c r="U242" s="137">
        <f>IFERROR(VLOOKUP($B242,Surp9!$A$1:$B$161,2,0),0)</f>
        <v>0</v>
      </c>
      <c r="V242" s="97">
        <f>IFERROR(VLOOKUP(U242,Surp9!$B$1:$C$161,2,0),0)</f>
        <v>0</v>
      </c>
      <c r="W242" s="137">
        <f>IFERROR(VLOOKUP($B242,Surp10!$A$1:$B$161,2,0),0)</f>
        <v>0</v>
      </c>
      <c r="X242" s="97">
        <f>IFERROR(VLOOKUP(W242,Surp10!$B$1:$C$161,2,0),0)</f>
        <v>0</v>
      </c>
      <c r="Y242" s="137">
        <f>IFERROR(VLOOKUP($B242,Surp11!$A$1:$B$161,2,0),0)</f>
        <v>0</v>
      </c>
      <c r="Z242" s="97">
        <f>IFERROR(VLOOKUP(Y242,Surp11!$B$1:$C$161,2,0),0)</f>
        <v>0</v>
      </c>
      <c r="AA242" s="97">
        <f>IFERROR(VLOOKUP(E242,Surp1!$B$1:$C$161,2,0),0)</f>
        <v>0</v>
      </c>
      <c r="AB242" s="97">
        <f>IFERROR(VLOOKUP(G242,Surp2!$B$1:$C$161,2,0),0)</f>
        <v>0</v>
      </c>
      <c r="AC242" s="97">
        <f>IFERROR(VLOOKUP(I242,Surp3!$B$1:$C$161,2,0),0)</f>
        <v>0</v>
      </c>
      <c r="AD242" s="97">
        <f>IFERROR(VLOOKUP(K242,Surp4!$B$1:$C$161,2,0),0)</f>
        <v>0</v>
      </c>
      <c r="AE242" s="97">
        <f>IFERROR(VLOOKUP(M242,Surp5!$B$1:$C$161,2,0),0)</f>
        <v>0</v>
      </c>
      <c r="AF242" s="97">
        <f>IFERROR(VLOOKUP(O242,Surp6!$B$1:$C$161,2,0),0)</f>
        <v>0</v>
      </c>
      <c r="AG242" s="97">
        <f>IFERROR(VLOOKUP(Q242,Surp7!$B$1:$C$161,2,0),0)</f>
        <v>0</v>
      </c>
      <c r="AH242" s="97">
        <f>IFERROR(VLOOKUP(S242,Surp8!$B$1:$C$161,2,0),0)</f>
        <v>0</v>
      </c>
      <c r="AI242" s="97">
        <f>IFERROR(VLOOKUP(U242,Surp9!$B$1:$C$161,2,0),0)</f>
        <v>0</v>
      </c>
      <c r="AJ242" s="97">
        <f>IFERROR(VLOOKUP(W242,Surp10!$B$1:$C$161,2,0),0)</f>
        <v>0</v>
      </c>
      <c r="AK242" s="97">
        <f>IFERROR(VLOOKUP(Y242,Surp11!$B$1:$C$161,2,0),0)</f>
        <v>0</v>
      </c>
    </row>
    <row r="243" ht="15.75" customHeight="1">
      <c r="A243" s="109">
        <v>242.0</v>
      </c>
      <c r="B243" s="103"/>
      <c r="C243" s="136">
        <f t="shared" si="2"/>
        <v>0</v>
      </c>
      <c r="D243" s="136"/>
      <c r="E243" s="137">
        <f>IFERROR(VLOOKUP($B243,Surp1!$A$1:$B$161,2,0),0)</f>
        <v>0</v>
      </c>
      <c r="F243" s="97">
        <f>IFERROR(VLOOKUP(E243,Surp1!$B$1:$C$161,2,0),0)</f>
        <v>0</v>
      </c>
      <c r="G243" s="137">
        <f>IFERROR(VLOOKUP($B243,Surp2!$A$1:$B$161,2,0),0)</f>
        <v>0</v>
      </c>
      <c r="H243" s="97">
        <f>IFERROR(VLOOKUP(G243,Surp2!$B$1:$C$161,2,0),0)</f>
        <v>0</v>
      </c>
      <c r="I243" s="137">
        <f>IFERROR(VLOOKUP($B243,Surp3!$A$1:$B$161,2,0),0)</f>
        <v>0</v>
      </c>
      <c r="J243" s="97">
        <f>IFERROR(VLOOKUP(I243,Surp3!$B$1:$C$161,2,0),0)</f>
        <v>0</v>
      </c>
      <c r="K243" s="137">
        <f>IFERROR(VLOOKUP($B243,Surp4!$A$1:$B$161,2,0),0)</f>
        <v>0</v>
      </c>
      <c r="L243" s="97">
        <f>IFERROR(VLOOKUP(K243,Surp4!$B$1:$C$161,2,0),0)</f>
        <v>0</v>
      </c>
      <c r="M243" s="137">
        <f>IFERROR(VLOOKUP($B243,Surp5!$A$1:$B$161,2,0),0)</f>
        <v>0</v>
      </c>
      <c r="N243" s="97">
        <f>IFERROR(VLOOKUP(M243,Surp5!$B$1:$C$161,2,0),0)</f>
        <v>0</v>
      </c>
      <c r="O243" s="137">
        <f>IFERROR(VLOOKUP($B243,Surp6!$A$1:$B$161,2,0),0)</f>
        <v>0</v>
      </c>
      <c r="P243" s="97">
        <f>IFERROR(VLOOKUP(O243,Surp6!$B$1:$C$161,2,0),0)</f>
        <v>0</v>
      </c>
      <c r="Q243" s="137">
        <f>IFERROR(VLOOKUP($B243,Surp7!$A$1:$B$161,2,0),0)</f>
        <v>0</v>
      </c>
      <c r="R243" s="97">
        <f>IFERROR(VLOOKUP(Q243,Surp7!$B$1:$C$161,2,0),0)</f>
        <v>0</v>
      </c>
      <c r="S243" s="137">
        <f>IFERROR(VLOOKUP($B243,Surp8!$A$1:$B$161,2,0),0)</f>
        <v>0</v>
      </c>
      <c r="T243" s="97">
        <f>IFERROR(VLOOKUP(S243,Surp8!$B$1:$C$161,2,0),0)</f>
        <v>0</v>
      </c>
      <c r="U243" s="137">
        <f>IFERROR(VLOOKUP($B243,Surp9!$A$1:$B$161,2,0),0)</f>
        <v>0</v>
      </c>
      <c r="V243" s="97">
        <f>IFERROR(VLOOKUP(U243,Surp9!$B$1:$C$161,2,0),0)</f>
        <v>0</v>
      </c>
      <c r="W243" s="137">
        <f>IFERROR(VLOOKUP($B243,Surp10!$A$1:$B$161,2,0),0)</f>
        <v>0</v>
      </c>
      <c r="X243" s="97">
        <f>IFERROR(VLOOKUP(W243,Surp10!$B$1:$C$161,2,0),0)</f>
        <v>0</v>
      </c>
      <c r="Y243" s="137">
        <f>IFERROR(VLOOKUP($B243,Surp11!$A$1:$B$161,2,0),0)</f>
        <v>0</v>
      </c>
      <c r="Z243" s="97">
        <f>IFERROR(VLOOKUP(Y243,Surp11!$B$1:$C$161,2,0),0)</f>
        <v>0</v>
      </c>
      <c r="AA243" s="97">
        <f>IFERROR(VLOOKUP(E243,Surp1!$B$1:$C$161,2,0),0)</f>
        <v>0</v>
      </c>
      <c r="AB243" s="97">
        <f>IFERROR(VLOOKUP(G243,Surp2!$B$1:$C$161,2,0),0)</f>
        <v>0</v>
      </c>
      <c r="AC243" s="97">
        <f>IFERROR(VLOOKUP(I243,Surp3!$B$1:$C$161,2,0),0)</f>
        <v>0</v>
      </c>
      <c r="AD243" s="97">
        <f>IFERROR(VLOOKUP(K243,Surp4!$B$1:$C$161,2,0),0)</f>
        <v>0</v>
      </c>
      <c r="AE243" s="97">
        <f>IFERROR(VLOOKUP(M243,Surp5!$B$1:$C$161,2,0),0)</f>
        <v>0</v>
      </c>
      <c r="AF243" s="97">
        <f>IFERROR(VLOOKUP(O243,Surp6!$B$1:$C$161,2,0),0)</f>
        <v>0</v>
      </c>
      <c r="AG243" s="97">
        <f>IFERROR(VLOOKUP(Q243,Surp7!$B$1:$C$161,2,0),0)</f>
        <v>0</v>
      </c>
      <c r="AH243" s="97">
        <f>IFERROR(VLOOKUP(S243,Surp8!$B$1:$C$161,2,0),0)</f>
        <v>0</v>
      </c>
      <c r="AI243" s="97">
        <f>IFERROR(VLOOKUP(U243,Surp9!$B$1:$C$161,2,0),0)</f>
        <v>0</v>
      </c>
      <c r="AJ243" s="97">
        <f>IFERROR(VLOOKUP(W243,Surp10!$B$1:$C$161,2,0),0)</f>
        <v>0</v>
      </c>
      <c r="AK243" s="97">
        <f>IFERROR(VLOOKUP(Y243,Surp11!$B$1:$C$161,2,0),0)</f>
        <v>0</v>
      </c>
    </row>
    <row r="244" ht="15.75" customHeight="1">
      <c r="A244" s="109">
        <v>243.0</v>
      </c>
      <c r="B244" s="103"/>
      <c r="C244" s="136">
        <f t="shared" si="2"/>
        <v>0</v>
      </c>
      <c r="D244" s="136"/>
      <c r="E244" s="137">
        <f>IFERROR(VLOOKUP($B244,Surp1!$A$1:$B$161,2,0),0)</f>
        <v>0</v>
      </c>
      <c r="F244" s="97">
        <f>IFERROR(VLOOKUP(E244,Surp1!$B$1:$C$161,2,0),0)</f>
        <v>0</v>
      </c>
      <c r="G244" s="137">
        <f>IFERROR(VLOOKUP($B244,Surp2!$A$1:$B$161,2,0),0)</f>
        <v>0</v>
      </c>
      <c r="H244" s="97">
        <f>IFERROR(VLOOKUP(G244,Surp2!$B$1:$C$161,2,0),0)</f>
        <v>0</v>
      </c>
      <c r="I244" s="137">
        <f>IFERROR(VLOOKUP($B244,Surp3!$A$1:$B$161,2,0),0)</f>
        <v>0</v>
      </c>
      <c r="J244" s="97">
        <f>IFERROR(VLOOKUP(I244,Surp3!$B$1:$C$161,2,0),0)</f>
        <v>0</v>
      </c>
      <c r="K244" s="137">
        <f>IFERROR(VLOOKUP($B244,Surp4!$A$1:$B$161,2,0),0)</f>
        <v>0</v>
      </c>
      <c r="L244" s="97">
        <f>IFERROR(VLOOKUP(K244,Surp4!$B$1:$C$161,2,0),0)</f>
        <v>0</v>
      </c>
      <c r="M244" s="137">
        <f>IFERROR(VLOOKUP($B244,Surp5!$A$1:$B$161,2,0),0)</f>
        <v>0</v>
      </c>
      <c r="N244" s="97">
        <f>IFERROR(VLOOKUP(M244,Surp5!$B$1:$C$161,2,0),0)</f>
        <v>0</v>
      </c>
      <c r="O244" s="137">
        <f>IFERROR(VLOOKUP($B244,Surp6!$A$1:$B$161,2,0),0)</f>
        <v>0</v>
      </c>
      <c r="P244" s="97">
        <f>IFERROR(VLOOKUP(O244,Surp6!$B$1:$C$161,2,0),0)</f>
        <v>0</v>
      </c>
      <c r="Q244" s="137">
        <f>IFERROR(VLOOKUP($B244,Surp7!$A$1:$B$161,2,0),0)</f>
        <v>0</v>
      </c>
      <c r="R244" s="97">
        <f>IFERROR(VLOOKUP(Q244,Surp7!$B$1:$C$161,2,0),0)</f>
        <v>0</v>
      </c>
      <c r="S244" s="137">
        <f>IFERROR(VLOOKUP($B244,Surp8!$A$1:$B$161,2,0),0)</f>
        <v>0</v>
      </c>
      <c r="T244" s="97">
        <f>IFERROR(VLOOKUP(S244,Surp8!$B$1:$C$161,2,0),0)</f>
        <v>0</v>
      </c>
      <c r="U244" s="137">
        <f>IFERROR(VLOOKUP($B244,Surp9!$A$1:$B$161,2,0),0)</f>
        <v>0</v>
      </c>
      <c r="V244" s="97">
        <f>IFERROR(VLOOKUP(U244,Surp9!$B$1:$C$161,2,0),0)</f>
        <v>0</v>
      </c>
      <c r="W244" s="137">
        <f>IFERROR(VLOOKUP($B244,Surp10!$A$1:$B$161,2,0),0)</f>
        <v>0</v>
      </c>
      <c r="X244" s="97">
        <f>IFERROR(VLOOKUP(W244,Surp10!$B$1:$C$161,2,0),0)</f>
        <v>0</v>
      </c>
      <c r="Y244" s="137">
        <f>IFERROR(VLOOKUP($B244,Surp11!$A$1:$B$161,2,0),0)</f>
        <v>0</v>
      </c>
      <c r="Z244" s="97">
        <f>IFERROR(VLOOKUP(Y244,Surp11!$B$1:$C$161,2,0),0)</f>
        <v>0</v>
      </c>
      <c r="AA244" s="97">
        <f>IFERROR(VLOOKUP(E244,Surp1!$B$1:$C$161,2,0),0)</f>
        <v>0</v>
      </c>
      <c r="AB244" s="97">
        <f>IFERROR(VLOOKUP(G244,Surp2!$B$1:$C$161,2,0),0)</f>
        <v>0</v>
      </c>
      <c r="AC244" s="97">
        <f>IFERROR(VLOOKUP(I244,Surp3!$B$1:$C$161,2,0),0)</f>
        <v>0</v>
      </c>
      <c r="AD244" s="97">
        <f>IFERROR(VLOOKUP(K244,Surp4!$B$1:$C$161,2,0),0)</f>
        <v>0</v>
      </c>
      <c r="AE244" s="97">
        <f>IFERROR(VLOOKUP(M244,Surp5!$B$1:$C$161,2,0),0)</f>
        <v>0</v>
      </c>
      <c r="AF244" s="97">
        <f>IFERROR(VLOOKUP(O244,Surp6!$B$1:$C$161,2,0),0)</f>
        <v>0</v>
      </c>
      <c r="AG244" s="97">
        <f>IFERROR(VLOOKUP(Q244,Surp7!$B$1:$C$161,2,0),0)</f>
        <v>0</v>
      </c>
      <c r="AH244" s="97">
        <f>IFERROR(VLOOKUP(S244,Surp8!$B$1:$C$161,2,0),0)</f>
        <v>0</v>
      </c>
      <c r="AI244" s="97">
        <f>IFERROR(VLOOKUP(U244,Surp9!$B$1:$C$161,2,0),0)</f>
        <v>0</v>
      </c>
      <c r="AJ244" s="97">
        <f>IFERROR(VLOOKUP(W244,Surp10!$B$1:$C$161,2,0),0)</f>
        <v>0</v>
      </c>
      <c r="AK244" s="97">
        <f>IFERROR(VLOOKUP(Y244,Surp11!$B$1:$C$161,2,0),0)</f>
        <v>0</v>
      </c>
    </row>
    <row r="245" ht="15.75" customHeight="1">
      <c r="A245" s="109">
        <v>244.0</v>
      </c>
      <c r="B245" s="103"/>
      <c r="C245" s="136">
        <f t="shared" si="2"/>
        <v>0</v>
      </c>
      <c r="D245" s="136"/>
      <c r="E245" s="137">
        <f>IFERROR(VLOOKUP($B245,Surp1!$A$1:$B$161,2,0),0)</f>
        <v>0</v>
      </c>
      <c r="F245" s="97">
        <f>IFERROR(VLOOKUP(E245,Surp1!$B$1:$C$161,2,0),0)</f>
        <v>0</v>
      </c>
      <c r="G245" s="137">
        <f>IFERROR(VLOOKUP($B245,Surp2!$A$1:$B$161,2,0),0)</f>
        <v>0</v>
      </c>
      <c r="H245" s="97">
        <f>IFERROR(VLOOKUP(G245,Surp2!$B$1:$C$161,2,0),0)</f>
        <v>0</v>
      </c>
      <c r="I245" s="137">
        <f>IFERROR(VLOOKUP($B245,Surp3!$A$1:$B$161,2,0),0)</f>
        <v>0</v>
      </c>
      <c r="J245" s="97">
        <f>IFERROR(VLOOKUP(I245,Surp3!$B$1:$C$161,2,0),0)</f>
        <v>0</v>
      </c>
      <c r="K245" s="137">
        <f>IFERROR(VLOOKUP($B245,Surp4!$A$1:$B$161,2,0),0)</f>
        <v>0</v>
      </c>
      <c r="L245" s="97">
        <f>IFERROR(VLOOKUP(K245,Surp4!$B$1:$C$161,2,0),0)</f>
        <v>0</v>
      </c>
      <c r="M245" s="137">
        <f>IFERROR(VLOOKUP($B245,Surp5!$A$1:$B$161,2,0),0)</f>
        <v>0</v>
      </c>
      <c r="N245" s="97">
        <f>IFERROR(VLOOKUP(M245,Surp5!$B$1:$C$161,2,0),0)</f>
        <v>0</v>
      </c>
      <c r="O245" s="137">
        <f>IFERROR(VLOOKUP($B245,Surp6!$A$1:$B$161,2,0),0)</f>
        <v>0</v>
      </c>
      <c r="P245" s="97">
        <f>IFERROR(VLOOKUP(O245,Surp6!$B$1:$C$161,2,0),0)</f>
        <v>0</v>
      </c>
      <c r="Q245" s="137">
        <f>IFERROR(VLOOKUP($B245,Surp7!$A$1:$B$161,2,0),0)</f>
        <v>0</v>
      </c>
      <c r="R245" s="97">
        <f>IFERROR(VLOOKUP(Q245,Surp7!$B$1:$C$161,2,0),0)</f>
        <v>0</v>
      </c>
      <c r="S245" s="137">
        <f>IFERROR(VLOOKUP($B245,Surp8!$A$1:$B$161,2,0),0)</f>
        <v>0</v>
      </c>
      <c r="T245" s="97">
        <f>IFERROR(VLOOKUP(S245,Surp8!$B$1:$C$161,2,0),0)</f>
        <v>0</v>
      </c>
      <c r="U245" s="137">
        <f>IFERROR(VLOOKUP($B245,Surp9!$A$1:$B$161,2,0),0)</f>
        <v>0</v>
      </c>
      <c r="V245" s="97">
        <f>IFERROR(VLOOKUP(U245,Surp9!$B$1:$C$161,2,0),0)</f>
        <v>0</v>
      </c>
      <c r="W245" s="137">
        <f>IFERROR(VLOOKUP($B245,Surp10!$A$1:$B$161,2,0),0)</f>
        <v>0</v>
      </c>
      <c r="X245" s="97">
        <f>IFERROR(VLOOKUP(W245,Surp10!$B$1:$C$161,2,0),0)</f>
        <v>0</v>
      </c>
      <c r="Y245" s="137">
        <f>IFERROR(VLOOKUP($B245,Surp11!$A$1:$B$161,2,0),0)</f>
        <v>0</v>
      </c>
      <c r="Z245" s="97">
        <f>IFERROR(VLOOKUP(Y245,Surp11!$B$1:$C$161,2,0),0)</f>
        <v>0</v>
      </c>
      <c r="AA245" s="97">
        <f>IFERROR(VLOOKUP(E245,Surp1!$B$1:$C$161,2,0),0)</f>
        <v>0</v>
      </c>
      <c r="AB245" s="97">
        <f>IFERROR(VLOOKUP(G245,Surp2!$B$1:$C$161,2,0),0)</f>
        <v>0</v>
      </c>
      <c r="AC245" s="97">
        <f>IFERROR(VLOOKUP(I245,Surp3!$B$1:$C$161,2,0),0)</f>
        <v>0</v>
      </c>
      <c r="AD245" s="97">
        <f>IFERROR(VLOOKUP(K245,Surp4!$B$1:$C$161,2,0),0)</f>
        <v>0</v>
      </c>
      <c r="AE245" s="97">
        <f>IFERROR(VLOOKUP(M245,Surp5!$B$1:$C$161,2,0),0)</f>
        <v>0</v>
      </c>
      <c r="AF245" s="97">
        <f>IFERROR(VLOOKUP(O245,Surp6!$B$1:$C$161,2,0),0)</f>
        <v>0</v>
      </c>
      <c r="AG245" s="97">
        <f>IFERROR(VLOOKUP(Q245,Surp7!$B$1:$C$161,2,0),0)</f>
        <v>0</v>
      </c>
      <c r="AH245" s="97">
        <f>IFERROR(VLOOKUP(S245,Surp8!$B$1:$C$161,2,0),0)</f>
        <v>0</v>
      </c>
      <c r="AI245" s="97">
        <f>IFERROR(VLOOKUP(U245,Surp9!$B$1:$C$161,2,0),0)</f>
        <v>0</v>
      </c>
      <c r="AJ245" s="97">
        <f>IFERROR(VLOOKUP(W245,Surp10!$B$1:$C$161,2,0),0)</f>
        <v>0</v>
      </c>
      <c r="AK245" s="97">
        <f>IFERROR(VLOOKUP(Y245,Surp11!$B$1:$C$161,2,0),0)</f>
        <v>0</v>
      </c>
    </row>
    <row r="246" ht="15.75" customHeight="1">
      <c r="A246" s="109">
        <v>245.0</v>
      </c>
      <c r="B246" s="103"/>
      <c r="C246" s="136">
        <f t="shared" si="2"/>
        <v>0</v>
      </c>
      <c r="D246" s="136"/>
      <c r="E246" s="137">
        <f>IFERROR(VLOOKUP($B246,Surp1!$A$1:$B$161,2,0),0)</f>
        <v>0</v>
      </c>
      <c r="F246" s="97">
        <f>IFERROR(VLOOKUP(E246,Surp1!$B$1:$C$161,2,0),0)</f>
        <v>0</v>
      </c>
      <c r="G246" s="137">
        <f>IFERROR(VLOOKUP($B246,Surp2!$A$1:$B$161,2,0),0)</f>
        <v>0</v>
      </c>
      <c r="H246" s="97">
        <f>IFERROR(VLOOKUP(G246,Surp2!$B$1:$C$161,2,0),0)</f>
        <v>0</v>
      </c>
      <c r="I246" s="137">
        <f>IFERROR(VLOOKUP($B246,Surp3!$A$1:$B$161,2,0),0)</f>
        <v>0</v>
      </c>
      <c r="J246" s="97">
        <f>IFERROR(VLOOKUP(I246,Surp3!$B$1:$C$161,2,0),0)</f>
        <v>0</v>
      </c>
      <c r="K246" s="137">
        <f>IFERROR(VLOOKUP($B246,Surp4!$A$1:$B$161,2,0),0)</f>
        <v>0</v>
      </c>
      <c r="L246" s="97">
        <f>IFERROR(VLOOKUP(K246,Surp4!$B$1:$C$161,2,0),0)</f>
        <v>0</v>
      </c>
      <c r="M246" s="137">
        <f>IFERROR(VLOOKUP($B246,Surp5!$A$1:$B$161,2,0),0)</f>
        <v>0</v>
      </c>
      <c r="N246" s="97">
        <f>IFERROR(VLOOKUP(M246,Surp5!$B$1:$C$161,2,0),0)</f>
        <v>0</v>
      </c>
      <c r="O246" s="137">
        <f>IFERROR(VLOOKUP($B246,Surp6!$A$1:$B$161,2,0),0)</f>
        <v>0</v>
      </c>
      <c r="P246" s="97">
        <f>IFERROR(VLOOKUP(O246,Surp6!$B$1:$C$161,2,0),0)</f>
        <v>0</v>
      </c>
      <c r="Q246" s="137">
        <f>IFERROR(VLOOKUP($B246,Surp7!$A$1:$B$161,2,0),0)</f>
        <v>0</v>
      </c>
      <c r="R246" s="97">
        <f>IFERROR(VLOOKUP(Q246,Surp7!$B$1:$C$161,2,0),0)</f>
        <v>0</v>
      </c>
      <c r="S246" s="137">
        <f>IFERROR(VLOOKUP($B246,Surp8!$A$1:$B$161,2,0),0)</f>
        <v>0</v>
      </c>
      <c r="T246" s="97">
        <f>IFERROR(VLOOKUP(S246,Surp8!$B$1:$C$161,2,0),0)</f>
        <v>0</v>
      </c>
      <c r="U246" s="137">
        <f>IFERROR(VLOOKUP($B246,Surp9!$A$1:$B$161,2,0),0)</f>
        <v>0</v>
      </c>
      <c r="V246" s="97">
        <f>IFERROR(VLOOKUP(U246,Surp9!$B$1:$C$161,2,0),0)</f>
        <v>0</v>
      </c>
      <c r="W246" s="137">
        <f>IFERROR(VLOOKUP($B246,Surp10!$A$1:$B$161,2,0),0)</f>
        <v>0</v>
      </c>
      <c r="X246" s="97">
        <f>IFERROR(VLOOKUP(W246,Surp10!$B$1:$C$161,2,0),0)</f>
        <v>0</v>
      </c>
      <c r="Y246" s="137">
        <f>IFERROR(VLOOKUP($B246,Surp11!$A$1:$B$161,2,0),0)</f>
        <v>0</v>
      </c>
      <c r="Z246" s="97">
        <f>IFERROR(VLOOKUP(Y246,Surp11!$B$1:$C$161,2,0),0)</f>
        <v>0</v>
      </c>
      <c r="AA246" s="97">
        <f>IFERROR(VLOOKUP(E246,Surp1!$B$1:$C$161,2,0),0)</f>
        <v>0</v>
      </c>
      <c r="AB246" s="97">
        <f>IFERROR(VLOOKUP(G246,Surp2!$B$1:$C$161,2,0),0)</f>
        <v>0</v>
      </c>
      <c r="AC246" s="97">
        <f>IFERROR(VLOOKUP(I246,Surp3!$B$1:$C$161,2,0),0)</f>
        <v>0</v>
      </c>
      <c r="AD246" s="97">
        <f>IFERROR(VLOOKUP(K246,Surp4!$B$1:$C$161,2,0),0)</f>
        <v>0</v>
      </c>
      <c r="AE246" s="97">
        <f>IFERROR(VLOOKUP(M246,Surp5!$B$1:$C$161,2,0),0)</f>
        <v>0</v>
      </c>
      <c r="AF246" s="97">
        <f>IFERROR(VLOOKUP(O246,Surp6!$B$1:$C$161,2,0),0)</f>
        <v>0</v>
      </c>
      <c r="AG246" s="97">
        <f>IFERROR(VLOOKUP(Q246,Surp7!$B$1:$C$161,2,0),0)</f>
        <v>0</v>
      </c>
      <c r="AH246" s="97">
        <f>IFERROR(VLOOKUP(S246,Surp8!$B$1:$C$161,2,0),0)</f>
        <v>0</v>
      </c>
      <c r="AI246" s="97">
        <f>IFERROR(VLOOKUP(U246,Surp9!$B$1:$C$161,2,0),0)</f>
        <v>0</v>
      </c>
      <c r="AJ246" s="97">
        <f>IFERROR(VLOOKUP(W246,Surp10!$B$1:$C$161,2,0),0)</f>
        <v>0</v>
      </c>
      <c r="AK246" s="97">
        <f>IFERROR(VLOOKUP(Y246,Surp11!$B$1:$C$161,2,0),0)</f>
        <v>0</v>
      </c>
    </row>
    <row r="247" ht="15.75" customHeight="1">
      <c r="A247" s="109">
        <v>246.0</v>
      </c>
      <c r="B247" s="103"/>
      <c r="C247" s="136">
        <f t="shared" si="2"/>
        <v>0</v>
      </c>
      <c r="D247" s="136"/>
      <c r="E247" s="137">
        <f>IFERROR(VLOOKUP($B247,Surp1!$A$1:$B$161,2,0),0)</f>
        <v>0</v>
      </c>
      <c r="F247" s="97">
        <f>IFERROR(VLOOKUP(E247,Surp1!$B$1:$C$161,2,0),0)</f>
        <v>0</v>
      </c>
      <c r="G247" s="137">
        <f>IFERROR(VLOOKUP($B247,Surp2!$A$1:$B$161,2,0),0)</f>
        <v>0</v>
      </c>
      <c r="H247" s="97">
        <f>IFERROR(VLOOKUP(G247,Surp2!$B$1:$C$161,2,0),0)</f>
        <v>0</v>
      </c>
      <c r="I247" s="137">
        <f>IFERROR(VLOOKUP($B247,Surp3!$A$1:$B$161,2,0),0)</f>
        <v>0</v>
      </c>
      <c r="J247" s="97">
        <f>IFERROR(VLOOKUP(I247,Surp3!$B$1:$C$161,2,0),0)</f>
        <v>0</v>
      </c>
      <c r="K247" s="137">
        <f>IFERROR(VLOOKUP($B247,Surp4!$A$1:$B$161,2,0),0)</f>
        <v>0</v>
      </c>
      <c r="L247" s="97">
        <f>IFERROR(VLOOKUP(K247,Surp4!$B$1:$C$161,2,0),0)</f>
        <v>0</v>
      </c>
      <c r="M247" s="137">
        <f>IFERROR(VLOOKUP($B247,Surp5!$A$1:$B$161,2,0),0)</f>
        <v>0</v>
      </c>
      <c r="N247" s="97">
        <f>IFERROR(VLOOKUP(M247,Surp5!$B$1:$C$161,2,0),0)</f>
        <v>0</v>
      </c>
      <c r="O247" s="137">
        <f>IFERROR(VLOOKUP($B247,Surp6!$A$1:$B$161,2,0),0)</f>
        <v>0</v>
      </c>
      <c r="P247" s="97">
        <f>IFERROR(VLOOKUP(O247,Surp6!$B$1:$C$161,2,0),0)</f>
        <v>0</v>
      </c>
      <c r="Q247" s="137">
        <f>IFERROR(VLOOKUP($B247,Surp7!$A$1:$B$161,2,0),0)</f>
        <v>0</v>
      </c>
      <c r="R247" s="97">
        <f>IFERROR(VLOOKUP(Q247,Surp7!$B$1:$C$161,2,0),0)</f>
        <v>0</v>
      </c>
      <c r="S247" s="137">
        <f>IFERROR(VLOOKUP($B247,Surp8!$A$1:$B$161,2,0),0)</f>
        <v>0</v>
      </c>
      <c r="T247" s="97">
        <f>IFERROR(VLOOKUP(S247,Surp8!$B$1:$C$161,2,0),0)</f>
        <v>0</v>
      </c>
      <c r="U247" s="137">
        <f>IFERROR(VLOOKUP($B247,Surp9!$A$1:$B$161,2,0),0)</f>
        <v>0</v>
      </c>
      <c r="V247" s="97">
        <f>IFERROR(VLOOKUP(U247,Surp9!$B$1:$C$161,2,0),0)</f>
        <v>0</v>
      </c>
      <c r="W247" s="137">
        <f>IFERROR(VLOOKUP($B247,Surp10!$A$1:$B$161,2,0),0)</f>
        <v>0</v>
      </c>
      <c r="X247" s="97">
        <f>IFERROR(VLOOKUP(W247,Surp10!$B$1:$C$161,2,0),0)</f>
        <v>0</v>
      </c>
      <c r="Y247" s="137">
        <f>IFERROR(VLOOKUP($B247,Surp11!$A$1:$B$161,2,0),0)</f>
        <v>0</v>
      </c>
      <c r="Z247" s="97">
        <f>IFERROR(VLOOKUP(Y247,Surp11!$B$1:$C$161,2,0),0)</f>
        <v>0</v>
      </c>
      <c r="AA247" s="97">
        <f>IFERROR(VLOOKUP(E247,Surp1!$B$1:$C$161,2,0),0)</f>
        <v>0</v>
      </c>
      <c r="AB247" s="97">
        <f>IFERROR(VLOOKUP(G247,Surp2!$B$1:$C$161,2,0),0)</f>
        <v>0</v>
      </c>
      <c r="AC247" s="97">
        <f>IFERROR(VLOOKUP(I247,Surp3!$B$1:$C$161,2,0),0)</f>
        <v>0</v>
      </c>
      <c r="AD247" s="97">
        <f>IFERROR(VLOOKUP(K247,Surp4!$B$1:$C$161,2,0),0)</f>
        <v>0</v>
      </c>
      <c r="AE247" s="97">
        <f>IFERROR(VLOOKUP(M247,Surp5!$B$1:$C$161,2,0),0)</f>
        <v>0</v>
      </c>
      <c r="AF247" s="97">
        <f>IFERROR(VLOOKUP(O247,Surp6!$B$1:$C$161,2,0),0)</f>
        <v>0</v>
      </c>
      <c r="AG247" s="97">
        <f>IFERROR(VLOOKUP(Q247,Surp7!$B$1:$C$161,2,0),0)</f>
        <v>0</v>
      </c>
      <c r="AH247" s="97">
        <f>IFERROR(VLOOKUP(S247,Surp8!$B$1:$C$161,2,0),0)</f>
        <v>0</v>
      </c>
      <c r="AI247" s="97">
        <f>IFERROR(VLOOKUP(U247,Surp9!$B$1:$C$161,2,0),0)</f>
        <v>0</v>
      </c>
      <c r="AJ247" s="97">
        <f>IFERROR(VLOOKUP(W247,Surp10!$B$1:$C$161,2,0),0)</f>
        <v>0</v>
      </c>
      <c r="AK247" s="97">
        <f>IFERROR(VLOOKUP(Y247,Surp11!$B$1:$C$161,2,0),0)</f>
        <v>0</v>
      </c>
    </row>
    <row r="248" ht="15.75" customHeight="1">
      <c r="A248" s="109">
        <v>247.0</v>
      </c>
      <c r="B248" s="103"/>
      <c r="C248" s="136">
        <f t="shared" si="2"/>
        <v>0</v>
      </c>
      <c r="D248" s="136"/>
      <c r="E248" s="137">
        <f>IFERROR(VLOOKUP($B248,Surp1!$A$1:$B$161,2,0),0)</f>
        <v>0</v>
      </c>
      <c r="F248" s="97">
        <f>IFERROR(VLOOKUP(E248,Surp1!$B$1:$C$161,2,0),0)</f>
        <v>0</v>
      </c>
      <c r="G248" s="137">
        <f>IFERROR(VLOOKUP($B248,Surp2!$A$1:$B$161,2,0),0)</f>
        <v>0</v>
      </c>
      <c r="H248" s="97">
        <f>IFERROR(VLOOKUP(G248,Surp2!$B$1:$C$161,2,0),0)</f>
        <v>0</v>
      </c>
      <c r="I248" s="137">
        <f>IFERROR(VLOOKUP($B248,Surp3!$A$1:$B$161,2,0),0)</f>
        <v>0</v>
      </c>
      <c r="J248" s="97">
        <f>IFERROR(VLOOKUP(I248,Surp3!$B$1:$C$161,2,0),0)</f>
        <v>0</v>
      </c>
      <c r="K248" s="137">
        <f>IFERROR(VLOOKUP($B248,Surp4!$A$1:$B$161,2,0),0)</f>
        <v>0</v>
      </c>
      <c r="L248" s="97">
        <f>IFERROR(VLOOKUP(K248,Surp4!$B$1:$C$161,2,0),0)</f>
        <v>0</v>
      </c>
      <c r="M248" s="137">
        <f>IFERROR(VLOOKUP($B248,Surp5!$A$1:$B$161,2,0),0)</f>
        <v>0</v>
      </c>
      <c r="N248" s="97">
        <f>IFERROR(VLOOKUP(M248,Surp5!$B$1:$C$161,2,0),0)</f>
        <v>0</v>
      </c>
      <c r="O248" s="137">
        <f>IFERROR(VLOOKUP($B248,Surp6!$A$1:$B$161,2,0),0)</f>
        <v>0</v>
      </c>
      <c r="P248" s="97">
        <f>IFERROR(VLOOKUP(O248,Surp6!$B$1:$C$161,2,0),0)</f>
        <v>0</v>
      </c>
      <c r="Q248" s="137">
        <f>IFERROR(VLOOKUP($B248,Surp7!$A$1:$B$161,2,0),0)</f>
        <v>0</v>
      </c>
      <c r="R248" s="97">
        <f>IFERROR(VLOOKUP(Q248,Surp7!$B$1:$C$161,2,0),0)</f>
        <v>0</v>
      </c>
      <c r="S248" s="137">
        <f>IFERROR(VLOOKUP($B248,Surp8!$A$1:$B$161,2,0),0)</f>
        <v>0</v>
      </c>
      <c r="T248" s="97">
        <f>IFERROR(VLOOKUP(S248,Surp8!$B$1:$C$161,2,0),0)</f>
        <v>0</v>
      </c>
      <c r="U248" s="137">
        <f>IFERROR(VLOOKUP($B248,Surp9!$A$1:$B$161,2,0),0)</f>
        <v>0</v>
      </c>
      <c r="V248" s="97">
        <f>IFERROR(VLOOKUP(U248,Surp9!$B$1:$C$161,2,0),0)</f>
        <v>0</v>
      </c>
      <c r="W248" s="137">
        <f>IFERROR(VLOOKUP($B248,Surp10!$A$1:$B$161,2,0),0)</f>
        <v>0</v>
      </c>
      <c r="X248" s="97">
        <f>IFERROR(VLOOKUP(W248,Surp10!$B$1:$C$161,2,0),0)</f>
        <v>0</v>
      </c>
      <c r="Y248" s="137">
        <f>IFERROR(VLOOKUP($B248,Surp11!$A$1:$B$161,2,0),0)</f>
        <v>0</v>
      </c>
      <c r="Z248" s="97">
        <f>IFERROR(VLOOKUP(Y248,Surp11!$B$1:$C$161,2,0),0)</f>
        <v>0</v>
      </c>
      <c r="AA248" s="97">
        <f>IFERROR(VLOOKUP(E248,Surp1!$B$1:$C$161,2,0),0)</f>
        <v>0</v>
      </c>
      <c r="AB248" s="97">
        <f>IFERROR(VLOOKUP(G248,Surp2!$B$1:$C$161,2,0),0)</f>
        <v>0</v>
      </c>
      <c r="AC248" s="97">
        <f>IFERROR(VLOOKUP(I248,Surp3!$B$1:$C$161,2,0),0)</f>
        <v>0</v>
      </c>
      <c r="AD248" s="97">
        <f>IFERROR(VLOOKUP(K248,Surp4!$B$1:$C$161,2,0),0)</f>
        <v>0</v>
      </c>
      <c r="AE248" s="97">
        <f>IFERROR(VLOOKUP(M248,Surp5!$B$1:$C$161,2,0),0)</f>
        <v>0</v>
      </c>
      <c r="AF248" s="97">
        <f>IFERROR(VLOOKUP(O248,Surp6!$B$1:$C$161,2,0),0)</f>
        <v>0</v>
      </c>
      <c r="AG248" s="97">
        <f>IFERROR(VLOOKUP(Q248,Surp7!$B$1:$C$161,2,0),0)</f>
        <v>0</v>
      </c>
      <c r="AH248" s="97">
        <f>IFERROR(VLOOKUP(S248,Surp8!$B$1:$C$161,2,0),0)</f>
        <v>0</v>
      </c>
      <c r="AI248" s="97">
        <f>IFERROR(VLOOKUP(U248,Surp9!$B$1:$C$161,2,0),0)</f>
        <v>0</v>
      </c>
      <c r="AJ248" s="97">
        <f>IFERROR(VLOOKUP(W248,Surp10!$B$1:$C$161,2,0),0)</f>
        <v>0</v>
      </c>
      <c r="AK248" s="97">
        <f>IFERROR(VLOOKUP(Y248,Surp11!$B$1:$C$161,2,0),0)</f>
        <v>0</v>
      </c>
    </row>
    <row r="249" ht="15.75" customHeight="1">
      <c r="A249" s="109">
        <v>248.0</v>
      </c>
      <c r="B249" s="103"/>
      <c r="C249" s="136">
        <f t="shared" si="2"/>
        <v>0</v>
      </c>
      <c r="D249" s="136"/>
      <c r="E249" s="137">
        <f>IFERROR(VLOOKUP($B249,Surp1!$A$1:$B$161,2,0),0)</f>
        <v>0</v>
      </c>
      <c r="F249" s="97">
        <f>IFERROR(VLOOKUP(E249,Surp1!$B$1:$C$161,2,0),0)</f>
        <v>0</v>
      </c>
      <c r="G249" s="137">
        <f>IFERROR(VLOOKUP($B249,Surp2!$A$1:$B$161,2,0),0)</f>
        <v>0</v>
      </c>
      <c r="H249" s="97">
        <f>IFERROR(VLOOKUP(G249,Surp2!$B$1:$C$161,2,0),0)</f>
        <v>0</v>
      </c>
      <c r="I249" s="137">
        <f>IFERROR(VLOOKUP($B249,Surp3!$A$1:$B$161,2,0),0)</f>
        <v>0</v>
      </c>
      <c r="J249" s="97">
        <f>IFERROR(VLOOKUP(I249,Surp3!$B$1:$C$161,2,0),0)</f>
        <v>0</v>
      </c>
      <c r="K249" s="137">
        <f>IFERROR(VLOOKUP($B249,Surp4!$A$1:$B$161,2,0),0)</f>
        <v>0</v>
      </c>
      <c r="L249" s="97">
        <f>IFERROR(VLOOKUP(K249,Surp4!$B$1:$C$161,2,0),0)</f>
        <v>0</v>
      </c>
      <c r="M249" s="137">
        <f>IFERROR(VLOOKUP($B249,Surp5!$A$1:$B$161,2,0),0)</f>
        <v>0</v>
      </c>
      <c r="N249" s="97">
        <f>IFERROR(VLOOKUP(M249,Surp5!$B$1:$C$161,2,0),0)</f>
        <v>0</v>
      </c>
      <c r="O249" s="137">
        <f>IFERROR(VLOOKUP($B249,Surp6!$A$1:$B$161,2,0),0)</f>
        <v>0</v>
      </c>
      <c r="P249" s="97">
        <f>IFERROR(VLOOKUP(O249,Surp6!$B$1:$C$161,2,0),0)</f>
        <v>0</v>
      </c>
      <c r="Q249" s="137">
        <f>IFERROR(VLOOKUP($B249,Surp7!$A$1:$B$161,2,0),0)</f>
        <v>0</v>
      </c>
      <c r="R249" s="97">
        <f>IFERROR(VLOOKUP(Q249,Surp7!$B$1:$C$161,2,0),0)</f>
        <v>0</v>
      </c>
      <c r="S249" s="137">
        <f>IFERROR(VLOOKUP($B249,Surp8!$A$1:$B$161,2,0),0)</f>
        <v>0</v>
      </c>
      <c r="T249" s="97">
        <f>IFERROR(VLOOKUP(S249,Surp8!$B$1:$C$161,2,0),0)</f>
        <v>0</v>
      </c>
      <c r="U249" s="137">
        <f>IFERROR(VLOOKUP($B249,Surp9!$A$1:$B$161,2,0),0)</f>
        <v>0</v>
      </c>
      <c r="V249" s="97">
        <f>IFERROR(VLOOKUP(U249,Surp9!$B$1:$C$161,2,0),0)</f>
        <v>0</v>
      </c>
      <c r="W249" s="137">
        <f>IFERROR(VLOOKUP($B249,Surp10!$A$1:$B$161,2,0),0)</f>
        <v>0</v>
      </c>
      <c r="X249" s="97">
        <f>IFERROR(VLOOKUP(W249,Surp10!$B$1:$C$161,2,0),0)</f>
        <v>0</v>
      </c>
      <c r="Y249" s="137">
        <f>IFERROR(VLOOKUP($B249,Surp11!$A$1:$B$161,2,0),0)</f>
        <v>0</v>
      </c>
      <c r="Z249" s="97">
        <f>IFERROR(VLOOKUP(Y249,Surp11!$B$1:$C$161,2,0),0)</f>
        <v>0</v>
      </c>
      <c r="AA249" s="97">
        <f>IFERROR(VLOOKUP(E249,Surp1!$B$1:$C$161,2,0),0)</f>
        <v>0</v>
      </c>
      <c r="AB249" s="97">
        <f>IFERROR(VLOOKUP(G249,Surp2!$B$1:$C$161,2,0),0)</f>
        <v>0</v>
      </c>
      <c r="AC249" s="97">
        <f>IFERROR(VLOOKUP(I249,Surp3!$B$1:$C$161,2,0),0)</f>
        <v>0</v>
      </c>
      <c r="AD249" s="97">
        <f>IFERROR(VLOOKUP(K249,Surp4!$B$1:$C$161,2,0),0)</f>
        <v>0</v>
      </c>
      <c r="AE249" s="97">
        <f>IFERROR(VLOOKUP(M249,Surp5!$B$1:$C$161,2,0),0)</f>
        <v>0</v>
      </c>
      <c r="AF249" s="97">
        <f>IFERROR(VLOOKUP(O249,Surp6!$B$1:$C$161,2,0),0)</f>
        <v>0</v>
      </c>
      <c r="AG249" s="97">
        <f>IFERROR(VLOOKUP(Q249,Surp7!$B$1:$C$161,2,0),0)</f>
        <v>0</v>
      </c>
      <c r="AH249" s="97">
        <f>IFERROR(VLOOKUP(S249,Surp8!$B$1:$C$161,2,0),0)</f>
        <v>0</v>
      </c>
      <c r="AI249" s="97">
        <f>IFERROR(VLOOKUP(U249,Surp9!$B$1:$C$161,2,0),0)</f>
        <v>0</v>
      </c>
      <c r="AJ249" s="97">
        <f>IFERROR(VLOOKUP(W249,Surp10!$B$1:$C$161,2,0),0)</f>
        <v>0</v>
      </c>
      <c r="AK249" s="97">
        <f>IFERROR(VLOOKUP(Y249,Surp11!$B$1:$C$161,2,0),0)</f>
        <v>0</v>
      </c>
    </row>
    <row r="250" ht="15.75" customHeight="1">
      <c r="A250" s="109">
        <v>249.0</v>
      </c>
      <c r="B250" s="103"/>
      <c r="C250" s="136">
        <f t="shared" si="2"/>
        <v>0</v>
      </c>
      <c r="D250" s="136"/>
      <c r="E250" s="137">
        <f>IFERROR(VLOOKUP($B250,Surp1!$A$1:$B$161,2,0),0)</f>
        <v>0</v>
      </c>
      <c r="F250" s="97">
        <f>IFERROR(VLOOKUP(E250,Surp1!$B$1:$C$161,2,0),0)</f>
        <v>0</v>
      </c>
      <c r="G250" s="137">
        <f>IFERROR(VLOOKUP($B250,Surp2!$A$1:$B$161,2,0),0)</f>
        <v>0</v>
      </c>
      <c r="H250" s="97">
        <f>IFERROR(VLOOKUP(G250,Surp2!$B$1:$C$161,2,0),0)</f>
        <v>0</v>
      </c>
      <c r="I250" s="137">
        <f>IFERROR(VLOOKUP($B250,Surp3!$A$1:$B$161,2,0),0)</f>
        <v>0</v>
      </c>
      <c r="J250" s="97">
        <f>IFERROR(VLOOKUP(I250,Surp3!$B$1:$C$161,2,0),0)</f>
        <v>0</v>
      </c>
      <c r="K250" s="137">
        <f>IFERROR(VLOOKUP($B250,Surp4!$A$1:$B$161,2,0),0)</f>
        <v>0</v>
      </c>
      <c r="L250" s="97">
        <f>IFERROR(VLOOKUP(K250,Surp4!$B$1:$C$161,2,0),0)</f>
        <v>0</v>
      </c>
      <c r="M250" s="137">
        <f>IFERROR(VLOOKUP($B250,Surp5!$A$1:$B$161,2,0),0)</f>
        <v>0</v>
      </c>
      <c r="N250" s="97">
        <f>IFERROR(VLOOKUP(M250,Surp5!$B$1:$C$161,2,0),0)</f>
        <v>0</v>
      </c>
      <c r="O250" s="137">
        <f>IFERROR(VLOOKUP($B250,Surp6!$A$1:$B$161,2,0),0)</f>
        <v>0</v>
      </c>
      <c r="P250" s="97">
        <f>IFERROR(VLOOKUP(O250,Surp6!$B$1:$C$161,2,0),0)</f>
        <v>0</v>
      </c>
      <c r="Q250" s="137">
        <f>IFERROR(VLOOKUP($B250,Surp7!$A$1:$B$161,2,0),0)</f>
        <v>0</v>
      </c>
      <c r="R250" s="97">
        <f>IFERROR(VLOOKUP(Q250,Surp7!$B$1:$C$161,2,0),0)</f>
        <v>0</v>
      </c>
      <c r="S250" s="137">
        <f>IFERROR(VLOOKUP($B250,Surp8!$A$1:$B$161,2,0),0)</f>
        <v>0</v>
      </c>
      <c r="T250" s="97">
        <f>IFERROR(VLOOKUP(S250,Surp8!$B$1:$C$161,2,0),0)</f>
        <v>0</v>
      </c>
      <c r="U250" s="137">
        <f>IFERROR(VLOOKUP($B250,Surp9!$A$1:$B$161,2,0),0)</f>
        <v>0</v>
      </c>
      <c r="V250" s="97">
        <f>IFERROR(VLOOKUP(U250,Surp9!$B$1:$C$161,2,0),0)</f>
        <v>0</v>
      </c>
      <c r="W250" s="137">
        <f>IFERROR(VLOOKUP($B250,Surp10!$A$1:$B$161,2,0),0)</f>
        <v>0</v>
      </c>
      <c r="X250" s="97">
        <f>IFERROR(VLOOKUP(W250,Surp10!$B$1:$C$161,2,0),0)</f>
        <v>0</v>
      </c>
      <c r="Y250" s="137">
        <f>IFERROR(VLOOKUP($B250,Surp11!$A$1:$B$161,2,0),0)</f>
        <v>0</v>
      </c>
      <c r="Z250" s="97">
        <f>IFERROR(VLOOKUP(Y250,Surp11!$B$1:$C$161,2,0),0)</f>
        <v>0</v>
      </c>
      <c r="AA250" s="97">
        <f>IFERROR(VLOOKUP(E250,Surp1!$B$1:$C$161,2,0),0)</f>
        <v>0</v>
      </c>
      <c r="AB250" s="97">
        <f>IFERROR(VLOOKUP(G250,Surp2!$B$1:$C$161,2,0),0)</f>
        <v>0</v>
      </c>
      <c r="AC250" s="97">
        <f>IFERROR(VLOOKUP(I250,Surp3!$B$1:$C$161,2,0),0)</f>
        <v>0</v>
      </c>
      <c r="AD250" s="97">
        <f>IFERROR(VLOOKUP(K250,Surp4!$B$1:$C$161,2,0),0)</f>
        <v>0</v>
      </c>
      <c r="AE250" s="97">
        <f>IFERROR(VLOOKUP(M250,Surp5!$B$1:$C$161,2,0),0)</f>
        <v>0</v>
      </c>
      <c r="AF250" s="97">
        <f>IFERROR(VLOOKUP(O250,Surp6!$B$1:$C$161,2,0),0)</f>
        <v>0</v>
      </c>
      <c r="AG250" s="97">
        <f>IFERROR(VLOOKUP(Q250,Surp7!$B$1:$C$161,2,0),0)</f>
        <v>0</v>
      </c>
      <c r="AH250" s="97">
        <f>IFERROR(VLOOKUP(S250,Surp8!$B$1:$C$161,2,0),0)</f>
        <v>0</v>
      </c>
      <c r="AI250" s="97">
        <f>IFERROR(VLOOKUP(U250,Surp9!$B$1:$C$161,2,0),0)</f>
        <v>0</v>
      </c>
      <c r="AJ250" s="97">
        <f>IFERROR(VLOOKUP(W250,Surp10!$B$1:$C$161,2,0),0)</f>
        <v>0</v>
      </c>
      <c r="AK250" s="97">
        <f>IFERROR(VLOOKUP(Y250,Surp11!$B$1:$C$161,2,0),0)</f>
        <v>0</v>
      </c>
    </row>
    <row r="251" ht="15.75" customHeight="1">
      <c r="A251" s="171">
        <v>250.0</v>
      </c>
      <c r="B251" s="181"/>
      <c r="C251" s="136">
        <f t="shared" si="2"/>
        <v>0</v>
      </c>
      <c r="D251" s="93"/>
      <c r="E251" s="94">
        <f>IFERROR(VLOOKUP($B251,Surp1!$A$1:$B$161,2,0),0)</f>
        <v>0</v>
      </c>
      <c r="F251" s="95">
        <f>IFERROR(VLOOKUP(E251,Surp1!$B$1:$C$161,2,0),0)</f>
        <v>0</v>
      </c>
      <c r="G251" s="94">
        <f>IFERROR(VLOOKUP($B251,Surp2!$A$1:$B$161,2,0),0)</f>
        <v>0</v>
      </c>
      <c r="H251" s="95">
        <f>IFERROR(VLOOKUP(G251,Surp2!$B$1:$C$161,2,0),0)</f>
        <v>0</v>
      </c>
      <c r="I251" s="94">
        <f>IFERROR(VLOOKUP($B251,Surp3!$A$1:$B$161,2,0),0)</f>
        <v>0</v>
      </c>
      <c r="J251" s="95">
        <f>IFERROR(VLOOKUP(I251,Surp3!$B$1:$C$161,2,0),0)</f>
        <v>0</v>
      </c>
      <c r="K251" s="94">
        <f>IFERROR(VLOOKUP($B251,Surp4!$A$1:$B$161,2,0),0)</f>
        <v>0</v>
      </c>
      <c r="L251" s="95">
        <f>IFERROR(VLOOKUP(K251,Surp4!$B$1:$C$161,2,0),0)</f>
        <v>0</v>
      </c>
      <c r="M251" s="94">
        <f>IFERROR(VLOOKUP($B251,Surp5!$A$1:$B$161,2,0),0)</f>
        <v>0</v>
      </c>
      <c r="N251" s="95">
        <f>IFERROR(VLOOKUP(M251,Surp5!$B$1:$C$161,2,0),0)</f>
        <v>0</v>
      </c>
      <c r="O251" s="94">
        <f>IFERROR(VLOOKUP($B251,Surp6!$A$1:$B$161,2,0),0)</f>
        <v>0</v>
      </c>
      <c r="P251" s="95">
        <f>IFERROR(VLOOKUP(O251,Surp6!$B$1:$C$161,2,0),0)</f>
        <v>0</v>
      </c>
      <c r="Q251" s="94">
        <f>IFERROR(VLOOKUP($B251,Surp7!$A$1:$B$161,2,0),0)</f>
        <v>0</v>
      </c>
      <c r="R251" s="95">
        <f>IFERROR(VLOOKUP(Q251,Surp7!$B$1:$C$161,2,0),0)</f>
        <v>0</v>
      </c>
      <c r="S251" s="94">
        <f>IFERROR(VLOOKUP($B251,Surp8!$A$1:$B$161,2,0),0)</f>
        <v>0</v>
      </c>
      <c r="T251" s="95">
        <f>IFERROR(VLOOKUP(S251,Surp8!$B$1:$C$161,2,0),0)</f>
        <v>0</v>
      </c>
      <c r="U251" s="137">
        <f>IFERROR(VLOOKUP($B251,Surp9!$A$1:$B$161,2,0),0)</f>
        <v>0</v>
      </c>
      <c r="V251" s="97">
        <f>IFERROR(VLOOKUP(U251,Surp9!$B$1:$C$161,2,0),0)</f>
        <v>0</v>
      </c>
      <c r="W251" s="137">
        <f>IFERROR(VLOOKUP($B251,Surp10!$A$1:$B$161,2,0),0)</f>
        <v>0</v>
      </c>
      <c r="X251" s="97">
        <f>IFERROR(VLOOKUP(W251,Surp10!$B$1:$C$161,2,0),0)</f>
        <v>0</v>
      </c>
      <c r="Y251" s="137">
        <f>IFERROR(VLOOKUP($B251,Surp11!$A$1:$B$161,2,0),0)</f>
        <v>0</v>
      </c>
      <c r="Z251" s="97">
        <f>IFERROR(VLOOKUP(Y251,Surp11!$B$1:$C$161,2,0),0)</f>
        <v>0</v>
      </c>
      <c r="AA251" s="97">
        <f>IFERROR(VLOOKUP(E251,Surp1!$B$1:$C$161,2,0),0)</f>
        <v>0</v>
      </c>
      <c r="AB251" s="97">
        <f>IFERROR(VLOOKUP(G251,Surp2!$B$1:$C$161,2,0),0)</f>
        <v>0</v>
      </c>
      <c r="AC251" s="97">
        <f>IFERROR(VLOOKUP(I251,Surp3!$B$1:$C$161,2,0),0)</f>
        <v>0</v>
      </c>
      <c r="AD251" s="97">
        <f>IFERROR(VLOOKUP(K251,Surp4!$B$1:$C$161,2,0),0)</f>
        <v>0</v>
      </c>
      <c r="AE251" s="97">
        <f>IFERROR(VLOOKUP(M251,Surp5!$B$1:$C$161,2,0),0)</f>
        <v>0</v>
      </c>
      <c r="AF251" s="97">
        <f>IFERROR(VLOOKUP(O251,Surp6!$B$1:$C$161,2,0),0)</f>
        <v>0</v>
      </c>
      <c r="AG251" s="97">
        <f>IFERROR(VLOOKUP(Q251,Surp7!$B$1:$C$161,2,0),0)</f>
        <v>0</v>
      </c>
      <c r="AH251" s="97">
        <f>IFERROR(VLOOKUP(S251,Surp8!$B$1:$C$161,2,0),0)</f>
        <v>0</v>
      </c>
      <c r="AI251" s="97">
        <f>IFERROR(VLOOKUP(U251,Surp9!$B$1:$C$161,2,0),0)</f>
        <v>0</v>
      </c>
      <c r="AJ251" s="97">
        <f>IFERROR(VLOOKUP(W251,Surp10!$B$1:$C$161,2,0),0)</f>
        <v>0</v>
      </c>
      <c r="AK251" s="97">
        <f>IFERROR(VLOOKUP(Y251,Surp11!$B$1:$C$161,2,0),0)</f>
        <v>0</v>
      </c>
    </row>
    <row r="252" ht="15.75" customHeight="1">
      <c r="A252" s="144"/>
      <c r="B252" s="182"/>
      <c r="C252" s="145"/>
      <c r="D252" s="145"/>
      <c r="E252" s="145"/>
      <c r="F252" s="146"/>
      <c r="G252" s="145"/>
      <c r="H252" s="146"/>
      <c r="I252" s="145"/>
      <c r="J252" s="146"/>
      <c r="K252" s="147"/>
      <c r="L252" s="147"/>
      <c r="M252" s="147"/>
      <c r="N252" s="147"/>
      <c r="O252" s="147"/>
      <c r="P252" s="147"/>
      <c r="Q252" s="147"/>
      <c r="R252" s="147"/>
      <c r="S252" s="147"/>
      <c r="T252" s="147"/>
      <c r="U252" s="147"/>
      <c r="V252" s="147"/>
      <c r="W252" s="147"/>
      <c r="X252" s="147"/>
      <c r="Y252" s="147"/>
      <c r="Z252" s="147"/>
      <c r="AA252" s="147"/>
      <c r="AB252" s="147"/>
      <c r="AC252" s="147"/>
      <c r="AD252" s="147"/>
      <c r="AE252" s="147"/>
      <c r="AF252" s="147"/>
      <c r="AG252" s="147"/>
      <c r="AH252" s="147"/>
      <c r="AI252" s="147"/>
      <c r="AJ252" s="147"/>
      <c r="AK252" s="147"/>
    </row>
    <row r="253" ht="15.75" customHeight="1">
      <c r="A253" s="144"/>
      <c r="B253" s="182"/>
      <c r="C253" s="145"/>
      <c r="D253" s="145"/>
      <c r="E253" s="145"/>
      <c r="F253" s="146"/>
      <c r="G253" s="145"/>
      <c r="H253" s="146"/>
      <c r="I253" s="145"/>
      <c r="J253" s="146"/>
      <c r="K253" s="147"/>
      <c r="L253" s="147"/>
      <c r="M253" s="147"/>
      <c r="N253" s="147"/>
      <c r="O253" s="147"/>
      <c r="P253" s="147"/>
      <c r="Q253" s="147"/>
      <c r="R253" s="147"/>
      <c r="S253" s="147"/>
      <c r="T253" s="147"/>
      <c r="U253" s="147"/>
      <c r="V253" s="147"/>
      <c r="W253" s="147"/>
      <c r="X253" s="147"/>
      <c r="Y253" s="147"/>
      <c r="Z253" s="147"/>
      <c r="AA253" s="147"/>
      <c r="AB253" s="147"/>
      <c r="AC253" s="147"/>
      <c r="AD253" s="147"/>
      <c r="AE253" s="147"/>
      <c r="AF253" s="147"/>
      <c r="AG253" s="147"/>
      <c r="AH253" s="147"/>
      <c r="AI253" s="147"/>
      <c r="AJ253" s="147"/>
      <c r="AK253" s="147"/>
    </row>
    <row r="254" ht="15.75" customHeight="1">
      <c r="A254" s="144"/>
      <c r="B254" s="182"/>
      <c r="C254" s="145"/>
      <c r="D254" s="145"/>
      <c r="E254" s="145"/>
      <c r="F254" s="146"/>
      <c r="G254" s="145"/>
      <c r="H254" s="146"/>
      <c r="I254" s="145"/>
      <c r="J254" s="146"/>
      <c r="K254" s="147"/>
      <c r="L254" s="147"/>
      <c r="M254" s="147"/>
      <c r="N254" s="147"/>
      <c r="O254" s="147"/>
      <c r="P254" s="147"/>
      <c r="Q254" s="147"/>
      <c r="R254" s="147"/>
      <c r="S254" s="147"/>
      <c r="T254" s="147"/>
      <c r="U254" s="147"/>
      <c r="V254" s="147"/>
      <c r="W254" s="147"/>
      <c r="X254" s="147"/>
      <c r="Y254" s="147"/>
      <c r="Z254" s="147"/>
      <c r="AA254" s="147"/>
      <c r="AB254" s="147"/>
      <c r="AC254" s="147"/>
      <c r="AD254" s="147"/>
      <c r="AE254" s="147"/>
      <c r="AF254" s="147"/>
      <c r="AG254" s="147"/>
      <c r="AH254" s="147"/>
      <c r="AI254" s="147"/>
      <c r="AJ254" s="147"/>
      <c r="AK254" s="147"/>
    </row>
    <row r="255" ht="15.75" customHeight="1">
      <c r="A255" s="144"/>
      <c r="B255" s="182"/>
      <c r="C255" s="145"/>
      <c r="D255" s="145"/>
      <c r="E255" s="145"/>
      <c r="F255" s="146"/>
      <c r="G255" s="145"/>
      <c r="H255" s="146"/>
      <c r="I255" s="145"/>
      <c r="J255" s="146"/>
      <c r="K255" s="147"/>
      <c r="L255" s="147"/>
      <c r="M255" s="147"/>
      <c r="N255" s="147"/>
      <c r="O255" s="147"/>
      <c r="P255" s="147"/>
      <c r="Q255" s="147"/>
      <c r="R255" s="147"/>
      <c r="S255" s="147"/>
      <c r="T255" s="147"/>
      <c r="U255" s="147"/>
      <c r="V255" s="147"/>
      <c r="W255" s="147"/>
      <c r="X255" s="147"/>
      <c r="Y255" s="147"/>
      <c r="Z255" s="147"/>
      <c r="AA255" s="147"/>
      <c r="AB255" s="147"/>
      <c r="AC255" s="147"/>
      <c r="AD255" s="147"/>
      <c r="AE255" s="147"/>
      <c r="AF255" s="147"/>
      <c r="AG255" s="147"/>
      <c r="AH255" s="147"/>
      <c r="AI255" s="147"/>
      <c r="AJ255" s="147"/>
      <c r="AK255" s="147"/>
    </row>
    <row r="256" ht="15.75" customHeight="1">
      <c r="A256" s="144"/>
      <c r="B256" s="182"/>
      <c r="C256" s="145"/>
      <c r="D256" s="145"/>
      <c r="E256" s="145"/>
      <c r="F256" s="146"/>
      <c r="G256" s="145"/>
      <c r="H256" s="146"/>
      <c r="I256" s="145"/>
      <c r="J256" s="146"/>
      <c r="K256" s="147"/>
      <c r="L256" s="147"/>
      <c r="M256" s="147"/>
      <c r="N256" s="147"/>
      <c r="O256" s="147"/>
      <c r="P256" s="147"/>
      <c r="Q256" s="147"/>
      <c r="R256" s="147"/>
      <c r="S256" s="147"/>
      <c r="T256" s="147"/>
      <c r="U256" s="147"/>
      <c r="V256" s="147"/>
      <c r="W256" s="147"/>
      <c r="X256" s="147"/>
      <c r="Y256" s="147"/>
      <c r="Z256" s="147"/>
      <c r="AA256" s="147"/>
      <c r="AB256" s="147"/>
      <c r="AC256" s="147"/>
      <c r="AD256" s="147"/>
      <c r="AE256" s="147"/>
      <c r="AF256" s="147"/>
      <c r="AG256" s="147"/>
      <c r="AH256" s="147"/>
      <c r="AI256" s="147"/>
      <c r="AJ256" s="147"/>
      <c r="AK256" s="147"/>
    </row>
    <row r="257" ht="15.75" customHeight="1">
      <c r="A257" s="144"/>
      <c r="B257" s="182"/>
      <c r="C257" s="145"/>
      <c r="D257" s="145"/>
      <c r="E257" s="145"/>
      <c r="F257" s="146"/>
      <c r="G257" s="145"/>
      <c r="H257" s="146"/>
      <c r="I257" s="145"/>
      <c r="J257" s="146"/>
      <c r="K257" s="147"/>
      <c r="L257" s="147"/>
      <c r="M257" s="147"/>
      <c r="N257" s="147"/>
      <c r="O257" s="147"/>
      <c r="P257" s="147"/>
      <c r="Q257" s="147"/>
      <c r="R257" s="147"/>
      <c r="S257" s="147"/>
      <c r="T257" s="147"/>
      <c r="U257" s="147"/>
      <c r="V257" s="147"/>
      <c r="W257" s="147"/>
      <c r="X257" s="147"/>
      <c r="Y257" s="147"/>
      <c r="Z257" s="147"/>
      <c r="AA257" s="147"/>
      <c r="AB257" s="147"/>
      <c r="AC257" s="147"/>
      <c r="AD257" s="147"/>
      <c r="AE257" s="147"/>
      <c r="AF257" s="147"/>
      <c r="AG257" s="147"/>
      <c r="AH257" s="147"/>
      <c r="AI257" s="147"/>
      <c r="AJ257" s="147"/>
      <c r="AK257" s="147"/>
    </row>
    <row r="258" ht="15.75" customHeight="1">
      <c r="A258" s="144"/>
      <c r="B258" s="182"/>
      <c r="C258" s="145"/>
      <c r="D258" s="145"/>
      <c r="E258" s="145"/>
      <c r="F258" s="146"/>
      <c r="G258" s="145"/>
      <c r="H258" s="146"/>
      <c r="I258" s="145"/>
      <c r="J258" s="146"/>
      <c r="K258" s="147"/>
      <c r="L258" s="147"/>
      <c r="M258" s="147"/>
      <c r="N258" s="147"/>
      <c r="O258" s="147"/>
      <c r="P258" s="147"/>
      <c r="Q258" s="147"/>
      <c r="R258" s="147"/>
      <c r="S258" s="147"/>
      <c r="T258" s="147"/>
      <c r="U258" s="147"/>
      <c r="V258" s="147"/>
      <c r="W258" s="147"/>
      <c r="X258" s="147"/>
      <c r="Y258" s="147"/>
      <c r="Z258" s="147"/>
      <c r="AA258" s="147"/>
      <c r="AB258" s="147"/>
      <c r="AC258" s="147"/>
      <c r="AD258" s="147"/>
      <c r="AE258" s="147"/>
      <c r="AF258" s="147"/>
      <c r="AG258" s="147"/>
      <c r="AH258" s="147"/>
      <c r="AI258" s="147"/>
      <c r="AJ258" s="147"/>
      <c r="AK258" s="147"/>
    </row>
    <row r="259" ht="15.75" customHeight="1">
      <c r="A259" s="144"/>
      <c r="B259" s="182"/>
      <c r="C259" s="145"/>
      <c r="D259" s="145"/>
      <c r="E259" s="145"/>
      <c r="F259" s="146"/>
      <c r="G259" s="145"/>
      <c r="H259" s="146"/>
      <c r="I259" s="145"/>
      <c r="J259" s="146"/>
      <c r="K259" s="147"/>
      <c r="L259" s="147"/>
      <c r="M259" s="147"/>
      <c r="N259" s="147"/>
      <c r="O259" s="147"/>
      <c r="P259" s="147"/>
      <c r="Q259" s="147"/>
      <c r="R259" s="147"/>
      <c r="S259" s="147"/>
      <c r="T259" s="147"/>
      <c r="U259" s="147"/>
      <c r="V259" s="147"/>
      <c r="W259" s="147"/>
      <c r="X259" s="147"/>
      <c r="Y259" s="147"/>
      <c r="Z259" s="147"/>
      <c r="AA259" s="147"/>
      <c r="AB259" s="147"/>
      <c r="AC259" s="147"/>
      <c r="AD259" s="147"/>
      <c r="AE259" s="147"/>
      <c r="AF259" s="147"/>
      <c r="AG259" s="147"/>
      <c r="AH259" s="147"/>
      <c r="AI259" s="147"/>
      <c r="AJ259" s="147"/>
      <c r="AK259" s="147"/>
    </row>
    <row r="260" ht="15.75" customHeight="1">
      <c r="A260" s="144"/>
      <c r="B260" s="182"/>
      <c r="C260" s="145"/>
      <c r="D260" s="145"/>
      <c r="E260" s="145"/>
      <c r="F260" s="146"/>
      <c r="G260" s="145"/>
      <c r="H260" s="146"/>
      <c r="I260" s="145"/>
      <c r="J260" s="146"/>
      <c r="K260" s="147"/>
      <c r="L260" s="147"/>
      <c r="M260" s="147"/>
      <c r="N260" s="147"/>
      <c r="O260" s="147"/>
      <c r="P260" s="147"/>
      <c r="Q260" s="147"/>
      <c r="R260" s="147"/>
      <c r="S260" s="147"/>
      <c r="T260" s="147"/>
      <c r="U260" s="147"/>
      <c r="V260" s="147"/>
      <c r="W260" s="147"/>
      <c r="X260" s="147"/>
      <c r="Y260" s="147"/>
      <c r="Z260" s="147"/>
      <c r="AA260" s="147"/>
      <c r="AB260" s="147"/>
      <c r="AC260" s="147"/>
      <c r="AD260" s="147"/>
      <c r="AE260" s="147"/>
      <c r="AF260" s="147"/>
      <c r="AG260" s="147"/>
      <c r="AH260" s="147"/>
      <c r="AI260" s="147"/>
      <c r="AJ260" s="147"/>
      <c r="AK260" s="147"/>
    </row>
    <row r="261" ht="15.75" customHeight="1">
      <c r="A261" s="144"/>
      <c r="B261" s="182"/>
      <c r="C261" s="145"/>
      <c r="D261" s="145"/>
      <c r="E261" s="145"/>
      <c r="F261" s="146"/>
      <c r="G261" s="145"/>
      <c r="H261" s="146"/>
      <c r="I261" s="145"/>
      <c r="J261" s="146"/>
      <c r="K261" s="147"/>
      <c r="L261" s="147"/>
      <c r="M261" s="147"/>
      <c r="N261" s="147"/>
      <c r="O261" s="147"/>
      <c r="P261" s="147"/>
      <c r="Q261" s="147"/>
      <c r="R261" s="147"/>
      <c r="S261" s="147"/>
      <c r="T261" s="147"/>
      <c r="U261" s="147"/>
      <c r="V261" s="147"/>
      <c r="W261" s="147"/>
      <c r="X261" s="147"/>
      <c r="Y261" s="147"/>
      <c r="Z261" s="147"/>
      <c r="AA261" s="147"/>
      <c r="AB261" s="147"/>
      <c r="AC261" s="147"/>
      <c r="AD261" s="147"/>
      <c r="AE261" s="147"/>
      <c r="AF261" s="147"/>
      <c r="AG261" s="147"/>
      <c r="AH261" s="147"/>
      <c r="AI261" s="147"/>
      <c r="AJ261" s="147"/>
      <c r="AK261" s="147"/>
    </row>
    <row r="262" ht="15.75" customHeight="1">
      <c r="A262" s="144"/>
      <c r="B262" s="182"/>
      <c r="C262" s="145"/>
      <c r="D262" s="145"/>
      <c r="E262" s="145"/>
      <c r="F262" s="146"/>
      <c r="G262" s="145"/>
      <c r="H262" s="146"/>
      <c r="I262" s="145"/>
      <c r="J262" s="146"/>
      <c r="K262" s="147"/>
      <c r="L262" s="147"/>
      <c r="M262" s="147"/>
      <c r="N262" s="147"/>
      <c r="O262" s="147"/>
      <c r="P262" s="147"/>
      <c r="Q262" s="147"/>
      <c r="R262" s="147"/>
      <c r="S262" s="147"/>
      <c r="T262" s="147"/>
      <c r="U262" s="147"/>
      <c r="V262" s="147"/>
      <c r="W262" s="147"/>
      <c r="X262" s="147"/>
      <c r="Y262" s="147"/>
      <c r="Z262" s="147"/>
      <c r="AA262" s="147"/>
      <c r="AB262" s="147"/>
      <c r="AC262" s="147"/>
      <c r="AD262" s="147"/>
      <c r="AE262" s="147"/>
      <c r="AF262" s="147"/>
      <c r="AG262" s="147"/>
      <c r="AH262" s="147"/>
      <c r="AI262" s="147"/>
      <c r="AJ262" s="147"/>
      <c r="AK262" s="147"/>
    </row>
    <row r="263" ht="15.75" customHeight="1">
      <c r="A263" s="144"/>
      <c r="B263" s="182"/>
      <c r="C263" s="145"/>
      <c r="D263" s="145"/>
      <c r="E263" s="145"/>
      <c r="F263" s="146"/>
      <c r="G263" s="145"/>
      <c r="H263" s="146"/>
      <c r="I263" s="145"/>
      <c r="J263" s="146"/>
      <c r="K263" s="147"/>
      <c r="L263" s="147"/>
      <c r="M263" s="147"/>
      <c r="N263" s="147"/>
      <c r="O263" s="147"/>
      <c r="P263" s="147"/>
      <c r="Q263" s="147"/>
      <c r="R263" s="147"/>
      <c r="S263" s="147"/>
      <c r="T263" s="147"/>
      <c r="U263" s="147"/>
      <c r="V263" s="147"/>
      <c r="W263" s="147"/>
      <c r="X263" s="147"/>
      <c r="Y263" s="147"/>
      <c r="Z263" s="147"/>
      <c r="AA263" s="147"/>
      <c r="AB263" s="147"/>
      <c r="AC263" s="147"/>
      <c r="AD263" s="147"/>
      <c r="AE263" s="147"/>
      <c r="AF263" s="147"/>
      <c r="AG263" s="147"/>
      <c r="AH263" s="147"/>
      <c r="AI263" s="147"/>
      <c r="AJ263" s="147"/>
      <c r="AK263" s="147"/>
    </row>
    <row r="264" ht="15.75" customHeight="1">
      <c r="A264" s="144"/>
      <c r="B264" s="182"/>
      <c r="C264" s="145"/>
      <c r="D264" s="145"/>
      <c r="E264" s="145"/>
      <c r="F264" s="146"/>
      <c r="G264" s="145"/>
      <c r="H264" s="146"/>
      <c r="I264" s="145"/>
      <c r="J264" s="146"/>
      <c r="K264" s="147"/>
      <c r="L264" s="147"/>
      <c r="M264" s="147"/>
      <c r="N264" s="147"/>
      <c r="O264" s="147"/>
      <c r="P264" s="147"/>
      <c r="Q264" s="147"/>
      <c r="R264" s="147"/>
      <c r="S264" s="147"/>
      <c r="T264" s="147"/>
      <c r="U264" s="147"/>
      <c r="V264" s="147"/>
      <c r="W264" s="147"/>
      <c r="X264" s="147"/>
      <c r="Y264" s="147"/>
      <c r="Z264" s="147"/>
      <c r="AA264" s="147"/>
      <c r="AB264" s="147"/>
      <c r="AC264" s="147"/>
      <c r="AD264" s="147"/>
      <c r="AE264" s="147"/>
      <c r="AF264" s="147"/>
      <c r="AG264" s="147"/>
      <c r="AH264" s="147"/>
      <c r="AI264" s="147"/>
      <c r="AJ264" s="147"/>
      <c r="AK264" s="147"/>
    </row>
    <row r="265" ht="15.75" customHeight="1">
      <c r="A265" s="144"/>
      <c r="B265" s="182"/>
      <c r="C265" s="145"/>
      <c r="D265" s="145"/>
      <c r="E265" s="145"/>
      <c r="F265" s="146"/>
      <c r="G265" s="145"/>
      <c r="H265" s="146"/>
      <c r="I265" s="145"/>
      <c r="J265" s="146"/>
      <c r="K265" s="147"/>
      <c r="L265" s="147"/>
      <c r="M265" s="147"/>
      <c r="N265" s="147"/>
      <c r="O265" s="147"/>
      <c r="P265" s="147"/>
      <c r="Q265" s="147"/>
      <c r="R265" s="147"/>
      <c r="S265" s="147"/>
      <c r="T265" s="147"/>
      <c r="U265" s="147"/>
      <c r="V265" s="147"/>
      <c r="W265" s="147"/>
      <c r="X265" s="147"/>
      <c r="Y265" s="147"/>
      <c r="Z265" s="147"/>
      <c r="AA265" s="147"/>
      <c r="AB265" s="147"/>
      <c r="AC265" s="147"/>
      <c r="AD265" s="147"/>
      <c r="AE265" s="147"/>
      <c r="AF265" s="147"/>
      <c r="AG265" s="147"/>
      <c r="AH265" s="147"/>
      <c r="AI265" s="147"/>
      <c r="AJ265" s="147"/>
      <c r="AK265" s="147"/>
    </row>
    <row r="266" ht="15.75" customHeight="1">
      <c r="A266" s="144"/>
      <c r="B266" s="182"/>
      <c r="C266" s="145"/>
      <c r="D266" s="145"/>
      <c r="E266" s="145"/>
      <c r="F266" s="146"/>
      <c r="G266" s="145"/>
      <c r="H266" s="146"/>
      <c r="I266" s="145"/>
      <c r="J266" s="146"/>
      <c r="K266" s="147"/>
      <c r="L266" s="147"/>
      <c r="M266" s="147"/>
      <c r="N266" s="147"/>
      <c r="O266" s="147"/>
      <c r="P266" s="147"/>
      <c r="Q266" s="147"/>
      <c r="R266" s="147"/>
      <c r="S266" s="147"/>
      <c r="T266" s="147"/>
      <c r="U266" s="147"/>
      <c r="V266" s="147"/>
      <c r="W266" s="147"/>
      <c r="X266" s="147"/>
      <c r="Y266" s="147"/>
      <c r="Z266" s="147"/>
      <c r="AA266" s="147"/>
      <c r="AB266" s="147"/>
      <c r="AC266" s="147"/>
      <c r="AD266" s="147"/>
      <c r="AE266" s="147"/>
      <c r="AF266" s="147"/>
      <c r="AG266" s="147"/>
      <c r="AH266" s="147"/>
      <c r="AI266" s="147"/>
      <c r="AJ266" s="147"/>
      <c r="AK266" s="147"/>
    </row>
    <row r="267" ht="15.75" customHeight="1">
      <c r="A267" s="144"/>
      <c r="B267" s="182"/>
      <c r="C267" s="145"/>
      <c r="D267" s="145"/>
      <c r="E267" s="145"/>
      <c r="F267" s="146"/>
      <c r="G267" s="145"/>
      <c r="H267" s="146"/>
      <c r="I267" s="145"/>
      <c r="J267" s="146"/>
      <c r="K267" s="147"/>
      <c r="L267" s="147"/>
      <c r="M267" s="147"/>
      <c r="N267" s="147"/>
      <c r="O267" s="147"/>
      <c r="P267" s="147"/>
      <c r="Q267" s="147"/>
      <c r="R267" s="147"/>
      <c r="S267" s="147"/>
      <c r="T267" s="147"/>
      <c r="U267" s="147"/>
      <c r="V267" s="147"/>
      <c r="W267" s="147"/>
      <c r="X267" s="147"/>
      <c r="Y267" s="147"/>
      <c r="Z267" s="147"/>
      <c r="AA267" s="147"/>
      <c r="AB267" s="147"/>
      <c r="AC267" s="147"/>
      <c r="AD267" s="147"/>
      <c r="AE267" s="147"/>
      <c r="AF267" s="147"/>
      <c r="AG267" s="147"/>
      <c r="AH267" s="147"/>
      <c r="AI267" s="147"/>
      <c r="AJ267" s="147"/>
      <c r="AK267" s="147"/>
    </row>
    <row r="268" ht="15.75" customHeight="1">
      <c r="A268" s="144"/>
      <c r="B268" s="182"/>
      <c r="C268" s="145"/>
      <c r="D268" s="145"/>
      <c r="E268" s="145"/>
      <c r="F268" s="146"/>
      <c r="G268" s="145"/>
      <c r="H268" s="146"/>
      <c r="I268" s="145"/>
      <c r="J268" s="146"/>
      <c r="K268" s="147"/>
      <c r="L268" s="147"/>
      <c r="M268" s="147"/>
      <c r="N268" s="147"/>
      <c r="O268" s="147"/>
      <c r="P268" s="147"/>
      <c r="Q268" s="147"/>
      <c r="R268" s="147"/>
      <c r="S268" s="147"/>
      <c r="T268" s="147"/>
      <c r="U268" s="147"/>
      <c r="V268" s="147"/>
      <c r="W268" s="147"/>
      <c r="X268" s="147"/>
      <c r="Y268" s="147"/>
      <c r="Z268" s="147"/>
      <c r="AA268" s="147"/>
      <c r="AB268" s="147"/>
      <c r="AC268" s="147"/>
      <c r="AD268" s="147"/>
      <c r="AE268" s="147"/>
      <c r="AF268" s="147"/>
      <c r="AG268" s="147"/>
      <c r="AH268" s="147"/>
      <c r="AI268" s="147"/>
      <c r="AJ268" s="147"/>
      <c r="AK268" s="147"/>
    </row>
    <row r="269" ht="15.75" customHeight="1">
      <c r="A269" s="144"/>
      <c r="B269" s="182"/>
      <c r="C269" s="145"/>
      <c r="D269" s="145"/>
      <c r="E269" s="145"/>
      <c r="F269" s="146"/>
      <c r="G269" s="145"/>
      <c r="H269" s="146"/>
      <c r="I269" s="145"/>
      <c r="J269" s="146"/>
      <c r="K269" s="147"/>
      <c r="L269" s="147"/>
      <c r="M269" s="147"/>
      <c r="N269" s="147"/>
      <c r="O269" s="147"/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  <c r="AA269" s="147"/>
      <c r="AB269" s="147"/>
      <c r="AC269" s="147"/>
      <c r="AD269" s="147"/>
      <c r="AE269" s="147"/>
      <c r="AF269" s="147"/>
      <c r="AG269" s="147"/>
      <c r="AH269" s="147"/>
      <c r="AI269" s="147"/>
      <c r="AJ269" s="147"/>
      <c r="AK269" s="147"/>
    </row>
    <row r="270" ht="15.75" customHeight="1">
      <c r="A270" s="144"/>
      <c r="B270" s="182"/>
      <c r="C270" s="145"/>
      <c r="D270" s="145"/>
      <c r="E270" s="145"/>
      <c r="F270" s="146"/>
      <c r="G270" s="145"/>
      <c r="H270" s="146"/>
      <c r="I270" s="145"/>
      <c r="J270" s="146"/>
      <c r="K270" s="147"/>
      <c r="L270" s="147"/>
      <c r="M270" s="147"/>
      <c r="N270" s="147"/>
      <c r="O270" s="147"/>
      <c r="P270" s="147"/>
      <c r="Q270" s="147"/>
      <c r="R270" s="147"/>
      <c r="S270" s="147"/>
      <c r="T270" s="147"/>
      <c r="U270" s="147"/>
      <c r="V270" s="147"/>
      <c r="W270" s="147"/>
      <c r="X270" s="147"/>
      <c r="Y270" s="147"/>
      <c r="Z270" s="147"/>
      <c r="AA270" s="147"/>
      <c r="AB270" s="147"/>
      <c r="AC270" s="147"/>
      <c r="AD270" s="147"/>
      <c r="AE270" s="147"/>
      <c r="AF270" s="147"/>
      <c r="AG270" s="147"/>
      <c r="AH270" s="147"/>
      <c r="AI270" s="147"/>
      <c r="AJ270" s="147"/>
      <c r="AK270" s="147"/>
    </row>
    <row r="271" ht="15.75" customHeight="1">
      <c r="A271" s="144"/>
      <c r="B271" s="182"/>
      <c r="C271" s="145"/>
      <c r="D271" s="145"/>
      <c r="E271" s="145"/>
      <c r="F271" s="146"/>
      <c r="G271" s="145"/>
      <c r="H271" s="146"/>
      <c r="I271" s="145"/>
      <c r="J271" s="146"/>
      <c r="K271" s="147"/>
      <c r="L271" s="147"/>
      <c r="M271" s="147"/>
      <c r="N271" s="147"/>
      <c r="O271" s="147"/>
      <c r="P271" s="147"/>
      <c r="Q271" s="147"/>
      <c r="R271" s="147"/>
      <c r="S271" s="147"/>
      <c r="T271" s="147"/>
      <c r="U271" s="147"/>
      <c r="V271" s="147"/>
      <c r="W271" s="147"/>
      <c r="X271" s="147"/>
      <c r="Y271" s="147"/>
      <c r="Z271" s="147"/>
      <c r="AA271" s="147"/>
      <c r="AB271" s="147"/>
      <c r="AC271" s="147"/>
      <c r="AD271" s="147"/>
      <c r="AE271" s="147"/>
      <c r="AF271" s="147"/>
      <c r="AG271" s="147"/>
      <c r="AH271" s="147"/>
      <c r="AI271" s="147"/>
      <c r="AJ271" s="147"/>
      <c r="AK271" s="147"/>
    </row>
    <row r="272" ht="15.75" customHeight="1">
      <c r="A272" s="144"/>
      <c r="B272" s="182"/>
      <c r="C272" s="145"/>
      <c r="D272" s="145"/>
      <c r="E272" s="145"/>
      <c r="F272" s="146"/>
      <c r="G272" s="145"/>
      <c r="H272" s="146"/>
      <c r="I272" s="145"/>
      <c r="J272" s="146"/>
      <c r="K272" s="147"/>
      <c r="L272" s="147"/>
      <c r="M272" s="147"/>
      <c r="N272" s="147"/>
      <c r="O272" s="147"/>
      <c r="P272" s="147"/>
      <c r="Q272" s="147"/>
      <c r="R272" s="147"/>
      <c r="S272" s="147"/>
      <c r="T272" s="147"/>
      <c r="U272" s="147"/>
      <c r="V272" s="147"/>
      <c r="W272" s="147"/>
      <c r="X272" s="147"/>
      <c r="Y272" s="147"/>
      <c r="Z272" s="147"/>
      <c r="AA272" s="147"/>
      <c r="AB272" s="147"/>
      <c r="AC272" s="147"/>
      <c r="AD272" s="147"/>
      <c r="AE272" s="147"/>
      <c r="AF272" s="147"/>
      <c r="AG272" s="147"/>
      <c r="AH272" s="147"/>
      <c r="AI272" s="147"/>
      <c r="AJ272" s="147"/>
      <c r="AK272" s="147"/>
    </row>
    <row r="273" ht="15.75" customHeight="1">
      <c r="A273" s="144"/>
      <c r="B273" s="182"/>
      <c r="C273" s="145"/>
      <c r="D273" s="145"/>
      <c r="E273" s="145"/>
      <c r="F273" s="146"/>
      <c r="G273" s="145"/>
      <c r="H273" s="146"/>
      <c r="I273" s="145"/>
      <c r="J273" s="146"/>
      <c r="K273" s="147"/>
      <c r="L273" s="147"/>
      <c r="M273" s="147"/>
      <c r="N273" s="147"/>
      <c r="O273" s="147"/>
      <c r="P273" s="147"/>
      <c r="Q273" s="147"/>
      <c r="R273" s="147"/>
      <c r="S273" s="147"/>
      <c r="T273" s="147"/>
      <c r="U273" s="147"/>
      <c r="V273" s="147"/>
      <c r="W273" s="147"/>
      <c r="X273" s="147"/>
      <c r="Y273" s="147"/>
      <c r="Z273" s="147"/>
      <c r="AA273" s="147"/>
      <c r="AB273" s="147"/>
      <c r="AC273" s="147"/>
      <c r="AD273" s="147"/>
      <c r="AE273" s="147"/>
      <c r="AF273" s="147"/>
      <c r="AG273" s="147"/>
      <c r="AH273" s="147"/>
      <c r="AI273" s="147"/>
      <c r="AJ273" s="147"/>
      <c r="AK273" s="147"/>
    </row>
    <row r="274" ht="15.75" customHeight="1">
      <c r="A274" s="144"/>
      <c r="B274" s="182"/>
      <c r="C274" s="145"/>
      <c r="D274" s="145"/>
      <c r="E274" s="145"/>
      <c r="F274" s="146"/>
      <c r="G274" s="145"/>
      <c r="H274" s="146"/>
      <c r="I274" s="145"/>
      <c r="J274" s="146"/>
      <c r="K274" s="147"/>
      <c r="L274" s="147"/>
      <c r="M274" s="147"/>
      <c r="N274" s="147"/>
      <c r="O274" s="147"/>
      <c r="P274" s="147"/>
      <c r="Q274" s="147"/>
      <c r="R274" s="147"/>
      <c r="S274" s="147"/>
      <c r="T274" s="147"/>
      <c r="U274" s="147"/>
      <c r="V274" s="147"/>
      <c r="W274" s="147"/>
      <c r="X274" s="147"/>
      <c r="Y274" s="147"/>
      <c r="Z274" s="147"/>
      <c r="AA274" s="147"/>
      <c r="AB274" s="147"/>
      <c r="AC274" s="147"/>
      <c r="AD274" s="147"/>
      <c r="AE274" s="147"/>
      <c r="AF274" s="147"/>
      <c r="AG274" s="147"/>
      <c r="AH274" s="147"/>
      <c r="AI274" s="147"/>
      <c r="AJ274" s="147"/>
      <c r="AK274" s="147"/>
    </row>
    <row r="275" ht="15.75" customHeight="1">
      <c r="A275" s="144"/>
      <c r="B275" s="182"/>
      <c r="C275" s="145"/>
      <c r="D275" s="145"/>
      <c r="E275" s="145"/>
      <c r="F275" s="146"/>
      <c r="G275" s="145"/>
      <c r="H275" s="146"/>
      <c r="I275" s="145"/>
      <c r="J275" s="146"/>
      <c r="K275" s="147"/>
      <c r="L275" s="147"/>
      <c r="M275" s="147"/>
      <c r="N275" s="147"/>
      <c r="O275" s="147"/>
      <c r="P275" s="147"/>
      <c r="Q275" s="147"/>
      <c r="R275" s="147"/>
      <c r="S275" s="147"/>
      <c r="T275" s="147"/>
      <c r="U275" s="147"/>
      <c r="V275" s="147"/>
      <c r="W275" s="147"/>
      <c r="X275" s="147"/>
      <c r="Y275" s="147"/>
      <c r="Z275" s="147"/>
      <c r="AA275" s="147"/>
      <c r="AB275" s="147"/>
      <c r="AC275" s="147"/>
      <c r="AD275" s="147"/>
      <c r="AE275" s="147"/>
      <c r="AF275" s="147"/>
      <c r="AG275" s="147"/>
      <c r="AH275" s="147"/>
      <c r="AI275" s="147"/>
      <c r="AJ275" s="147"/>
      <c r="AK275" s="147"/>
    </row>
    <row r="276" ht="15.75" customHeight="1">
      <c r="A276" s="144"/>
      <c r="B276" s="182"/>
      <c r="C276" s="145"/>
      <c r="D276" s="145"/>
      <c r="E276" s="145"/>
      <c r="F276" s="146"/>
      <c r="G276" s="145"/>
      <c r="H276" s="146"/>
      <c r="I276" s="145"/>
      <c r="J276" s="146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  <c r="AJ276" s="147"/>
      <c r="AK276" s="147"/>
    </row>
    <row r="277" ht="15.75" customHeight="1">
      <c r="A277" s="144"/>
      <c r="B277" s="182"/>
      <c r="C277" s="145"/>
      <c r="D277" s="145"/>
      <c r="E277" s="145"/>
      <c r="F277" s="146"/>
      <c r="G277" s="145"/>
      <c r="H277" s="146"/>
      <c r="I277" s="145"/>
      <c r="J277" s="146"/>
      <c r="K277" s="147"/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F277" s="147"/>
      <c r="AG277" s="147"/>
      <c r="AH277" s="147"/>
      <c r="AI277" s="147"/>
      <c r="AJ277" s="147"/>
      <c r="AK277" s="147"/>
    </row>
    <row r="278" ht="15.75" customHeight="1">
      <c r="A278" s="144"/>
      <c r="B278" s="182"/>
      <c r="C278" s="145"/>
      <c r="D278" s="145"/>
      <c r="E278" s="145"/>
      <c r="F278" s="146"/>
      <c r="G278" s="145"/>
      <c r="H278" s="146"/>
      <c r="I278" s="145"/>
      <c r="J278" s="146"/>
      <c r="K278" s="147"/>
      <c r="L278" s="147"/>
      <c r="M278" s="147"/>
      <c r="N278" s="147"/>
      <c r="O278" s="147"/>
      <c r="P278" s="147"/>
      <c r="Q278" s="147"/>
      <c r="R278" s="147"/>
      <c r="S278" s="147"/>
      <c r="T278" s="147"/>
      <c r="U278" s="147"/>
      <c r="V278" s="147"/>
      <c r="W278" s="147"/>
      <c r="X278" s="147"/>
      <c r="Y278" s="147"/>
      <c r="Z278" s="147"/>
      <c r="AA278" s="147"/>
      <c r="AB278" s="147"/>
      <c r="AC278" s="147"/>
      <c r="AD278" s="147"/>
      <c r="AE278" s="147"/>
      <c r="AF278" s="147"/>
      <c r="AG278" s="147"/>
      <c r="AH278" s="147"/>
      <c r="AI278" s="147"/>
      <c r="AJ278" s="147"/>
      <c r="AK278" s="147"/>
    </row>
    <row r="279" ht="15.75" customHeight="1">
      <c r="A279" s="144"/>
      <c r="B279" s="182"/>
      <c r="C279" s="145"/>
      <c r="D279" s="145"/>
      <c r="E279" s="145"/>
      <c r="F279" s="146"/>
      <c r="G279" s="145"/>
      <c r="H279" s="146"/>
      <c r="I279" s="145"/>
      <c r="J279" s="146"/>
      <c r="K279" s="147"/>
      <c r="L279" s="147"/>
      <c r="M279" s="147"/>
      <c r="N279" s="147"/>
      <c r="O279" s="147"/>
      <c r="P279" s="147"/>
      <c r="Q279" s="147"/>
      <c r="R279" s="147"/>
      <c r="S279" s="147"/>
      <c r="T279" s="147"/>
      <c r="U279" s="147"/>
      <c r="V279" s="147"/>
      <c r="W279" s="147"/>
      <c r="X279" s="147"/>
      <c r="Y279" s="147"/>
      <c r="Z279" s="147"/>
      <c r="AA279" s="147"/>
      <c r="AB279" s="147"/>
      <c r="AC279" s="147"/>
      <c r="AD279" s="147"/>
      <c r="AE279" s="147"/>
      <c r="AF279" s="147"/>
      <c r="AG279" s="147"/>
      <c r="AH279" s="147"/>
      <c r="AI279" s="147"/>
      <c r="AJ279" s="147"/>
      <c r="AK279" s="147"/>
    </row>
    <row r="280" ht="15.75" customHeight="1">
      <c r="A280" s="144"/>
      <c r="B280" s="182"/>
      <c r="C280" s="145"/>
      <c r="D280" s="145"/>
      <c r="E280" s="145"/>
      <c r="F280" s="146"/>
      <c r="G280" s="145"/>
      <c r="H280" s="146"/>
      <c r="I280" s="145"/>
      <c r="J280" s="146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147"/>
      <c r="AG280" s="147"/>
      <c r="AH280" s="147"/>
      <c r="AI280" s="147"/>
      <c r="AJ280" s="147"/>
      <c r="AK280" s="147"/>
    </row>
    <row r="281" ht="15.75" customHeight="1">
      <c r="A281" s="144"/>
      <c r="B281" s="182"/>
      <c r="C281" s="145"/>
      <c r="D281" s="145"/>
      <c r="E281" s="145"/>
      <c r="F281" s="146"/>
      <c r="G281" s="145"/>
      <c r="H281" s="146"/>
      <c r="I281" s="145"/>
      <c r="J281" s="146"/>
      <c r="K281" s="147"/>
      <c r="L281" s="147"/>
      <c r="M281" s="147"/>
      <c r="N281" s="147"/>
      <c r="O281" s="147"/>
      <c r="P281" s="147"/>
      <c r="Q281" s="147"/>
      <c r="R281" s="147"/>
      <c r="S281" s="147"/>
      <c r="T281" s="147"/>
      <c r="U281" s="147"/>
      <c r="V281" s="147"/>
      <c r="W281" s="147"/>
      <c r="X281" s="147"/>
      <c r="Y281" s="147"/>
      <c r="Z281" s="147"/>
      <c r="AA281" s="147"/>
      <c r="AB281" s="147"/>
      <c r="AC281" s="147"/>
      <c r="AD281" s="147"/>
      <c r="AE281" s="147"/>
      <c r="AF281" s="147"/>
      <c r="AG281" s="147"/>
      <c r="AH281" s="147"/>
      <c r="AI281" s="147"/>
      <c r="AJ281" s="147"/>
      <c r="AK281" s="147"/>
    </row>
    <row r="282" ht="15.75" customHeight="1">
      <c r="A282" s="144"/>
      <c r="B282" s="182"/>
      <c r="C282" s="145"/>
      <c r="D282" s="145"/>
      <c r="E282" s="145"/>
      <c r="F282" s="146"/>
      <c r="G282" s="145"/>
      <c r="H282" s="146"/>
      <c r="I282" s="145"/>
      <c r="J282" s="146"/>
      <c r="K282" s="147"/>
      <c r="L282" s="147"/>
      <c r="M282" s="147"/>
      <c r="N282" s="147"/>
      <c r="O282" s="147"/>
      <c r="P282" s="147"/>
      <c r="Q282" s="147"/>
      <c r="R282" s="147"/>
      <c r="S282" s="147"/>
      <c r="T282" s="147"/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F282" s="147"/>
      <c r="AG282" s="147"/>
      <c r="AH282" s="147"/>
      <c r="AI282" s="147"/>
      <c r="AJ282" s="147"/>
      <c r="AK282" s="147"/>
    </row>
    <row r="283" ht="15.75" customHeight="1">
      <c r="A283" s="144"/>
      <c r="B283" s="182"/>
      <c r="C283" s="145"/>
      <c r="D283" s="145"/>
      <c r="E283" s="145"/>
      <c r="F283" s="146"/>
      <c r="G283" s="145"/>
      <c r="H283" s="146"/>
      <c r="I283" s="145"/>
      <c r="J283" s="146"/>
      <c r="K283" s="147"/>
      <c r="L283" s="147"/>
      <c r="M283" s="147"/>
      <c r="N283" s="147"/>
      <c r="O283" s="147"/>
      <c r="P283" s="147"/>
      <c r="Q283" s="147"/>
      <c r="R283" s="147"/>
      <c r="S283" s="147"/>
      <c r="T283" s="147"/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F283" s="147"/>
      <c r="AG283" s="147"/>
      <c r="AH283" s="147"/>
      <c r="AI283" s="147"/>
      <c r="AJ283" s="147"/>
      <c r="AK283" s="147"/>
    </row>
    <row r="284" ht="15.75" customHeight="1">
      <c r="A284" s="144"/>
      <c r="B284" s="182"/>
      <c r="C284" s="145"/>
      <c r="D284" s="145"/>
      <c r="E284" s="145"/>
      <c r="F284" s="146"/>
      <c r="G284" s="145"/>
      <c r="H284" s="146"/>
      <c r="I284" s="145"/>
      <c r="J284" s="146"/>
      <c r="K284" s="147"/>
      <c r="L284" s="147"/>
      <c r="M284" s="147"/>
      <c r="N284" s="147"/>
      <c r="O284" s="147"/>
      <c r="P284" s="147"/>
      <c r="Q284" s="147"/>
      <c r="R284" s="147"/>
      <c r="S284" s="147"/>
      <c r="T284" s="147"/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F284" s="147"/>
      <c r="AG284" s="147"/>
      <c r="AH284" s="147"/>
      <c r="AI284" s="147"/>
      <c r="AJ284" s="147"/>
      <c r="AK284" s="147"/>
    </row>
    <row r="285" ht="15.75" customHeight="1">
      <c r="A285" s="144"/>
      <c r="B285" s="182"/>
      <c r="C285" s="145"/>
      <c r="D285" s="145"/>
      <c r="E285" s="145"/>
      <c r="F285" s="146"/>
      <c r="G285" s="145"/>
      <c r="H285" s="146"/>
      <c r="I285" s="145"/>
      <c r="J285" s="146"/>
      <c r="K285" s="147"/>
      <c r="L285" s="147"/>
      <c r="M285" s="147"/>
      <c r="N285" s="147"/>
      <c r="O285" s="147"/>
      <c r="P285" s="147"/>
      <c r="Q285" s="147"/>
      <c r="R285" s="147"/>
      <c r="S285" s="147"/>
      <c r="T285" s="147"/>
      <c r="U285" s="147"/>
      <c r="V285" s="147"/>
      <c r="W285" s="147"/>
      <c r="X285" s="147"/>
      <c r="Y285" s="147"/>
      <c r="Z285" s="147"/>
      <c r="AA285" s="147"/>
      <c r="AB285" s="147"/>
      <c r="AC285" s="147"/>
      <c r="AD285" s="147"/>
      <c r="AE285" s="147"/>
      <c r="AF285" s="147"/>
      <c r="AG285" s="147"/>
      <c r="AH285" s="147"/>
      <c r="AI285" s="147"/>
      <c r="AJ285" s="147"/>
      <c r="AK285" s="147"/>
    </row>
    <row r="286" ht="15.75" customHeight="1">
      <c r="A286" s="144"/>
      <c r="B286" s="182"/>
      <c r="C286" s="145"/>
      <c r="D286" s="145"/>
      <c r="E286" s="145"/>
      <c r="F286" s="146"/>
      <c r="G286" s="145"/>
      <c r="H286" s="146"/>
      <c r="I286" s="145"/>
      <c r="J286" s="146"/>
      <c r="K286" s="147"/>
      <c r="L286" s="147"/>
      <c r="M286" s="147"/>
      <c r="N286" s="147"/>
      <c r="O286" s="147"/>
      <c r="P286" s="147"/>
      <c r="Q286" s="147"/>
      <c r="R286" s="147"/>
      <c r="S286" s="147"/>
      <c r="T286" s="147"/>
      <c r="U286" s="147"/>
      <c r="V286" s="147"/>
      <c r="W286" s="147"/>
      <c r="X286" s="147"/>
      <c r="Y286" s="147"/>
      <c r="Z286" s="147"/>
      <c r="AA286" s="147"/>
      <c r="AB286" s="147"/>
      <c r="AC286" s="147"/>
      <c r="AD286" s="147"/>
      <c r="AE286" s="147"/>
      <c r="AF286" s="147"/>
      <c r="AG286" s="147"/>
      <c r="AH286" s="147"/>
      <c r="AI286" s="147"/>
      <c r="AJ286" s="147"/>
      <c r="AK286" s="147"/>
    </row>
    <row r="287" ht="15.75" customHeight="1">
      <c r="A287" s="144"/>
      <c r="B287" s="182"/>
      <c r="C287" s="145"/>
      <c r="D287" s="145"/>
      <c r="E287" s="145"/>
      <c r="F287" s="146"/>
      <c r="G287" s="145"/>
      <c r="H287" s="146"/>
      <c r="I287" s="145"/>
      <c r="J287" s="146"/>
      <c r="K287" s="147"/>
      <c r="L287" s="147"/>
      <c r="M287" s="147"/>
      <c r="N287" s="147"/>
      <c r="O287" s="147"/>
      <c r="P287" s="147"/>
      <c r="Q287" s="147"/>
      <c r="R287" s="147"/>
      <c r="S287" s="147"/>
      <c r="T287" s="147"/>
      <c r="U287" s="147"/>
      <c r="V287" s="147"/>
      <c r="W287" s="147"/>
      <c r="X287" s="147"/>
      <c r="Y287" s="147"/>
      <c r="Z287" s="147"/>
      <c r="AA287" s="147"/>
      <c r="AB287" s="147"/>
      <c r="AC287" s="147"/>
      <c r="AD287" s="147"/>
      <c r="AE287" s="147"/>
      <c r="AF287" s="147"/>
      <c r="AG287" s="147"/>
      <c r="AH287" s="147"/>
      <c r="AI287" s="147"/>
      <c r="AJ287" s="147"/>
      <c r="AK287" s="147"/>
    </row>
    <row r="288" ht="15.75" customHeight="1">
      <c r="A288" s="144"/>
      <c r="B288" s="182"/>
      <c r="C288" s="145"/>
      <c r="D288" s="145"/>
      <c r="E288" s="145"/>
      <c r="F288" s="146"/>
      <c r="G288" s="145"/>
      <c r="H288" s="146"/>
      <c r="I288" s="145"/>
      <c r="J288" s="146"/>
      <c r="K288" s="147"/>
      <c r="L288" s="147"/>
      <c r="M288" s="147"/>
      <c r="N288" s="147"/>
      <c r="O288" s="147"/>
      <c r="P288" s="147"/>
      <c r="Q288" s="147"/>
      <c r="R288" s="147"/>
      <c r="S288" s="147"/>
      <c r="T288" s="147"/>
      <c r="U288" s="147"/>
      <c r="V288" s="147"/>
      <c r="W288" s="147"/>
      <c r="X288" s="147"/>
      <c r="Y288" s="147"/>
      <c r="Z288" s="147"/>
      <c r="AA288" s="147"/>
      <c r="AB288" s="147"/>
      <c r="AC288" s="147"/>
      <c r="AD288" s="147"/>
      <c r="AE288" s="147"/>
      <c r="AF288" s="147"/>
      <c r="AG288" s="147"/>
      <c r="AH288" s="147"/>
      <c r="AI288" s="147"/>
      <c r="AJ288" s="147"/>
      <c r="AK288" s="147"/>
    </row>
    <row r="289" ht="15.75" customHeight="1">
      <c r="A289" s="144"/>
      <c r="B289" s="182"/>
      <c r="C289" s="145"/>
      <c r="D289" s="145"/>
      <c r="E289" s="145"/>
      <c r="F289" s="146"/>
      <c r="G289" s="145"/>
      <c r="H289" s="146"/>
      <c r="I289" s="145"/>
      <c r="J289" s="146"/>
      <c r="K289" s="147"/>
      <c r="L289" s="147"/>
      <c r="M289" s="147"/>
      <c r="N289" s="147"/>
      <c r="O289" s="147"/>
      <c r="P289" s="147"/>
      <c r="Q289" s="147"/>
      <c r="R289" s="147"/>
      <c r="S289" s="147"/>
      <c r="T289" s="147"/>
      <c r="U289" s="147"/>
      <c r="V289" s="147"/>
      <c r="W289" s="147"/>
      <c r="X289" s="147"/>
      <c r="Y289" s="147"/>
      <c r="Z289" s="147"/>
      <c r="AA289" s="147"/>
      <c r="AB289" s="147"/>
      <c r="AC289" s="147"/>
      <c r="AD289" s="147"/>
      <c r="AE289" s="147"/>
      <c r="AF289" s="147"/>
      <c r="AG289" s="147"/>
      <c r="AH289" s="147"/>
      <c r="AI289" s="147"/>
      <c r="AJ289" s="147"/>
      <c r="AK289" s="147"/>
    </row>
    <row r="290" ht="15.75" customHeight="1">
      <c r="A290" s="144"/>
      <c r="B290" s="182"/>
      <c r="C290" s="145"/>
      <c r="D290" s="145"/>
      <c r="E290" s="145"/>
      <c r="F290" s="146"/>
      <c r="G290" s="145"/>
      <c r="H290" s="146"/>
      <c r="I290" s="145"/>
      <c r="J290" s="146"/>
      <c r="K290" s="147"/>
      <c r="L290" s="147"/>
      <c r="M290" s="147"/>
      <c r="N290" s="147"/>
      <c r="O290" s="147"/>
      <c r="P290" s="147"/>
      <c r="Q290" s="147"/>
      <c r="R290" s="147"/>
      <c r="S290" s="147"/>
      <c r="T290" s="147"/>
      <c r="U290" s="147"/>
      <c r="V290" s="147"/>
      <c r="W290" s="147"/>
      <c r="X290" s="147"/>
      <c r="Y290" s="147"/>
      <c r="Z290" s="147"/>
      <c r="AA290" s="147"/>
      <c r="AB290" s="147"/>
      <c r="AC290" s="147"/>
      <c r="AD290" s="147"/>
      <c r="AE290" s="147"/>
      <c r="AF290" s="147"/>
      <c r="AG290" s="147"/>
      <c r="AH290" s="147"/>
      <c r="AI290" s="147"/>
      <c r="AJ290" s="147"/>
      <c r="AK290" s="147"/>
    </row>
    <row r="291" ht="15.75" customHeight="1">
      <c r="A291" s="144"/>
      <c r="B291" s="182"/>
      <c r="C291" s="145"/>
      <c r="D291" s="145"/>
      <c r="E291" s="145"/>
      <c r="F291" s="146"/>
      <c r="G291" s="145"/>
      <c r="H291" s="146"/>
      <c r="I291" s="145"/>
      <c r="J291" s="146"/>
      <c r="K291" s="147"/>
      <c r="L291" s="147"/>
      <c r="M291" s="147"/>
      <c r="N291" s="147"/>
      <c r="O291" s="147"/>
      <c r="P291" s="147"/>
      <c r="Q291" s="147"/>
      <c r="R291" s="147"/>
      <c r="S291" s="147"/>
      <c r="T291" s="147"/>
      <c r="U291" s="147"/>
      <c r="V291" s="147"/>
      <c r="W291" s="147"/>
      <c r="X291" s="147"/>
      <c r="Y291" s="147"/>
      <c r="Z291" s="147"/>
      <c r="AA291" s="147"/>
      <c r="AB291" s="147"/>
      <c r="AC291" s="147"/>
      <c r="AD291" s="147"/>
      <c r="AE291" s="147"/>
      <c r="AF291" s="147"/>
      <c r="AG291" s="147"/>
      <c r="AH291" s="147"/>
      <c r="AI291" s="147"/>
      <c r="AJ291" s="147"/>
      <c r="AK291" s="147"/>
    </row>
    <row r="292" ht="15.75" customHeight="1">
      <c r="A292" s="144"/>
      <c r="B292" s="182"/>
      <c r="C292" s="145"/>
      <c r="D292" s="145"/>
      <c r="E292" s="145"/>
      <c r="F292" s="146"/>
      <c r="G292" s="145"/>
      <c r="H292" s="146"/>
      <c r="I292" s="145"/>
      <c r="J292" s="146"/>
      <c r="K292" s="147"/>
      <c r="L292" s="147"/>
      <c r="M292" s="147"/>
      <c r="N292" s="147"/>
      <c r="O292" s="147"/>
      <c r="P292" s="147"/>
      <c r="Q292" s="147"/>
      <c r="R292" s="147"/>
      <c r="S292" s="147"/>
      <c r="T292" s="147"/>
      <c r="U292" s="147"/>
      <c r="V292" s="147"/>
      <c r="W292" s="147"/>
      <c r="X292" s="147"/>
      <c r="Y292" s="147"/>
      <c r="Z292" s="147"/>
      <c r="AA292" s="147"/>
      <c r="AB292" s="147"/>
      <c r="AC292" s="147"/>
      <c r="AD292" s="147"/>
      <c r="AE292" s="147"/>
      <c r="AF292" s="147"/>
      <c r="AG292" s="147"/>
      <c r="AH292" s="147"/>
      <c r="AI292" s="147"/>
      <c r="AJ292" s="147"/>
      <c r="AK292" s="147"/>
    </row>
    <row r="293" ht="15.75" customHeight="1">
      <c r="A293" s="144"/>
      <c r="B293" s="182"/>
      <c r="C293" s="145"/>
      <c r="D293" s="145"/>
      <c r="E293" s="145"/>
      <c r="F293" s="146"/>
      <c r="G293" s="145"/>
      <c r="H293" s="146"/>
      <c r="I293" s="145"/>
      <c r="J293" s="146"/>
      <c r="K293" s="147"/>
      <c r="L293" s="147"/>
      <c r="M293" s="147"/>
      <c r="N293" s="147"/>
      <c r="O293" s="147"/>
      <c r="P293" s="147"/>
      <c r="Q293" s="147"/>
      <c r="R293" s="147"/>
      <c r="S293" s="147"/>
      <c r="T293" s="147"/>
      <c r="U293" s="147"/>
      <c r="V293" s="147"/>
      <c r="W293" s="147"/>
      <c r="X293" s="147"/>
      <c r="Y293" s="147"/>
      <c r="Z293" s="147"/>
      <c r="AA293" s="147"/>
      <c r="AB293" s="147"/>
      <c r="AC293" s="147"/>
      <c r="AD293" s="147"/>
      <c r="AE293" s="147"/>
      <c r="AF293" s="147"/>
      <c r="AG293" s="147"/>
      <c r="AH293" s="147"/>
      <c r="AI293" s="147"/>
      <c r="AJ293" s="147"/>
      <c r="AK293" s="147"/>
    </row>
    <row r="294" ht="15.75" customHeight="1">
      <c r="A294" s="144"/>
      <c r="B294" s="182"/>
      <c r="C294" s="145"/>
      <c r="D294" s="145"/>
      <c r="E294" s="145"/>
      <c r="F294" s="146"/>
      <c r="G294" s="145"/>
      <c r="H294" s="146"/>
      <c r="I294" s="145"/>
      <c r="J294" s="146"/>
      <c r="K294" s="147"/>
      <c r="L294" s="147"/>
      <c r="M294" s="147"/>
      <c r="N294" s="147"/>
      <c r="O294" s="147"/>
      <c r="P294" s="147"/>
      <c r="Q294" s="147"/>
      <c r="R294" s="147"/>
      <c r="S294" s="147"/>
      <c r="T294" s="147"/>
      <c r="U294" s="147"/>
      <c r="V294" s="147"/>
      <c r="W294" s="147"/>
      <c r="X294" s="147"/>
      <c r="Y294" s="147"/>
      <c r="Z294" s="147"/>
      <c r="AA294" s="147"/>
      <c r="AB294" s="147"/>
      <c r="AC294" s="147"/>
      <c r="AD294" s="147"/>
      <c r="AE294" s="147"/>
      <c r="AF294" s="147"/>
      <c r="AG294" s="147"/>
      <c r="AH294" s="147"/>
      <c r="AI294" s="147"/>
      <c r="AJ294" s="147"/>
      <c r="AK294" s="147"/>
    </row>
    <row r="295" ht="15.75" customHeight="1">
      <c r="A295" s="144"/>
      <c r="B295" s="182"/>
      <c r="C295" s="145"/>
      <c r="D295" s="145"/>
      <c r="E295" s="145"/>
      <c r="F295" s="146"/>
      <c r="G295" s="145"/>
      <c r="H295" s="146"/>
      <c r="I295" s="145"/>
      <c r="J295" s="146"/>
      <c r="K295" s="147"/>
      <c r="L295" s="147"/>
      <c r="M295" s="147"/>
      <c r="N295" s="147"/>
      <c r="O295" s="147"/>
      <c r="P295" s="147"/>
      <c r="Q295" s="147"/>
      <c r="R295" s="147"/>
      <c r="S295" s="147"/>
      <c r="T295" s="147"/>
      <c r="U295" s="147"/>
      <c r="V295" s="147"/>
      <c r="W295" s="147"/>
      <c r="X295" s="147"/>
      <c r="Y295" s="147"/>
      <c r="Z295" s="147"/>
      <c r="AA295" s="147"/>
      <c r="AB295" s="147"/>
      <c r="AC295" s="147"/>
      <c r="AD295" s="147"/>
      <c r="AE295" s="147"/>
      <c r="AF295" s="147"/>
      <c r="AG295" s="147"/>
      <c r="AH295" s="147"/>
      <c r="AI295" s="147"/>
      <c r="AJ295" s="147"/>
      <c r="AK295" s="147"/>
    </row>
    <row r="296" ht="15.75" customHeight="1">
      <c r="A296" s="144"/>
      <c r="B296" s="182"/>
      <c r="C296" s="145"/>
      <c r="D296" s="145"/>
      <c r="E296" s="145"/>
      <c r="F296" s="146"/>
      <c r="G296" s="145"/>
      <c r="H296" s="146"/>
      <c r="I296" s="145"/>
      <c r="J296" s="146"/>
      <c r="K296" s="147"/>
      <c r="L296" s="147"/>
      <c r="M296" s="147"/>
      <c r="N296" s="147"/>
      <c r="O296" s="147"/>
      <c r="P296" s="147"/>
      <c r="Q296" s="147"/>
      <c r="R296" s="147"/>
      <c r="S296" s="147"/>
      <c r="T296" s="147"/>
      <c r="U296" s="147"/>
      <c r="V296" s="147"/>
      <c r="W296" s="147"/>
      <c r="X296" s="147"/>
      <c r="Y296" s="147"/>
      <c r="Z296" s="147"/>
      <c r="AA296" s="147"/>
      <c r="AB296" s="147"/>
      <c r="AC296" s="147"/>
      <c r="AD296" s="147"/>
      <c r="AE296" s="147"/>
      <c r="AF296" s="147"/>
      <c r="AG296" s="147"/>
      <c r="AH296" s="147"/>
      <c r="AI296" s="147"/>
      <c r="AJ296" s="147"/>
      <c r="AK296" s="147"/>
    </row>
    <row r="297" ht="15.75" customHeight="1">
      <c r="A297" s="144"/>
      <c r="B297" s="182"/>
      <c r="C297" s="145"/>
      <c r="D297" s="145"/>
      <c r="E297" s="145"/>
      <c r="F297" s="146"/>
      <c r="G297" s="145"/>
      <c r="H297" s="146"/>
      <c r="I297" s="145"/>
      <c r="J297" s="146"/>
      <c r="K297" s="147"/>
      <c r="L297" s="147"/>
      <c r="M297" s="147"/>
      <c r="N297" s="147"/>
      <c r="O297" s="147"/>
      <c r="P297" s="147"/>
      <c r="Q297" s="147"/>
      <c r="R297" s="147"/>
      <c r="S297" s="147"/>
      <c r="T297" s="147"/>
      <c r="U297" s="147"/>
      <c r="V297" s="147"/>
      <c r="W297" s="147"/>
      <c r="X297" s="147"/>
      <c r="Y297" s="147"/>
      <c r="Z297" s="147"/>
      <c r="AA297" s="147"/>
      <c r="AB297" s="147"/>
      <c r="AC297" s="147"/>
      <c r="AD297" s="147"/>
      <c r="AE297" s="147"/>
      <c r="AF297" s="147"/>
      <c r="AG297" s="147"/>
      <c r="AH297" s="147"/>
      <c r="AI297" s="147"/>
      <c r="AJ297" s="147"/>
      <c r="AK297" s="147"/>
    </row>
    <row r="298" ht="15.75" customHeight="1">
      <c r="A298" s="144"/>
      <c r="B298" s="182"/>
      <c r="C298" s="145"/>
      <c r="D298" s="145"/>
      <c r="E298" s="145"/>
      <c r="F298" s="146"/>
      <c r="G298" s="145"/>
      <c r="H298" s="146"/>
      <c r="I298" s="145"/>
      <c r="J298" s="146"/>
      <c r="K298" s="147"/>
      <c r="L298" s="147"/>
      <c r="M298" s="147"/>
      <c r="N298" s="147"/>
      <c r="O298" s="147"/>
      <c r="P298" s="147"/>
      <c r="Q298" s="147"/>
      <c r="R298" s="147"/>
      <c r="S298" s="147"/>
      <c r="T298" s="147"/>
      <c r="U298" s="147"/>
      <c r="V298" s="147"/>
      <c r="W298" s="147"/>
      <c r="X298" s="147"/>
      <c r="Y298" s="147"/>
      <c r="Z298" s="147"/>
      <c r="AA298" s="147"/>
      <c r="AB298" s="147"/>
      <c r="AC298" s="147"/>
      <c r="AD298" s="147"/>
      <c r="AE298" s="147"/>
      <c r="AF298" s="147"/>
      <c r="AG298" s="147"/>
      <c r="AH298" s="147"/>
      <c r="AI298" s="147"/>
      <c r="AJ298" s="147"/>
      <c r="AK298" s="147"/>
    </row>
    <row r="299" ht="15.75" customHeight="1">
      <c r="A299" s="144"/>
      <c r="B299" s="182"/>
      <c r="C299" s="145"/>
      <c r="D299" s="145"/>
      <c r="E299" s="145"/>
      <c r="F299" s="146"/>
      <c r="G299" s="145"/>
      <c r="H299" s="146"/>
      <c r="I299" s="145"/>
      <c r="J299" s="146"/>
      <c r="K299" s="147"/>
      <c r="L299" s="147"/>
      <c r="M299" s="147"/>
      <c r="N299" s="147"/>
      <c r="O299" s="147"/>
      <c r="P299" s="147"/>
      <c r="Q299" s="147"/>
      <c r="R299" s="147"/>
      <c r="S299" s="147"/>
      <c r="T299" s="147"/>
      <c r="U299" s="147"/>
      <c r="V299" s="147"/>
      <c r="W299" s="147"/>
      <c r="X299" s="147"/>
      <c r="Y299" s="147"/>
      <c r="Z299" s="147"/>
      <c r="AA299" s="147"/>
      <c r="AB299" s="147"/>
      <c r="AC299" s="147"/>
      <c r="AD299" s="147"/>
      <c r="AE299" s="147"/>
      <c r="AF299" s="147"/>
      <c r="AG299" s="147"/>
      <c r="AH299" s="147"/>
      <c r="AI299" s="147"/>
      <c r="AJ299" s="147"/>
      <c r="AK299" s="147"/>
    </row>
    <row r="300" ht="15.75" customHeight="1">
      <c r="A300" s="144"/>
      <c r="B300" s="182"/>
      <c r="C300" s="145"/>
      <c r="D300" s="145"/>
      <c r="E300" s="145"/>
      <c r="F300" s="146"/>
      <c r="G300" s="145"/>
      <c r="H300" s="146"/>
      <c r="I300" s="145"/>
      <c r="J300" s="146"/>
      <c r="K300" s="147"/>
      <c r="L300" s="147"/>
      <c r="M300" s="147"/>
      <c r="N300" s="147"/>
      <c r="O300" s="147"/>
      <c r="P300" s="147"/>
      <c r="Q300" s="147"/>
      <c r="R300" s="147"/>
      <c r="S300" s="147"/>
      <c r="T300" s="147"/>
      <c r="U300" s="147"/>
      <c r="V300" s="147"/>
      <c r="W300" s="147"/>
      <c r="X300" s="147"/>
      <c r="Y300" s="147"/>
      <c r="Z300" s="147"/>
      <c r="AA300" s="147"/>
      <c r="AB300" s="147"/>
      <c r="AC300" s="147"/>
      <c r="AD300" s="147"/>
      <c r="AE300" s="147"/>
      <c r="AF300" s="147"/>
      <c r="AG300" s="147"/>
      <c r="AH300" s="147"/>
      <c r="AI300" s="147"/>
      <c r="AJ300" s="147"/>
      <c r="AK300" s="147"/>
    </row>
    <row r="301" ht="15.75" customHeight="1">
      <c r="A301" s="144"/>
      <c r="B301" s="182"/>
      <c r="C301" s="145"/>
      <c r="D301" s="145"/>
      <c r="E301" s="145"/>
      <c r="F301" s="146"/>
      <c r="G301" s="145"/>
      <c r="H301" s="146"/>
      <c r="I301" s="145"/>
      <c r="J301" s="146"/>
      <c r="K301" s="147"/>
      <c r="L301" s="147"/>
      <c r="M301" s="147"/>
      <c r="N301" s="147"/>
      <c r="O301" s="147"/>
      <c r="P301" s="147"/>
      <c r="Q301" s="147"/>
      <c r="R301" s="147"/>
      <c r="S301" s="147"/>
      <c r="T301" s="147"/>
      <c r="U301" s="147"/>
      <c r="V301" s="147"/>
      <c r="W301" s="147"/>
      <c r="X301" s="147"/>
      <c r="Y301" s="147"/>
      <c r="Z301" s="147"/>
      <c r="AA301" s="147"/>
      <c r="AB301" s="147"/>
      <c r="AC301" s="147"/>
      <c r="AD301" s="147"/>
      <c r="AE301" s="147"/>
      <c r="AF301" s="147"/>
      <c r="AG301" s="147"/>
      <c r="AH301" s="147"/>
      <c r="AI301" s="147"/>
      <c r="AJ301" s="147"/>
      <c r="AK301" s="147"/>
    </row>
    <row r="302" ht="15.75" customHeight="1">
      <c r="A302" s="144"/>
      <c r="B302" s="182"/>
      <c r="C302" s="145"/>
      <c r="D302" s="145"/>
      <c r="E302" s="145"/>
      <c r="F302" s="146"/>
      <c r="G302" s="145"/>
      <c r="H302" s="146"/>
      <c r="I302" s="145"/>
      <c r="J302" s="146"/>
      <c r="K302" s="147"/>
      <c r="L302" s="147"/>
      <c r="M302" s="147"/>
      <c r="N302" s="147"/>
      <c r="O302" s="147"/>
      <c r="P302" s="147"/>
      <c r="Q302" s="147"/>
      <c r="R302" s="147"/>
      <c r="S302" s="147"/>
      <c r="T302" s="147"/>
      <c r="U302" s="147"/>
      <c r="V302" s="147"/>
      <c r="W302" s="147"/>
      <c r="X302" s="147"/>
      <c r="Y302" s="147"/>
      <c r="Z302" s="147"/>
      <c r="AA302" s="147"/>
      <c r="AB302" s="147"/>
      <c r="AC302" s="147"/>
      <c r="AD302" s="147"/>
      <c r="AE302" s="147"/>
      <c r="AF302" s="147"/>
      <c r="AG302" s="147"/>
      <c r="AH302" s="147"/>
      <c r="AI302" s="147"/>
      <c r="AJ302" s="147"/>
      <c r="AK302" s="147"/>
    </row>
    <row r="303" ht="15.75" customHeight="1">
      <c r="A303" s="144"/>
      <c r="B303" s="182"/>
      <c r="C303" s="145"/>
      <c r="D303" s="145"/>
      <c r="E303" s="145"/>
      <c r="F303" s="146"/>
      <c r="G303" s="145"/>
      <c r="H303" s="146"/>
      <c r="I303" s="145"/>
      <c r="J303" s="146"/>
      <c r="K303" s="147"/>
      <c r="L303" s="147"/>
      <c r="M303" s="147"/>
      <c r="N303" s="147"/>
      <c r="O303" s="147"/>
      <c r="P303" s="147"/>
      <c r="Q303" s="147"/>
      <c r="R303" s="147"/>
      <c r="S303" s="147"/>
      <c r="T303" s="147"/>
      <c r="U303" s="147"/>
      <c r="V303" s="147"/>
      <c r="W303" s="147"/>
      <c r="X303" s="147"/>
      <c r="Y303" s="147"/>
      <c r="Z303" s="147"/>
      <c r="AA303" s="147"/>
      <c r="AB303" s="147"/>
      <c r="AC303" s="147"/>
      <c r="AD303" s="147"/>
      <c r="AE303" s="147"/>
      <c r="AF303" s="147"/>
      <c r="AG303" s="147"/>
      <c r="AH303" s="147"/>
      <c r="AI303" s="147"/>
      <c r="AJ303" s="147"/>
      <c r="AK303" s="147"/>
    </row>
    <row r="304" ht="15.75" customHeight="1">
      <c r="A304" s="144"/>
      <c r="B304" s="182"/>
      <c r="C304" s="145"/>
      <c r="D304" s="145"/>
      <c r="E304" s="145"/>
      <c r="F304" s="146"/>
      <c r="G304" s="145"/>
      <c r="H304" s="146"/>
      <c r="I304" s="145"/>
      <c r="J304" s="146"/>
      <c r="K304" s="147"/>
      <c r="L304" s="147"/>
      <c r="M304" s="147"/>
      <c r="N304" s="147"/>
      <c r="O304" s="147"/>
      <c r="P304" s="147"/>
      <c r="Q304" s="147"/>
      <c r="R304" s="147"/>
      <c r="S304" s="147"/>
      <c r="T304" s="147"/>
      <c r="U304" s="147"/>
      <c r="V304" s="147"/>
      <c r="W304" s="147"/>
      <c r="X304" s="147"/>
      <c r="Y304" s="147"/>
      <c r="Z304" s="147"/>
      <c r="AA304" s="147"/>
      <c r="AB304" s="147"/>
      <c r="AC304" s="147"/>
      <c r="AD304" s="147"/>
      <c r="AE304" s="147"/>
      <c r="AF304" s="147"/>
      <c r="AG304" s="147"/>
      <c r="AH304" s="147"/>
      <c r="AI304" s="147"/>
      <c r="AJ304" s="147"/>
      <c r="AK304" s="147"/>
    </row>
    <row r="305" ht="15.75" customHeight="1">
      <c r="A305" s="144"/>
      <c r="B305" s="182"/>
      <c r="C305" s="145"/>
      <c r="D305" s="145"/>
      <c r="E305" s="145"/>
      <c r="F305" s="146"/>
      <c r="G305" s="145"/>
      <c r="H305" s="146"/>
      <c r="I305" s="145"/>
      <c r="J305" s="146"/>
      <c r="K305" s="147"/>
      <c r="L305" s="147"/>
      <c r="M305" s="147"/>
      <c r="N305" s="147"/>
      <c r="O305" s="147"/>
      <c r="P305" s="147"/>
      <c r="Q305" s="147"/>
      <c r="R305" s="147"/>
      <c r="S305" s="147"/>
      <c r="T305" s="147"/>
      <c r="U305" s="147"/>
      <c r="V305" s="147"/>
      <c r="W305" s="147"/>
      <c r="X305" s="147"/>
      <c r="Y305" s="147"/>
      <c r="Z305" s="147"/>
      <c r="AA305" s="147"/>
      <c r="AB305" s="147"/>
      <c r="AC305" s="147"/>
      <c r="AD305" s="147"/>
      <c r="AE305" s="147"/>
      <c r="AF305" s="147"/>
      <c r="AG305" s="147"/>
      <c r="AH305" s="147"/>
      <c r="AI305" s="147"/>
      <c r="AJ305" s="147"/>
      <c r="AK305" s="147"/>
    </row>
    <row r="306" ht="15.75" customHeight="1">
      <c r="A306" s="144"/>
      <c r="B306" s="182"/>
      <c r="C306" s="145"/>
      <c r="D306" s="145"/>
      <c r="E306" s="145"/>
      <c r="F306" s="146"/>
      <c r="G306" s="145"/>
      <c r="H306" s="146"/>
      <c r="I306" s="145"/>
      <c r="J306" s="146"/>
      <c r="K306" s="147"/>
      <c r="L306" s="147"/>
      <c r="M306" s="147"/>
      <c r="N306" s="147"/>
      <c r="O306" s="147"/>
      <c r="P306" s="147"/>
      <c r="Q306" s="147"/>
      <c r="R306" s="147"/>
      <c r="S306" s="147"/>
      <c r="T306" s="147"/>
      <c r="U306" s="147"/>
      <c r="V306" s="147"/>
      <c r="W306" s="147"/>
      <c r="X306" s="147"/>
      <c r="Y306" s="147"/>
      <c r="Z306" s="147"/>
      <c r="AA306" s="147"/>
      <c r="AB306" s="147"/>
      <c r="AC306" s="147"/>
      <c r="AD306" s="147"/>
      <c r="AE306" s="147"/>
      <c r="AF306" s="147"/>
      <c r="AG306" s="147"/>
      <c r="AH306" s="147"/>
      <c r="AI306" s="147"/>
      <c r="AJ306" s="147"/>
      <c r="AK306" s="147"/>
    </row>
    <row r="307" ht="15.75" customHeight="1">
      <c r="A307" s="144"/>
      <c r="B307" s="182"/>
      <c r="C307" s="145"/>
      <c r="D307" s="145"/>
      <c r="E307" s="145"/>
      <c r="F307" s="146"/>
      <c r="G307" s="145"/>
      <c r="H307" s="146"/>
      <c r="I307" s="145"/>
      <c r="J307" s="146"/>
      <c r="K307" s="147"/>
      <c r="L307" s="147"/>
      <c r="M307" s="147"/>
      <c r="N307" s="147"/>
      <c r="O307" s="147"/>
      <c r="P307" s="147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F307" s="147"/>
      <c r="AG307" s="147"/>
      <c r="AH307" s="147"/>
      <c r="AI307" s="147"/>
      <c r="AJ307" s="147"/>
      <c r="AK307" s="147"/>
    </row>
    <row r="308" ht="15.75" customHeight="1">
      <c r="A308" s="144"/>
      <c r="B308" s="182"/>
      <c r="C308" s="145"/>
      <c r="D308" s="145"/>
      <c r="E308" s="145"/>
      <c r="F308" s="146"/>
      <c r="G308" s="145"/>
      <c r="H308" s="146"/>
      <c r="I308" s="145"/>
      <c r="J308" s="146"/>
      <c r="K308" s="147"/>
      <c r="L308" s="147"/>
      <c r="M308" s="147"/>
      <c r="N308" s="147"/>
      <c r="O308" s="147"/>
      <c r="P308" s="147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  <c r="AA308" s="147"/>
      <c r="AB308" s="147"/>
      <c r="AC308" s="147"/>
      <c r="AD308" s="147"/>
      <c r="AE308" s="147"/>
      <c r="AF308" s="147"/>
      <c r="AG308" s="147"/>
      <c r="AH308" s="147"/>
      <c r="AI308" s="147"/>
      <c r="AJ308" s="147"/>
      <c r="AK308" s="147"/>
    </row>
    <row r="309" ht="15.75" customHeight="1">
      <c r="A309" s="144"/>
      <c r="B309" s="182"/>
      <c r="C309" s="145"/>
      <c r="D309" s="145"/>
      <c r="E309" s="145"/>
      <c r="F309" s="146"/>
      <c r="G309" s="145"/>
      <c r="H309" s="146"/>
      <c r="I309" s="145"/>
      <c r="J309" s="146"/>
      <c r="K309" s="147"/>
      <c r="L309" s="147"/>
      <c r="M309" s="147"/>
      <c r="N309" s="147"/>
      <c r="O309" s="147"/>
      <c r="P309" s="147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F309" s="147"/>
      <c r="AG309" s="147"/>
      <c r="AH309" s="147"/>
      <c r="AI309" s="147"/>
      <c r="AJ309" s="147"/>
      <c r="AK309" s="147"/>
    </row>
    <row r="310" ht="15.75" customHeight="1">
      <c r="A310" s="144"/>
      <c r="B310" s="182"/>
      <c r="C310" s="145"/>
      <c r="D310" s="145"/>
      <c r="E310" s="145"/>
      <c r="F310" s="146"/>
      <c r="G310" s="145"/>
      <c r="H310" s="146"/>
      <c r="I310" s="145"/>
      <c r="J310" s="146"/>
      <c r="K310" s="147"/>
      <c r="L310" s="147"/>
      <c r="M310" s="147"/>
      <c r="N310" s="147"/>
      <c r="O310" s="147"/>
      <c r="P310" s="147"/>
      <c r="Q310" s="147"/>
      <c r="R310" s="147"/>
      <c r="S310" s="147"/>
      <c r="T310" s="147"/>
      <c r="U310" s="147"/>
      <c r="V310" s="147"/>
      <c r="W310" s="147"/>
      <c r="X310" s="147"/>
      <c r="Y310" s="147"/>
      <c r="Z310" s="147"/>
      <c r="AA310" s="147"/>
      <c r="AB310" s="147"/>
      <c r="AC310" s="147"/>
      <c r="AD310" s="147"/>
      <c r="AE310" s="147"/>
      <c r="AF310" s="147"/>
      <c r="AG310" s="147"/>
      <c r="AH310" s="147"/>
      <c r="AI310" s="147"/>
      <c r="AJ310" s="147"/>
      <c r="AK310" s="147"/>
    </row>
    <row r="311" ht="15.75" customHeight="1">
      <c r="A311" s="144"/>
      <c r="B311" s="182"/>
      <c r="C311" s="145"/>
      <c r="D311" s="145"/>
      <c r="E311" s="145"/>
      <c r="F311" s="146"/>
      <c r="G311" s="145"/>
      <c r="H311" s="146"/>
      <c r="I311" s="145"/>
      <c r="J311" s="146"/>
      <c r="K311" s="147"/>
      <c r="L311" s="147"/>
      <c r="M311" s="147"/>
      <c r="N311" s="147"/>
      <c r="O311" s="147"/>
      <c r="P311" s="147"/>
      <c r="Q311" s="147"/>
      <c r="R311" s="147"/>
      <c r="S311" s="147"/>
      <c r="T311" s="147"/>
      <c r="U311" s="147"/>
      <c r="V311" s="147"/>
      <c r="W311" s="147"/>
      <c r="X311" s="147"/>
      <c r="Y311" s="147"/>
      <c r="Z311" s="147"/>
      <c r="AA311" s="147"/>
      <c r="AB311" s="147"/>
      <c r="AC311" s="147"/>
      <c r="AD311" s="147"/>
      <c r="AE311" s="147"/>
      <c r="AF311" s="147"/>
      <c r="AG311" s="147"/>
      <c r="AH311" s="147"/>
      <c r="AI311" s="147"/>
      <c r="AJ311" s="147"/>
      <c r="AK311" s="147"/>
    </row>
    <row r="312" ht="15.75" customHeight="1">
      <c r="A312" s="144"/>
      <c r="B312" s="182"/>
      <c r="C312" s="145"/>
      <c r="D312" s="145"/>
      <c r="E312" s="145"/>
      <c r="F312" s="146"/>
      <c r="G312" s="145"/>
      <c r="H312" s="146"/>
      <c r="I312" s="145"/>
      <c r="J312" s="146"/>
      <c r="K312" s="147"/>
      <c r="L312" s="147"/>
      <c r="M312" s="147"/>
      <c r="N312" s="147"/>
      <c r="O312" s="147"/>
      <c r="P312" s="147"/>
      <c r="Q312" s="147"/>
      <c r="R312" s="147"/>
      <c r="S312" s="147"/>
      <c r="T312" s="147"/>
      <c r="U312" s="147"/>
      <c r="V312" s="147"/>
      <c r="W312" s="147"/>
      <c r="X312" s="147"/>
      <c r="Y312" s="147"/>
      <c r="Z312" s="147"/>
      <c r="AA312" s="147"/>
      <c r="AB312" s="147"/>
      <c r="AC312" s="147"/>
      <c r="AD312" s="147"/>
      <c r="AE312" s="147"/>
      <c r="AF312" s="147"/>
      <c r="AG312" s="147"/>
      <c r="AH312" s="147"/>
      <c r="AI312" s="147"/>
      <c r="AJ312" s="147"/>
      <c r="AK312" s="147"/>
    </row>
    <row r="313" ht="15.75" customHeight="1">
      <c r="A313" s="144"/>
      <c r="B313" s="182"/>
      <c r="C313" s="145"/>
      <c r="D313" s="145"/>
      <c r="E313" s="145"/>
      <c r="F313" s="146"/>
      <c r="G313" s="145"/>
      <c r="H313" s="146"/>
      <c r="I313" s="145"/>
      <c r="J313" s="146"/>
      <c r="K313" s="147"/>
      <c r="L313" s="147"/>
      <c r="M313" s="147"/>
      <c r="N313" s="147"/>
      <c r="O313" s="147"/>
      <c r="P313" s="147"/>
      <c r="Q313" s="147"/>
      <c r="R313" s="147"/>
      <c r="S313" s="147"/>
      <c r="T313" s="147"/>
      <c r="U313" s="147"/>
      <c r="V313" s="147"/>
      <c r="W313" s="147"/>
      <c r="X313" s="147"/>
      <c r="Y313" s="147"/>
      <c r="Z313" s="147"/>
      <c r="AA313" s="147"/>
      <c r="AB313" s="147"/>
      <c r="AC313" s="147"/>
      <c r="AD313" s="147"/>
      <c r="AE313" s="147"/>
      <c r="AF313" s="147"/>
      <c r="AG313" s="147"/>
      <c r="AH313" s="147"/>
      <c r="AI313" s="147"/>
      <c r="AJ313" s="147"/>
      <c r="AK313" s="147"/>
    </row>
    <row r="314" ht="15.75" customHeight="1">
      <c r="A314" s="144"/>
      <c r="B314" s="182"/>
      <c r="C314" s="145"/>
      <c r="D314" s="145"/>
      <c r="E314" s="145"/>
      <c r="F314" s="146"/>
      <c r="G314" s="145"/>
      <c r="H314" s="146"/>
      <c r="I314" s="145"/>
      <c r="J314" s="146"/>
      <c r="K314" s="147"/>
      <c r="L314" s="147"/>
      <c r="M314" s="147"/>
      <c r="N314" s="147"/>
      <c r="O314" s="147"/>
      <c r="P314" s="147"/>
      <c r="Q314" s="147"/>
      <c r="R314" s="147"/>
      <c r="S314" s="147"/>
      <c r="T314" s="147"/>
      <c r="U314" s="147"/>
      <c r="V314" s="147"/>
      <c r="W314" s="147"/>
      <c r="X314" s="147"/>
      <c r="Y314" s="147"/>
      <c r="Z314" s="147"/>
      <c r="AA314" s="147"/>
      <c r="AB314" s="147"/>
      <c r="AC314" s="147"/>
      <c r="AD314" s="147"/>
      <c r="AE314" s="147"/>
      <c r="AF314" s="147"/>
      <c r="AG314" s="147"/>
      <c r="AH314" s="147"/>
      <c r="AI314" s="147"/>
      <c r="AJ314" s="147"/>
      <c r="AK314" s="147"/>
    </row>
    <row r="315" ht="15.75" customHeight="1">
      <c r="A315" s="144"/>
      <c r="B315" s="182"/>
      <c r="C315" s="145"/>
      <c r="D315" s="145"/>
      <c r="E315" s="145"/>
      <c r="F315" s="146"/>
      <c r="G315" s="145"/>
      <c r="H315" s="146"/>
      <c r="I315" s="145"/>
      <c r="J315" s="146"/>
      <c r="K315" s="147"/>
      <c r="L315" s="147"/>
      <c r="M315" s="147"/>
      <c r="N315" s="147"/>
      <c r="O315" s="147"/>
      <c r="P315" s="147"/>
      <c r="Q315" s="147"/>
      <c r="R315" s="147"/>
      <c r="S315" s="147"/>
      <c r="T315" s="147"/>
      <c r="U315" s="147"/>
      <c r="V315" s="147"/>
      <c r="W315" s="147"/>
      <c r="X315" s="147"/>
      <c r="Y315" s="147"/>
      <c r="Z315" s="147"/>
      <c r="AA315" s="147"/>
      <c r="AB315" s="147"/>
      <c r="AC315" s="147"/>
      <c r="AD315" s="147"/>
      <c r="AE315" s="147"/>
      <c r="AF315" s="147"/>
      <c r="AG315" s="147"/>
      <c r="AH315" s="147"/>
      <c r="AI315" s="147"/>
      <c r="AJ315" s="147"/>
      <c r="AK315" s="147"/>
    </row>
    <row r="316" ht="15.75" customHeight="1">
      <c r="A316" s="144"/>
      <c r="B316" s="182"/>
      <c r="C316" s="145"/>
      <c r="D316" s="145"/>
      <c r="E316" s="145"/>
      <c r="F316" s="146"/>
      <c r="G316" s="145"/>
      <c r="H316" s="146"/>
      <c r="I316" s="145"/>
      <c r="J316" s="146"/>
      <c r="K316" s="147"/>
      <c r="L316" s="147"/>
      <c r="M316" s="147"/>
      <c r="N316" s="147"/>
      <c r="O316" s="147"/>
      <c r="P316" s="147"/>
      <c r="Q316" s="147"/>
      <c r="R316" s="147"/>
      <c r="S316" s="147"/>
      <c r="T316" s="147"/>
      <c r="U316" s="147"/>
      <c r="V316" s="147"/>
      <c r="W316" s="147"/>
      <c r="X316" s="147"/>
      <c r="Y316" s="147"/>
      <c r="Z316" s="147"/>
      <c r="AA316" s="147"/>
      <c r="AB316" s="147"/>
      <c r="AC316" s="147"/>
      <c r="AD316" s="147"/>
      <c r="AE316" s="147"/>
      <c r="AF316" s="147"/>
      <c r="AG316" s="147"/>
      <c r="AH316" s="147"/>
      <c r="AI316" s="147"/>
      <c r="AJ316" s="147"/>
      <c r="AK316" s="147"/>
    </row>
    <row r="317" ht="15.75" customHeight="1">
      <c r="A317" s="144"/>
      <c r="B317" s="182"/>
      <c r="C317" s="145"/>
      <c r="D317" s="145"/>
      <c r="E317" s="145"/>
      <c r="F317" s="146"/>
      <c r="G317" s="145"/>
      <c r="H317" s="146"/>
      <c r="I317" s="145"/>
      <c r="J317" s="146"/>
      <c r="K317" s="147"/>
      <c r="L317" s="147"/>
      <c r="M317" s="147"/>
      <c r="N317" s="147"/>
      <c r="O317" s="147"/>
      <c r="P317" s="147"/>
      <c r="Q317" s="147"/>
      <c r="R317" s="147"/>
      <c r="S317" s="147"/>
      <c r="T317" s="147"/>
      <c r="U317" s="147"/>
      <c r="V317" s="147"/>
      <c r="W317" s="147"/>
      <c r="X317" s="147"/>
      <c r="Y317" s="147"/>
      <c r="Z317" s="147"/>
      <c r="AA317" s="147"/>
      <c r="AB317" s="147"/>
      <c r="AC317" s="147"/>
      <c r="AD317" s="147"/>
      <c r="AE317" s="147"/>
      <c r="AF317" s="147"/>
      <c r="AG317" s="147"/>
      <c r="AH317" s="147"/>
      <c r="AI317" s="147"/>
      <c r="AJ317" s="147"/>
      <c r="AK317" s="147"/>
    </row>
    <row r="318" ht="15.75" customHeight="1">
      <c r="A318" s="144"/>
      <c r="B318" s="182"/>
      <c r="C318" s="145"/>
      <c r="D318" s="145"/>
      <c r="E318" s="145"/>
      <c r="F318" s="146"/>
      <c r="G318" s="145"/>
      <c r="H318" s="146"/>
      <c r="I318" s="145"/>
      <c r="J318" s="146"/>
      <c r="K318" s="147"/>
      <c r="L318" s="147"/>
      <c r="M318" s="147"/>
      <c r="N318" s="147"/>
      <c r="O318" s="147"/>
      <c r="P318" s="147"/>
      <c r="Q318" s="147"/>
      <c r="R318" s="147"/>
      <c r="S318" s="147"/>
      <c r="T318" s="147"/>
      <c r="U318" s="147"/>
      <c r="V318" s="147"/>
      <c r="W318" s="147"/>
      <c r="X318" s="147"/>
      <c r="Y318" s="147"/>
      <c r="Z318" s="147"/>
      <c r="AA318" s="147"/>
      <c r="AB318" s="147"/>
      <c r="AC318" s="147"/>
      <c r="AD318" s="147"/>
      <c r="AE318" s="147"/>
      <c r="AF318" s="147"/>
      <c r="AG318" s="147"/>
      <c r="AH318" s="147"/>
      <c r="AI318" s="147"/>
      <c r="AJ318" s="147"/>
      <c r="AK318" s="147"/>
    </row>
    <row r="319" ht="15.75" customHeight="1">
      <c r="A319" s="144"/>
      <c r="B319" s="182"/>
      <c r="C319" s="145"/>
      <c r="D319" s="145"/>
      <c r="E319" s="145"/>
      <c r="F319" s="146"/>
      <c r="G319" s="145"/>
      <c r="H319" s="146"/>
      <c r="I319" s="145"/>
      <c r="J319" s="146"/>
      <c r="K319" s="147"/>
      <c r="L319" s="147"/>
      <c r="M319" s="147"/>
      <c r="N319" s="147"/>
      <c r="O319" s="147"/>
      <c r="P319" s="147"/>
      <c r="Q319" s="147"/>
      <c r="R319" s="147"/>
      <c r="S319" s="147"/>
      <c r="T319" s="147"/>
      <c r="U319" s="147"/>
      <c r="V319" s="147"/>
      <c r="W319" s="147"/>
      <c r="X319" s="147"/>
      <c r="Y319" s="147"/>
      <c r="Z319" s="147"/>
      <c r="AA319" s="147"/>
      <c r="AB319" s="147"/>
      <c r="AC319" s="147"/>
      <c r="AD319" s="147"/>
      <c r="AE319" s="147"/>
      <c r="AF319" s="147"/>
      <c r="AG319" s="147"/>
      <c r="AH319" s="147"/>
      <c r="AI319" s="147"/>
      <c r="AJ319" s="147"/>
      <c r="AK319" s="147"/>
    </row>
    <row r="320" ht="15.75" customHeight="1">
      <c r="A320" s="144"/>
      <c r="B320" s="182"/>
      <c r="C320" s="145"/>
      <c r="D320" s="145"/>
      <c r="E320" s="145"/>
      <c r="F320" s="146"/>
      <c r="G320" s="145"/>
      <c r="H320" s="146"/>
      <c r="I320" s="145"/>
      <c r="J320" s="146"/>
      <c r="K320" s="147"/>
      <c r="L320" s="147"/>
      <c r="M320" s="147"/>
      <c r="N320" s="147"/>
      <c r="O320" s="147"/>
      <c r="P320" s="147"/>
      <c r="Q320" s="147"/>
      <c r="R320" s="147"/>
      <c r="S320" s="147"/>
      <c r="T320" s="147"/>
      <c r="U320" s="147"/>
      <c r="V320" s="147"/>
      <c r="W320" s="147"/>
      <c r="X320" s="147"/>
      <c r="Y320" s="147"/>
      <c r="Z320" s="147"/>
      <c r="AA320" s="147"/>
      <c r="AB320" s="147"/>
      <c r="AC320" s="147"/>
      <c r="AD320" s="147"/>
      <c r="AE320" s="147"/>
      <c r="AF320" s="147"/>
      <c r="AG320" s="147"/>
      <c r="AH320" s="147"/>
      <c r="AI320" s="147"/>
      <c r="AJ320" s="147"/>
      <c r="AK320" s="147"/>
    </row>
    <row r="321" ht="15.75" customHeight="1">
      <c r="A321" s="144"/>
      <c r="B321" s="182"/>
      <c r="C321" s="145"/>
      <c r="D321" s="145"/>
      <c r="E321" s="145"/>
      <c r="F321" s="146"/>
      <c r="G321" s="145"/>
      <c r="H321" s="146"/>
      <c r="I321" s="145"/>
      <c r="J321" s="146"/>
      <c r="K321" s="147"/>
      <c r="L321" s="147"/>
      <c r="M321" s="147"/>
      <c r="N321" s="147"/>
      <c r="O321" s="147"/>
      <c r="P321" s="147"/>
      <c r="Q321" s="147"/>
      <c r="R321" s="147"/>
      <c r="S321" s="147"/>
      <c r="T321" s="147"/>
      <c r="U321" s="147"/>
      <c r="V321" s="147"/>
      <c r="W321" s="147"/>
      <c r="X321" s="147"/>
      <c r="Y321" s="147"/>
      <c r="Z321" s="147"/>
      <c r="AA321" s="147"/>
      <c r="AB321" s="147"/>
      <c r="AC321" s="147"/>
      <c r="AD321" s="147"/>
      <c r="AE321" s="147"/>
      <c r="AF321" s="147"/>
      <c r="AG321" s="147"/>
      <c r="AH321" s="147"/>
      <c r="AI321" s="147"/>
      <c r="AJ321" s="147"/>
      <c r="AK321" s="147"/>
    </row>
    <row r="322" ht="15.75" customHeight="1">
      <c r="A322" s="144"/>
      <c r="B322" s="182"/>
      <c r="C322" s="145"/>
      <c r="D322" s="145"/>
      <c r="E322" s="145"/>
      <c r="F322" s="146"/>
      <c r="G322" s="145"/>
      <c r="H322" s="146"/>
      <c r="I322" s="145"/>
      <c r="J322" s="146"/>
      <c r="K322" s="147"/>
      <c r="L322" s="147"/>
      <c r="M322" s="147"/>
      <c r="N322" s="147"/>
      <c r="O322" s="147"/>
      <c r="P322" s="147"/>
      <c r="Q322" s="147"/>
      <c r="R322" s="147"/>
      <c r="S322" s="147"/>
      <c r="T322" s="147"/>
      <c r="U322" s="147"/>
      <c r="V322" s="147"/>
      <c r="W322" s="147"/>
      <c r="X322" s="147"/>
      <c r="Y322" s="147"/>
      <c r="Z322" s="147"/>
      <c r="AA322" s="147"/>
      <c r="AB322" s="147"/>
      <c r="AC322" s="147"/>
      <c r="AD322" s="147"/>
      <c r="AE322" s="147"/>
      <c r="AF322" s="147"/>
      <c r="AG322" s="147"/>
      <c r="AH322" s="147"/>
      <c r="AI322" s="147"/>
      <c r="AJ322" s="147"/>
      <c r="AK322" s="147"/>
    </row>
    <row r="323" ht="15.75" customHeight="1">
      <c r="A323" s="144"/>
      <c r="B323" s="182"/>
      <c r="C323" s="145"/>
      <c r="D323" s="145"/>
      <c r="E323" s="145"/>
      <c r="F323" s="146"/>
      <c r="G323" s="145"/>
      <c r="H323" s="146"/>
      <c r="I323" s="145"/>
      <c r="J323" s="146"/>
      <c r="K323" s="147"/>
      <c r="L323" s="147"/>
      <c r="M323" s="147"/>
      <c r="N323" s="147"/>
      <c r="O323" s="147"/>
      <c r="P323" s="147"/>
      <c r="Q323" s="147"/>
      <c r="R323" s="147"/>
      <c r="S323" s="147"/>
      <c r="T323" s="147"/>
      <c r="U323" s="147"/>
      <c r="V323" s="147"/>
      <c r="W323" s="147"/>
      <c r="X323" s="147"/>
      <c r="Y323" s="147"/>
      <c r="Z323" s="147"/>
      <c r="AA323" s="147"/>
      <c r="AB323" s="147"/>
      <c r="AC323" s="147"/>
      <c r="AD323" s="147"/>
      <c r="AE323" s="147"/>
      <c r="AF323" s="147"/>
      <c r="AG323" s="147"/>
      <c r="AH323" s="147"/>
      <c r="AI323" s="147"/>
      <c r="AJ323" s="147"/>
      <c r="AK323" s="147"/>
    </row>
    <row r="324" ht="15.75" customHeight="1">
      <c r="A324" s="144"/>
      <c r="B324" s="182"/>
      <c r="C324" s="145"/>
      <c r="D324" s="145"/>
      <c r="E324" s="145"/>
      <c r="F324" s="146"/>
      <c r="G324" s="145"/>
      <c r="H324" s="146"/>
      <c r="I324" s="145"/>
      <c r="J324" s="146"/>
      <c r="K324" s="147"/>
      <c r="L324" s="147"/>
      <c r="M324" s="147"/>
      <c r="N324" s="147"/>
      <c r="O324" s="147"/>
      <c r="P324" s="147"/>
      <c r="Q324" s="147"/>
      <c r="R324" s="147"/>
      <c r="S324" s="147"/>
      <c r="T324" s="147"/>
      <c r="U324" s="147"/>
      <c r="V324" s="147"/>
      <c r="W324" s="147"/>
      <c r="X324" s="147"/>
      <c r="Y324" s="147"/>
      <c r="Z324" s="147"/>
      <c r="AA324" s="147"/>
      <c r="AB324" s="147"/>
      <c r="AC324" s="147"/>
      <c r="AD324" s="147"/>
      <c r="AE324" s="147"/>
      <c r="AF324" s="147"/>
      <c r="AG324" s="147"/>
      <c r="AH324" s="147"/>
      <c r="AI324" s="147"/>
      <c r="AJ324" s="147"/>
      <c r="AK324" s="147"/>
    </row>
    <row r="325" ht="15.75" customHeight="1">
      <c r="A325" s="144"/>
      <c r="B325" s="182"/>
      <c r="C325" s="145"/>
      <c r="D325" s="145"/>
      <c r="E325" s="145"/>
      <c r="F325" s="146"/>
      <c r="G325" s="145"/>
      <c r="H325" s="146"/>
      <c r="I325" s="145"/>
      <c r="J325" s="146"/>
      <c r="K325" s="147"/>
      <c r="L325" s="147"/>
      <c r="M325" s="147"/>
      <c r="N325" s="147"/>
      <c r="O325" s="147"/>
      <c r="P325" s="147"/>
      <c r="Q325" s="147"/>
      <c r="R325" s="147"/>
      <c r="S325" s="147"/>
      <c r="T325" s="147"/>
      <c r="U325" s="147"/>
      <c r="V325" s="147"/>
      <c r="W325" s="147"/>
      <c r="X325" s="147"/>
      <c r="Y325" s="147"/>
      <c r="Z325" s="147"/>
      <c r="AA325" s="147"/>
      <c r="AB325" s="147"/>
      <c r="AC325" s="147"/>
      <c r="AD325" s="147"/>
      <c r="AE325" s="147"/>
      <c r="AF325" s="147"/>
      <c r="AG325" s="147"/>
      <c r="AH325" s="147"/>
      <c r="AI325" s="147"/>
      <c r="AJ325" s="147"/>
      <c r="AK325" s="147"/>
    </row>
    <row r="326" ht="15.75" customHeight="1">
      <c r="A326" s="144"/>
      <c r="B326" s="182"/>
      <c r="C326" s="145"/>
      <c r="D326" s="145"/>
      <c r="E326" s="145"/>
      <c r="F326" s="146"/>
      <c r="G326" s="145"/>
      <c r="H326" s="146"/>
      <c r="I326" s="145"/>
      <c r="J326" s="146"/>
      <c r="K326" s="147"/>
      <c r="L326" s="147"/>
      <c r="M326" s="147"/>
      <c r="N326" s="147"/>
      <c r="O326" s="147"/>
      <c r="P326" s="147"/>
      <c r="Q326" s="147"/>
      <c r="R326" s="147"/>
      <c r="S326" s="147"/>
      <c r="T326" s="147"/>
      <c r="U326" s="147"/>
      <c r="V326" s="147"/>
      <c r="W326" s="147"/>
      <c r="X326" s="147"/>
      <c r="Y326" s="147"/>
      <c r="Z326" s="147"/>
      <c r="AA326" s="147"/>
      <c r="AB326" s="147"/>
      <c r="AC326" s="147"/>
      <c r="AD326" s="147"/>
      <c r="AE326" s="147"/>
      <c r="AF326" s="147"/>
      <c r="AG326" s="147"/>
      <c r="AH326" s="147"/>
      <c r="AI326" s="147"/>
      <c r="AJ326" s="147"/>
      <c r="AK326" s="147"/>
    </row>
    <row r="327" ht="15.75" customHeight="1">
      <c r="A327" s="144"/>
      <c r="B327" s="182"/>
      <c r="C327" s="145"/>
      <c r="D327" s="145"/>
      <c r="E327" s="145"/>
      <c r="F327" s="146"/>
      <c r="G327" s="145"/>
      <c r="H327" s="146"/>
      <c r="I327" s="145"/>
      <c r="J327" s="146"/>
      <c r="K327" s="147"/>
      <c r="L327" s="147"/>
      <c r="M327" s="147"/>
      <c r="N327" s="147"/>
      <c r="O327" s="147"/>
      <c r="P327" s="147"/>
      <c r="Q327" s="147"/>
      <c r="R327" s="147"/>
      <c r="S327" s="147"/>
      <c r="T327" s="147"/>
      <c r="U327" s="147"/>
      <c r="V327" s="147"/>
      <c r="W327" s="147"/>
      <c r="X327" s="147"/>
      <c r="Y327" s="147"/>
      <c r="Z327" s="147"/>
      <c r="AA327" s="147"/>
      <c r="AB327" s="147"/>
      <c r="AC327" s="147"/>
      <c r="AD327" s="147"/>
      <c r="AE327" s="147"/>
      <c r="AF327" s="147"/>
      <c r="AG327" s="147"/>
      <c r="AH327" s="147"/>
      <c r="AI327" s="147"/>
      <c r="AJ327" s="147"/>
      <c r="AK327" s="147"/>
    </row>
    <row r="328" ht="15.75" customHeight="1">
      <c r="A328" s="144"/>
      <c r="B328" s="182"/>
      <c r="C328" s="145"/>
      <c r="D328" s="145"/>
      <c r="E328" s="145"/>
      <c r="F328" s="146"/>
      <c r="G328" s="145"/>
      <c r="H328" s="146"/>
      <c r="I328" s="145"/>
      <c r="J328" s="146"/>
      <c r="K328" s="147"/>
      <c r="L328" s="147"/>
      <c r="M328" s="147"/>
      <c r="N328" s="147"/>
      <c r="O328" s="147"/>
      <c r="P328" s="147"/>
      <c r="Q328" s="147"/>
      <c r="R328" s="147"/>
      <c r="S328" s="147"/>
      <c r="T328" s="147"/>
      <c r="U328" s="147"/>
      <c r="V328" s="147"/>
      <c r="W328" s="147"/>
      <c r="X328" s="147"/>
      <c r="Y328" s="147"/>
      <c r="Z328" s="147"/>
      <c r="AA328" s="147"/>
      <c r="AB328" s="147"/>
      <c r="AC328" s="147"/>
      <c r="AD328" s="147"/>
      <c r="AE328" s="147"/>
      <c r="AF328" s="147"/>
      <c r="AG328" s="147"/>
      <c r="AH328" s="147"/>
      <c r="AI328" s="147"/>
      <c r="AJ328" s="147"/>
      <c r="AK328" s="147"/>
    </row>
    <row r="329" ht="15.75" customHeight="1">
      <c r="A329" s="144"/>
      <c r="B329" s="182"/>
      <c r="C329" s="145"/>
      <c r="D329" s="145"/>
      <c r="E329" s="145"/>
      <c r="F329" s="146"/>
      <c r="G329" s="145"/>
      <c r="H329" s="146"/>
      <c r="I329" s="145"/>
      <c r="J329" s="146"/>
      <c r="K329" s="147"/>
      <c r="L329" s="147"/>
      <c r="M329" s="147"/>
      <c r="N329" s="147"/>
      <c r="O329" s="147"/>
      <c r="P329" s="147"/>
      <c r="Q329" s="147"/>
      <c r="R329" s="147"/>
      <c r="S329" s="147"/>
      <c r="T329" s="147"/>
      <c r="U329" s="147"/>
      <c r="V329" s="147"/>
      <c r="W329" s="147"/>
      <c r="X329" s="147"/>
      <c r="Y329" s="147"/>
      <c r="Z329" s="147"/>
      <c r="AA329" s="147"/>
      <c r="AB329" s="147"/>
      <c r="AC329" s="147"/>
      <c r="AD329" s="147"/>
      <c r="AE329" s="147"/>
      <c r="AF329" s="147"/>
      <c r="AG329" s="147"/>
      <c r="AH329" s="147"/>
      <c r="AI329" s="147"/>
      <c r="AJ329" s="147"/>
      <c r="AK329" s="147"/>
    </row>
    <row r="330" ht="15.75" customHeight="1">
      <c r="A330" s="144"/>
      <c r="B330" s="182"/>
      <c r="C330" s="145"/>
      <c r="D330" s="145"/>
      <c r="E330" s="145"/>
      <c r="F330" s="146"/>
      <c r="G330" s="145"/>
      <c r="H330" s="146"/>
      <c r="I330" s="145"/>
      <c r="J330" s="146"/>
      <c r="K330" s="147"/>
      <c r="L330" s="147"/>
      <c r="M330" s="147"/>
      <c r="N330" s="147"/>
      <c r="O330" s="147"/>
      <c r="P330" s="147"/>
      <c r="Q330" s="147"/>
      <c r="R330" s="147"/>
      <c r="S330" s="147"/>
      <c r="T330" s="147"/>
      <c r="U330" s="147"/>
      <c r="V330" s="147"/>
      <c r="W330" s="147"/>
      <c r="X330" s="147"/>
      <c r="Y330" s="147"/>
      <c r="Z330" s="147"/>
      <c r="AA330" s="147"/>
      <c r="AB330" s="147"/>
      <c r="AC330" s="147"/>
      <c r="AD330" s="147"/>
      <c r="AE330" s="147"/>
      <c r="AF330" s="147"/>
      <c r="AG330" s="147"/>
      <c r="AH330" s="147"/>
      <c r="AI330" s="147"/>
      <c r="AJ330" s="147"/>
      <c r="AK330" s="147"/>
    </row>
    <row r="331" ht="15.75" customHeight="1">
      <c r="A331" s="144"/>
      <c r="B331" s="182"/>
      <c r="C331" s="145"/>
      <c r="D331" s="145"/>
      <c r="E331" s="145"/>
      <c r="F331" s="146"/>
      <c r="G331" s="145"/>
      <c r="H331" s="146"/>
      <c r="I331" s="145"/>
      <c r="J331" s="146"/>
      <c r="K331" s="147"/>
      <c r="L331" s="147"/>
      <c r="M331" s="147"/>
      <c r="N331" s="147"/>
      <c r="O331" s="147"/>
      <c r="P331" s="147"/>
      <c r="Q331" s="147"/>
      <c r="R331" s="147"/>
      <c r="S331" s="147"/>
      <c r="T331" s="147"/>
      <c r="U331" s="147"/>
      <c r="V331" s="147"/>
      <c r="W331" s="147"/>
      <c r="X331" s="147"/>
      <c r="Y331" s="147"/>
      <c r="Z331" s="147"/>
      <c r="AA331" s="147"/>
      <c r="AB331" s="147"/>
      <c r="AC331" s="147"/>
      <c r="AD331" s="147"/>
      <c r="AE331" s="147"/>
      <c r="AF331" s="147"/>
      <c r="AG331" s="147"/>
      <c r="AH331" s="147"/>
      <c r="AI331" s="147"/>
      <c r="AJ331" s="147"/>
      <c r="AK331" s="147"/>
    </row>
    <row r="332" ht="15.75" customHeight="1">
      <c r="A332" s="144"/>
      <c r="B332" s="182"/>
      <c r="C332" s="145"/>
      <c r="D332" s="145"/>
      <c r="E332" s="145"/>
      <c r="F332" s="146"/>
      <c r="G332" s="145"/>
      <c r="H332" s="146"/>
      <c r="I332" s="145"/>
      <c r="J332" s="146"/>
      <c r="K332" s="147"/>
      <c r="L332" s="147"/>
      <c r="M332" s="147"/>
      <c r="N332" s="147"/>
      <c r="O332" s="147"/>
      <c r="P332" s="147"/>
      <c r="Q332" s="147"/>
      <c r="R332" s="147"/>
      <c r="S332" s="147"/>
      <c r="T332" s="147"/>
      <c r="U332" s="147"/>
      <c r="V332" s="147"/>
      <c r="W332" s="147"/>
      <c r="X332" s="147"/>
      <c r="Y332" s="147"/>
      <c r="Z332" s="147"/>
      <c r="AA332" s="147"/>
      <c r="AB332" s="147"/>
      <c r="AC332" s="147"/>
      <c r="AD332" s="147"/>
      <c r="AE332" s="147"/>
      <c r="AF332" s="147"/>
      <c r="AG332" s="147"/>
      <c r="AH332" s="147"/>
      <c r="AI332" s="147"/>
      <c r="AJ332" s="147"/>
      <c r="AK332" s="147"/>
    </row>
    <row r="333" ht="15.75" customHeight="1">
      <c r="A333" s="144"/>
      <c r="B333" s="182"/>
      <c r="C333" s="145"/>
      <c r="D333" s="145"/>
      <c r="E333" s="145"/>
      <c r="F333" s="146"/>
      <c r="G333" s="145"/>
      <c r="H333" s="146"/>
      <c r="I333" s="145"/>
      <c r="J333" s="146"/>
      <c r="K333" s="147"/>
      <c r="L333" s="147"/>
      <c r="M333" s="147"/>
      <c r="N333" s="147"/>
      <c r="O333" s="147"/>
      <c r="P333" s="147"/>
      <c r="Q333" s="147"/>
      <c r="R333" s="147"/>
      <c r="S333" s="147"/>
      <c r="T333" s="147"/>
      <c r="U333" s="147"/>
      <c r="V333" s="147"/>
      <c r="W333" s="147"/>
      <c r="X333" s="147"/>
      <c r="Y333" s="147"/>
      <c r="Z333" s="147"/>
      <c r="AA333" s="147"/>
      <c r="AB333" s="147"/>
      <c r="AC333" s="147"/>
      <c r="AD333" s="147"/>
      <c r="AE333" s="147"/>
      <c r="AF333" s="147"/>
      <c r="AG333" s="147"/>
      <c r="AH333" s="147"/>
      <c r="AI333" s="147"/>
      <c r="AJ333" s="147"/>
      <c r="AK333" s="147"/>
    </row>
    <row r="334" ht="15.75" customHeight="1">
      <c r="A334" s="144"/>
      <c r="B334" s="182"/>
      <c r="C334" s="145"/>
      <c r="D334" s="145"/>
      <c r="E334" s="145"/>
      <c r="F334" s="146"/>
      <c r="G334" s="145"/>
      <c r="H334" s="146"/>
      <c r="I334" s="145"/>
      <c r="J334" s="146"/>
      <c r="K334" s="147"/>
      <c r="L334" s="147"/>
      <c r="M334" s="147"/>
      <c r="N334" s="147"/>
      <c r="O334" s="147"/>
      <c r="P334" s="147"/>
      <c r="Q334" s="147"/>
      <c r="R334" s="147"/>
      <c r="S334" s="147"/>
      <c r="T334" s="147"/>
      <c r="U334" s="147"/>
      <c r="V334" s="147"/>
      <c r="W334" s="147"/>
      <c r="X334" s="147"/>
      <c r="Y334" s="147"/>
      <c r="Z334" s="147"/>
      <c r="AA334" s="147"/>
      <c r="AB334" s="147"/>
      <c r="AC334" s="147"/>
      <c r="AD334" s="147"/>
      <c r="AE334" s="147"/>
      <c r="AF334" s="147"/>
      <c r="AG334" s="147"/>
      <c r="AH334" s="147"/>
      <c r="AI334" s="147"/>
      <c r="AJ334" s="147"/>
      <c r="AK334" s="147"/>
    </row>
    <row r="335" ht="15.75" customHeight="1">
      <c r="A335" s="144"/>
      <c r="B335" s="182"/>
      <c r="C335" s="145"/>
      <c r="D335" s="145"/>
      <c r="E335" s="145"/>
      <c r="F335" s="146"/>
      <c r="G335" s="145"/>
      <c r="H335" s="146"/>
      <c r="I335" s="145"/>
      <c r="J335" s="146"/>
      <c r="K335" s="147"/>
      <c r="L335" s="147"/>
      <c r="M335" s="147"/>
      <c r="N335" s="147"/>
      <c r="O335" s="147"/>
      <c r="P335" s="147"/>
      <c r="Q335" s="147"/>
      <c r="R335" s="147"/>
      <c r="S335" s="147"/>
      <c r="T335" s="147"/>
      <c r="U335" s="147"/>
      <c r="V335" s="147"/>
      <c r="W335" s="147"/>
      <c r="X335" s="147"/>
      <c r="Y335" s="147"/>
      <c r="Z335" s="147"/>
      <c r="AA335" s="147"/>
      <c r="AB335" s="147"/>
      <c r="AC335" s="147"/>
      <c r="AD335" s="147"/>
      <c r="AE335" s="147"/>
      <c r="AF335" s="147"/>
      <c r="AG335" s="147"/>
      <c r="AH335" s="147"/>
      <c r="AI335" s="147"/>
      <c r="AJ335" s="147"/>
      <c r="AK335" s="147"/>
    </row>
    <row r="336" ht="15.75" customHeight="1">
      <c r="A336" s="144"/>
      <c r="B336" s="182"/>
      <c r="C336" s="145"/>
      <c r="D336" s="145"/>
      <c r="E336" s="145"/>
      <c r="F336" s="146"/>
      <c r="G336" s="145"/>
      <c r="H336" s="146"/>
      <c r="I336" s="145"/>
      <c r="J336" s="146"/>
      <c r="K336" s="147"/>
      <c r="L336" s="147"/>
      <c r="M336" s="147"/>
      <c r="N336" s="147"/>
      <c r="O336" s="147"/>
      <c r="P336" s="147"/>
      <c r="Q336" s="147"/>
      <c r="R336" s="147"/>
      <c r="S336" s="147"/>
      <c r="T336" s="147"/>
      <c r="U336" s="147"/>
      <c r="V336" s="147"/>
      <c r="W336" s="147"/>
      <c r="X336" s="147"/>
      <c r="Y336" s="147"/>
      <c r="Z336" s="147"/>
      <c r="AA336" s="147"/>
      <c r="AB336" s="147"/>
      <c r="AC336" s="147"/>
      <c r="AD336" s="147"/>
      <c r="AE336" s="147"/>
      <c r="AF336" s="147"/>
      <c r="AG336" s="147"/>
      <c r="AH336" s="147"/>
      <c r="AI336" s="147"/>
      <c r="AJ336" s="147"/>
      <c r="AK336" s="147"/>
    </row>
    <row r="337" ht="15.75" customHeight="1">
      <c r="A337" s="144"/>
      <c r="B337" s="182"/>
      <c r="C337" s="145"/>
      <c r="D337" s="145"/>
      <c r="E337" s="145"/>
      <c r="F337" s="146"/>
      <c r="G337" s="145"/>
      <c r="H337" s="146"/>
      <c r="I337" s="145"/>
      <c r="J337" s="146"/>
      <c r="K337" s="147"/>
      <c r="L337" s="147"/>
      <c r="M337" s="147"/>
      <c r="N337" s="147"/>
      <c r="O337" s="147"/>
      <c r="P337" s="147"/>
      <c r="Q337" s="147"/>
      <c r="R337" s="147"/>
      <c r="S337" s="147"/>
      <c r="T337" s="147"/>
      <c r="U337" s="147"/>
      <c r="V337" s="147"/>
      <c r="W337" s="147"/>
      <c r="X337" s="147"/>
      <c r="Y337" s="147"/>
      <c r="Z337" s="147"/>
      <c r="AA337" s="147"/>
      <c r="AB337" s="147"/>
      <c r="AC337" s="147"/>
      <c r="AD337" s="147"/>
      <c r="AE337" s="147"/>
      <c r="AF337" s="147"/>
      <c r="AG337" s="147"/>
      <c r="AH337" s="147"/>
      <c r="AI337" s="147"/>
      <c r="AJ337" s="147"/>
      <c r="AK337" s="147"/>
    </row>
    <row r="338" ht="15.75" customHeight="1">
      <c r="A338" s="144"/>
      <c r="B338" s="182"/>
      <c r="C338" s="145"/>
      <c r="D338" s="145"/>
      <c r="E338" s="145"/>
      <c r="F338" s="146"/>
      <c r="G338" s="145"/>
      <c r="H338" s="146"/>
      <c r="I338" s="145"/>
      <c r="J338" s="146"/>
      <c r="K338" s="147"/>
      <c r="L338" s="147"/>
      <c r="M338" s="147"/>
      <c r="N338" s="147"/>
      <c r="O338" s="147"/>
      <c r="P338" s="147"/>
      <c r="Q338" s="147"/>
      <c r="R338" s="147"/>
      <c r="S338" s="147"/>
      <c r="T338" s="147"/>
      <c r="U338" s="147"/>
      <c r="V338" s="147"/>
      <c r="W338" s="147"/>
      <c r="X338" s="147"/>
      <c r="Y338" s="147"/>
      <c r="Z338" s="147"/>
      <c r="AA338" s="147"/>
      <c r="AB338" s="147"/>
      <c r="AC338" s="147"/>
      <c r="AD338" s="147"/>
      <c r="AE338" s="147"/>
      <c r="AF338" s="147"/>
      <c r="AG338" s="147"/>
      <c r="AH338" s="147"/>
      <c r="AI338" s="147"/>
      <c r="AJ338" s="147"/>
      <c r="AK338" s="147"/>
    </row>
    <row r="339" ht="15.75" customHeight="1">
      <c r="A339" s="144"/>
      <c r="B339" s="182"/>
      <c r="C339" s="145"/>
      <c r="D339" s="145"/>
      <c r="E339" s="145"/>
      <c r="F339" s="146"/>
      <c r="G339" s="145"/>
      <c r="H339" s="146"/>
      <c r="I339" s="145"/>
      <c r="J339" s="146"/>
      <c r="K339" s="147"/>
      <c r="L339" s="147"/>
      <c r="M339" s="147"/>
      <c r="N339" s="147"/>
      <c r="O339" s="147"/>
      <c r="P339" s="147"/>
      <c r="Q339" s="147"/>
      <c r="R339" s="147"/>
      <c r="S339" s="147"/>
      <c r="T339" s="147"/>
      <c r="U339" s="147"/>
      <c r="V339" s="147"/>
      <c r="W339" s="147"/>
      <c r="X339" s="147"/>
      <c r="Y339" s="147"/>
      <c r="Z339" s="147"/>
      <c r="AA339" s="147"/>
      <c r="AB339" s="147"/>
      <c r="AC339" s="147"/>
      <c r="AD339" s="147"/>
      <c r="AE339" s="147"/>
      <c r="AF339" s="147"/>
      <c r="AG339" s="147"/>
      <c r="AH339" s="147"/>
      <c r="AI339" s="147"/>
      <c r="AJ339" s="147"/>
      <c r="AK339" s="147"/>
    </row>
    <row r="340" ht="15.75" customHeight="1">
      <c r="A340" s="144"/>
      <c r="B340" s="182"/>
      <c r="C340" s="145"/>
      <c r="D340" s="145"/>
      <c r="E340" s="145"/>
      <c r="F340" s="146"/>
      <c r="G340" s="145"/>
      <c r="H340" s="146"/>
      <c r="I340" s="145"/>
      <c r="J340" s="146"/>
      <c r="K340" s="147"/>
      <c r="L340" s="147"/>
      <c r="M340" s="147"/>
      <c r="N340" s="147"/>
      <c r="O340" s="147"/>
      <c r="P340" s="147"/>
      <c r="Q340" s="147"/>
      <c r="R340" s="147"/>
      <c r="S340" s="147"/>
      <c r="T340" s="147"/>
      <c r="U340" s="147"/>
      <c r="V340" s="147"/>
      <c r="W340" s="147"/>
      <c r="X340" s="147"/>
      <c r="Y340" s="147"/>
      <c r="Z340" s="147"/>
      <c r="AA340" s="147"/>
      <c r="AB340" s="147"/>
      <c r="AC340" s="147"/>
      <c r="AD340" s="147"/>
      <c r="AE340" s="147"/>
      <c r="AF340" s="147"/>
      <c r="AG340" s="147"/>
      <c r="AH340" s="147"/>
      <c r="AI340" s="147"/>
      <c r="AJ340" s="147"/>
      <c r="AK340" s="147"/>
    </row>
    <row r="341" ht="15.75" customHeight="1">
      <c r="A341" s="144"/>
      <c r="B341" s="182"/>
      <c r="C341" s="145"/>
      <c r="D341" s="145"/>
      <c r="E341" s="145"/>
      <c r="F341" s="146"/>
      <c r="G341" s="145"/>
      <c r="H341" s="146"/>
      <c r="I341" s="145"/>
      <c r="J341" s="146"/>
      <c r="K341" s="147"/>
      <c r="L341" s="147"/>
      <c r="M341" s="147"/>
      <c r="N341" s="147"/>
      <c r="O341" s="147"/>
      <c r="P341" s="147"/>
      <c r="Q341" s="147"/>
      <c r="R341" s="147"/>
      <c r="S341" s="147"/>
      <c r="T341" s="147"/>
      <c r="U341" s="147"/>
      <c r="V341" s="147"/>
      <c r="W341" s="147"/>
      <c r="X341" s="147"/>
      <c r="Y341" s="147"/>
      <c r="Z341" s="147"/>
      <c r="AA341" s="147"/>
      <c r="AB341" s="147"/>
      <c r="AC341" s="147"/>
      <c r="AD341" s="147"/>
      <c r="AE341" s="147"/>
      <c r="AF341" s="147"/>
      <c r="AG341" s="147"/>
      <c r="AH341" s="147"/>
      <c r="AI341" s="147"/>
      <c r="AJ341" s="147"/>
      <c r="AK341" s="147"/>
    </row>
    <row r="342" ht="15.75" customHeight="1">
      <c r="A342" s="144"/>
      <c r="B342" s="182"/>
      <c r="C342" s="145"/>
      <c r="D342" s="145"/>
      <c r="E342" s="145"/>
      <c r="F342" s="146"/>
      <c r="G342" s="145"/>
      <c r="H342" s="146"/>
      <c r="I342" s="145"/>
      <c r="J342" s="146"/>
      <c r="K342" s="147"/>
      <c r="L342" s="147"/>
      <c r="M342" s="147"/>
      <c r="N342" s="147"/>
      <c r="O342" s="147"/>
      <c r="P342" s="147"/>
      <c r="Q342" s="147"/>
      <c r="R342" s="147"/>
      <c r="S342" s="147"/>
      <c r="T342" s="147"/>
      <c r="U342" s="147"/>
      <c r="V342" s="147"/>
      <c r="W342" s="147"/>
      <c r="X342" s="147"/>
      <c r="Y342" s="147"/>
      <c r="Z342" s="147"/>
      <c r="AA342" s="147"/>
      <c r="AB342" s="147"/>
      <c r="AC342" s="147"/>
      <c r="AD342" s="147"/>
      <c r="AE342" s="147"/>
      <c r="AF342" s="147"/>
      <c r="AG342" s="147"/>
      <c r="AH342" s="147"/>
      <c r="AI342" s="147"/>
      <c r="AJ342" s="147"/>
      <c r="AK342" s="147"/>
    </row>
    <row r="343" ht="15.75" customHeight="1">
      <c r="A343" s="144"/>
      <c r="B343" s="182"/>
      <c r="C343" s="145"/>
      <c r="D343" s="145"/>
      <c r="E343" s="145"/>
      <c r="F343" s="146"/>
      <c r="G343" s="145"/>
      <c r="H343" s="146"/>
      <c r="I343" s="145"/>
      <c r="J343" s="146"/>
      <c r="K343" s="147"/>
      <c r="L343" s="147"/>
      <c r="M343" s="147"/>
      <c r="N343" s="147"/>
      <c r="O343" s="147"/>
      <c r="P343" s="147"/>
      <c r="Q343" s="147"/>
      <c r="R343" s="147"/>
      <c r="S343" s="147"/>
      <c r="T343" s="147"/>
      <c r="U343" s="147"/>
      <c r="V343" s="147"/>
      <c r="W343" s="147"/>
      <c r="X343" s="147"/>
      <c r="Y343" s="147"/>
      <c r="Z343" s="147"/>
      <c r="AA343" s="147"/>
      <c r="AB343" s="147"/>
      <c r="AC343" s="147"/>
      <c r="AD343" s="147"/>
      <c r="AE343" s="147"/>
      <c r="AF343" s="147"/>
      <c r="AG343" s="147"/>
      <c r="AH343" s="147"/>
      <c r="AI343" s="147"/>
      <c r="AJ343" s="147"/>
      <c r="AK343" s="147"/>
    </row>
    <row r="344" ht="15.75" customHeight="1">
      <c r="A344" s="144"/>
      <c r="B344" s="182"/>
      <c r="C344" s="145"/>
      <c r="D344" s="145"/>
      <c r="E344" s="145"/>
      <c r="F344" s="146"/>
      <c r="G344" s="145"/>
      <c r="H344" s="146"/>
      <c r="I344" s="145"/>
      <c r="J344" s="146"/>
      <c r="K344" s="147"/>
      <c r="L344" s="147"/>
      <c r="M344" s="147"/>
      <c r="N344" s="147"/>
      <c r="O344" s="147"/>
      <c r="P344" s="147"/>
      <c r="Q344" s="147"/>
      <c r="R344" s="147"/>
      <c r="S344" s="147"/>
      <c r="T344" s="147"/>
      <c r="U344" s="147"/>
      <c r="V344" s="147"/>
      <c r="W344" s="147"/>
      <c r="X344" s="147"/>
      <c r="Y344" s="147"/>
      <c r="Z344" s="147"/>
      <c r="AA344" s="147"/>
      <c r="AB344" s="147"/>
      <c r="AC344" s="147"/>
      <c r="AD344" s="147"/>
      <c r="AE344" s="147"/>
      <c r="AF344" s="147"/>
      <c r="AG344" s="147"/>
      <c r="AH344" s="147"/>
      <c r="AI344" s="147"/>
      <c r="AJ344" s="147"/>
      <c r="AK344" s="147"/>
    </row>
    <row r="345" ht="15.75" customHeight="1">
      <c r="A345" s="144"/>
      <c r="B345" s="182"/>
      <c r="C345" s="145"/>
      <c r="D345" s="145"/>
      <c r="E345" s="145"/>
      <c r="F345" s="146"/>
      <c r="G345" s="145"/>
      <c r="H345" s="146"/>
      <c r="I345" s="145"/>
      <c r="J345" s="146"/>
      <c r="K345" s="147"/>
      <c r="L345" s="147"/>
      <c r="M345" s="147"/>
      <c r="N345" s="147"/>
      <c r="O345" s="147"/>
      <c r="P345" s="147"/>
      <c r="Q345" s="147"/>
      <c r="R345" s="147"/>
      <c r="S345" s="147"/>
      <c r="T345" s="147"/>
      <c r="U345" s="147"/>
      <c r="V345" s="147"/>
      <c r="W345" s="147"/>
      <c r="X345" s="147"/>
      <c r="Y345" s="147"/>
      <c r="Z345" s="147"/>
      <c r="AA345" s="147"/>
      <c r="AB345" s="147"/>
      <c r="AC345" s="147"/>
      <c r="AD345" s="147"/>
      <c r="AE345" s="147"/>
      <c r="AF345" s="147"/>
      <c r="AG345" s="147"/>
      <c r="AH345" s="147"/>
      <c r="AI345" s="147"/>
      <c r="AJ345" s="147"/>
      <c r="AK345" s="147"/>
    </row>
    <row r="346" ht="15.75" customHeight="1">
      <c r="A346" s="144"/>
      <c r="B346" s="182"/>
      <c r="C346" s="145"/>
      <c r="D346" s="145"/>
      <c r="E346" s="145"/>
      <c r="F346" s="146"/>
      <c r="G346" s="145"/>
      <c r="H346" s="146"/>
      <c r="I346" s="145"/>
      <c r="J346" s="146"/>
      <c r="K346" s="147"/>
      <c r="L346" s="147"/>
      <c r="M346" s="147"/>
      <c r="N346" s="147"/>
      <c r="O346" s="147"/>
      <c r="P346" s="147"/>
      <c r="Q346" s="147"/>
      <c r="R346" s="147"/>
      <c r="S346" s="147"/>
      <c r="T346" s="147"/>
      <c r="U346" s="147"/>
      <c r="V346" s="147"/>
      <c r="W346" s="147"/>
      <c r="X346" s="147"/>
      <c r="Y346" s="147"/>
      <c r="Z346" s="147"/>
      <c r="AA346" s="147"/>
      <c r="AB346" s="147"/>
      <c r="AC346" s="147"/>
      <c r="AD346" s="147"/>
      <c r="AE346" s="147"/>
      <c r="AF346" s="147"/>
      <c r="AG346" s="147"/>
      <c r="AH346" s="147"/>
      <c r="AI346" s="147"/>
      <c r="AJ346" s="147"/>
      <c r="AK346" s="147"/>
    </row>
    <row r="347" ht="15.75" customHeight="1">
      <c r="A347" s="144"/>
      <c r="B347" s="182"/>
      <c r="C347" s="145"/>
      <c r="D347" s="145"/>
      <c r="E347" s="145"/>
      <c r="F347" s="146"/>
      <c r="G347" s="145"/>
      <c r="H347" s="146"/>
      <c r="I347" s="145"/>
      <c r="J347" s="146"/>
      <c r="K347" s="147"/>
      <c r="L347" s="147"/>
      <c r="M347" s="147"/>
      <c r="N347" s="147"/>
      <c r="O347" s="147"/>
      <c r="P347" s="147"/>
      <c r="Q347" s="147"/>
      <c r="R347" s="147"/>
      <c r="S347" s="147"/>
      <c r="T347" s="147"/>
      <c r="U347" s="147"/>
      <c r="V347" s="147"/>
      <c r="W347" s="147"/>
      <c r="X347" s="147"/>
      <c r="Y347" s="147"/>
      <c r="Z347" s="147"/>
      <c r="AA347" s="147"/>
      <c r="AB347" s="147"/>
      <c r="AC347" s="147"/>
      <c r="AD347" s="147"/>
      <c r="AE347" s="147"/>
      <c r="AF347" s="147"/>
      <c r="AG347" s="147"/>
      <c r="AH347" s="147"/>
      <c r="AI347" s="147"/>
      <c r="AJ347" s="147"/>
      <c r="AK347" s="147"/>
    </row>
    <row r="348" ht="15.75" customHeight="1">
      <c r="A348" s="144"/>
      <c r="B348" s="182"/>
      <c r="C348" s="145"/>
      <c r="D348" s="145"/>
      <c r="E348" s="145"/>
      <c r="F348" s="146"/>
      <c r="G348" s="145"/>
      <c r="H348" s="146"/>
      <c r="I348" s="145"/>
      <c r="J348" s="146"/>
      <c r="K348" s="147"/>
      <c r="L348" s="147"/>
      <c r="M348" s="147"/>
      <c r="N348" s="147"/>
      <c r="O348" s="147"/>
      <c r="P348" s="147"/>
      <c r="Q348" s="147"/>
      <c r="R348" s="147"/>
      <c r="S348" s="147"/>
      <c r="T348" s="147"/>
      <c r="U348" s="147"/>
      <c r="V348" s="147"/>
      <c r="W348" s="147"/>
      <c r="X348" s="147"/>
      <c r="Y348" s="147"/>
      <c r="Z348" s="147"/>
      <c r="AA348" s="147"/>
      <c r="AB348" s="147"/>
      <c r="AC348" s="147"/>
      <c r="AD348" s="147"/>
      <c r="AE348" s="147"/>
      <c r="AF348" s="147"/>
      <c r="AG348" s="147"/>
      <c r="AH348" s="147"/>
      <c r="AI348" s="147"/>
      <c r="AJ348" s="147"/>
      <c r="AK348" s="147"/>
    </row>
    <row r="349" ht="15.75" customHeight="1">
      <c r="A349" s="144"/>
      <c r="B349" s="182"/>
      <c r="C349" s="145"/>
      <c r="D349" s="145"/>
      <c r="E349" s="145"/>
      <c r="F349" s="146"/>
      <c r="G349" s="145"/>
      <c r="H349" s="146"/>
      <c r="I349" s="145"/>
      <c r="J349" s="146"/>
      <c r="K349" s="147"/>
      <c r="L349" s="147"/>
      <c r="M349" s="147"/>
      <c r="N349" s="147"/>
      <c r="O349" s="147"/>
      <c r="P349" s="147"/>
      <c r="Q349" s="147"/>
      <c r="R349" s="147"/>
      <c r="S349" s="147"/>
      <c r="T349" s="147"/>
      <c r="U349" s="147"/>
      <c r="V349" s="147"/>
      <c r="W349" s="147"/>
      <c r="X349" s="147"/>
      <c r="Y349" s="147"/>
      <c r="Z349" s="147"/>
      <c r="AA349" s="147"/>
      <c r="AB349" s="147"/>
      <c r="AC349" s="147"/>
      <c r="AD349" s="147"/>
      <c r="AE349" s="147"/>
      <c r="AF349" s="147"/>
      <c r="AG349" s="147"/>
      <c r="AH349" s="147"/>
      <c r="AI349" s="147"/>
      <c r="AJ349" s="147"/>
      <c r="AK349" s="147"/>
    </row>
    <row r="350" ht="15.75" customHeight="1">
      <c r="A350" s="144"/>
      <c r="B350" s="182"/>
      <c r="C350" s="145"/>
      <c r="D350" s="145"/>
      <c r="E350" s="145"/>
      <c r="F350" s="146"/>
      <c r="G350" s="145"/>
      <c r="H350" s="146"/>
      <c r="I350" s="145"/>
      <c r="J350" s="146"/>
      <c r="K350" s="147"/>
      <c r="L350" s="147"/>
      <c r="M350" s="147"/>
      <c r="N350" s="147"/>
      <c r="O350" s="147"/>
      <c r="P350" s="147"/>
      <c r="Q350" s="147"/>
      <c r="R350" s="147"/>
      <c r="S350" s="147"/>
      <c r="T350" s="147"/>
      <c r="U350" s="147"/>
      <c r="V350" s="147"/>
      <c r="W350" s="147"/>
      <c r="X350" s="147"/>
      <c r="Y350" s="147"/>
      <c r="Z350" s="147"/>
      <c r="AA350" s="147"/>
      <c r="AB350" s="147"/>
      <c r="AC350" s="147"/>
      <c r="AD350" s="147"/>
      <c r="AE350" s="147"/>
      <c r="AF350" s="147"/>
      <c r="AG350" s="147"/>
      <c r="AH350" s="147"/>
      <c r="AI350" s="147"/>
      <c r="AJ350" s="147"/>
      <c r="AK350" s="147"/>
    </row>
    <row r="351" ht="15.75" customHeight="1">
      <c r="A351" s="144"/>
      <c r="B351" s="182"/>
      <c r="C351" s="145"/>
      <c r="D351" s="145"/>
      <c r="E351" s="145"/>
      <c r="F351" s="146"/>
      <c r="G351" s="145"/>
      <c r="H351" s="146"/>
      <c r="I351" s="145"/>
      <c r="J351" s="146"/>
      <c r="K351" s="147"/>
      <c r="L351" s="147"/>
      <c r="M351" s="147"/>
      <c r="N351" s="147"/>
      <c r="O351" s="147"/>
      <c r="P351" s="147"/>
      <c r="Q351" s="147"/>
      <c r="R351" s="147"/>
      <c r="S351" s="147"/>
      <c r="T351" s="147"/>
      <c r="U351" s="147"/>
      <c r="V351" s="147"/>
      <c r="W351" s="147"/>
      <c r="X351" s="147"/>
      <c r="Y351" s="147"/>
      <c r="Z351" s="147"/>
      <c r="AA351" s="147"/>
      <c r="AB351" s="147"/>
      <c r="AC351" s="147"/>
      <c r="AD351" s="147"/>
      <c r="AE351" s="147"/>
      <c r="AF351" s="147"/>
      <c r="AG351" s="147"/>
      <c r="AH351" s="147"/>
      <c r="AI351" s="147"/>
      <c r="AJ351" s="147"/>
      <c r="AK351" s="147"/>
    </row>
    <row r="352" ht="15.75" customHeight="1">
      <c r="A352" s="144"/>
      <c r="B352" s="182"/>
      <c r="C352" s="145"/>
      <c r="D352" s="145"/>
      <c r="E352" s="145"/>
      <c r="F352" s="146"/>
      <c r="G352" s="145"/>
      <c r="H352" s="146"/>
      <c r="I352" s="145"/>
      <c r="J352" s="146"/>
      <c r="K352" s="147"/>
      <c r="L352" s="147"/>
      <c r="M352" s="147"/>
      <c r="N352" s="147"/>
      <c r="O352" s="147"/>
      <c r="P352" s="147"/>
      <c r="Q352" s="147"/>
      <c r="R352" s="147"/>
      <c r="S352" s="147"/>
      <c r="T352" s="147"/>
      <c r="U352" s="147"/>
      <c r="V352" s="147"/>
      <c r="W352" s="147"/>
      <c r="X352" s="147"/>
      <c r="Y352" s="147"/>
      <c r="Z352" s="147"/>
      <c r="AA352" s="147"/>
      <c r="AB352" s="147"/>
      <c r="AC352" s="147"/>
      <c r="AD352" s="147"/>
      <c r="AE352" s="147"/>
      <c r="AF352" s="147"/>
      <c r="AG352" s="147"/>
      <c r="AH352" s="147"/>
      <c r="AI352" s="147"/>
      <c r="AJ352" s="147"/>
      <c r="AK352" s="147"/>
    </row>
    <row r="353" ht="15.75" customHeight="1">
      <c r="A353" s="144"/>
      <c r="B353" s="182"/>
      <c r="C353" s="145"/>
      <c r="D353" s="145"/>
      <c r="E353" s="145"/>
      <c r="F353" s="146"/>
      <c r="G353" s="145"/>
      <c r="H353" s="146"/>
      <c r="I353" s="145"/>
      <c r="J353" s="146"/>
      <c r="K353" s="147"/>
      <c r="L353" s="147"/>
      <c r="M353" s="147"/>
      <c r="N353" s="147"/>
      <c r="O353" s="147"/>
      <c r="P353" s="147"/>
      <c r="Q353" s="147"/>
      <c r="R353" s="147"/>
      <c r="S353" s="147"/>
      <c r="T353" s="147"/>
      <c r="U353" s="147"/>
      <c r="V353" s="147"/>
      <c r="W353" s="147"/>
      <c r="X353" s="147"/>
      <c r="Y353" s="147"/>
      <c r="Z353" s="147"/>
      <c r="AA353" s="147"/>
      <c r="AB353" s="147"/>
      <c r="AC353" s="147"/>
      <c r="AD353" s="147"/>
      <c r="AE353" s="147"/>
      <c r="AF353" s="147"/>
      <c r="AG353" s="147"/>
      <c r="AH353" s="147"/>
      <c r="AI353" s="147"/>
      <c r="AJ353" s="147"/>
      <c r="AK353" s="147"/>
    </row>
    <row r="354" ht="15.75" customHeight="1">
      <c r="A354" s="144"/>
      <c r="B354" s="182"/>
      <c r="C354" s="145"/>
      <c r="D354" s="145"/>
      <c r="E354" s="145"/>
      <c r="F354" s="146"/>
      <c r="G354" s="145"/>
      <c r="H354" s="146"/>
      <c r="I354" s="145"/>
      <c r="J354" s="146"/>
      <c r="K354" s="147"/>
      <c r="L354" s="147"/>
      <c r="M354" s="147"/>
      <c r="N354" s="147"/>
      <c r="O354" s="147"/>
      <c r="P354" s="147"/>
      <c r="Q354" s="147"/>
      <c r="R354" s="147"/>
      <c r="S354" s="147"/>
      <c r="T354" s="147"/>
      <c r="U354" s="147"/>
      <c r="V354" s="147"/>
      <c r="W354" s="147"/>
      <c r="X354" s="147"/>
      <c r="Y354" s="147"/>
      <c r="Z354" s="147"/>
      <c r="AA354" s="147"/>
      <c r="AB354" s="147"/>
      <c r="AC354" s="147"/>
      <c r="AD354" s="147"/>
      <c r="AE354" s="147"/>
      <c r="AF354" s="147"/>
      <c r="AG354" s="147"/>
      <c r="AH354" s="147"/>
      <c r="AI354" s="147"/>
      <c r="AJ354" s="147"/>
      <c r="AK354" s="147"/>
    </row>
    <row r="355" ht="15.75" customHeight="1">
      <c r="A355" s="144"/>
      <c r="B355" s="182"/>
      <c r="C355" s="145"/>
      <c r="D355" s="145"/>
      <c r="E355" s="145"/>
      <c r="F355" s="146"/>
      <c r="G355" s="145"/>
      <c r="H355" s="146"/>
      <c r="I355" s="145"/>
      <c r="J355" s="146"/>
      <c r="K355" s="147"/>
      <c r="L355" s="147"/>
      <c r="M355" s="147"/>
      <c r="N355" s="147"/>
      <c r="O355" s="147"/>
      <c r="P355" s="147"/>
      <c r="Q355" s="147"/>
      <c r="R355" s="147"/>
      <c r="S355" s="147"/>
      <c r="T355" s="147"/>
      <c r="U355" s="147"/>
      <c r="V355" s="147"/>
      <c r="W355" s="147"/>
      <c r="X355" s="147"/>
      <c r="Y355" s="147"/>
      <c r="Z355" s="147"/>
      <c r="AA355" s="147"/>
      <c r="AB355" s="147"/>
      <c r="AC355" s="147"/>
      <c r="AD355" s="147"/>
      <c r="AE355" s="147"/>
      <c r="AF355" s="147"/>
      <c r="AG355" s="147"/>
      <c r="AH355" s="147"/>
      <c r="AI355" s="147"/>
      <c r="AJ355" s="147"/>
      <c r="AK355" s="147"/>
    </row>
    <row r="356" ht="15.75" customHeight="1">
      <c r="A356" s="144"/>
      <c r="B356" s="182"/>
      <c r="C356" s="145"/>
      <c r="D356" s="145"/>
      <c r="E356" s="145"/>
      <c r="F356" s="146"/>
      <c r="G356" s="145"/>
      <c r="H356" s="146"/>
      <c r="I356" s="145"/>
      <c r="J356" s="146"/>
      <c r="K356" s="147"/>
      <c r="L356" s="147"/>
      <c r="M356" s="147"/>
      <c r="N356" s="147"/>
      <c r="O356" s="147"/>
      <c r="P356" s="147"/>
      <c r="Q356" s="147"/>
      <c r="R356" s="147"/>
      <c r="S356" s="147"/>
      <c r="T356" s="147"/>
      <c r="U356" s="147"/>
      <c r="V356" s="147"/>
      <c r="W356" s="147"/>
      <c r="X356" s="147"/>
      <c r="Y356" s="147"/>
      <c r="Z356" s="147"/>
      <c r="AA356" s="147"/>
      <c r="AB356" s="147"/>
      <c r="AC356" s="147"/>
      <c r="AD356" s="147"/>
      <c r="AE356" s="147"/>
      <c r="AF356" s="147"/>
      <c r="AG356" s="147"/>
      <c r="AH356" s="147"/>
      <c r="AI356" s="147"/>
      <c r="AJ356" s="147"/>
      <c r="AK356" s="147"/>
    </row>
    <row r="357" ht="15.75" customHeight="1">
      <c r="A357" s="144"/>
      <c r="B357" s="182"/>
      <c r="C357" s="145"/>
      <c r="D357" s="145"/>
      <c r="E357" s="145"/>
      <c r="F357" s="146"/>
      <c r="G357" s="145"/>
      <c r="H357" s="146"/>
      <c r="I357" s="145"/>
      <c r="J357" s="146"/>
      <c r="K357" s="147"/>
      <c r="L357" s="147"/>
      <c r="M357" s="147"/>
      <c r="N357" s="147"/>
      <c r="O357" s="147"/>
      <c r="P357" s="147"/>
      <c r="Q357" s="147"/>
      <c r="R357" s="147"/>
      <c r="S357" s="147"/>
      <c r="T357" s="147"/>
      <c r="U357" s="147"/>
      <c r="V357" s="147"/>
      <c r="W357" s="147"/>
      <c r="X357" s="147"/>
      <c r="Y357" s="147"/>
      <c r="Z357" s="147"/>
      <c r="AA357" s="147"/>
      <c r="AB357" s="147"/>
      <c r="AC357" s="147"/>
      <c r="AD357" s="147"/>
      <c r="AE357" s="147"/>
      <c r="AF357" s="147"/>
      <c r="AG357" s="147"/>
      <c r="AH357" s="147"/>
      <c r="AI357" s="147"/>
      <c r="AJ357" s="147"/>
      <c r="AK357" s="147"/>
    </row>
    <row r="358" ht="15.75" customHeight="1">
      <c r="A358" s="144"/>
      <c r="B358" s="182"/>
      <c r="C358" s="145"/>
      <c r="D358" s="145"/>
      <c r="E358" s="145"/>
      <c r="F358" s="146"/>
      <c r="G358" s="145"/>
      <c r="H358" s="146"/>
      <c r="I358" s="145"/>
      <c r="J358" s="146"/>
      <c r="K358" s="147"/>
      <c r="L358" s="147"/>
      <c r="M358" s="147"/>
      <c r="N358" s="147"/>
      <c r="O358" s="147"/>
      <c r="P358" s="147"/>
      <c r="Q358" s="147"/>
      <c r="R358" s="147"/>
      <c r="S358" s="147"/>
      <c r="T358" s="147"/>
      <c r="U358" s="147"/>
      <c r="V358" s="147"/>
      <c r="W358" s="147"/>
      <c r="X358" s="147"/>
      <c r="Y358" s="147"/>
      <c r="Z358" s="147"/>
      <c r="AA358" s="147"/>
      <c r="AB358" s="147"/>
      <c r="AC358" s="147"/>
      <c r="AD358" s="147"/>
      <c r="AE358" s="147"/>
      <c r="AF358" s="147"/>
      <c r="AG358" s="147"/>
      <c r="AH358" s="147"/>
      <c r="AI358" s="147"/>
      <c r="AJ358" s="147"/>
      <c r="AK358" s="147"/>
    </row>
    <row r="359" ht="15.75" customHeight="1">
      <c r="A359" s="144"/>
      <c r="B359" s="182"/>
      <c r="C359" s="145"/>
      <c r="D359" s="145"/>
      <c r="E359" s="145"/>
      <c r="F359" s="146"/>
      <c r="G359" s="145"/>
      <c r="H359" s="146"/>
      <c r="I359" s="145"/>
      <c r="J359" s="146"/>
      <c r="K359" s="147"/>
      <c r="L359" s="147"/>
      <c r="M359" s="147"/>
      <c r="N359" s="147"/>
      <c r="O359" s="147"/>
      <c r="P359" s="147"/>
      <c r="Q359" s="147"/>
      <c r="R359" s="147"/>
      <c r="S359" s="147"/>
      <c r="T359" s="147"/>
      <c r="U359" s="147"/>
      <c r="V359" s="147"/>
      <c r="W359" s="147"/>
      <c r="X359" s="147"/>
      <c r="Y359" s="147"/>
      <c r="Z359" s="147"/>
      <c r="AA359" s="147"/>
      <c r="AB359" s="147"/>
      <c r="AC359" s="147"/>
      <c r="AD359" s="147"/>
      <c r="AE359" s="147"/>
      <c r="AF359" s="147"/>
      <c r="AG359" s="147"/>
      <c r="AH359" s="147"/>
      <c r="AI359" s="147"/>
      <c r="AJ359" s="147"/>
      <c r="AK359" s="147"/>
    </row>
    <row r="360" ht="15.75" customHeight="1">
      <c r="A360" s="144"/>
      <c r="B360" s="182"/>
      <c r="C360" s="145"/>
      <c r="D360" s="145"/>
      <c r="E360" s="145"/>
      <c r="F360" s="146"/>
      <c r="G360" s="145"/>
      <c r="H360" s="146"/>
      <c r="I360" s="145"/>
      <c r="J360" s="146"/>
      <c r="K360" s="147"/>
      <c r="L360" s="147"/>
      <c r="M360" s="147"/>
      <c r="N360" s="147"/>
      <c r="O360" s="147"/>
      <c r="P360" s="147"/>
      <c r="Q360" s="147"/>
      <c r="R360" s="147"/>
      <c r="S360" s="147"/>
      <c r="T360" s="147"/>
      <c r="U360" s="147"/>
      <c r="V360" s="147"/>
      <c r="W360" s="147"/>
      <c r="X360" s="147"/>
      <c r="Y360" s="147"/>
      <c r="Z360" s="147"/>
      <c r="AA360" s="147"/>
      <c r="AB360" s="147"/>
      <c r="AC360" s="147"/>
      <c r="AD360" s="147"/>
      <c r="AE360" s="147"/>
      <c r="AF360" s="147"/>
      <c r="AG360" s="147"/>
      <c r="AH360" s="147"/>
      <c r="AI360" s="147"/>
      <c r="AJ360" s="147"/>
      <c r="AK360" s="147"/>
    </row>
    <row r="361" ht="15.75" customHeight="1">
      <c r="A361" s="144"/>
      <c r="B361" s="182"/>
      <c r="C361" s="145"/>
      <c r="D361" s="145"/>
      <c r="E361" s="145"/>
      <c r="F361" s="146"/>
      <c r="G361" s="145"/>
      <c r="H361" s="146"/>
      <c r="I361" s="145"/>
      <c r="J361" s="146"/>
      <c r="K361" s="147"/>
      <c r="L361" s="147"/>
      <c r="M361" s="147"/>
      <c r="N361" s="147"/>
      <c r="O361" s="147"/>
      <c r="P361" s="147"/>
      <c r="Q361" s="147"/>
      <c r="R361" s="147"/>
      <c r="S361" s="147"/>
      <c r="T361" s="147"/>
      <c r="U361" s="147"/>
      <c r="V361" s="147"/>
      <c r="W361" s="147"/>
      <c r="X361" s="147"/>
      <c r="Y361" s="147"/>
      <c r="Z361" s="147"/>
      <c r="AA361" s="147"/>
      <c r="AB361" s="147"/>
      <c r="AC361" s="147"/>
      <c r="AD361" s="147"/>
      <c r="AE361" s="147"/>
      <c r="AF361" s="147"/>
      <c r="AG361" s="147"/>
      <c r="AH361" s="147"/>
      <c r="AI361" s="147"/>
      <c r="AJ361" s="147"/>
      <c r="AK361" s="147"/>
    </row>
    <row r="362" ht="15.75" customHeight="1">
      <c r="A362" s="144"/>
      <c r="B362" s="182"/>
      <c r="C362" s="145"/>
      <c r="D362" s="145"/>
      <c r="E362" s="145"/>
      <c r="F362" s="146"/>
      <c r="G362" s="145"/>
      <c r="H362" s="146"/>
      <c r="I362" s="145"/>
      <c r="J362" s="146"/>
      <c r="K362" s="147"/>
      <c r="L362" s="147"/>
      <c r="M362" s="147"/>
      <c r="N362" s="147"/>
      <c r="O362" s="147"/>
      <c r="P362" s="147"/>
      <c r="Q362" s="147"/>
      <c r="R362" s="147"/>
      <c r="S362" s="147"/>
      <c r="T362" s="147"/>
      <c r="U362" s="147"/>
      <c r="V362" s="147"/>
      <c r="W362" s="147"/>
      <c r="X362" s="147"/>
      <c r="Y362" s="147"/>
      <c r="Z362" s="147"/>
      <c r="AA362" s="147"/>
      <c r="AB362" s="147"/>
      <c r="AC362" s="147"/>
      <c r="AD362" s="147"/>
      <c r="AE362" s="147"/>
      <c r="AF362" s="147"/>
      <c r="AG362" s="147"/>
      <c r="AH362" s="147"/>
      <c r="AI362" s="147"/>
      <c r="AJ362" s="147"/>
      <c r="AK362" s="147"/>
    </row>
    <row r="363" ht="15.75" customHeight="1">
      <c r="A363" s="144"/>
      <c r="B363" s="182"/>
      <c r="C363" s="145"/>
      <c r="D363" s="145"/>
      <c r="E363" s="145"/>
      <c r="F363" s="146"/>
      <c r="G363" s="145"/>
      <c r="H363" s="146"/>
      <c r="I363" s="145"/>
      <c r="J363" s="146"/>
      <c r="K363" s="147"/>
      <c r="L363" s="147"/>
      <c r="M363" s="147"/>
      <c r="N363" s="147"/>
      <c r="O363" s="147"/>
      <c r="P363" s="147"/>
      <c r="Q363" s="147"/>
      <c r="R363" s="147"/>
      <c r="S363" s="147"/>
      <c r="T363" s="147"/>
      <c r="U363" s="147"/>
      <c r="V363" s="147"/>
      <c r="W363" s="147"/>
      <c r="X363" s="147"/>
      <c r="Y363" s="147"/>
      <c r="Z363" s="147"/>
      <c r="AA363" s="147"/>
      <c r="AB363" s="147"/>
      <c r="AC363" s="147"/>
      <c r="AD363" s="147"/>
      <c r="AE363" s="147"/>
      <c r="AF363" s="147"/>
      <c r="AG363" s="147"/>
      <c r="AH363" s="147"/>
      <c r="AI363" s="147"/>
      <c r="AJ363" s="147"/>
      <c r="AK363" s="147"/>
    </row>
    <row r="364" ht="15.75" customHeight="1">
      <c r="A364" s="144"/>
      <c r="B364" s="182"/>
      <c r="C364" s="145"/>
      <c r="D364" s="145"/>
      <c r="E364" s="145"/>
      <c r="F364" s="146"/>
      <c r="G364" s="145"/>
      <c r="H364" s="146"/>
      <c r="I364" s="145"/>
      <c r="J364" s="146"/>
      <c r="K364" s="147"/>
      <c r="L364" s="147"/>
      <c r="M364" s="147"/>
      <c r="N364" s="147"/>
      <c r="O364" s="147"/>
      <c r="P364" s="147"/>
      <c r="Q364" s="147"/>
      <c r="R364" s="147"/>
      <c r="S364" s="147"/>
      <c r="T364" s="147"/>
      <c r="U364" s="147"/>
      <c r="V364" s="147"/>
      <c r="W364" s="147"/>
      <c r="X364" s="147"/>
      <c r="Y364" s="147"/>
      <c r="Z364" s="147"/>
      <c r="AA364" s="147"/>
      <c r="AB364" s="147"/>
      <c r="AC364" s="147"/>
      <c r="AD364" s="147"/>
      <c r="AE364" s="147"/>
      <c r="AF364" s="147"/>
      <c r="AG364" s="147"/>
      <c r="AH364" s="147"/>
      <c r="AI364" s="147"/>
      <c r="AJ364" s="147"/>
      <c r="AK364" s="147"/>
    </row>
    <row r="365" ht="15.75" customHeight="1">
      <c r="A365" s="144"/>
      <c r="B365" s="182"/>
      <c r="C365" s="145"/>
      <c r="D365" s="145"/>
      <c r="E365" s="145"/>
      <c r="F365" s="146"/>
      <c r="G365" s="145"/>
      <c r="H365" s="146"/>
      <c r="I365" s="145"/>
      <c r="J365" s="146"/>
      <c r="K365" s="147"/>
      <c r="L365" s="147"/>
      <c r="M365" s="147"/>
      <c r="N365" s="147"/>
      <c r="O365" s="147"/>
      <c r="P365" s="147"/>
      <c r="Q365" s="147"/>
      <c r="R365" s="147"/>
      <c r="S365" s="147"/>
      <c r="T365" s="147"/>
      <c r="U365" s="147"/>
      <c r="V365" s="147"/>
      <c r="W365" s="147"/>
      <c r="X365" s="147"/>
      <c r="Y365" s="147"/>
      <c r="Z365" s="147"/>
      <c r="AA365" s="147"/>
      <c r="AB365" s="147"/>
      <c r="AC365" s="147"/>
      <c r="AD365" s="147"/>
      <c r="AE365" s="147"/>
      <c r="AF365" s="147"/>
      <c r="AG365" s="147"/>
      <c r="AH365" s="147"/>
      <c r="AI365" s="147"/>
      <c r="AJ365" s="147"/>
      <c r="AK365" s="147"/>
    </row>
    <row r="366" ht="15.75" customHeight="1">
      <c r="A366" s="144"/>
      <c r="B366" s="182"/>
      <c r="C366" s="145"/>
      <c r="D366" s="145"/>
      <c r="E366" s="145"/>
      <c r="F366" s="146"/>
      <c r="G366" s="145"/>
      <c r="H366" s="146"/>
      <c r="I366" s="145"/>
      <c r="J366" s="146"/>
      <c r="K366" s="147"/>
      <c r="L366" s="147"/>
      <c r="M366" s="147"/>
      <c r="N366" s="147"/>
      <c r="O366" s="147"/>
      <c r="P366" s="147"/>
      <c r="Q366" s="147"/>
      <c r="R366" s="147"/>
      <c r="S366" s="147"/>
      <c r="T366" s="147"/>
      <c r="U366" s="147"/>
      <c r="V366" s="147"/>
      <c r="W366" s="147"/>
      <c r="X366" s="147"/>
      <c r="Y366" s="147"/>
      <c r="Z366" s="147"/>
      <c r="AA366" s="147"/>
      <c r="AB366" s="147"/>
      <c r="AC366" s="147"/>
      <c r="AD366" s="147"/>
      <c r="AE366" s="147"/>
      <c r="AF366" s="147"/>
      <c r="AG366" s="147"/>
      <c r="AH366" s="147"/>
      <c r="AI366" s="147"/>
      <c r="AJ366" s="147"/>
      <c r="AK366" s="147"/>
    </row>
    <row r="367" ht="15.75" customHeight="1">
      <c r="A367" s="144"/>
      <c r="B367" s="182"/>
      <c r="C367" s="145"/>
      <c r="D367" s="145"/>
      <c r="E367" s="145"/>
      <c r="F367" s="146"/>
      <c r="G367" s="145"/>
      <c r="H367" s="146"/>
      <c r="I367" s="145"/>
      <c r="J367" s="146"/>
      <c r="K367" s="147"/>
      <c r="L367" s="147"/>
      <c r="M367" s="147"/>
      <c r="N367" s="147"/>
      <c r="O367" s="147"/>
      <c r="P367" s="147"/>
      <c r="Q367" s="147"/>
      <c r="R367" s="147"/>
      <c r="S367" s="147"/>
      <c r="T367" s="147"/>
      <c r="U367" s="147"/>
      <c r="V367" s="147"/>
      <c r="W367" s="147"/>
      <c r="X367" s="147"/>
      <c r="Y367" s="147"/>
      <c r="Z367" s="147"/>
      <c r="AA367" s="147"/>
      <c r="AB367" s="147"/>
      <c r="AC367" s="147"/>
      <c r="AD367" s="147"/>
      <c r="AE367" s="147"/>
      <c r="AF367" s="147"/>
      <c r="AG367" s="147"/>
      <c r="AH367" s="147"/>
      <c r="AI367" s="147"/>
      <c r="AJ367" s="147"/>
      <c r="AK367" s="147"/>
    </row>
    <row r="368" ht="15.75" customHeight="1">
      <c r="A368" s="144"/>
      <c r="B368" s="182"/>
      <c r="C368" s="145"/>
      <c r="D368" s="145"/>
      <c r="E368" s="145"/>
      <c r="F368" s="146"/>
      <c r="G368" s="145"/>
      <c r="H368" s="146"/>
      <c r="I368" s="145"/>
      <c r="J368" s="146"/>
      <c r="K368" s="147"/>
      <c r="L368" s="147"/>
      <c r="M368" s="147"/>
      <c r="N368" s="147"/>
      <c r="O368" s="147"/>
      <c r="P368" s="147"/>
      <c r="Q368" s="147"/>
      <c r="R368" s="147"/>
      <c r="S368" s="147"/>
      <c r="T368" s="147"/>
      <c r="U368" s="147"/>
      <c r="V368" s="147"/>
      <c r="W368" s="147"/>
      <c r="X368" s="147"/>
      <c r="Y368" s="147"/>
      <c r="Z368" s="147"/>
      <c r="AA368" s="147"/>
      <c r="AB368" s="147"/>
      <c r="AC368" s="147"/>
      <c r="AD368" s="147"/>
      <c r="AE368" s="147"/>
      <c r="AF368" s="147"/>
      <c r="AG368" s="147"/>
      <c r="AH368" s="147"/>
      <c r="AI368" s="147"/>
      <c r="AJ368" s="147"/>
      <c r="AK368" s="147"/>
    </row>
    <row r="369" ht="15.75" customHeight="1">
      <c r="A369" s="144"/>
      <c r="B369" s="182"/>
      <c r="C369" s="145"/>
      <c r="D369" s="145"/>
      <c r="E369" s="145"/>
      <c r="F369" s="146"/>
      <c r="G369" s="145"/>
      <c r="H369" s="146"/>
      <c r="I369" s="145"/>
      <c r="J369" s="146"/>
      <c r="K369" s="147"/>
      <c r="L369" s="147"/>
      <c r="M369" s="147"/>
      <c r="N369" s="147"/>
      <c r="O369" s="147"/>
      <c r="P369" s="147"/>
      <c r="Q369" s="147"/>
      <c r="R369" s="147"/>
      <c r="S369" s="147"/>
      <c r="T369" s="147"/>
      <c r="U369" s="147"/>
      <c r="V369" s="147"/>
      <c r="W369" s="147"/>
      <c r="X369" s="147"/>
      <c r="Y369" s="147"/>
      <c r="Z369" s="147"/>
      <c r="AA369" s="147"/>
      <c r="AB369" s="147"/>
      <c r="AC369" s="147"/>
      <c r="AD369" s="147"/>
      <c r="AE369" s="147"/>
      <c r="AF369" s="147"/>
      <c r="AG369" s="147"/>
      <c r="AH369" s="147"/>
      <c r="AI369" s="147"/>
      <c r="AJ369" s="147"/>
      <c r="AK369" s="147"/>
    </row>
    <row r="370" ht="15.75" customHeight="1">
      <c r="A370" s="144"/>
      <c r="B370" s="182"/>
      <c r="C370" s="145"/>
      <c r="D370" s="145"/>
      <c r="E370" s="145"/>
      <c r="F370" s="146"/>
      <c r="G370" s="145"/>
      <c r="H370" s="146"/>
      <c r="I370" s="145"/>
      <c r="J370" s="146"/>
      <c r="K370" s="147"/>
      <c r="L370" s="147"/>
      <c r="M370" s="147"/>
      <c r="N370" s="147"/>
      <c r="O370" s="147"/>
      <c r="P370" s="147"/>
      <c r="Q370" s="147"/>
      <c r="R370" s="147"/>
      <c r="S370" s="147"/>
      <c r="T370" s="147"/>
      <c r="U370" s="147"/>
      <c r="V370" s="147"/>
      <c r="W370" s="147"/>
      <c r="X370" s="147"/>
      <c r="Y370" s="147"/>
      <c r="Z370" s="147"/>
      <c r="AA370" s="147"/>
      <c r="AB370" s="147"/>
      <c r="AC370" s="147"/>
      <c r="AD370" s="147"/>
      <c r="AE370" s="147"/>
      <c r="AF370" s="147"/>
      <c r="AG370" s="147"/>
      <c r="AH370" s="147"/>
      <c r="AI370" s="147"/>
      <c r="AJ370" s="147"/>
      <c r="AK370" s="147"/>
    </row>
    <row r="371" ht="15.75" customHeight="1">
      <c r="A371" s="144"/>
      <c r="B371" s="182"/>
      <c r="C371" s="145"/>
      <c r="D371" s="145"/>
      <c r="E371" s="145"/>
      <c r="F371" s="146"/>
      <c r="G371" s="145"/>
      <c r="H371" s="146"/>
      <c r="I371" s="145"/>
      <c r="J371" s="146"/>
      <c r="K371" s="147"/>
      <c r="L371" s="147"/>
      <c r="M371" s="147"/>
      <c r="N371" s="147"/>
      <c r="O371" s="147"/>
      <c r="P371" s="147"/>
      <c r="Q371" s="147"/>
      <c r="R371" s="147"/>
      <c r="S371" s="147"/>
      <c r="T371" s="147"/>
      <c r="U371" s="147"/>
      <c r="V371" s="147"/>
      <c r="W371" s="147"/>
      <c r="X371" s="147"/>
      <c r="Y371" s="147"/>
      <c r="Z371" s="147"/>
      <c r="AA371" s="147"/>
      <c r="AB371" s="147"/>
      <c r="AC371" s="147"/>
      <c r="AD371" s="147"/>
      <c r="AE371" s="147"/>
      <c r="AF371" s="147"/>
      <c r="AG371" s="147"/>
      <c r="AH371" s="147"/>
      <c r="AI371" s="147"/>
      <c r="AJ371" s="147"/>
      <c r="AK371" s="147"/>
    </row>
    <row r="372" ht="15.75" customHeight="1">
      <c r="A372" s="144"/>
      <c r="B372" s="182"/>
      <c r="C372" s="145"/>
      <c r="D372" s="145"/>
      <c r="E372" s="145"/>
      <c r="F372" s="146"/>
      <c r="G372" s="145"/>
      <c r="H372" s="146"/>
      <c r="I372" s="145"/>
      <c r="J372" s="146"/>
      <c r="K372" s="147"/>
      <c r="L372" s="147"/>
      <c r="M372" s="147"/>
      <c r="N372" s="147"/>
      <c r="O372" s="147"/>
      <c r="P372" s="147"/>
      <c r="Q372" s="147"/>
      <c r="R372" s="147"/>
      <c r="S372" s="147"/>
      <c r="T372" s="147"/>
      <c r="U372" s="147"/>
      <c r="V372" s="147"/>
      <c r="W372" s="147"/>
      <c r="X372" s="147"/>
      <c r="Y372" s="147"/>
      <c r="Z372" s="147"/>
      <c r="AA372" s="147"/>
      <c r="AB372" s="147"/>
      <c r="AC372" s="147"/>
      <c r="AD372" s="147"/>
      <c r="AE372" s="147"/>
      <c r="AF372" s="147"/>
      <c r="AG372" s="147"/>
      <c r="AH372" s="147"/>
      <c r="AI372" s="147"/>
      <c r="AJ372" s="147"/>
      <c r="AK372" s="147"/>
    </row>
    <row r="373" ht="15.75" customHeight="1">
      <c r="A373" s="144"/>
      <c r="B373" s="182"/>
      <c r="C373" s="145"/>
      <c r="D373" s="145"/>
      <c r="E373" s="145"/>
      <c r="F373" s="146"/>
      <c r="G373" s="145"/>
      <c r="H373" s="146"/>
      <c r="I373" s="145"/>
      <c r="J373" s="146"/>
      <c r="K373" s="147"/>
      <c r="L373" s="147"/>
      <c r="M373" s="147"/>
      <c r="N373" s="147"/>
      <c r="O373" s="147"/>
      <c r="P373" s="147"/>
      <c r="Q373" s="147"/>
      <c r="R373" s="147"/>
      <c r="S373" s="147"/>
      <c r="T373" s="147"/>
      <c r="U373" s="147"/>
      <c r="V373" s="147"/>
      <c r="W373" s="147"/>
      <c r="X373" s="147"/>
      <c r="Y373" s="147"/>
      <c r="Z373" s="147"/>
      <c r="AA373" s="147"/>
      <c r="AB373" s="147"/>
      <c r="AC373" s="147"/>
      <c r="AD373" s="147"/>
      <c r="AE373" s="147"/>
      <c r="AF373" s="147"/>
      <c r="AG373" s="147"/>
      <c r="AH373" s="147"/>
      <c r="AI373" s="147"/>
      <c r="AJ373" s="147"/>
      <c r="AK373" s="147"/>
    </row>
    <row r="374" ht="15.75" customHeight="1">
      <c r="A374" s="144"/>
      <c r="B374" s="182"/>
      <c r="C374" s="145"/>
      <c r="D374" s="145"/>
      <c r="E374" s="145"/>
      <c r="F374" s="146"/>
      <c r="G374" s="145"/>
      <c r="H374" s="146"/>
      <c r="I374" s="145"/>
      <c r="J374" s="146"/>
      <c r="K374" s="147"/>
      <c r="L374" s="147"/>
      <c r="M374" s="147"/>
      <c r="N374" s="147"/>
      <c r="O374" s="147"/>
      <c r="P374" s="147"/>
      <c r="Q374" s="147"/>
      <c r="R374" s="147"/>
      <c r="S374" s="147"/>
      <c r="T374" s="147"/>
      <c r="U374" s="147"/>
      <c r="V374" s="147"/>
      <c r="W374" s="147"/>
      <c r="X374" s="147"/>
      <c r="Y374" s="147"/>
      <c r="Z374" s="147"/>
      <c r="AA374" s="147"/>
      <c r="AB374" s="147"/>
      <c r="AC374" s="147"/>
      <c r="AD374" s="147"/>
      <c r="AE374" s="147"/>
      <c r="AF374" s="147"/>
      <c r="AG374" s="147"/>
      <c r="AH374" s="147"/>
      <c r="AI374" s="147"/>
      <c r="AJ374" s="147"/>
      <c r="AK374" s="147"/>
    </row>
    <row r="375" ht="15.75" customHeight="1">
      <c r="A375" s="144"/>
      <c r="B375" s="182"/>
      <c r="C375" s="145"/>
      <c r="D375" s="145"/>
      <c r="E375" s="145"/>
      <c r="F375" s="146"/>
      <c r="G375" s="145"/>
      <c r="H375" s="146"/>
      <c r="I375" s="145"/>
      <c r="J375" s="146"/>
      <c r="K375" s="147"/>
      <c r="L375" s="147"/>
      <c r="M375" s="147"/>
      <c r="N375" s="147"/>
      <c r="O375" s="147"/>
      <c r="P375" s="147"/>
      <c r="Q375" s="147"/>
      <c r="R375" s="147"/>
      <c r="S375" s="147"/>
      <c r="T375" s="147"/>
      <c r="U375" s="147"/>
      <c r="V375" s="147"/>
      <c r="W375" s="147"/>
      <c r="X375" s="147"/>
      <c r="Y375" s="147"/>
      <c r="Z375" s="147"/>
      <c r="AA375" s="147"/>
      <c r="AB375" s="147"/>
      <c r="AC375" s="147"/>
      <c r="AD375" s="147"/>
      <c r="AE375" s="147"/>
      <c r="AF375" s="147"/>
      <c r="AG375" s="147"/>
      <c r="AH375" s="147"/>
      <c r="AI375" s="147"/>
      <c r="AJ375" s="147"/>
      <c r="AK375" s="147"/>
    </row>
    <row r="376" ht="15.75" customHeight="1">
      <c r="A376" s="144"/>
      <c r="B376" s="182"/>
      <c r="C376" s="145"/>
      <c r="D376" s="145"/>
      <c r="E376" s="145"/>
      <c r="F376" s="146"/>
      <c r="G376" s="145"/>
      <c r="H376" s="146"/>
      <c r="I376" s="145"/>
      <c r="J376" s="146"/>
      <c r="K376" s="147"/>
      <c r="L376" s="147"/>
      <c r="M376" s="147"/>
      <c r="N376" s="147"/>
      <c r="O376" s="147"/>
      <c r="P376" s="147"/>
      <c r="Q376" s="147"/>
      <c r="R376" s="147"/>
      <c r="S376" s="147"/>
      <c r="T376" s="147"/>
      <c r="U376" s="147"/>
      <c r="V376" s="147"/>
      <c r="W376" s="147"/>
      <c r="X376" s="147"/>
      <c r="Y376" s="147"/>
      <c r="Z376" s="147"/>
      <c r="AA376" s="147"/>
      <c r="AB376" s="147"/>
      <c r="AC376" s="147"/>
      <c r="AD376" s="147"/>
      <c r="AE376" s="147"/>
      <c r="AF376" s="147"/>
      <c r="AG376" s="147"/>
      <c r="AH376" s="147"/>
      <c r="AI376" s="147"/>
      <c r="AJ376" s="147"/>
      <c r="AK376" s="147"/>
    </row>
    <row r="377" ht="15.75" customHeight="1">
      <c r="A377" s="144"/>
      <c r="B377" s="182"/>
      <c r="C377" s="145"/>
      <c r="D377" s="145"/>
      <c r="E377" s="145"/>
      <c r="F377" s="146"/>
      <c r="G377" s="145"/>
      <c r="H377" s="146"/>
      <c r="I377" s="145"/>
      <c r="J377" s="146"/>
      <c r="K377" s="147"/>
      <c r="L377" s="147"/>
      <c r="M377" s="147"/>
      <c r="N377" s="147"/>
      <c r="O377" s="147"/>
      <c r="P377" s="147"/>
      <c r="Q377" s="147"/>
      <c r="R377" s="147"/>
      <c r="S377" s="147"/>
      <c r="T377" s="147"/>
      <c r="U377" s="147"/>
      <c r="V377" s="147"/>
      <c r="W377" s="147"/>
      <c r="X377" s="147"/>
      <c r="Y377" s="147"/>
      <c r="Z377" s="147"/>
      <c r="AA377" s="147"/>
      <c r="AB377" s="147"/>
      <c r="AC377" s="147"/>
      <c r="AD377" s="147"/>
      <c r="AE377" s="147"/>
      <c r="AF377" s="147"/>
      <c r="AG377" s="147"/>
      <c r="AH377" s="147"/>
      <c r="AI377" s="147"/>
      <c r="AJ377" s="147"/>
      <c r="AK377" s="147"/>
    </row>
    <row r="378" ht="15.75" customHeight="1">
      <c r="A378" s="144"/>
      <c r="B378" s="182"/>
      <c r="C378" s="145"/>
      <c r="D378" s="145"/>
      <c r="E378" s="145"/>
      <c r="F378" s="146"/>
      <c r="G378" s="145"/>
      <c r="H378" s="146"/>
      <c r="I378" s="145"/>
      <c r="J378" s="146"/>
      <c r="K378" s="147"/>
      <c r="L378" s="147"/>
      <c r="M378" s="147"/>
      <c r="N378" s="147"/>
      <c r="O378" s="147"/>
      <c r="P378" s="147"/>
      <c r="Q378" s="147"/>
      <c r="R378" s="147"/>
      <c r="S378" s="147"/>
      <c r="T378" s="147"/>
      <c r="U378" s="147"/>
      <c r="V378" s="147"/>
      <c r="W378" s="147"/>
      <c r="X378" s="147"/>
      <c r="Y378" s="147"/>
      <c r="Z378" s="147"/>
      <c r="AA378" s="147"/>
      <c r="AB378" s="147"/>
      <c r="AC378" s="147"/>
      <c r="AD378" s="147"/>
      <c r="AE378" s="147"/>
      <c r="AF378" s="147"/>
      <c r="AG378" s="147"/>
      <c r="AH378" s="147"/>
      <c r="AI378" s="147"/>
      <c r="AJ378" s="147"/>
      <c r="AK378" s="147"/>
    </row>
    <row r="379" ht="15.75" customHeight="1">
      <c r="A379" s="144"/>
      <c r="B379" s="182"/>
      <c r="C379" s="145"/>
      <c r="D379" s="145"/>
      <c r="E379" s="145"/>
      <c r="F379" s="146"/>
      <c r="G379" s="145"/>
      <c r="H379" s="146"/>
      <c r="I379" s="145"/>
      <c r="J379" s="146"/>
      <c r="K379" s="147"/>
      <c r="L379" s="147"/>
      <c r="M379" s="147"/>
      <c r="N379" s="147"/>
      <c r="O379" s="147"/>
      <c r="P379" s="147"/>
      <c r="Q379" s="147"/>
      <c r="R379" s="147"/>
      <c r="S379" s="147"/>
      <c r="T379" s="147"/>
      <c r="U379" s="147"/>
      <c r="V379" s="147"/>
      <c r="W379" s="147"/>
      <c r="X379" s="147"/>
      <c r="Y379" s="147"/>
      <c r="Z379" s="147"/>
      <c r="AA379" s="147"/>
      <c r="AB379" s="147"/>
      <c r="AC379" s="147"/>
      <c r="AD379" s="147"/>
      <c r="AE379" s="147"/>
      <c r="AF379" s="147"/>
      <c r="AG379" s="147"/>
      <c r="AH379" s="147"/>
      <c r="AI379" s="147"/>
      <c r="AJ379" s="147"/>
      <c r="AK379" s="147"/>
    </row>
    <row r="380" ht="15.75" customHeight="1">
      <c r="A380" s="144"/>
      <c r="B380" s="182"/>
      <c r="C380" s="145"/>
      <c r="D380" s="145"/>
      <c r="E380" s="145"/>
      <c r="F380" s="146"/>
      <c r="G380" s="145"/>
      <c r="H380" s="146"/>
      <c r="I380" s="145"/>
      <c r="J380" s="146"/>
      <c r="K380" s="147"/>
      <c r="L380" s="147"/>
      <c r="M380" s="147"/>
      <c r="N380" s="147"/>
      <c r="O380" s="147"/>
      <c r="P380" s="147"/>
      <c r="Q380" s="147"/>
      <c r="R380" s="147"/>
      <c r="S380" s="147"/>
      <c r="T380" s="147"/>
      <c r="U380" s="147"/>
      <c r="V380" s="147"/>
      <c r="W380" s="147"/>
      <c r="X380" s="147"/>
      <c r="Y380" s="147"/>
      <c r="Z380" s="147"/>
      <c r="AA380" s="147"/>
      <c r="AB380" s="147"/>
      <c r="AC380" s="147"/>
      <c r="AD380" s="147"/>
      <c r="AE380" s="147"/>
      <c r="AF380" s="147"/>
      <c r="AG380" s="147"/>
      <c r="AH380" s="147"/>
      <c r="AI380" s="147"/>
      <c r="AJ380" s="147"/>
      <c r="AK380" s="147"/>
    </row>
    <row r="381" ht="15.75" customHeight="1">
      <c r="A381" s="144"/>
      <c r="B381" s="182"/>
      <c r="C381" s="145"/>
      <c r="D381" s="145"/>
      <c r="E381" s="145"/>
      <c r="F381" s="146"/>
      <c r="G381" s="145"/>
      <c r="H381" s="146"/>
      <c r="I381" s="145"/>
      <c r="J381" s="146"/>
      <c r="K381" s="147"/>
      <c r="L381" s="147"/>
      <c r="M381" s="147"/>
      <c r="N381" s="147"/>
      <c r="O381" s="147"/>
      <c r="P381" s="147"/>
      <c r="Q381" s="147"/>
      <c r="R381" s="147"/>
      <c r="S381" s="147"/>
      <c r="T381" s="147"/>
      <c r="U381" s="147"/>
      <c r="V381" s="147"/>
      <c r="W381" s="147"/>
      <c r="X381" s="147"/>
      <c r="Y381" s="147"/>
      <c r="Z381" s="147"/>
      <c r="AA381" s="147"/>
      <c r="AB381" s="147"/>
      <c r="AC381" s="147"/>
      <c r="AD381" s="147"/>
      <c r="AE381" s="147"/>
      <c r="AF381" s="147"/>
      <c r="AG381" s="147"/>
      <c r="AH381" s="147"/>
      <c r="AI381" s="147"/>
      <c r="AJ381" s="147"/>
      <c r="AK381" s="147"/>
    </row>
    <row r="382" ht="15.75" customHeight="1">
      <c r="A382" s="144"/>
      <c r="B382" s="182"/>
      <c r="C382" s="145"/>
      <c r="D382" s="145"/>
      <c r="E382" s="145"/>
      <c r="F382" s="146"/>
      <c r="G382" s="145"/>
      <c r="H382" s="146"/>
      <c r="I382" s="145"/>
      <c r="J382" s="146"/>
      <c r="K382" s="147"/>
      <c r="L382" s="147"/>
      <c r="M382" s="147"/>
      <c r="N382" s="147"/>
      <c r="O382" s="147"/>
      <c r="P382" s="147"/>
      <c r="Q382" s="147"/>
      <c r="R382" s="147"/>
      <c r="S382" s="147"/>
      <c r="T382" s="147"/>
      <c r="U382" s="147"/>
      <c r="V382" s="147"/>
      <c r="W382" s="147"/>
      <c r="X382" s="147"/>
      <c r="Y382" s="147"/>
      <c r="Z382" s="147"/>
      <c r="AA382" s="147"/>
      <c r="AB382" s="147"/>
      <c r="AC382" s="147"/>
      <c r="AD382" s="147"/>
      <c r="AE382" s="147"/>
      <c r="AF382" s="147"/>
      <c r="AG382" s="147"/>
      <c r="AH382" s="147"/>
      <c r="AI382" s="147"/>
      <c r="AJ382" s="147"/>
      <c r="AK382" s="147"/>
    </row>
    <row r="383" ht="15.75" customHeight="1">
      <c r="A383" s="144"/>
      <c r="B383" s="182"/>
      <c r="C383" s="145"/>
      <c r="D383" s="145"/>
      <c r="E383" s="145"/>
      <c r="F383" s="146"/>
      <c r="G383" s="145"/>
      <c r="H383" s="146"/>
      <c r="I383" s="145"/>
      <c r="J383" s="146"/>
      <c r="K383" s="147"/>
      <c r="L383" s="147"/>
      <c r="M383" s="147"/>
      <c r="N383" s="147"/>
      <c r="O383" s="147"/>
      <c r="P383" s="147"/>
      <c r="Q383" s="147"/>
      <c r="R383" s="147"/>
      <c r="S383" s="147"/>
      <c r="T383" s="147"/>
      <c r="U383" s="147"/>
      <c r="V383" s="147"/>
      <c r="W383" s="147"/>
      <c r="X383" s="147"/>
      <c r="Y383" s="147"/>
      <c r="Z383" s="147"/>
      <c r="AA383" s="147"/>
      <c r="AB383" s="147"/>
      <c r="AC383" s="147"/>
      <c r="AD383" s="147"/>
      <c r="AE383" s="147"/>
      <c r="AF383" s="147"/>
      <c r="AG383" s="147"/>
      <c r="AH383" s="147"/>
      <c r="AI383" s="147"/>
      <c r="AJ383" s="147"/>
      <c r="AK383" s="147"/>
    </row>
    <row r="384" ht="15.75" customHeight="1">
      <c r="A384" s="144"/>
      <c r="B384" s="182"/>
      <c r="C384" s="145"/>
      <c r="D384" s="145"/>
      <c r="E384" s="145"/>
      <c r="F384" s="146"/>
      <c r="G384" s="145"/>
      <c r="H384" s="146"/>
      <c r="I384" s="145"/>
      <c r="J384" s="146"/>
      <c r="K384" s="147"/>
      <c r="L384" s="147"/>
      <c r="M384" s="147"/>
      <c r="N384" s="147"/>
      <c r="O384" s="147"/>
      <c r="P384" s="147"/>
      <c r="Q384" s="147"/>
      <c r="R384" s="147"/>
      <c r="S384" s="147"/>
      <c r="T384" s="147"/>
      <c r="U384" s="147"/>
      <c r="V384" s="147"/>
      <c r="W384" s="147"/>
      <c r="X384" s="147"/>
      <c r="Y384" s="147"/>
      <c r="Z384" s="147"/>
      <c r="AA384" s="147"/>
      <c r="AB384" s="147"/>
      <c r="AC384" s="147"/>
      <c r="AD384" s="147"/>
      <c r="AE384" s="147"/>
      <c r="AF384" s="147"/>
      <c r="AG384" s="147"/>
      <c r="AH384" s="147"/>
      <c r="AI384" s="147"/>
      <c r="AJ384" s="147"/>
      <c r="AK384" s="147"/>
    </row>
    <row r="385" ht="15.75" customHeight="1">
      <c r="A385" s="144"/>
      <c r="B385" s="182"/>
      <c r="C385" s="145"/>
      <c r="D385" s="145"/>
      <c r="E385" s="145"/>
      <c r="F385" s="146"/>
      <c r="G385" s="145"/>
      <c r="H385" s="146"/>
      <c r="I385" s="145"/>
      <c r="J385" s="146"/>
      <c r="K385" s="147"/>
      <c r="L385" s="147"/>
      <c r="M385" s="147"/>
      <c r="N385" s="147"/>
      <c r="O385" s="147"/>
      <c r="P385" s="147"/>
      <c r="Q385" s="147"/>
      <c r="R385" s="147"/>
      <c r="S385" s="147"/>
      <c r="T385" s="147"/>
      <c r="U385" s="147"/>
      <c r="V385" s="147"/>
      <c r="W385" s="147"/>
      <c r="X385" s="147"/>
      <c r="Y385" s="147"/>
      <c r="Z385" s="147"/>
      <c r="AA385" s="147"/>
      <c r="AB385" s="147"/>
      <c r="AC385" s="147"/>
      <c r="AD385" s="147"/>
      <c r="AE385" s="147"/>
      <c r="AF385" s="147"/>
      <c r="AG385" s="147"/>
      <c r="AH385" s="147"/>
      <c r="AI385" s="147"/>
      <c r="AJ385" s="147"/>
      <c r="AK385" s="147"/>
    </row>
    <row r="386" ht="15.75" customHeight="1">
      <c r="A386" s="144"/>
      <c r="B386" s="182"/>
      <c r="C386" s="145"/>
      <c r="D386" s="145"/>
      <c r="E386" s="145"/>
      <c r="F386" s="146"/>
      <c r="G386" s="145"/>
      <c r="H386" s="146"/>
      <c r="I386" s="145"/>
      <c r="J386" s="146"/>
      <c r="K386" s="147"/>
      <c r="L386" s="147"/>
      <c r="M386" s="147"/>
      <c r="N386" s="147"/>
      <c r="O386" s="147"/>
      <c r="P386" s="147"/>
      <c r="Q386" s="147"/>
      <c r="R386" s="147"/>
      <c r="S386" s="147"/>
      <c r="T386" s="147"/>
      <c r="U386" s="147"/>
      <c r="V386" s="147"/>
      <c r="W386" s="147"/>
      <c r="X386" s="147"/>
      <c r="Y386" s="147"/>
      <c r="Z386" s="147"/>
      <c r="AA386" s="147"/>
      <c r="AB386" s="147"/>
      <c r="AC386" s="147"/>
      <c r="AD386" s="147"/>
      <c r="AE386" s="147"/>
      <c r="AF386" s="147"/>
      <c r="AG386" s="147"/>
      <c r="AH386" s="147"/>
      <c r="AI386" s="147"/>
      <c r="AJ386" s="147"/>
      <c r="AK386" s="147"/>
    </row>
    <row r="387" ht="15.75" customHeight="1">
      <c r="A387" s="144"/>
      <c r="B387" s="182"/>
      <c r="C387" s="145"/>
      <c r="D387" s="145"/>
      <c r="E387" s="145"/>
      <c r="F387" s="146"/>
      <c r="G387" s="145"/>
      <c r="H387" s="146"/>
      <c r="I387" s="145"/>
      <c r="J387" s="146"/>
      <c r="K387" s="147"/>
      <c r="L387" s="147"/>
      <c r="M387" s="147"/>
      <c r="N387" s="147"/>
      <c r="O387" s="147"/>
      <c r="P387" s="147"/>
      <c r="Q387" s="147"/>
      <c r="R387" s="147"/>
      <c r="S387" s="147"/>
      <c r="T387" s="147"/>
      <c r="U387" s="147"/>
      <c r="V387" s="147"/>
      <c r="W387" s="147"/>
      <c r="X387" s="147"/>
      <c r="Y387" s="147"/>
      <c r="Z387" s="147"/>
      <c r="AA387" s="147"/>
      <c r="AB387" s="147"/>
      <c r="AC387" s="147"/>
      <c r="AD387" s="147"/>
      <c r="AE387" s="147"/>
      <c r="AF387" s="147"/>
      <c r="AG387" s="147"/>
      <c r="AH387" s="147"/>
      <c r="AI387" s="147"/>
      <c r="AJ387" s="147"/>
      <c r="AK387" s="147"/>
    </row>
    <row r="388" ht="15.75" customHeight="1">
      <c r="A388" s="144"/>
      <c r="B388" s="182"/>
      <c r="C388" s="145"/>
      <c r="D388" s="145"/>
      <c r="E388" s="145"/>
      <c r="F388" s="146"/>
      <c r="G388" s="145"/>
      <c r="H388" s="146"/>
      <c r="I388" s="145"/>
      <c r="J388" s="146"/>
      <c r="K388" s="147"/>
      <c r="L388" s="147"/>
      <c r="M388" s="147"/>
      <c r="N388" s="147"/>
      <c r="O388" s="147"/>
      <c r="P388" s="147"/>
      <c r="Q388" s="147"/>
      <c r="R388" s="147"/>
      <c r="S388" s="147"/>
      <c r="T388" s="147"/>
      <c r="U388" s="147"/>
      <c r="V388" s="147"/>
      <c r="W388" s="147"/>
      <c r="X388" s="147"/>
      <c r="Y388" s="147"/>
      <c r="Z388" s="147"/>
      <c r="AA388" s="147"/>
      <c r="AB388" s="147"/>
      <c r="AC388" s="147"/>
      <c r="AD388" s="147"/>
      <c r="AE388" s="147"/>
      <c r="AF388" s="147"/>
      <c r="AG388" s="147"/>
      <c r="AH388" s="147"/>
      <c r="AI388" s="147"/>
      <c r="AJ388" s="147"/>
      <c r="AK388" s="147"/>
    </row>
    <row r="389" ht="15.75" customHeight="1">
      <c r="A389" s="144"/>
      <c r="B389" s="182"/>
      <c r="C389" s="145"/>
      <c r="D389" s="145"/>
      <c r="E389" s="145"/>
      <c r="F389" s="146"/>
      <c r="G389" s="145"/>
      <c r="H389" s="146"/>
      <c r="I389" s="145"/>
      <c r="J389" s="146"/>
      <c r="K389" s="147"/>
      <c r="L389" s="147"/>
      <c r="M389" s="147"/>
      <c r="N389" s="147"/>
      <c r="O389" s="147"/>
      <c r="P389" s="147"/>
      <c r="Q389" s="147"/>
      <c r="R389" s="147"/>
      <c r="S389" s="147"/>
      <c r="T389" s="147"/>
      <c r="U389" s="147"/>
      <c r="V389" s="147"/>
      <c r="W389" s="147"/>
      <c r="X389" s="147"/>
      <c r="Y389" s="147"/>
      <c r="Z389" s="147"/>
      <c r="AA389" s="147"/>
      <c r="AB389" s="147"/>
      <c r="AC389" s="147"/>
      <c r="AD389" s="147"/>
      <c r="AE389" s="147"/>
      <c r="AF389" s="147"/>
      <c r="AG389" s="147"/>
      <c r="AH389" s="147"/>
      <c r="AI389" s="147"/>
      <c r="AJ389" s="147"/>
      <c r="AK389" s="147"/>
    </row>
    <row r="390" ht="15.75" customHeight="1">
      <c r="A390" s="144"/>
      <c r="B390" s="182"/>
      <c r="C390" s="145"/>
      <c r="D390" s="145"/>
      <c r="E390" s="145"/>
      <c r="F390" s="146"/>
      <c r="G390" s="145"/>
      <c r="H390" s="146"/>
      <c r="I390" s="145"/>
      <c r="J390" s="146"/>
      <c r="K390" s="147"/>
      <c r="L390" s="147"/>
      <c r="M390" s="147"/>
      <c r="N390" s="147"/>
      <c r="O390" s="147"/>
      <c r="P390" s="147"/>
      <c r="Q390" s="147"/>
      <c r="R390" s="147"/>
      <c r="S390" s="147"/>
      <c r="T390" s="147"/>
      <c r="U390" s="147"/>
      <c r="V390" s="147"/>
      <c r="W390" s="147"/>
      <c r="X390" s="147"/>
      <c r="Y390" s="147"/>
      <c r="Z390" s="147"/>
      <c r="AA390" s="147"/>
      <c r="AB390" s="147"/>
      <c r="AC390" s="147"/>
      <c r="AD390" s="147"/>
      <c r="AE390" s="147"/>
      <c r="AF390" s="147"/>
      <c r="AG390" s="147"/>
      <c r="AH390" s="147"/>
      <c r="AI390" s="147"/>
      <c r="AJ390" s="147"/>
      <c r="AK390" s="147"/>
    </row>
    <row r="391" ht="15.75" customHeight="1">
      <c r="A391" s="144"/>
      <c r="B391" s="182"/>
      <c r="C391" s="145"/>
      <c r="D391" s="145"/>
      <c r="E391" s="145"/>
      <c r="F391" s="146"/>
      <c r="G391" s="145"/>
      <c r="H391" s="146"/>
      <c r="I391" s="145"/>
      <c r="J391" s="146"/>
      <c r="K391" s="147"/>
      <c r="L391" s="147"/>
      <c r="M391" s="147"/>
      <c r="N391" s="147"/>
      <c r="O391" s="147"/>
      <c r="P391" s="147"/>
      <c r="Q391" s="147"/>
      <c r="R391" s="147"/>
      <c r="S391" s="147"/>
      <c r="T391" s="147"/>
      <c r="U391" s="147"/>
      <c r="V391" s="147"/>
      <c r="W391" s="147"/>
      <c r="X391" s="147"/>
      <c r="Y391" s="147"/>
      <c r="Z391" s="147"/>
      <c r="AA391" s="147"/>
      <c r="AB391" s="147"/>
      <c r="AC391" s="147"/>
      <c r="AD391" s="147"/>
      <c r="AE391" s="147"/>
      <c r="AF391" s="147"/>
      <c r="AG391" s="147"/>
      <c r="AH391" s="147"/>
      <c r="AI391" s="147"/>
      <c r="AJ391" s="147"/>
      <c r="AK391" s="147"/>
    </row>
    <row r="392" ht="15.75" customHeight="1">
      <c r="A392" s="144"/>
      <c r="B392" s="182"/>
      <c r="C392" s="145"/>
      <c r="D392" s="145"/>
      <c r="E392" s="145"/>
      <c r="F392" s="146"/>
      <c r="G392" s="145"/>
      <c r="H392" s="146"/>
      <c r="I392" s="145"/>
      <c r="J392" s="146"/>
      <c r="K392" s="147"/>
      <c r="L392" s="147"/>
      <c r="M392" s="147"/>
      <c r="N392" s="147"/>
      <c r="O392" s="147"/>
      <c r="P392" s="147"/>
      <c r="Q392" s="147"/>
      <c r="R392" s="147"/>
      <c r="S392" s="147"/>
      <c r="T392" s="147"/>
      <c r="U392" s="147"/>
      <c r="V392" s="147"/>
      <c r="W392" s="147"/>
      <c r="X392" s="147"/>
      <c r="Y392" s="147"/>
      <c r="Z392" s="147"/>
      <c r="AA392" s="147"/>
      <c r="AB392" s="147"/>
      <c r="AC392" s="147"/>
      <c r="AD392" s="147"/>
      <c r="AE392" s="147"/>
      <c r="AF392" s="147"/>
      <c r="AG392" s="147"/>
      <c r="AH392" s="147"/>
      <c r="AI392" s="147"/>
      <c r="AJ392" s="147"/>
      <c r="AK392" s="147"/>
    </row>
    <row r="393" ht="15.75" customHeight="1">
      <c r="A393" s="144"/>
      <c r="B393" s="182"/>
      <c r="C393" s="145"/>
      <c r="D393" s="145"/>
      <c r="E393" s="145"/>
      <c r="F393" s="146"/>
      <c r="G393" s="145"/>
      <c r="H393" s="146"/>
      <c r="I393" s="145"/>
      <c r="J393" s="146"/>
      <c r="K393" s="147"/>
      <c r="L393" s="147"/>
      <c r="M393" s="147"/>
      <c r="N393" s="147"/>
      <c r="O393" s="147"/>
      <c r="P393" s="147"/>
      <c r="Q393" s="147"/>
      <c r="R393" s="147"/>
      <c r="S393" s="147"/>
      <c r="T393" s="147"/>
      <c r="U393" s="147"/>
      <c r="V393" s="147"/>
      <c r="W393" s="147"/>
      <c r="X393" s="147"/>
      <c r="Y393" s="147"/>
      <c r="Z393" s="147"/>
      <c r="AA393" s="147"/>
      <c r="AB393" s="147"/>
      <c r="AC393" s="147"/>
      <c r="AD393" s="147"/>
      <c r="AE393" s="147"/>
      <c r="AF393" s="147"/>
      <c r="AG393" s="147"/>
      <c r="AH393" s="147"/>
      <c r="AI393" s="147"/>
      <c r="AJ393" s="147"/>
      <c r="AK393" s="147"/>
    </row>
    <row r="394" ht="15.75" customHeight="1">
      <c r="A394" s="144"/>
      <c r="B394" s="182"/>
      <c r="C394" s="145"/>
      <c r="D394" s="145"/>
      <c r="E394" s="145"/>
      <c r="F394" s="146"/>
      <c r="G394" s="145"/>
      <c r="H394" s="146"/>
      <c r="I394" s="145"/>
      <c r="J394" s="146"/>
      <c r="K394" s="147"/>
      <c r="L394" s="147"/>
      <c r="M394" s="147"/>
      <c r="N394" s="147"/>
      <c r="O394" s="147"/>
      <c r="P394" s="147"/>
      <c r="Q394" s="147"/>
      <c r="R394" s="147"/>
      <c r="S394" s="147"/>
      <c r="T394" s="147"/>
      <c r="U394" s="147"/>
      <c r="V394" s="147"/>
      <c r="W394" s="147"/>
      <c r="X394" s="147"/>
      <c r="Y394" s="147"/>
      <c r="Z394" s="147"/>
      <c r="AA394" s="147"/>
      <c r="AB394" s="147"/>
      <c r="AC394" s="147"/>
      <c r="AD394" s="147"/>
      <c r="AE394" s="147"/>
      <c r="AF394" s="147"/>
      <c r="AG394" s="147"/>
      <c r="AH394" s="147"/>
      <c r="AI394" s="147"/>
      <c r="AJ394" s="147"/>
      <c r="AK394" s="147"/>
    </row>
    <row r="395" ht="15.75" customHeight="1">
      <c r="A395" s="144"/>
      <c r="B395" s="182"/>
      <c r="C395" s="145"/>
      <c r="D395" s="145"/>
      <c r="E395" s="145"/>
      <c r="F395" s="146"/>
      <c r="G395" s="145"/>
      <c r="H395" s="146"/>
      <c r="I395" s="145"/>
      <c r="J395" s="146"/>
      <c r="K395" s="147"/>
      <c r="L395" s="147"/>
      <c r="M395" s="147"/>
      <c r="N395" s="147"/>
      <c r="O395" s="147"/>
      <c r="P395" s="147"/>
      <c r="Q395" s="147"/>
      <c r="R395" s="147"/>
      <c r="S395" s="147"/>
      <c r="T395" s="147"/>
      <c r="U395" s="147"/>
      <c r="V395" s="147"/>
      <c r="W395" s="147"/>
      <c r="X395" s="147"/>
      <c r="Y395" s="147"/>
      <c r="Z395" s="147"/>
      <c r="AA395" s="147"/>
      <c r="AB395" s="147"/>
      <c r="AC395" s="147"/>
      <c r="AD395" s="147"/>
      <c r="AE395" s="147"/>
      <c r="AF395" s="147"/>
      <c r="AG395" s="147"/>
      <c r="AH395" s="147"/>
      <c r="AI395" s="147"/>
      <c r="AJ395" s="147"/>
      <c r="AK395" s="147"/>
    </row>
    <row r="396" ht="15.75" customHeight="1">
      <c r="A396" s="144"/>
      <c r="B396" s="182"/>
      <c r="C396" s="145"/>
      <c r="D396" s="145"/>
      <c r="E396" s="145"/>
      <c r="F396" s="146"/>
      <c r="G396" s="145"/>
      <c r="H396" s="146"/>
      <c r="I396" s="145"/>
      <c r="J396" s="146"/>
      <c r="K396" s="147"/>
      <c r="L396" s="147"/>
      <c r="M396" s="147"/>
      <c r="N396" s="147"/>
      <c r="O396" s="147"/>
      <c r="P396" s="147"/>
      <c r="Q396" s="147"/>
      <c r="R396" s="147"/>
      <c r="S396" s="147"/>
      <c r="T396" s="147"/>
      <c r="U396" s="147"/>
      <c r="V396" s="147"/>
      <c r="W396" s="147"/>
      <c r="X396" s="147"/>
      <c r="Y396" s="147"/>
      <c r="Z396" s="147"/>
      <c r="AA396" s="147"/>
      <c r="AB396" s="147"/>
      <c r="AC396" s="147"/>
      <c r="AD396" s="147"/>
      <c r="AE396" s="147"/>
      <c r="AF396" s="147"/>
      <c r="AG396" s="147"/>
      <c r="AH396" s="147"/>
      <c r="AI396" s="147"/>
      <c r="AJ396" s="147"/>
      <c r="AK396" s="147"/>
    </row>
    <row r="397" ht="15.75" customHeight="1">
      <c r="A397" s="144"/>
      <c r="B397" s="182"/>
      <c r="C397" s="145"/>
      <c r="D397" s="145"/>
      <c r="E397" s="145"/>
      <c r="F397" s="146"/>
      <c r="G397" s="145"/>
      <c r="H397" s="146"/>
      <c r="I397" s="145"/>
      <c r="J397" s="146"/>
      <c r="K397" s="147"/>
      <c r="L397" s="147"/>
      <c r="M397" s="147"/>
      <c r="N397" s="147"/>
      <c r="O397" s="147"/>
      <c r="P397" s="147"/>
      <c r="Q397" s="147"/>
      <c r="R397" s="147"/>
      <c r="S397" s="147"/>
      <c r="T397" s="147"/>
      <c r="U397" s="147"/>
      <c r="V397" s="147"/>
      <c r="W397" s="147"/>
      <c r="X397" s="147"/>
      <c r="Y397" s="147"/>
      <c r="Z397" s="147"/>
      <c r="AA397" s="147"/>
      <c r="AB397" s="147"/>
      <c r="AC397" s="147"/>
      <c r="AD397" s="147"/>
      <c r="AE397" s="147"/>
      <c r="AF397" s="147"/>
      <c r="AG397" s="147"/>
      <c r="AH397" s="147"/>
      <c r="AI397" s="147"/>
      <c r="AJ397" s="147"/>
      <c r="AK397" s="147"/>
    </row>
    <row r="398" ht="15.75" customHeight="1">
      <c r="A398" s="144"/>
      <c r="B398" s="182"/>
      <c r="C398" s="145"/>
      <c r="D398" s="145"/>
      <c r="E398" s="145"/>
      <c r="F398" s="146"/>
      <c r="G398" s="145"/>
      <c r="H398" s="146"/>
      <c r="I398" s="145"/>
      <c r="J398" s="146"/>
      <c r="K398" s="147"/>
      <c r="L398" s="147"/>
      <c r="M398" s="147"/>
      <c r="N398" s="147"/>
      <c r="O398" s="147"/>
      <c r="P398" s="147"/>
      <c r="Q398" s="147"/>
      <c r="R398" s="147"/>
      <c r="S398" s="147"/>
      <c r="T398" s="147"/>
      <c r="U398" s="147"/>
      <c r="V398" s="147"/>
      <c r="W398" s="147"/>
      <c r="X398" s="147"/>
      <c r="Y398" s="147"/>
      <c r="Z398" s="147"/>
      <c r="AA398" s="147"/>
      <c r="AB398" s="147"/>
      <c r="AC398" s="147"/>
      <c r="AD398" s="147"/>
      <c r="AE398" s="147"/>
      <c r="AF398" s="147"/>
      <c r="AG398" s="147"/>
      <c r="AH398" s="147"/>
      <c r="AI398" s="147"/>
      <c r="AJ398" s="147"/>
      <c r="AK398" s="147"/>
    </row>
    <row r="399" ht="15.75" customHeight="1">
      <c r="A399" s="144"/>
      <c r="B399" s="182"/>
      <c r="C399" s="145"/>
      <c r="D399" s="145"/>
      <c r="E399" s="145"/>
      <c r="F399" s="146"/>
      <c r="G399" s="145"/>
      <c r="H399" s="146"/>
      <c r="I399" s="145"/>
      <c r="J399" s="146"/>
      <c r="K399" s="147"/>
      <c r="L399" s="147"/>
      <c r="M399" s="147"/>
      <c r="N399" s="147"/>
      <c r="O399" s="147"/>
      <c r="P399" s="147"/>
      <c r="Q399" s="147"/>
      <c r="R399" s="147"/>
      <c r="S399" s="147"/>
      <c r="T399" s="147"/>
      <c r="U399" s="147"/>
      <c r="V399" s="147"/>
      <c r="W399" s="147"/>
      <c r="X399" s="147"/>
      <c r="Y399" s="147"/>
      <c r="Z399" s="147"/>
      <c r="AA399" s="147"/>
      <c r="AB399" s="147"/>
      <c r="AC399" s="147"/>
      <c r="AD399" s="147"/>
      <c r="AE399" s="147"/>
      <c r="AF399" s="147"/>
      <c r="AG399" s="147"/>
      <c r="AH399" s="147"/>
      <c r="AI399" s="147"/>
      <c r="AJ399" s="147"/>
      <c r="AK399" s="147"/>
    </row>
    <row r="400" ht="15.75" customHeight="1">
      <c r="A400" s="144"/>
      <c r="B400" s="182"/>
      <c r="C400" s="145"/>
      <c r="D400" s="145"/>
      <c r="E400" s="145"/>
      <c r="F400" s="146"/>
      <c r="G400" s="145"/>
      <c r="H400" s="146"/>
      <c r="I400" s="145"/>
      <c r="J400" s="146"/>
      <c r="K400" s="147"/>
      <c r="L400" s="147"/>
      <c r="M400" s="147"/>
      <c r="N400" s="147"/>
      <c r="O400" s="147"/>
      <c r="P400" s="147"/>
      <c r="Q400" s="147"/>
      <c r="R400" s="147"/>
      <c r="S400" s="147"/>
      <c r="T400" s="147"/>
      <c r="U400" s="147"/>
      <c r="V400" s="147"/>
      <c r="W400" s="147"/>
      <c r="X400" s="147"/>
      <c r="Y400" s="147"/>
      <c r="Z400" s="147"/>
      <c r="AA400" s="147"/>
      <c r="AB400" s="147"/>
      <c r="AC400" s="147"/>
      <c r="AD400" s="147"/>
      <c r="AE400" s="147"/>
      <c r="AF400" s="147"/>
      <c r="AG400" s="147"/>
      <c r="AH400" s="147"/>
      <c r="AI400" s="147"/>
      <c r="AJ400" s="147"/>
      <c r="AK400" s="147"/>
    </row>
    <row r="401" ht="15.75" customHeight="1">
      <c r="A401" s="144"/>
      <c r="B401" s="182"/>
      <c r="C401" s="145"/>
      <c r="D401" s="145"/>
      <c r="E401" s="145"/>
      <c r="F401" s="146"/>
      <c r="G401" s="145"/>
      <c r="H401" s="146"/>
      <c r="I401" s="145"/>
      <c r="J401" s="146"/>
      <c r="K401" s="147"/>
      <c r="L401" s="147"/>
      <c r="M401" s="147"/>
      <c r="N401" s="147"/>
      <c r="O401" s="147"/>
      <c r="P401" s="147"/>
      <c r="Q401" s="147"/>
      <c r="R401" s="147"/>
      <c r="S401" s="147"/>
      <c r="T401" s="147"/>
      <c r="U401" s="147"/>
      <c r="V401" s="147"/>
      <c r="W401" s="147"/>
      <c r="X401" s="147"/>
      <c r="Y401" s="147"/>
      <c r="Z401" s="147"/>
      <c r="AA401" s="147"/>
      <c r="AB401" s="147"/>
      <c r="AC401" s="147"/>
      <c r="AD401" s="147"/>
      <c r="AE401" s="147"/>
      <c r="AF401" s="147"/>
      <c r="AG401" s="147"/>
      <c r="AH401" s="147"/>
      <c r="AI401" s="147"/>
      <c r="AJ401" s="147"/>
      <c r="AK401" s="147"/>
    </row>
    <row r="402" ht="15.75" customHeight="1">
      <c r="A402" s="144"/>
      <c r="B402" s="182"/>
      <c r="C402" s="145"/>
      <c r="D402" s="145"/>
      <c r="E402" s="145"/>
      <c r="F402" s="146"/>
      <c r="G402" s="145"/>
      <c r="H402" s="146"/>
      <c r="I402" s="145"/>
      <c r="J402" s="146"/>
      <c r="K402" s="147"/>
      <c r="L402" s="147"/>
      <c r="M402" s="147"/>
      <c r="N402" s="147"/>
      <c r="O402" s="147"/>
      <c r="P402" s="147"/>
      <c r="Q402" s="147"/>
      <c r="R402" s="147"/>
      <c r="S402" s="147"/>
      <c r="T402" s="147"/>
      <c r="U402" s="147"/>
      <c r="V402" s="147"/>
      <c r="W402" s="147"/>
      <c r="X402" s="147"/>
      <c r="Y402" s="147"/>
      <c r="Z402" s="147"/>
      <c r="AA402" s="147"/>
      <c r="AB402" s="147"/>
      <c r="AC402" s="147"/>
      <c r="AD402" s="147"/>
      <c r="AE402" s="147"/>
      <c r="AF402" s="147"/>
      <c r="AG402" s="147"/>
      <c r="AH402" s="147"/>
      <c r="AI402" s="147"/>
      <c r="AJ402" s="147"/>
      <c r="AK402" s="147"/>
    </row>
    <row r="403" ht="15.75" customHeight="1">
      <c r="A403" s="144"/>
      <c r="B403" s="182"/>
      <c r="C403" s="145"/>
      <c r="D403" s="145"/>
      <c r="E403" s="145"/>
      <c r="F403" s="146"/>
      <c r="G403" s="145"/>
      <c r="H403" s="146"/>
      <c r="I403" s="145"/>
      <c r="J403" s="146"/>
      <c r="K403" s="147"/>
      <c r="L403" s="147"/>
      <c r="M403" s="147"/>
      <c r="N403" s="147"/>
      <c r="O403" s="147"/>
      <c r="P403" s="147"/>
      <c r="Q403" s="147"/>
      <c r="R403" s="147"/>
      <c r="S403" s="147"/>
      <c r="T403" s="147"/>
      <c r="U403" s="147"/>
      <c r="V403" s="147"/>
      <c r="W403" s="147"/>
      <c r="X403" s="147"/>
      <c r="Y403" s="147"/>
      <c r="Z403" s="147"/>
      <c r="AA403" s="147"/>
      <c r="AB403" s="147"/>
      <c r="AC403" s="147"/>
      <c r="AD403" s="147"/>
      <c r="AE403" s="147"/>
      <c r="AF403" s="147"/>
      <c r="AG403" s="147"/>
      <c r="AH403" s="147"/>
      <c r="AI403" s="147"/>
      <c r="AJ403" s="147"/>
      <c r="AK403" s="147"/>
    </row>
    <row r="404" ht="15.75" customHeight="1">
      <c r="A404" s="144"/>
      <c r="B404" s="182"/>
      <c r="C404" s="145"/>
      <c r="D404" s="145"/>
      <c r="E404" s="145"/>
      <c r="F404" s="146"/>
      <c r="G404" s="145"/>
      <c r="H404" s="146"/>
      <c r="I404" s="145"/>
      <c r="J404" s="146"/>
      <c r="K404" s="147"/>
      <c r="L404" s="147"/>
      <c r="M404" s="147"/>
      <c r="N404" s="147"/>
      <c r="O404" s="147"/>
      <c r="P404" s="147"/>
      <c r="Q404" s="147"/>
      <c r="R404" s="147"/>
      <c r="S404" s="147"/>
      <c r="T404" s="147"/>
      <c r="U404" s="147"/>
      <c r="V404" s="147"/>
      <c r="W404" s="147"/>
      <c r="X404" s="147"/>
      <c r="Y404" s="147"/>
      <c r="Z404" s="147"/>
      <c r="AA404" s="147"/>
      <c r="AB404" s="147"/>
      <c r="AC404" s="147"/>
      <c r="AD404" s="147"/>
      <c r="AE404" s="147"/>
      <c r="AF404" s="147"/>
      <c r="AG404" s="147"/>
      <c r="AH404" s="147"/>
      <c r="AI404" s="147"/>
      <c r="AJ404" s="147"/>
      <c r="AK404" s="147"/>
    </row>
    <row r="405" ht="15.75" customHeight="1">
      <c r="A405" s="144"/>
      <c r="B405" s="182"/>
      <c r="C405" s="145"/>
      <c r="D405" s="145"/>
      <c r="E405" s="145"/>
      <c r="F405" s="146"/>
      <c r="G405" s="145"/>
      <c r="H405" s="146"/>
      <c r="I405" s="145"/>
      <c r="J405" s="146"/>
      <c r="K405" s="147"/>
      <c r="L405" s="147"/>
      <c r="M405" s="147"/>
      <c r="N405" s="147"/>
      <c r="O405" s="147"/>
      <c r="P405" s="147"/>
      <c r="Q405" s="147"/>
      <c r="R405" s="147"/>
      <c r="S405" s="147"/>
      <c r="T405" s="147"/>
      <c r="U405" s="147"/>
      <c r="V405" s="147"/>
      <c r="W405" s="147"/>
      <c r="X405" s="147"/>
      <c r="Y405" s="147"/>
      <c r="Z405" s="147"/>
      <c r="AA405" s="147"/>
      <c r="AB405" s="147"/>
      <c r="AC405" s="147"/>
      <c r="AD405" s="147"/>
      <c r="AE405" s="147"/>
      <c r="AF405" s="147"/>
      <c r="AG405" s="147"/>
      <c r="AH405" s="147"/>
      <c r="AI405" s="147"/>
      <c r="AJ405" s="147"/>
      <c r="AK405" s="147"/>
    </row>
    <row r="406" ht="15.75" customHeight="1">
      <c r="A406" s="144"/>
      <c r="B406" s="182"/>
      <c r="C406" s="145"/>
      <c r="D406" s="145"/>
      <c r="E406" s="145"/>
      <c r="F406" s="146"/>
      <c r="G406" s="145"/>
      <c r="H406" s="146"/>
      <c r="I406" s="145"/>
      <c r="J406" s="146"/>
      <c r="K406" s="147"/>
      <c r="L406" s="147"/>
      <c r="M406" s="147"/>
      <c r="N406" s="147"/>
      <c r="O406" s="147"/>
      <c r="P406" s="147"/>
      <c r="Q406" s="147"/>
      <c r="R406" s="147"/>
      <c r="S406" s="147"/>
      <c r="T406" s="147"/>
      <c r="U406" s="147"/>
      <c r="V406" s="147"/>
      <c r="W406" s="147"/>
      <c r="X406" s="147"/>
      <c r="Y406" s="147"/>
      <c r="Z406" s="147"/>
      <c r="AA406" s="147"/>
      <c r="AB406" s="147"/>
      <c r="AC406" s="147"/>
      <c r="AD406" s="147"/>
      <c r="AE406" s="147"/>
      <c r="AF406" s="147"/>
      <c r="AG406" s="147"/>
      <c r="AH406" s="147"/>
      <c r="AI406" s="147"/>
      <c r="AJ406" s="147"/>
      <c r="AK406" s="147"/>
    </row>
    <row r="407" ht="15.75" customHeight="1">
      <c r="A407" s="144"/>
      <c r="B407" s="182"/>
      <c r="C407" s="145"/>
      <c r="D407" s="145"/>
      <c r="E407" s="145"/>
      <c r="F407" s="146"/>
      <c r="G407" s="145"/>
      <c r="H407" s="146"/>
      <c r="I407" s="145"/>
      <c r="J407" s="146"/>
      <c r="K407" s="147"/>
      <c r="L407" s="147"/>
      <c r="M407" s="147"/>
      <c r="N407" s="147"/>
      <c r="O407" s="147"/>
      <c r="P407" s="147"/>
      <c r="Q407" s="147"/>
      <c r="R407" s="147"/>
      <c r="S407" s="147"/>
      <c r="T407" s="147"/>
      <c r="U407" s="147"/>
      <c r="V407" s="147"/>
      <c r="W407" s="147"/>
      <c r="X407" s="147"/>
      <c r="Y407" s="147"/>
      <c r="Z407" s="147"/>
      <c r="AA407" s="147"/>
      <c r="AB407" s="147"/>
      <c r="AC407" s="147"/>
      <c r="AD407" s="147"/>
      <c r="AE407" s="147"/>
      <c r="AF407" s="147"/>
      <c r="AG407" s="147"/>
      <c r="AH407" s="147"/>
      <c r="AI407" s="147"/>
      <c r="AJ407" s="147"/>
      <c r="AK407" s="147"/>
    </row>
    <row r="408" ht="15.75" customHeight="1">
      <c r="A408" s="144"/>
      <c r="B408" s="182"/>
      <c r="C408" s="145"/>
      <c r="D408" s="145"/>
      <c r="E408" s="145"/>
      <c r="F408" s="146"/>
      <c r="G408" s="145"/>
      <c r="H408" s="146"/>
      <c r="I408" s="145"/>
      <c r="J408" s="146"/>
      <c r="K408" s="147"/>
      <c r="L408" s="147"/>
      <c r="M408" s="147"/>
      <c r="N408" s="147"/>
      <c r="O408" s="147"/>
      <c r="P408" s="147"/>
      <c r="Q408" s="147"/>
      <c r="R408" s="147"/>
      <c r="S408" s="147"/>
      <c r="T408" s="147"/>
      <c r="U408" s="147"/>
      <c r="V408" s="147"/>
      <c r="W408" s="147"/>
      <c r="X408" s="147"/>
      <c r="Y408" s="147"/>
      <c r="Z408" s="147"/>
      <c r="AA408" s="147"/>
      <c r="AB408" s="147"/>
      <c r="AC408" s="147"/>
      <c r="AD408" s="147"/>
      <c r="AE408" s="147"/>
      <c r="AF408" s="147"/>
      <c r="AG408" s="147"/>
      <c r="AH408" s="147"/>
      <c r="AI408" s="147"/>
      <c r="AJ408" s="147"/>
      <c r="AK408" s="147"/>
    </row>
    <row r="409" ht="15.75" customHeight="1">
      <c r="A409" s="144"/>
      <c r="B409" s="182"/>
      <c r="C409" s="145"/>
      <c r="D409" s="145"/>
      <c r="E409" s="145"/>
      <c r="F409" s="146"/>
      <c r="G409" s="145"/>
      <c r="H409" s="146"/>
      <c r="I409" s="145"/>
      <c r="J409" s="146"/>
      <c r="K409" s="147"/>
      <c r="L409" s="147"/>
      <c r="M409" s="147"/>
      <c r="N409" s="147"/>
      <c r="O409" s="147"/>
      <c r="P409" s="147"/>
      <c r="Q409" s="147"/>
      <c r="R409" s="147"/>
      <c r="S409" s="147"/>
      <c r="T409" s="147"/>
      <c r="U409" s="147"/>
      <c r="V409" s="147"/>
      <c r="W409" s="147"/>
      <c r="X409" s="147"/>
      <c r="Y409" s="147"/>
      <c r="Z409" s="147"/>
      <c r="AA409" s="147"/>
      <c r="AB409" s="147"/>
      <c r="AC409" s="147"/>
      <c r="AD409" s="147"/>
      <c r="AE409" s="147"/>
      <c r="AF409" s="147"/>
      <c r="AG409" s="147"/>
      <c r="AH409" s="147"/>
      <c r="AI409" s="147"/>
      <c r="AJ409" s="147"/>
      <c r="AK409" s="147"/>
    </row>
    <row r="410" ht="15.75" customHeight="1">
      <c r="A410" s="144"/>
      <c r="B410" s="182"/>
      <c r="C410" s="145"/>
      <c r="D410" s="145"/>
      <c r="E410" s="145"/>
      <c r="F410" s="146"/>
      <c r="G410" s="145"/>
      <c r="H410" s="146"/>
      <c r="I410" s="145"/>
      <c r="J410" s="146"/>
      <c r="K410" s="147"/>
      <c r="L410" s="147"/>
      <c r="M410" s="147"/>
      <c r="N410" s="147"/>
      <c r="O410" s="147"/>
      <c r="P410" s="147"/>
      <c r="Q410" s="147"/>
      <c r="R410" s="147"/>
      <c r="S410" s="147"/>
      <c r="T410" s="147"/>
      <c r="U410" s="147"/>
      <c r="V410" s="147"/>
      <c r="W410" s="147"/>
      <c r="X410" s="147"/>
      <c r="Y410" s="147"/>
      <c r="Z410" s="147"/>
      <c r="AA410" s="147"/>
      <c r="AB410" s="147"/>
      <c r="AC410" s="147"/>
      <c r="AD410" s="147"/>
      <c r="AE410" s="147"/>
      <c r="AF410" s="147"/>
      <c r="AG410" s="147"/>
      <c r="AH410" s="147"/>
      <c r="AI410" s="147"/>
      <c r="AJ410" s="147"/>
      <c r="AK410" s="147"/>
    </row>
    <row r="411" ht="15.75" customHeight="1">
      <c r="A411" s="144"/>
      <c r="B411" s="182"/>
      <c r="C411" s="145"/>
      <c r="D411" s="145"/>
      <c r="E411" s="145"/>
      <c r="F411" s="146"/>
      <c r="G411" s="145"/>
      <c r="H411" s="146"/>
      <c r="I411" s="145"/>
      <c r="J411" s="146"/>
      <c r="K411" s="147"/>
      <c r="L411" s="147"/>
      <c r="M411" s="147"/>
      <c r="N411" s="147"/>
      <c r="O411" s="147"/>
      <c r="P411" s="147"/>
      <c r="Q411" s="147"/>
      <c r="R411" s="147"/>
      <c r="S411" s="147"/>
      <c r="T411" s="147"/>
      <c r="U411" s="147"/>
      <c r="V411" s="147"/>
      <c r="W411" s="147"/>
      <c r="X411" s="147"/>
      <c r="Y411" s="147"/>
      <c r="Z411" s="147"/>
      <c r="AA411" s="147"/>
      <c r="AB411" s="147"/>
      <c r="AC411" s="147"/>
      <c r="AD411" s="147"/>
      <c r="AE411" s="147"/>
      <c r="AF411" s="147"/>
      <c r="AG411" s="147"/>
      <c r="AH411" s="147"/>
      <c r="AI411" s="147"/>
      <c r="AJ411" s="147"/>
      <c r="AK411" s="147"/>
    </row>
    <row r="412" ht="15.75" customHeight="1">
      <c r="A412" s="144"/>
      <c r="B412" s="182"/>
      <c r="C412" s="145"/>
      <c r="D412" s="145"/>
      <c r="E412" s="145"/>
      <c r="F412" s="146"/>
      <c r="G412" s="145"/>
      <c r="H412" s="146"/>
      <c r="I412" s="145"/>
      <c r="J412" s="146"/>
      <c r="K412" s="147"/>
      <c r="L412" s="147"/>
      <c r="M412" s="147"/>
      <c r="N412" s="147"/>
      <c r="O412" s="147"/>
      <c r="P412" s="147"/>
      <c r="Q412" s="147"/>
      <c r="R412" s="147"/>
      <c r="S412" s="147"/>
      <c r="T412" s="147"/>
      <c r="U412" s="147"/>
      <c r="V412" s="147"/>
      <c r="W412" s="147"/>
      <c r="X412" s="147"/>
      <c r="Y412" s="147"/>
      <c r="Z412" s="147"/>
      <c r="AA412" s="147"/>
      <c r="AB412" s="147"/>
      <c r="AC412" s="147"/>
      <c r="AD412" s="147"/>
      <c r="AE412" s="147"/>
      <c r="AF412" s="147"/>
      <c r="AG412" s="147"/>
      <c r="AH412" s="147"/>
      <c r="AI412" s="147"/>
      <c r="AJ412" s="147"/>
      <c r="AK412" s="147"/>
    </row>
    <row r="413" ht="15.75" customHeight="1">
      <c r="A413" s="144"/>
      <c r="B413" s="182"/>
      <c r="C413" s="145"/>
      <c r="D413" s="145"/>
      <c r="E413" s="145"/>
      <c r="F413" s="146"/>
      <c r="G413" s="145"/>
      <c r="H413" s="146"/>
      <c r="I413" s="145"/>
      <c r="J413" s="146"/>
      <c r="K413" s="147"/>
      <c r="L413" s="147"/>
      <c r="M413" s="147"/>
      <c r="N413" s="147"/>
      <c r="O413" s="147"/>
      <c r="P413" s="147"/>
      <c r="Q413" s="147"/>
      <c r="R413" s="147"/>
      <c r="S413" s="147"/>
      <c r="T413" s="147"/>
      <c r="U413" s="147"/>
      <c r="V413" s="147"/>
      <c r="W413" s="147"/>
      <c r="X413" s="147"/>
      <c r="Y413" s="147"/>
      <c r="Z413" s="147"/>
      <c r="AA413" s="147"/>
      <c r="AB413" s="147"/>
      <c r="AC413" s="147"/>
      <c r="AD413" s="147"/>
      <c r="AE413" s="147"/>
      <c r="AF413" s="147"/>
      <c r="AG413" s="147"/>
      <c r="AH413" s="147"/>
      <c r="AI413" s="147"/>
      <c r="AJ413" s="147"/>
      <c r="AK413" s="147"/>
    </row>
    <row r="414" ht="15.75" customHeight="1">
      <c r="A414" s="144"/>
      <c r="B414" s="182"/>
      <c r="C414" s="145"/>
      <c r="D414" s="145"/>
      <c r="E414" s="145"/>
      <c r="F414" s="146"/>
      <c r="G414" s="145"/>
      <c r="H414" s="146"/>
      <c r="I414" s="145"/>
      <c r="J414" s="146"/>
      <c r="K414" s="147"/>
      <c r="L414" s="147"/>
      <c r="M414" s="147"/>
      <c r="N414" s="147"/>
      <c r="O414" s="147"/>
      <c r="P414" s="147"/>
      <c r="Q414" s="147"/>
      <c r="R414" s="147"/>
      <c r="S414" s="147"/>
      <c r="T414" s="147"/>
      <c r="U414" s="147"/>
      <c r="V414" s="147"/>
      <c r="W414" s="147"/>
      <c r="X414" s="147"/>
      <c r="Y414" s="147"/>
      <c r="Z414" s="147"/>
      <c r="AA414" s="147"/>
      <c r="AB414" s="147"/>
      <c r="AC414" s="147"/>
      <c r="AD414" s="147"/>
      <c r="AE414" s="147"/>
      <c r="AF414" s="147"/>
      <c r="AG414" s="147"/>
      <c r="AH414" s="147"/>
      <c r="AI414" s="147"/>
      <c r="AJ414" s="147"/>
      <c r="AK414" s="147"/>
    </row>
    <row r="415" ht="15.75" customHeight="1">
      <c r="A415" s="144"/>
      <c r="B415" s="182"/>
      <c r="C415" s="145"/>
      <c r="D415" s="145"/>
      <c r="E415" s="145"/>
      <c r="F415" s="146"/>
      <c r="G415" s="145"/>
      <c r="H415" s="146"/>
      <c r="I415" s="145"/>
      <c r="J415" s="146"/>
      <c r="K415" s="147"/>
      <c r="L415" s="147"/>
      <c r="M415" s="147"/>
      <c r="N415" s="147"/>
      <c r="O415" s="147"/>
      <c r="P415" s="147"/>
      <c r="Q415" s="147"/>
      <c r="R415" s="147"/>
      <c r="S415" s="147"/>
      <c r="T415" s="147"/>
      <c r="U415" s="147"/>
      <c r="V415" s="147"/>
      <c r="W415" s="147"/>
      <c r="X415" s="147"/>
      <c r="Y415" s="147"/>
      <c r="Z415" s="147"/>
      <c r="AA415" s="147"/>
      <c r="AB415" s="147"/>
      <c r="AC415" s="147"/>
      <c r="AD415" s="147"/>
      <c r="AE415" s="147"/>
      <c r="AF415" s="147"/>
      <c r="AG415" s="147"/>
      <c r="AH415" s="147"/>
      <c r="AI415" s="147"/>
      <c r="AJ415" s="147"/>
      <c r="AK415" s="147"/>
    </row>
    <row r="416" ht="15.75" customHeight="1">
      <c r="A416" s="144"/>
      <c r="B416" s="182"/>
      <c r="C416" s="145"/>
      <c r="D416" s="145"/>
      <c r="E416" s="145"/>
      <c r="F416" s="146"/>
      <c r="G416" s="145"/>
      <c r="H416" s="146"/>
      <c r="I416" s="145"/>
      <c r="J416" s="146"/>
      <c r="K416" s="147"/>
      <c r="L416" s="147"/>
      <c r="M416" s="147"/>
      <c r="N416" s="147"/>
      <c r="O416" s="147"/>
      <c r="P416" s="147"/>
      <c r="Q416" s="147"/>
      <c r="R416" s="147"/>
      <c r="S416" s="147"/>
      <c r="T416" s="147"/>
      <c r="U416" s="147"/>
      <c r="V416" s="147"/>
      <c r="W416" s="147"/>
      <c r="X416" s="147"/>
      <c r="Y416" s="147"/>
      <c r="Z416" s="147"/>
      <c r="AA416" s="147"/>
      <c r="AB416" s="147"/>
      <c r="AC416" s="147"/>
      <c r="AD416" s="147"/>
      <c r="AE416" s="147"/>
      <c r="AF416" s="147"/>
      <c r="AG416" s="147"/>
      <c r="AH416" s="147"/>
      <c r="AI416" s="147"/>
      <c r="AJ416" s="147"/>
      <c r="AK416" s="147"/>
    </row>
    <row r="417" ht="15.75" customHeight="1">
      <c r="A417" s="144"/>
      <c r="B417" s="182"/>
      <c r="C417" s="145"/>
      <c r="D417" s="145"/>
      <c r="E417" s="145"/>
      <c r="F417" s="146"/>
      <c r="G417" s="145"/>
      <c r="H417" s="146"/>
      <c r="I417" s="145"/>
      <c r="J417" s="146"/>
      <c r="K417" s="147"/>
      <c r="L417" s="147"/>
      <c r="M417" s="147"/>
      <c r="N417" s="147"/>
      <c r="O417" s="147"/>
      <c r="P417" s="147"/>
      <c r="Q417" s="147"/>
      <c r="R417" s="147"/>
      <c r="S417" s="147"/>
      <c r="T417" s="147"/>
      <c r="U417" s="147"/>
      <c r="V417" s="147"/>
      <c r="W417" s="147"/>
      <c r="X417" s="147"/>
      <c r="Y417" s="147"/>
      <c r="Z417" s="147"/>
      <c r="AA417" s="147"/>
      <c r="AB417" s="147"/>
      <c r="AC417" s="147"/>
      <c r="AD417" s="147"/>
      <c r="AE417" s="147"/>
      <c r="AF417" s="147"/>
      <c r="AG417" s="147"/>
      <c r="AH417" s="147"/>
      <c r="AI417" s="147"/>
      <c r="AJ417" s="147"/>
      <c r="AK417" s="147"/>
    </row>
    <row r="418" ht="15.75" customHeight="1">
      <c r="A418" s="144"/>
      <c r="B418" s="182"/>
      <c r="C418" s="145"/>
      <c r="D418" s="145"/>
      <c r="E418" s="145"/>
      <c r="F418" s="146"/>
      <c r="G418" s="145"/>
      <c r="H418" s="146"/>
      <c r="I418" s="145"/>
      <c r="J418" s="146"/>
      <c r="K418" s="147"/>
      <c r="L418" s="147"/>
      <c r="M418" s="147"/>
      <c r="N418" s="147"/>
      <c r="O418" s="147"/>
      <c r="P418" s="147"/>
      <c r="Q418" s="147"/>
      <c r="R418" s="147"/>
      <c r="S418" s="147"/>
      <c r="T418" s="147"/>
      <c r="U418" s="147"/>
      <c r="V418" s="147"/>
      <c r="W418" s="147"/>
      <c r="X418" s="147"/>
      <c r="Y418" s="147"/>
      <c r="Z418" s="147"/>
      <c r="AA418" s="147"/>
      <c r="AB418" s="147"/>
      <c r="AC418" s="147"/>
      <c r="AD418" s="147"/>
      <c r="AE418" s="147"/>
      <c r="AF418" s="147"/>
      <c r="AG418" s="147"/>
      <c r="AH418" s="147"/>
      <c r="AI418" s="147"/>
      <c r="AJ418" s="147"/>
      <c r="AK418" s="147"/>
    </row>
    <row r="419" ht="15.75" customHeight="1">
      <c r="A419" s="144"/>
      <c r="B419" s="182"/>
      <c r="C419" s="145"/>
      <c r="D419" s="145"/>
      <c r="E419" s="145"/>
      <c r="F419" s="146"/>
      <c r="G419" s="145"/>
      <c r="H419" s="146"/>
      <c r="I419" s="145"/>
      <c r="J419" s="146"/>
      <c r="K419" s="147"/>
      <c r="L419" s="147"/>
      <c r="M419" s="147"/>
      <c r="N419" s="147"/>
      <c r="O419" s="147"/>
      <c r="P419" s="147"/>
      <c r="Q419" s="147"/>
      <c r="R419" s="147"/>
      <c r="S419" s="147"/>
      <c r="T419" s="147"/>
      <c r="U419" s="147"/>
      <c r="V419" s="147"/>
      <c r="W419" s="147"/>
      <c r="X419" s="147"/>
      <c r="Y419" s="147"/>
      <c r="Z419" s="147"/>
      <c r="AA419" s="147"/>
      <c r="AB419" s="147"/>
      <c r="AC419" s="147"/>
      <c r="AD419" s="147"/>
      <c r="AE419" s="147"/>
      <c r="AF419" s="147"/>
      <c r="AG419" s="147"/>
      <c r="AH419" s="147"/>
      <c r="AI419" s="147"/>
      <c r="AJ419" s="147"/>
      <c r="AK419" s="147"/>
    </row>
    <row r="420" ht="15.75" customHeight="1">
      <c r="A420" s="144"/>
      <c r="B420" s="182"/>
      <c r="C420" s="145"/>
      <c r="D420" s="145"/>
      <c r="E420" s="145"/>
      <c r="F420" s="146"/>
      <c r="G420" s="145"/>
      <c r="H420" s="146"/>
      <c r="I420" s="145"/>
      <c r="J420" s="146"/>
      <c r="K420" s="147"/>
      <c r="L420" s="147"/>
      <c r="M420" s="147"/>
      <c r="N420" s="147"/>
      <c r="O420" s="147"/>
      <c r="P420" s="147"/>
      <c r="Q420" s="147"/>
      <c r="R420" s="147"/>
      <c r="S420" s="147"/>
      <c r="T420" s="147"/>
      <c r="U420" s="147"/>
      <c r="V420" s="147"/>
      <c r="W420" s="147"/>
      <c r="X420" s="147"/>
      <c r="Y420" s="147"/>
      <c r="Z420" s="147"/>
      <c r="AA420" s="147"/>
      <c r="AB420" s="147"/>
      <c r="AC420" s="147"/>
      <c r="AD420" s="147"/>
      <c r="AE420" s="147"/>
      <c r="AF420" s="147"/>
      <c r="AG420" s="147"/>
      <c r="AH420" s="147"/>
      <c r="AI420" s="147"/>
      <c r="AJ420" s="147"/>
      <c r="AK420" s="147"/>
    </row>
    <row r="421" ht="15.75" customHeight="1">
      <c r="A421" s="144"/>
      <c r="B421" s="182"/>
      <c r="C421" s="145"/>
      <c r="D421" s="145"/>
      <c r="E421" s="145"/>
      <c r="F421" s="146"/>
      <c r="G421" s="145"/>
      <c r="H421" s="146"/>
      <c r="I421" s="145"/>
      <c r="J421" s="146"/>
      <c r="K421" s="147"/>
      <c r="L421" s="147"/>
      <c r="M421" s="147"/>
      <c r="N421" s="147"/>
      <c r="O421" s="147"/>
      <c r="P421" s="147"/>
      <c r="Q421" s="147"/>
      <c r="R421" s="147"/>
      <c r="S421" s="147"/>
      <c r="T421" s="147"/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F421" s="147"/>
      <c r="AG421" s="147"/>
      <c r="AH421" s="147"/>
      <c r="AI421" s="147"/>
      <c r="AJ421" s="147"/>
      <c r="AK421" s="147"/>
    </row>
    <row r="422" ht="15.75" customHeight="1">
      <c r="A422" s="144"/>
      <c r="B422" s="182"/>
      <c r="C422" s="145"/>
      <c r="D422" s="145"/>
      <c r="E422" s="145"/>
      <c r="F422" s="146"/>
      <c r="G422" s="145"/>
      <c r="H422" s="146"/>
      <c r="I422" s="145"/>
      <c r="J422" s="146"/>
      <c r="K422" s="147"/>
      <c r="L422" s="147"/>
      <c r="M422" s="147"/>
      <c r="N422" s="147"/>
      <c r="O422" s="147"/>
      <c r="P422" s="147"/>
      <c r="Q422" s="147"/>
      <c r="R422" s="147"/>
      <c r="S422" s="147"/>
      <c r="T422" s="147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</row>
    <row r="423" ht="15.75" customHeight="1">
      <c r="A423" s="144"/>
      <c r="B423" s="182"/>
      <c r="C423" s="145"/>
      <c r="D423" s="145"/>
      <c r="E423" s="145"/>
      <c r="F423" s="146"/>
      <c r="G423" s="145"/>
      <c r="H423" s="146"/>
      <c r="I423" s="145"/>
      <c r="J423" s="146"/>
      <c r="K423" s="147"/>
      <c r="L423" s="147"/>
      <c r="M423" s="147"/>
      <c r="N423" s="147"/>
      <c r="O423" s="147"/>
      <c r="P423" s="147"/>
      <c r="Q423" s="147"/>
      <c r="R423" s="147"/>
      <c r="S423" s="147"/>
      <c r="T423" s="147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</row>
    <row r="424" ht="15.75" customHeight="1">
      <c r="A424" s="144"/>
      <c r="B424" s="182"/>
      <c r="C424" s="145"/>
      <c r="D424" s="145"/>
      <c r="E424" s="145"/>
      <c r="F424" s="146"/>
      <c r="G424" s="145"/>
      <c r="H424" s="146"/>
      <c r="I424" s="145"/>
      <c r="J424" s="146"/>
      <c r="K424" s="147"/>
      <c r="L424" s="147"/>
      <c r="M424" s="147"/>
      <c r="N424" s="147"/>
      <c r="O424" s="147"/>
      <c r="P424" s="147"/>
      <c r="Q424" s="147"/>
      <c r="R424" s="147"/>
      <c r="S424" s="147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</row>
    <row r="425" ht="15.75" customHeight="1">
      <c r="A425" s="144"/>
      <c r="B425" s="182"/>
      <c r="C425" s="145"/>
      <c r="D425" s="145"/>
      <c r="E425" s="145"/>
      <c r="F425" s="146"/>
      <c r="G425" s="145"/>
      <c r="H425" s="146"/>
      <c r="I425" s="145"/>
      <c r="J425" s="146"/>
      <c r="K425" s="147"/>
      <c r="L425" s="147"/>
      <c r="M425" s="147"/>
      <c r="N425" s="147"/>
      <c r="O425" s="147"/>
      <c r="P425" s="147"/>
      <c r="Q425" s="147"/>
      <c r="R425" s="147"/>
      <c r="S425" s="147"/>
      <c r="T425" s="147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</row>
    <row r="426" ht="15.75" customHeight="1">
      <c r="A426" s="144"/>
      <c r="B426" s="182"/>
      <c r="C426" s="145"/>
      <c r="D426" s="145"/>
      <c r="E426" s="145"/>
      <c r="F426" s="146"/>
      <c r="G426" s="145"/>
      <c r="H426" s="146"/>
      <c r="I426" s="145"/>
      <c r="J426" s="146"/>
      <c r="K426" s="147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</row>
    <row r="427" ht="15.75" customHeight="1">
      <c r="A427" s="144"/>
      <c r="B427" s="182"/>
      <c r="C427" s="145"/>
      <c r="D427" s="145"/>
      <c r="E427" s="145"/>
      <c r="F427" s="146"/>
      <c r="G427" s="145"/>
      <c r="H427" s="146"/>
      <c r="I427" s="145"/>
      <c r="J427" s="146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</row>
    <row r="428" ht="15.75" customHeight="1">
      <c r="A428" s="144"/>
      <c r="B428" s="182"/>
      <c r="C428" s="145"/>
      <c r="D428" s="145"/>
      <c r="E428" s="145"/>
      <c r="F428" s="146"/>
      <c r="G428" s="145"/>
      <c r="H428" s="146"/>
      <c r="I428" s="145"/>
      <c r="J428" s="146"/>
      <c r="K428" s="147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</row>
    <row r="429" ht="15.75" customHeight="1">
      <c r="A429" s="144"/>
      <c r="B429" s="182"/>
      <c r="C429" s="145"/>
      <c r="D429" s="145"/>
      <c r="E429" s="145"/>
      <c r="F429" s="146"/>
      <c r="G429" s="145"/>
      <c r="H429" s="146"/>
      <c r="I429" s="145"/>
      <c r="J429" s="146"/>
      <c r="K429" s="147"/>
      <c r="L429" s="147"/>
      <c r="M429" s="147"/>
      <c r="N429" s="147"/>
      <c r="O429" s="147"/>
      <c r="P429" s="147"/>
      <c r="Q429" s="147"/>
      <c r="R429" s="147"/>
      <c r="S429" s="147"/>
      <c r="T429" s="147"/>
      <c r="U429" s="147"/>
      <c r="V429" s="147"/>
      <c r="W429" s="147"/>
      <c r="X429" s="147"/>
      <c r="Y429" s="147"/>
      <c r="Z429" s="147"/>
      <c r="AA429" s="147"/>
      <c r="AB429" s="147"/>
      <c r="AC429" s="147"/>
      <c r="AD429" s="147"/>
      <c r="AE429" s="147"/>
      <c r="AF429" s="147"/>
      <c r="AG429" s="147"/>
      <c r="AH429" s="147"/>
      <c r="AI429" s="147"/>
      <c r="AJ429" s="147"/>
      <c r="AK429" s="147"/>
    </row>
    <row r="430" ht="15.75" customHeight="1">
      <c r="A430" s="144"/>
      <c r="B430" s="182"/>
      <c r="C430" s="145"/>
      <c r="D430" s="145"/>
      <c r="E430" s="145"/>
      <c r="F430" s="146"/>
      <c r="G430" s="145"/>
      <c r="H430" s="146"/>
      <c r="I430" s="145"/>
      <c r="J430" s="146"/>
      <c r="K430" s="147"/>
      <c r="L430" s="147"/>
      <c r="M430" s="147"/>
      <c r="N430" s="147"/>
      <c r="O430" s="147"/>
      <c r="P430" s="147"/>
      <c r="Q430" s="147"/>
      <c r="R430" s="147"/>
      <c r="S430" s="147"/>
      <c r="T430" s="147"/>
      <c r="U430" s="147"/>
      <c r="V430" s="147"/>
      <c r="W430" s="147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</row>
    <row r="431" ht="15.75" customHeight="1">
      <c r="A431" s="144"/>
      <c r="B431" s="182"/>
      <c r="C431" s="145"/>
      <c r="D431" s="145"/>
      <c r="E431" s="145"/>
      <c r="F431" s="146"/>
      <c r="G431" s="145"/>
      <c r="H431" s="146"/>
      <c r="I431" s="145"/>
      <c r="J431" s="146"/>
      <c r="K431" s="147"/>
      <c r="L431" s="147"/>
      <c r="M431" s="147"/>
      <c r="N431" s="147"/>
      <c r="O431" s="147"/>
      <c r="P431" s="147"/>
      <c r="Q431" s="147"/>
      <c r="R431" s="147"/>
      <c r="S431" s="147"/>
      <c r="T431" s="147"/>
      <c r="U431" s="147"/>
      <c r="V431" s="147"/>
      <c r="W431" s="147"/>
      <c r="X431" s="147"/>
      <c r="Y431" s="147"/>
      <c r="Z431" s="147"/>
      <c r="AA431" s="147"/>
      <c r="AB431" s="147"/>
      <c r="AC431" s="147"/>
      <c r="AD431" s="147"/>
      <c r="AE431" s="147"/>
      <c r="AF431" s="147"/>
      <c r="AG431" s="147"/>
      <c r="AH431" s="147"/>
      <c r="AI431" s="147"/>
      <c r="AJ431" s="147"/>
      <c r="AK431" s="147"/>
    </row>
    <row r="432" ht="15.75" customHeight="1">
      <c r="A432" s="144"/>
      <c r="B432" s="182"/>
      <c r="C432" s="145"/>
      <c r="D432" s="145"/>
      <c r="E432" s="145"/>
      <c r="F432" s="146"/>
      <c r="G432" s="145"/>
      <c r="H432" s="146"/>
      <c r="I432" s="145"/>
      <c r="J432" s="146"/>
      <c r="K432" s="147"/>
      <c r="L432" s="147"/>
      <c r="M432" s="147"/>
      <c r="N432" s="147"/>
      <c r="O432" s="147"/>
      <c r="P432" s="147"/>
      <c r="Q432" s="147"/>
      <c r="R432" s="147"/>
      <c r="S432" s="147"/>
      <c r="T432" s="147"/>
      <c r="U432" s="147"/>
      <c r="V432" s="147"/>
      <c r="W432" s="147"/>
      <c r="X432" s="147"/>
      <c r="Y432" s="147"/>
      <c r="Z432" s="147"/>
      <c r="AA432" s="147"/>
      <c r="AB432" s="147"/>
      <c r="AC432" s="147"/>
      <c r="AD432" s="147"/>
      <c r="AE432" s="147"/>
      <c r="AF432" s="147"/>
      <c r="AG432" s="147"/>
      <c r="AH432" s="147"/>
      <c r="AI432" s="147"/>
      <c r="AJ432" s="147"/>
      <c r="AK432" s="147"/>
    </row>
    <row r="433" ht="15.75" customHeight="1">
      <c r="A433" s="144"/>
      <c r="B433" s="182"/>
      <c r="C433" s="145"/>
      <c r="D433" s="145"/>
      <c r="E433" s="145"/>
      <c r="F433" s="146"/>
      <c r="G433" s="145"/>
      <c r="H433" s="146"/>
      <c r="I433" s="145"/>
      <c r="J433" s="146"/>
      <c r="K433" s="147"/>
      <c r="L433" s="147"/>
      <c r="M433" s="147"/>
      <c r="N433" s="147"/>
      <c r="O433" s="147"/>
      <c r="P433" s="147"/>
      <c r="Q433" s="147"/>
      <c r="R433" s="147"/>
      <c r="S433" s="147"/>
      <c r="T433" s="147"/>
      <c r="U433" s="147"/>
      <c r="V433" s="147"/>
      <c r="W433" s="147"/>
      <c r="X433" s="147"/>
      <c r="Y433" s="147"/>
      <c r="Z433" s="147"/>
      <c r="AA433" s="147"/>
      <c r="AB433" s="147"/>
      <c r="AC433" s="147"/>
      <c r="AD433" s="147"/>
      <c r="AE433" s="147"/>
      <c r="AF433" s="147"/>
      <c r="AG433" s="147"/>
      <c r="AH433" s="147"/>
      <c r="AI433" s="147"/>
      <c r="AJ433" s="147"/>
      <c r="AK433" s="147"/>
    </row>
    <row r="434" ht="15.75" customHeight="1">
      <c r="A434" s="144"/>
      <c r="B434" s="182"/>
      <c r="C434" s="145"/>
      <c r="D434" s="145"/>
      <c r="E434" s="145"/>
      <c r="F434" s="146"/>
      <c r="G434" s="145"/>
      <c r="H434" s="146"/>
      <c r="I434" s="145"/>
      <c r="J434" s="146"/>
      <c r="K434" s="147"/>
      <c r="L434" s="147"/>
      <c r="M434" s="147"/>
      <c r="N434" s="147"/>
      <c r="O434" s="147"/>
      <c r="P434" s="147"/>
      <c r="Q434" s="147"/>
      <c r="R434" s="147"/>
      <c r="S434" s="147"/>
      <c r="T434" s="147"/>
      <c r="U434" s="147"/>
      <c r="V434" s="147"/>
      <c r="W434" s="147"/>
      <c r="X434" s="147"/>
      <c r="Y434" s="147"/>
      <c r="Z434" s="147"/>
      <c r="AA434" s="147"/>
      <c r="AB434" s="147"/>
      <c r="AC434" s="147"/>
      <c r="AD434" s="147"/>
      <c r="AE434" s="147"/>
      <c r="AF434" s="147"/>
      <c r="AG434" s="147"/>
      <c r="AH434" s="147"/>
      <c r="AI434" s="147"/>
      <c r="AJ434" s="147"/>
      <c r="AK434" s="147"/>
    </row>
    <row r="435" ht="15.75" customHeight="1">
      <c r="A435" s="144"/>
      <c r="B435" s="182"/>
      <c r="C435" s="145"/>
      <c r="D435" s="145"/>
      <c r="E435" s="145"/>
      <c r="F435" s="146"/>
      <c r="G435" s="145"/>
      <c r="H435" s="146"/>
      <c r="I435" s="145"/>
      <c r="J435" s="146"/>
      <c r="K435" s="147"/>
      <c r="L435" s="147"/>
      <c r="M435" s="147"/>
      <c r="N435" s="147"/>
      <c r="O435" s="147"/>
      <c r="P435" s="147"/>
      <c r="Q435" s="147"/>
      <c r="R435" s="147"/>
      <c r="S435" s="147"/>
      <c r="T435" s="147"/>
      <c r="U435" s="147"/>
      <c r="V435" s="147"/>
      <c r="W435" s="147"/>
      <c r="X435" s="147"/>
      <c r="Y435" s="147"/>
      <c r="Z435" s="147"/>
      <c r="AA435" s="147"/>
      <c r="AB435" s="147"/>
      <c r="AC435" s="147"/>
      <c r="AD435" s="147"/>
      <c r="AE435" s="147"/>
      <c r="AF435" s="147"/>
      <c r="AG435" s="147"/>
      <c r="AH435" s="147"/>
      <c r="AI435" s="147"/>
      <c r="AJ435" s="147"/>
      <c r="AK435" s="147"/>
    </row>
    <row r="436" ht="15.75" customHeight="1">
      <c r="A436" s="144"/>
      <c r="B436" s="182"/>
      <c r="C436" s="145"/>
      <c r="D436" s="145"/>
      <c r="E436" s="145"/>
      <c r="F436" s="146"/>
      <c r="G436" s="145"/>
      <c r="H436" s="146"/>
      <c r="I436" s="145"/>
      <c r="J436" s="146"/>
      <c r="K436" s="147"/>
      <c r="L436" s="147"/>
      <c r="M436" s="147"/>
      <c r="N436" s="147"/>
      <c r="O436" s="147"/>
      <c r="P436" s="147"/>
      <c r="Q436" s="147"/>
      <c r="R436" s="147"/>
      <c r="S436" s="147"/>
      <c r="T436" s="147"/>
      <c r="U436" s="147"/>
      <c r="V436" s="147"/>
      <c r="W436" s="147"/>
      <c r="X436" s="147"/>
      <c r="Y436" s="147"/>
      <c r="Z436" s="147"/>
      <c r="AA436" s="147"/>
      <c r="AB436" s="147"/>
      <c r="AC436" s="147"/>
      <c r="AD436" s="147"/>
      <c r="AE436" s="147"/>
      <c r="AF436" s="147"/>
      <c r="AG436" s="147"/>
      <c r="AH436" s="147"/>
      <c r="AI436" s="147"/>
      <c r="AJ436" s="147"/>
      <c r="AK436" s="147"/>
    </row>
    <row r="437" ht="15.75" customHeight="1">
      <c r="A437" s="144"/>
      <c r="B437" s="182"/>
      <c r="C437" s="145"/>
      <c r="D437" s="145"/>
      <c r="E437" s="145"/>
      <c r="F437" s="146"/>
      <c r="G437" s="145"/>
      <c r="H437" s="146"/>
      <c r="I437" s="145"/>
      <c r="J437" s="146"/>
      <c r="K437" s="147"/>
      <c r="L437" s="147"/>
      <c r="M437" s="147"/>
      <c r="N437" s="147"/>
      <c r="O437" s="147"/>
      <c r="P437" s="147"/>
      <c r="Q437" s="147"/>
      <c r="R437" s="147"/>
      <c r="S437" s="147"/>
      <c r="T437" s="147"/>
      <c r="U437" s="147"/>
      <c r="V437" s="147"/>
      <c r="W437" s="147"/>
      <c r="X437" s="147"/>
      <c r="Y437" s="147"/>
      <c r="Z437" s="147"/>
      <c r="AA437" s="147"/>
      <c r="AB437" s="147"/>
      <c r="AC437" s="147"/>
      <c r="AD437" s="147"/>
      <c r="AE437" s="147"/>
      <c r="AF437" s="147"/>
      <c r="AG437" s="147"/>
      <c r="AH437" s="147"/>
      <c r="AI437" s="147"/>
      <c r="AJ437" s="147"/>
      <c r="AK437" s="147"/>
    </row>
    <row r="438" ht="15.75" customHeight="1">
      <c r="A438" s="144"/>
      <c r="B438" s="182"/>
      <c r="C438" s="145"/>
      <c r="D438" s="145"/>
      <c r="E438" s="145"/>
      <c r="F438" s="146"/>
      <c r="G438" s="145"/>
      <c r="H438" s="146"/>
      <c r="I438" s="145"/>
      <c r="J438" s="146"/>
      <c r="K438" s="147"/>
      <c r="L438" s="147"/>
      <c r="M438" s="147"/>
      <c r="N438" s="147"/>
      <c r="O438" s="147"/>
      <c r="P438" s="147"/>
      <c r="Q438" s="147"/>
      <c r="R438" s="147"/>
      <c r="S438" s="147"/>
      <c r="T438" s="147"/>
      <c r="U438" s="147"/>
      <c r="V438" s="147"/>
      <c r="W438" s="147"/>
      <c r="X438" s="147"/>
      <c r="Y438" s="147"/>
      <c r="Z438" s="147"/>
      <c r="AA438" s="147"/>
      <c r="AB438" s="147"/>
      <c r="AC438" s="147"/>
      <c r="AD438" s="147"/>
      <c r="AE438" s="147"/>
      <c r="AF438" s="147"/>
      <c r="AG438" s="147"/>
      <c r="AH438" s="147"/>
      <c r="AI438" s="147"/>
      <c r="AJ438" s="147"/>
      <c r="AK438" s="147"/>
    </row>
    <row r="439" ht="15.75" customHeight="1">
      <c r="A439" s="144"/>
      <c r="B439" s="182"/>
      <c r="C439" s="145"/>
      <c r="D439" s="145"/>
      <c r="E439" s="145"/>
      <c r="F439" s="146"/>
      <c r="G439" s="145"/>
      <c r="H439" s="146"/>
      <c r="I439" s="145"/>
      <c r="J439" s="146"/>
      <c r="K439" s="147"/>
      <c r="L439" s="147"/>
      <c r="M439" s="147"/>
      <c r="N439" s="147"/>
      <c r="O439" s="147"/>
      <c r="P439" s="147"/>
      <c r="Q439" s="147"/>
      <c r="R439" s="147"/>
      <c r="S439" s="147"/>
      <c r="T439" s="147"/>
      <c r="U439" s="147"/>
      <c r="V439" s="147"/>
      <c r="W439" s="147"/>
      <c r="X439" s="147"/>
      <c r="Y439" s="147"/>
      <c r="Z439" s="147"/>
      <c r="AA439" s="147"/>
      <c r="AB439" s="147"/>
      <c r="AC439" s="147"/>
      <c r="AD439" s="147"/>
      <c r="AE439" s="147"/>
      <c r="AF439" s="147"/>
      <c r="AG439" s="147"/>
      <c r="AH439" s="147"/>
      <c r="AI439" s="147"/>
      <c r="AJ439" s="147"/>
      <c r="AK439" s="147"/>
    </row>
    <row r="440" ht="15.75" customHeight="1">
      <c r="A440" s="144"/>
      <c r="B440" s="182"/>
      <c r="C440" s="145"/>
      <c r="D440" s="145"/>
      <c r="E440" s="145"/>
      <c r="F440" s="146"/>
      <c r="G440" s="145"/>
      <c r="H440" s="146"/>
      <c r="I440" s="145"/>
      <c r="J440" s="146"/>
      <c r="K440" s="147"/>
      <c r="L440" s="147"/>
      <c r="M440" s="147"/>
      <c r="N440" s="147"/>
      <c r="O440" s="147"/>
      <c r="P440" s="147"/>
      <c r="Q440" s="147"/>
      <c r="R440" s="147"/>
      <c r="S440" s="147"/>
      <c r="T440" s="147"/>
      <c r="U440" s="147"/>
      <c r="V440" s="147"/>
      <c r="W440" s="147"/>
      <c r="X440" s="147"/>
      <c r="Y440" s="147"/>
      <c r="Z440" s="147"/>
      <c r="AA440" s="147"/>
      <c r="AB440" s="147"/>
      <c r="AC440" s="147"/>
      <c r="AD440" s="147"/>
      <c r="AE440" s="147"/>
      <c r="AF440" s="147"/>
      <c r="AG440" s="147"/>
      <c r="AH440" s="147"/>
      <c r="AI440" s="147"/>
      <c r="AJ440" s="147"/>
      <c r="AK440" s="147"/>
    </row>
    <row r="441" ht="15.75" customHeight="1">
      <c r="A441" s="144"/>
      <c r="B441" s="182"/>
      <c r="C441" s="145"/>
      <c r="D441" s="145"/>
      <c r="E441" s="145"/>
      <c r="F441" s="146"/>
      <c r="G441" s="145"/>
      <c r="H441" s="146"/>
      <c r="I441" s="145"/>
      <c r="J441" s="146"/>
      <c r="K441" s="147"/>
      <c r="L441" s="147"/>
      <c r="M441" s="147"/>
      <c r="N441" s="147"/>
      <c r="O441" s="147"/>
      <c r="P441" s="147"/>
      <c r="Q441" s="147"/>
      <c r="R441" s="147"/>
      <c r="S441" s="147"/>
      <c r="T441" s="147"/>
      <c r="U441" s="147"/>
      <c r="V441" s="147"/>
      <c r="W441" s="147"/>
      <c r="X441" s="147"/>
      <c r="Y441" s="147"/>
      <c r="Z441" s="147"/>
      <c r="AA441" s="147"/>
      <c r="AB441" s="147"/>
      <c r="AC441" s="147"/>
      <c r="AD441" s="147"/>
      <c r="AE441" s="147"/>
      <c r="AF441" s="147"/>
      <c r="AG441" s="147"/>
      <c r="AH441" s="147"/>
      <c r="AI441" s="147"/>
      <c r="AJ441" s="147"/>
      <c r="AK441" s="147"/>
    </row>
    <row r="442" ht="15.75" customHeight="1">
      <c r="A442" s="144"/>
      <c r="B442" s="182"/>
      <c r="C442" s="145"/>
      <c r="D442" s="145"/>
      <c r="E442" s="145"/>
      <c r="F442" s="146"/>
      <c r="G442" s="145"/>
      <c r="H442" s="146"/>
      <c r="I442" s="145"/>
      <c r="J442" s="146"/>
      <c r="K442" s="147"/>
      <c r="L442" s="147"/>
      <c r="M442" s="147"/>
      <c r="N442" s="147"/>
      <c r="O442" s="147"/>
      <c r="P442" s="147"/>
      <c r="Q442" s="147"/>
      <c r="R442" s="147"/>
      <c r="S442" s="147"/>
      <c r="T442" s="147"/>
      <c r="U442" s="147"/>
      <c r="V442" s="147"/>
      <c r="W442" s="147"/>
      <c r="X442" s="147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  <c r="AJ442" s="147"/>
      <c r="AK442" s="147"/>
    </row>
    <row r="443" ht="15.75" customHeight="1">
      <c r="A443" s="144"/>
      <c r="B443" s="182"/>
      <c r="C443" s="145"/>
      <c r="D443" s="145"/>
      <c r="E443" s="145"/>
      <c r="F443" s="146"/>
      <c r="G443" s="145"/>
      <c r="H443" s="146"/>
      <c r="I443" s="145"/>
      <c r="J443" s="146"/>
      <c r="K443" s="147"/>
      <c r="L443" s="147"/>
      <c r="M443" s="147"/>
      <c r="N443" s="147"/>
      <c r="O443" s="147"/>
      <c r="P443" s="147"/>
      <c r="Q443" s="147"/>
      <c r="R443" s="147"/>
      <c r="S443" s="147"/>
      <c r="T443" s="147"/>
      <c r="U443" s="147"/>
      <c r="V443" s="147"/>
      <c r="W443" s="147"/>
      <c r="X443" s="147"/>
      <c r="Y443" s="147"/>
      <c r="Z443" s="147"/>
      <c r="AA443" s="147"/>
      <c r="AB443" s="147"/>
      <c r="AC443" s="147"/>
      <c r="AD443" s="147"/>
      <c r="AE443" s="147"/>
      <c r="AF443" s="147"/>
      <c r="AG443" s="147"/>
      <c r="AH443" s="147"/>
      <c r="AI443" s="147"/>
      <c r="AJ443" s="147"/>
      <c r="AK443" s="147"/>
    </row>
    <row r="444" ht="15.75" customHeight="1">
      <c r="A444" s="144"/>
      <c r="B444" s="182"/>
      <c r="C444" s="145"/>
      <c r="D444" s="145"/>
      <c r="E444" s="145"/>
      <c r="F444" s="146"/>
      <c r="G444" s="145"/>
      <c r="H444" s="146"/>
      <c r="I444" s="145"/>
      <c r="J444" s="146"/>
      <c r="K444" s="147"/>
      <c r="L444" s="147"/>
      <c r="M444" s="147"/>
      <c r="N444" s="147"/>
      <c r="O444" s="147"/>
      <c r="P444" s="147"/>
      <c r="Q444" s="147"/>
      <c r="R444" s="147"/>
      <c r="S444" s="147"/>
      <c r="T444" s="147"/>
      <c r="U444" s="147"/>
      <c r="V444" s="147"/>
      <c r="W444" s="147"/>
      <c r="X444" s="147"/>
      <c r="Y444" s="147"/>
      <c r="Z444" s="147"/>
      <c r="AA444" s="147"/>
      <c r="AB444" s="147"/>
      <c r="AC444" s="147"/>
      <c r="AD444" s="147"/>
      <c r="AE444" s="147"/>
      <c r="AF444" s="147"/>
      <c r="AG444" s="147"/>
      <c r="AH444" s="147"/>
      <c r="AI444" s="147"/>
      <c r="AJ444" s="147"/>
      <c r="AK444" s="147"/>
    </row>
    <row r="445" ht="15.75" customHeight="1">
      <c r="A445" s="144"/>
      <c r="B445" s="182"/>
      <c r="C445" s="145"/>
      <c r="D445" s="145"/>
      <c r="E445" s="145"/>
      <c r="F445" s="146"/>
      <c r="G445" s="145"/>
      <c r="H445" s="146"/>
      <c r="I445" s="145"/>
      <c r="J445" s="146"/>
      <c r="K445" s="147"/>
      <c r="L445" s="147"/>
      <c r="M445" s="147"/>
      <c r="N445" s="147"/>
      <c r="O445" s="147"/>
      <c r="P445" s="147"/>
      <c r="Q445" s="147"/>
      <c r="R445" s="147"/>
      <c r="S445" s="147"/>
      <c r="T445" s="147"/>
      <c r="U445" s="147"/>
      <c r="V445" s="147"/>
      <c r="W445" s="147"/>
      <c r="X445" s="147"/>
      <c r="Y445" s="147"/>
      <c r="Z445" s="147"/>
      <c r="AA445" s="147"/>
      <c r="AB445" s="147"/>
      <c r="AC445" s="147"/>
      <c r="AD445" s="147"/>
      <c r="AE445" s="147"/>
      <c r="AF445" s="147"/>
      <c r="AG445" s="147"/>
      <c r="AH445" s="147"/>
      <c r="AI445" s="147"/>
      <c r="AJ445" s="147"/>
      <c r="AK445" s="147"/>
    </row>
    <row r="446" ht="15.75" customHeight="1">
      <c r="A446" s="144"/>
      <c r="B446" s="182"/>
      <c r="C446" s="145"/>
      <c r="D446" s="145"/>
      <c r="E446" s="145"/>
      <c r="F446" s="146"/>
      <c r="G446" s="145"/>
      <c r="H446" s="146"/>
      <c r="I446" s="145"/>
      <c r="J446" s="146"/>
      <c r="K446" s="147"/>
      <c r="L446" s="147"/>
      <c r="M446" s="147"/>
      <c r="N446" s="147"/>
      <c r="O446" s="147"/>
      <c r="P446" s="147"/>
      <c r="Q446" s="147"/>
      <c r="R446" s="147"/>
      <c r="S446" s="147"/>
      <c r="T446" s="147"/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</row>
    <row r="447" ht="15.75" customHeight="1">
      <c r="A447" s="144"/>
      <c r="B447" s="182"/>
      <c r="C447" s="145"/>
      <c r="D447" s="145"/>
      <c r="E447" s="145"/>
      <c r="F447" s="146"/>
      <c r="G447" s="145"/>
      <c r="H447" s="146"/>
      <c r="I447" s="145"/>
      <c r="J447" s="146"/>
      <c r="K447" s="147"/>
      <c r="L447" s="147"/>
      <c r="M447" s="147"/>
      <c r="N447" s="147"/>
      <c r="O447" s="147"/>
      <c r="P447" s="147"/>
      <c r="Q447" s="147"/>
      <c r="R447" s="147"/>
      <c r="S447" s="147"/>
      <c r="T447" s="147"/>
      <c r="U447" s="147"/>
      <c r="V447" s="147"/>
      <c r="W447" s="147"/>
      <c r="X447" s="147"/>
      <c r="Y447" s="147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  <c r="AJ447" s="147"/>
      <c r="AK447" s="147"/>
    </row>
    <row r="448" ht="15.75" customHeight="1">
      <c r="A448" s="144"/>
      <c r="B448" s="182"/>
      <c r="C448" s="145"/>
      <c r="D448" s="145"/>
      <c r="E448" s="145"/>
      <c r="F448" s="146"/>
      <c r="G448" s="145"/>
      <c r="H448" s="146"/>
      <c r="I448" s="145"/>
      <c r="J448" s="146"/>
      <c r="K448" s="147"/>
      <c r="L448" s="147"/>
      <c r="M448" s="147"/>
      <c r="N448" s="147"/>
      <c r="O448" s="147"/>
      <c r="P448" s="147"/>
      <c r="Q448" s="147"/>
      <c r="R448" s="147"/>
      <c r="S448" s="147"/>
      <c r="T448" s="147"/>
      <c r="U448" s="147"/>
      <c r="V448" s="147"/>
      <c r="W448" s="147"/>
      <c r="X448" s="147"/>
      <c r="Y448" s="147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</row>
    <row r="449" ht="15.75" customHeight="1">
      <c r="A449" s="144"/>
      <c r="B449" s="182"/>
      <c r="C449" s="145"/>
      <c r="D449" s="145"/>
      <c r="E449" s="145"/>
      <c r="F449" s="146"/>
      <c r="G449" s="145"/>
      <c r="H449" s="146"/>
      <c r="I449" s="145"/>
      <c r="J449" s="146"/>
      <c r="K449" s="147"/>
      <c r="L449" s="147"/>
      <c r="M449" s="147"/>
      <c r="N449" s="147"/>
      <c r="O449" s="147"/>
      <c r="P449" s="147"/>
      <c r="Q449" s="147"/>
      <c r="R449" s="147"/>
      <c r="S449" s="147"/>
      <c r="T449" s="147"/>
      <c r="U449" s="147"/>
      <c r="V449" s="147"/>
      <c r="W449" s="147"/>
      <c r="X449" s="147"/>
      <c r="Y449" s="147"/>
      <c r="Z449" s="147"/>
      <c r="AA449" s="147"/>
      <c r="AB449" s="147"/>
      <c r="AC449" s="147"/>
      <c r="AD449" s="147"/>
      <c r="AE449" s="147"/>
      <c r="AF449" s="147"/>
      <c r="AG449" s="147"/>
      <c r="AH449" s="147"/>
      <c r="AI449" s="147"/>
      <c r="AJ449" s="147"/>
      <c r="AK449" s="147"/>
    </row>
    <row r="450" ht="15.75" customHeight="1">
      <c r="A450" s="144"/>
      <c r="B450" s="182"/>
      <c r="C450" s="145"/>
      <c r="D450" s="145"/>
      <c r="E450" s="145"/>
      <c r="F450" s="146"/>
      <c r="G450" s="145"/>
      <c r="H450" s="146"/>
      <c r="I450" s="145"/>
      <c r="J450" s="146"/>
      <c r="K450" s="147"/>
      <c r="L450" s="147"/>
      <c r="M450" s="147"/>
      <c r="N450" s="147"/>
      <c r="O450" s="147"/>
      <c r="P450" s="147"/>
      <c r="Q450" s="147"/>
      <c r="R450" s="147"/>
      <c r="S450" s="147"/>
      <c r="T450" s="147"/>
      <c r="U450" s="147"/>
      <c r="V450" s="147"/>
      <c r="W450" s="147"/>
      <c r="X450" s="147"/>
      <c r="Y450" s="147"/>
      <c r="Z450" s="147"/>
      <c r="AA450" s="147"/>
      <c r="AB450" s="147"/>
      <c r="AC450" s="147"/>
      <c r="AD450" s="147"/>
      <c r="AE450" s="147"/>
      <c r="AF450" s="147"/>
      <c r="AG450" s="147"/>
      <c r="AH450" s="147"/>
      <c r="AI450" s="147"/>
      <c r="AJ450" s="147"/>
      <c r="AK450" s="147"/>
    </row>
    <row r="451" ht="15.75" customHeight="1">
      <c r="A451" s="144"/>
      <c r="B451" s="182"/>
      <c r="C451" s="145"/>
      <c r="D451" s="145"/>
      <c r="E451" s="145"/>
      <c r="F451" s="146"/>
      <c r="G451" s="145"/>
      <c r="H451" s="146"/>
      <c r="I451" s="145"/>
      <c r="J451" s="146"/>
      <c r="K451" s="147"/>
      <c r="L451" s="147"/>
      <c r="M451" s="147"/>
      <c r="N451" s="147"/>
      <c r="O451" s="147"/>
      <c r="P451" s="147"/>
      <c r="Q451" s="147"/>
      <c r="R451" s="147"/>
      <c r="S451" s="147"/>
      <c r="T451" s="147"/>
      <c r="U451" s="147"/>
      <c r="V451" s="147"/>
      <c r="W451" s="147"/>
      <c r="X451" s="147"/>
      <c r="Y451" s="147"/>
      <c r="Z451" s="147"/>
      <c r="AA451" s="147"/>
      <c r="AB451" s="147"/>
      <c r="AC451" s="147"/>
      <c r="AD451" s="147"/>
      <c r="AE451" s="147"/>
      <c r="AF451" s="147"/>
      <c r="AG451" s="147"/>
      <c r="AH451" s="147"/>
      <c r="AI451" s="147"/>
      <c r="AJ451" s="147"/>
      <c r="AK451" s="147"/>
    </row>
    <row r="452" ht="15.75" customHeight="1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  <c r="AA452" s="114"/>
      <c r="AB452" s="114"/>
      <c r="AC452" s="114"/>
      <c r="AD452" s="114"/>
      <c r="AE452" s="114"/>
      <c r="AF452" s="114"/>
      <c r="AG452" s="114"/>
      <c r="AH452" s="114"/>
      <c r="AI452" s="114"/>
      <c r="AJ452" s="114"/>
      <c r="AK452" s="114"/>
    </row>
    <row r="453" ht="15.75" customHeight="1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  <c r="AA453" s="114"/>
      <c r="AB453" s="114"/>
      <c r="AC453" s="114"/>
      <c r="AD453" s="114"/>
      <c r="AE453" s="114"/>
      <c r="AF453" s="114"/>
      <c r="AG453" s="114"/>
      <c r="AH453" s="114"/>
      <c r="AI453" s="114"/>
      <c r="AJ453" s="114"/>
      <c r="AK453" s="114"/>
    </row>
    <row r="454" ht="15.75" customHeight="1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  <c r="AA454" s="114"/>
      <c r="AB454" s="114"/>
      <c r="AC454" s="114"/>
      <c r="AD454" s="114"/>
      <c r="AE454" s="114"/>
      <c r="AF454" s="114"/>
      <c r="AG454" s="114"/>
      <c r="AH454" s="114"/>
      <c r="AI454" s="114"/>
      <c r="AJ454" s="114"/>
      <c r="AK454" s="114"/>
    </row>
    <row r="455" ht="15.75" customHeight="1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  <c r="AA455" s="114"/>
      <c r="AB455" s="114"/>
      <c r="AC455" s="114"/>
      <c r="AD455" s="114"/>
      <c r="AE455" s="114"/>
      <c r="AF455" s="114"/>
      <c r="AG455" s="114"/>
      <c r="AH455" s="114"/>
      <c r="AI455" s="114"/>
      <c r="AJ455" s="114"/>
      <c r="AK455" s="114"/>
    </row>
    <row r="456" ht="15.75" customHeight="1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  <c r="AA456" s="114"/>
      <c r="AB456" s="114"/>
      <c r="AC456" s="114"/>
      <c r="AD456" s="114"/>
      <c r="AE456" s="114"/>
      <c r="AF456" s="114"/>
      <c r="AG456" s="114"/>
      <c r="AH456" s="114"/>
      <c r="AI456" s="114"/>
      <c r="AJ456" s="114"/>
      <c r="AK456" s="114"/>
    </row>
    <row r="457" ht="15.75" customHeight="1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  <c r="AA457" s="114"/>
      <c r="AB457" s="114"/>
      <c r="AC457" s="114"/>
      <c r="AD457" s="114"/>
      <c r="AE457" s="114"/>
      <c r="AF457" s="114"/>
      <c r="AG457" s="114"/>
      <c r="AH457" s="114"/>
      <c r="AI457" s="114"/>
      <c r="AJ457" s="114"/>
      <c r="AK457" s="114"/>
    </row>
    <row r="458" ht="15.75" customHeight="1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  <c r="AA458" s="114"/>
      <c r="AB458" s="114"/>
      <c r="AC458" s="114"/>
      <c r="AD458" s="114"/>
      <c r="AE458" s="114"/>
      <c r="AF458" s="114"/>
      <c r="AG458" s="114"/>
      <c r="AH458" s="114"/>
      <c r="AI458" s="114"/>
      <c r="AJ458" s="114"/>
      <c r="AK458" s="114"/>
    </row>
    <row r="459" ht="15.75" customHeight="1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  <c r="AA459" s="114"/>
      <c r="AB459" s="114"/>
      <c r="AC459" s="114"/>
      <c r="AD459" s="114"/>
      <c r="AE459" s="114"/>
      <c r="AF459" s="114"/>
      <c r="AG459" s="114"/>
      <c r="AH459" s="114"/>
      <c r="AI459" s="114"/>
      <c r="AJ459" s="114"/>
      <c r="AK459" s="114"/>
    </row>
    <row r="460" ht="15.75" customHeight="1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  <c r="AA460" s="114"/>
      <c r="AB460" s="114"/>
      <c r="AC460" s="114"/>
      <c r="AD460" s="114"/>
      <c r="AE460" s="114"/>
      <c r="AF460" s="114"/>
      <c r="AG460" s="114"/>
      <c r="AH460" s="114"/>
      <c r="AI460" s="114"/>
      <c r="AJ460" s="114"/>
      <c r="AK460" s="114"/>
    </row>
    <row r="461" ht="15.75" customHeight="1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  <c r="AA461" s="114"/>
      <c r="AB461" s="114"/>
      <c r="AC461" s="114"/>
      <c r="AD461" s="114"/>
      <c r="AE461" s="114"/>
      <c r="AF461" s="114"/>
      <c r="AG461" s="114"/>
      <c r="AH461" s="114"/>
      <c r="AI461" s="114"/>
      <c r="AJ461" s="114"/>
      <c r="AK461" s="114"/>
    </row>
    <row r="462" ht="15.75" customHeight="1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  <c r="AA462" s="114"/>
      <c r="AB462" s="114"/>
      <c r="AC462" s="114"/>
      <c r="AD462" s="114"/>
      <c r="AE462" s="114"/>
      <c r="AF462" s="114"/>
      <c r="AG462" s="114"/>
      <c r="AH462" s="114"/>
      <c r="AI462" s="114"/>
      <c r="AJ462" s="114"/>
      <c r="AK462" s="114"/>
    </row>
    <row r="463" ht="15.75" customHeight="1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  <c r="AA463" s="114"/>
      <c r="AB463" s="114"/>
      <c r="AC463" s="114"/>
      <c r="AD463" s="114"/>
      <c r="AE463" s="114"/>
      <c r="AF463" s="114"/>
      <c r="AG463" s="114"/>
      <c r="AH463" s="114"/>
      <c r="AI463" s="114"/>
      <c r="AJ463" s="114"/>
      <c r="AK463" s="114"/>
    </row>
    <row r="464" ht="15.75" customHeight="1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  <c r="AA464" s="114"/>
      <c r="AB464" s="114"/>
      <c r="AC464" s="114"/>
      <c r="AD464" s="114"/>
      <c r="AE464" s="114"/>
      <c r="AF464" s="114"/>
      <c r="AG464" s="114"/>
      <c r="AH464" s="114"/>
      <c r="AI464" s="114"/>
      <c r="AJ464" s="114"/>
      <c r="AK464" s="114"/>
    </row>
    <row r="465" ht="15.75" customHeight="1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  <c r="AA465" s="114"/>
      <c r="AB465" s="114"/>
      <c r="AC465" s="114"/>
      <c r="AD465" s="114"/>
      <c r="AE465" s="114"/>
      <c r="AF465" s="114"/>
      <c r="AG465" s="114"/>
      <c r="AH465" s="114"/>
      <c r="AI465" s="114"/>
      <c r="AJ465" s="114"/>
      <c r="AK465" s="114"/>
    </row>
    <row r="466" ht="15.75" customHeight="1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  <c r="AA466" s="114"/>
      <c r="AB466" s="114"/>
      <c r="AC466" s="114"/>
      <c r="AD466" s="114"/>
      <c r="AE466" s="114"/>
      <c r="AF466" s="114"/>
      <c r="AG466" s="114"/>
      <c r="AH466" s="114"/>
      <c r="AI466" s="114"/>
      <c r="AJ466" s="114"/>
      <c r="AK466" s="114"/>
    </row>
    <row r="467" ht="15.75" customHeight="1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  <c r="AA467" s="114"/>
      <c r="AB467" s="114"/>
      <c r="AC467" s="114"/>
      <c r="AD467" s="114"/>
      <c r="AE467" s="114"/>
      <c r="AF467" s="114"/>
      <c r="AG467" s="114"/>
      <c r="AH467" s="114"/>
      <c r="AI467" s="114"/>
      <c r="AJ467" s="114"/>
      <c r="AK467" s="114"/>
    </row>
    <row r="468" ht="15.75" customHeight="1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  <c r="AA468" s="114"/>
      <c r="AB468" s="114"/>
      <c r="AC468" s="114"/>
      <c r="AD468" s="114"/>
      <c r="AE468" s="114"/>
      <c r="AF468" s="114"/>
      <c r="AG468" s="114"/>
      <c r="AH468" s="114"/>
      <c r="AI468" s="114"/>
      <c r="AJ468" s="114"/>
      <c r="AK468" s="114"/>
    </row>
    <row r="469" ht="15.75" customHeight="1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  <c r="AA469" s="114"/>
      <c r="AB469" s="114"/>
      <c r="AC469" s="114"/>
      <c r="AD469" s="114"/>
      <c r="AE469" s="114"/>
      <c r="AF469" s="114"/>
      <c r="AG469" s="114"/>
      <c r="AH469" s="114"/>
      <c r="AI469" s="114"/>
      <c r="AJ469" s="114"/>
      <c r="AK469" s="114"/>
    </row>
    <row r="470" ht="15.75" customHeight="1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  <c r="AA470" s="114"/>
      <c r="AB470" s="114"/>
      <c r="AC470" s="114"/>
      <c r="AD470" s="114"/>
      <c r="AE470" s="114"/>
      <c r="AF470" s="114"/>
      <c r="AG470" s="114"/>
      <c r="AH470" s="114"/>
      <c r="AI470" s="114"/>
      <c r="AJ470" s="114"/>
      <c r="AK470" s="114"/>
    </row>
    <row r="471" ht="15.75" customHeight="1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  <c r="AA471" s="114"/>
      <c r="AB471" s="114"/>
      <c r="AC471" s="114"/>
      <c r="AD471" s="114"/>
      <c r="AE471" s="114"/>
      <c r="AF471" s="114"/>
      <c r="AG471" s="114"/>
      <c r="AH471" s="114"/>
      <c r="AI471" s="114"/>
      <c r="AJ471" s="114"/>
      <c r="AK471" s="114"/>
    </row>
    <row r="472" ht="15.75" customHeight="1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  <c r="AA472" s="114"/>
      <c r="AB472" s="114"/>
      <c r="AC472" s="114"/>
      <c r="AD472" s="114"/>
      <c r="AE472" s="114"/>
      <c r="AF472" s="114"/>
      <c r="AG472" s="114"/>
      <c r="AH472" s="114"/>
      <c r="AI472" s="114"/>
      <c r="AJ472" s="114"/>
      <c r="AK472" s="114"/>
    </row>
    <row r="473" ht="15.75" customHeight="1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/>
      <c r="AH473" s="114"/>
      <c r="AI473" s="114"/>
      <c r="AJ473" s="114"/>
      <c r="AK473" s="114"/>
    </row>
    <row r="474" ht="15.75" customHeight="1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  <c r="AA474" s="114"/>
      <c r="AB474" s="114"/>
      <c r="AC474" s="114"/>
      <c r="AD474" s="114"/>
      <c r="AE474" s="114"/>
      <c r="AF474" s="114"/>
      <c r="AG474" s="114"/>
      <c r="AH474" s="114"/>
      <c r="AI474" s="114"/>
      <c r="AJ474" s="114"/>
      <c r="AK474" s="114"/>
    </row>
    <row r="475" ht="15.75" customHeight="1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  <c r="AA475" s="114"/>
      <c r="AB475" s="114"/>
      <c r="AC475" s="114"/>
      <c r="AD475" s="114"/>
      <c r="AE475" s="114"/>
      <c r="AF475" s="114"/>
      <c r="AG475" s="114"/>
      <c r="AH475" s="114"/>
      <c r="AI475" s="114"/>
      <c r="AJ475" s="114"/>
      <c r="AK475" s="114"/>
    </row>
    <row r="476" ht="15.75" customHeight="1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  <c r="AA476" s="114"/>
      <c r="AB476" s="114"/>
      <c r="AC476" s="114"/>
      <c r="AD476" s="114"/>
      <c r="AE476" s="114"/>
      <c r="AF476" s="114"/>
      <c r="AG476" s="114"/>
      <c r="AH476" s="114"/>
      <c r="AI476" s="114"/>
      <c r="AJ476" s="114"/>
      <c r="AK476" s="114"/>
    </row>
    <row r="477" ht="15.75" customHeight="1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  <c r="AA477" s="114"/>
      <c r="AB477" s="114"/>
      <c r="AC477" s="114"/>
      <c r="AD477" s="114"/>
      <c r="AE477" s="114"/>
      <c r="AF477" s="114"/>
      <c r="AG477" s="114"/>
      <c r="AH477" s="114"/>
      <c r="AI477" s="114"/>
      <c r="AJ477" s="114"/>
      <c r="AK477" s="114"/>
    </row>
    <row r="478" ht="15.75" customHeight="1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  <c r="AA478" s="114"/>
      <c r="AB478" s="114"/>
      <c r="AC478" s="114"/>
      <c r="AD478" s="114"/>
      <c r="AE478" s="114"/>
      <c r="AF478" s="114"/>
      <c r="AG478" s="114"/>
      <c r="AH478" s="114"/>
      <c r="AI478" s="114"/>
      <c r="AJ478" s="114"/>
      <c r="AK478" s="114"/>
    </row>
    <row r="479" ht="15.75" customHeight="1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  <c r="AA479" s="114"/>
      <c r="AB479" s="114"/>
      <c r="AC479" s="114"/>
      <c r="AD479" s="114"/>
      <c r="AE479" s="114"/>
      <c r="AF479" s="114"/>
      <c r="AG479" s="114"/>
      <c r="AH479" s="114"/>
      <c r="AI479" s="114"/>
      <c r="AJ479" s="114"/>
      <c r="AK479" s="114"/>
    </row>
    <row r="480" ht="15.75" customHeight="1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  <c r="AA480" s="114"/>
      <c r="AB480" s="114"/>
      <c r="AC480" s="114"/>
      <c r="AD480" s="114"/>
      <c r="AE480" s="114"/>
      <c r="AF480" s="114"/>
      <c r="AG480" s="114"/>
      <c r="AH480" s="114"/>
      <c r="AI480" s="114"/>
      <c r="AJ480" s="114"/>
      <c r="AK480" s="114"/>
    </row>
    <row r="481" ht="15.75" customHeight="1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  <c r="AA481" s="114"/>
      <c r="AB481" s="114"/>
      <c r="AC481" s="114"/>
      <c r="AD481" s="114"/>
      <c r="AE481" s="114"/>
      <c r="AF481" s="114"/>
      <c r="AG481" s="114"/>
      <c r="AH481" s="114"/>
      <c r="AI481" s="114"/>
      <c r="AJ481" s="114"/>
      <c r="AK481" s="114"/>
    </row>
    <row r="482" ht="15.75" customHeight="1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  <c r="AA482" s="114"/>
      <c r="AB482" s="114"/>
      <c r="AC482" s="114"/>
      <c r="AD482" s="114"/>
      <c r="AE482" s="114"/>
      <c r="AF482" s="114"/>
      <c r="AG482" s="114"/>
      <c r="AH482" s="114"/>
      <c r="AI482" s="114"/>
      <c r="AJ482" s="114"/>
      <c r="AK482" s="114"/>
    </row>
    <row r="483" ht="15.75" customHeight="1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  <c r="AA483" s="114"/>
      <c r="AB483" s="114"/>
      <c r="AC483" s="114"/>
      <c r="AD483" s="114"/>
      <c r="AE483" s="114"/>
      <c r="AF483" s="114"/>
      <c r="AG483" s="114"/>
      <c r="AH483" s="114"/>
      <c r="AI483" s="114"/>
      <c r="AJ483" s="114"/>
      <c r="AK483" s="114"/>
    </row>
    <row r="484" ht="15.75" customHeight="1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  <c r="AA484" s="114"/>
      <c r="AB484" s="114"/>
      <c r="AC484" s="114"/>
      <c r="AD484" s="114"/>
      <c r="AE484" s="114"/>
      <c r="AF484" s="114"/>
      <c r="AG484" s="114"/>
      <c r="AH484" s="114"/>
      <c r="AI484" s="114"/>
      <c r="AJ484" s="114"/>
      <c r="AK484" s="114"/>
    </row>
    <row r="485" ht="15.75" customHeight="1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  <c r="AA485" s="114"/>
      <c r="AB485" s="114"/>
      <c r="AC485" s="114"/>
      <c r="AD485" s="114"/>
      <c r="AE485" s="114"/>
      <c r="AF485" s="114"/>
      <c r="AG485" s="114"/>
      <c r="AH485" s="114"/>
      <c r="AI485" s="114"/>
      <c r="AJ485" s="114"/>
      <c r="AK485" s="114"/>
    </row>
    <row r="486" ht="15.75" customHeight="1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  <c r="AA486" s="114"/>
      <c r="AB486" s="114"/>
      <c r="AC486" s="114"/>
      <c r="AD486" s="114"/>
      <c r="AE486" s="114"/>
      <c r="AF486" s="114"/>
      <c r="AG486" s="114"/>
      <c r="AH486" s="114"/>
      <c r="AI486" s="114"/>
      <c r="AJ486" s="114"/>
      <c r="AK486" s="114"/>
    </row>
    <row r="487" ht="15.75" customHeight="1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  <c r="AA487" s="114"/>
      <c r="AB487" s="114"/>
      <c r="AC487" s="114"/>
      <c r="AD487" s="114"/>
      <c r="AE487" s="114"/>
      <c r="AF487" s="114"/>
      <c r="AG487" s="114"/>
      <c r="AH487" s="114"/>
      <c r="AI487" s="114"/>
      <c r="AJ487" s="114"/>
      <c r="AK487" s="114"/>
    </row>
    <row r="488" ht="15.75" customHeight="1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  <c r="AA488" s="114"/>
      <c r="AB488" s="114"/>
      <c r="AC488" s="114"/>
      <c r="AD488" s="114"/>
      <c r="AE488" s="114"/>
      <c r="AF488" s="114"/>
      <c r="AG488" s="114"/>
      <c r="AH488" s="114"/>
      <c r="AI488" s="114"/>
      <c r="AJ488" s="114"/>
      <c r="AK488" s="114"/>
    </row>
    <row r="489" ht="15.75" customHeight="1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  <c r="AA489" s="114"/>
      <c r="AB489" s="114"/>
      <c r="AC489" s="114"/>
      <c r="AD489" s="114"/>
      <c r="AE489" s="114"/>
      <c r="AF489" s="114"/>
      <c r="AG489" s="114"/>
      <c r="AH489" s="114"/>
      <c r="AI489" s="114"/>
      <c r="AJ489" s="114"/>
      <c r="AK489" s="114"/>
    </row>
    <row r="490" ht="15.75" customHeight="1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  <c r="AA490" s="114"/>
      <c r="AB490" s="114"/>
      <c r="AC490" s="114"/>
      <c r="AD490" s="114"/>
      <c r="AE490" s="114"/>
      <c r="AF490" s="114"/>
      <c r="AG490" s="114"/>
      <c r="AH490" s="114"/>
      <c r="AI490" s="114"/>
      <c r="AJ490" s="114"/>
      <c r="AK490" s="114"/>
    </row>
    <row r="491" ht="15.75" customHeight="1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  <c r="AA491" s="114"/>
      <c r="AB491" s="114"/>
      <c r="AC491" s="114"/>
      <c r="AD491" s="114"/>
      <c r="AE491" s="114"/>
      <c r="AF491" s="114"/>
      <c r="AG491" s="114"/>
      <c r="AH491" s="114"/>
      <c r="AI491" s="114"/>
      <c r="AJ491" s="114"/>
      <c r="AK491" s="114"/>
    </row>
    <row r="492" ht="15.75" customHeight="1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  <c r="AA492" s="114"/>
      <c r="AB492" s="114"/>
      <c r="AC492" s="114"/>
      <c r="AD492" s="114"/>
      <c r="AE492" s="114"/>
      <c r="AF492" s="114"/>
      <c r="AG492" s="114"/>
      <c r="AH492" s="114"/>
      <c r="AI492" s="114"/>
      <c r="AJ492" s="114"/>
      <c r="AK492" s="114"/>
    </row>
    <row r="493" ht="15.75" customHeight="1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  <c r="AA493" s="114"/>
      <c r="AB493" s="114"/>
      <c r="AC493" s="114"/>
      <c r="AD493" s="114"/>
      <c r="AE493" s="114"/>
      <c r="AF493" s="114"/>
      <c r="AG493" s="114"/>
      <c r="AH493" s="114"/>
      <c r="AI493" s="114"/>
      <c r="AJ493" s="114"/>
      <c r="AK493" s="114"/>
    </row>
    <row r="494" ht="15.75" customHeight="1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  <c r="AA494" s="114"/>
      <c r="AB494" s="114"/>
      <c r="AC494" s="114"/>
      <c r="AD494" s="114"/>
      <c r="AE494" s="114"/>
      <c r="AF494" s="114"/>
      <c r="AG494" s="114"/>
      <c r="AH494" s="114"/>
      <c r="AI494" s="114"/>
      <c r="AJ494" s="114"/>
      <c r="AK494" s="114"/>
    </row>
    <row r="495" ht="15.75" customHeight="1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  <c r="AA495" s="114"/>
      <c r="AB495" s="114"/>
      <c r="AC495" s="114"/>
      <c r="AD495" s="114"/>
      <c r="AE495" s="114"/>
      <c r="AF495" s="114"/>
      <c r="AG495" s="114"/>
      <c r="AH495" s="114"/>
      <c r="AI495" s="114"/>
      <c r="AJ495" s="114"/>
      <c r="AK495" s="114"/>
    </row>
    <row r="496" ht="15.75" customHeight="1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  <c r="AA496" s="114"/>
      <c r="AB496" s="114"/>
      <c r="AC496" s="114"/>
      <c r="AD496" s="114"/>
      <c r="AE496" s="114"/>
      <c r="AF496" s="114"/>
      <c r="AG496" s="114"/>
      <c r="AH496" s="114"/>
      <c r="AI496" s="114"/>
      <c r="AJ496" s="114"/>
      <c r="AK496" s="114"/>
    </row>
    <row r="497" ht="15.75" customHeight="1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  <c r="AA497" s="114"/>
      <c r="AB497" s="114"/>
      <c r="AC497" s="114"/>
      <c r="AD497" s="114"/>
      <c r="AE497" s="114"/>
      <c r="AF497" s="114"/>
      <c r="AG497" s="114"/>
      <c r="AH497" s="114"/>
      <c r="AI497" s="114"/>
      <c r="AJ497" s="114"/>
      <c r="AK497" s="114"/>
    </row>
    <row r="498" ht="15.75" customHeight="1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  <c r="AA498" s="114"/>
      <c r="AB498" s="114"/>
      <c r="AC498" s="114"/>
      <c r="AD498" s="114"/>
      <c r="AE498" s="114"/>
      <c r="AF498" s="114"/>
      <c r="AG498" s="114"/>
      <c r="AH498" s="114"/>
      <c r="AI498" s="114"/>
      <c r="AJ498" s="114"/>
      <c r="AK498" s="114"/>
    </row>
    <row r="499" ht="15.75" customHeight="1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  <c r="AA499" s="114"/>
      <c r="AB499" s="114"/>
      <c r="AC499" s="114"/>
      <c r="AD499" s="114"/>
      <c r="AE499" s="114"/>
      <c r="AF499" s="114"/>
      <c r="AG499" s="114"/>
      <c r="AH499" s="114"/>
      <c r="AI499" s="114"/>
      <c r="AJ499" s="114"/>
      <c r="AK499" s="114"/>
    </row>
    <row r="500" ht="15.75" customHeight="1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  <c r="AA500" s="114"/>
      <c r="AB500" s="114"/>
      <c r="AC500" s="114"/>
      <c r="AD500" s="114"/>
      <c r="AE500" s="114"/>
      <c r="AF500" s="114"/>
      <c r="AG500" s="114"/>
      <c r="AH500" s="114"/>
      <c r="AI500" s="114"/>
      <c r="AJ500" s="114"/>
      <c r="AK500" s="114"/>
    </row>
    <row r="501" ht="15.75" customHeight="1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  <c r="AA501" s="114"/>
      <c r="AB501" s="114"/>
      <c r="AC501" s="114"/>
      <c r="AD501" s="114"/>
      <c r="AE501" s="114"/>
      <c r="AF501" s="114"/>
      <c r="AG501" s="114"/>
      <c r="AH501" s="114"/>
      <c r="AI501" s="114"/>
      <c r="AJ501" s="114"/>
      <c r="AK501" s="114"/>
    </row>
    <row r="502" ht="15.75" customHeight="1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  <c r="AA502" s="114"/>
      <c r="AB502" s="114"/>
      <c r="AC502" s="114"/>
      <c r="AD502" s="114"/>
      <c r="AE502" s="114"/>
      <c r="AF502" s="114"/>
      <c r="AG502" s="114"/>
      <c r="AH502" s="114"/>
      <c r="AI502" s="114"/>
      <c r="AJ502" s="114"/>
      <c r="AK502" s="114"/>
    </row>
    <row r="503" ht="15.75" customHeight="1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  <c r="AA503" s="114"/>
      <c r="AB503" s="114"/>
      <c r="AC503" s="114"/>
      <c r="AD503" s="114"/>
      <c r="AE503" s="114"/>
      <c r="AF503" s="114"/>
      <c r="AG503" s="114"/>
      <c r="AH503" s="114"/>
      <c r="AI503" s="114"/>
      <c r="AJ503" s="114"/>
      <c r="AK503" s="114"/>
    </row>
    <row r="504" ht="15.75" customHeight="1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  <c r="AA504" s="114"/>
      <c r="AB504" s="114"/>
      <c r="AC504" s="114"/>
      <c r="AD504" s="114"/>
      <c r="AE504" s="114"/>
      <c r="AF504" s="114"/>
      <c r="AG504" s="114"/>
      <c r="AH504" s="114"/>
      <c r="AI504" s="114"/>
      <c r="AJ504" s="114"/>
      <c r="AK504" s="114"/>
    </row>
    <row r="505" ht="15.75" customHeight="1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  <c r="AA505" s="114"/>
      <c r="AB505" s="114"/>
      <c r="AC505" s="114"/>
      <c r="AD505" s="114"/>
      <c r="AE505" s="114"/>
      <c r="AF505" s="114"/>
      <c r="AG505" s="114"/>
      <c r="AH505" s="114"/>
      <c r="AI505" s="114"/>
      <c r="AJ505" s="114"/>
      <c r="AK505" s="114"/>
    </row>
    <row r="506" ht="15.75" customHeight="1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  <c r="AA506" s="114"/>
      <c r="AB506" s="114"/>
      <c r="AC506" s="114"/>
      <c r="AD506" s="114"/>
      <c r="AE506" s="114"/>
      <c r="AF506" s="114"/>
      <c r="AG506" s="114"/>
      <c r="AH506" s="114"/>
      <c r="AI506" s="114"/>
      <c r="AJ506" s="114"/>
      <c r="AK506" s="114"/>
    </row>
    <row r="507" ht="15.75" customHeight="1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  <c r="AA507" s="114"/>
      <c r="AB507" s="114"/>
      <c r="AC507" s="114"/>
      <c r="AD507" s="114"/>
      <c r="AE507" s="114"/>
      <c r="AF507" s="114"/>
      <c r="AG507" s="114"/>
      <c r="AH507" s="114"/>
      <c r="AI507" s="114"/>
      <c r="AJ507" s="114"/>
      <c r="AK507" s="114"/>
    </row>
    <row r="508" ht="15.75" customHeight="1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  <c r="AA508" s="114"/>
      <c r="AB508" s="114"/>
      <c r="AC508" s="114"/>
      <c r="AD508" s="114"/>
      <c r="AE508" s="114"/>
      <c r="AF508" s="114"/>
      <c r="AG508" s="114"/>
      <c r="AH508" s="114"/>
      <c r="AI508" s="114"/>
      <c r="AJ508" s="114"/>
      <c r="AK508" s="114"/>
    </row>
    <row r="509" ht="15.75" customHeight="1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  <c r="AA509" s="114"/>
      <c r="AB509" s="114"/>
      <c r="AC509" s="114"/>
      <c r="AD509" s="114"/>
      <c r="AE509" s="114"/>
      <c r="AF509" s="114"/>
      <c r="AG509" s="114"/>
      <c r="AH509" s="114"/>
      <c r="AI509" s="114"/>
      <c r="AJ509" s="114"/>
      <c r="AK509" s="114"/>
    </row>
    <row r="510" ht="15.75" customHeight="1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  <c r="AA510" s="114"/>
      <c r="AB510" s="114"/>
      <c r="AC510" s="114"/>
      <c r="AD510" s="114"/>
      <c r="AE510" s="114"/>
      <c r="AF510" s="114"/>
      <c r="AG510" s="114"/>
      <c r="AH510" s="114"/>
      <c r="AI510" s="114"/>
      <c r="AJ510" s="114"/>
      <c r="AK510" s="114"/>
    </row>
    <row r="511" ht="15.75" customHeight="1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  <c r="AA511" s="114"/>
      <c r="AB511" s="114"/>
      <c r="AC511" s="114"/>
      <c r="AD511" s="114"/>
      <c r="AE511" s="114"/>
      <c r="AF511" s="114"/>
      <c r="AG511" s="114"/>
      <c r="AH511" s="114"/>
      <c r="AI511" s="114"/>
      <c r="AJ511" s="114"/>
      <c r="AK511" s="114"/>
    </row>
    <row r="512" ht="15.75" customHeight="1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  <c r="AA512" s="114"/>
      <c r="AB512" s="114"/>
      <c r="AC512" s="114"/>
      <c r="AD512" s="114"/>
      <c r="AE512" s="114"/>
      <c r="AF512" s="114"/>
      <c r="AG512" s="114"/>
      <c r="AH512" s="114"/>
      <c r="AI512" s="114"/>
      <c r="AJ512" s="114"/>
      <c r="AK512" s="114"/>
    </row>
    <row r="513" ht="15.75" customHeight="1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  <c r="AA513" s="114"/>
      <c r="AB513" s="114"/>
      <c r="AC513" s="114"/>
      <c r="AD513" s="114"/>
      <c r="AE513" s="114"/>
      <c r="AF513" s="114"/>
      <c r="AG513" s="114"/>
      <c r="AH513" s="114"/>
      <c r="AI513" s="114"/>
      <c r="AJ513" s="114"/>
      <c r="AK513" s="114"/>
    </row>
    <row r="514" ht="15.75" customHeight="1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  <c r="AA514" s="114"/>
      <c r="AB514" s="114"/>
      <c r="AC514" s="114"/>
      <c r="AD514" s="114"/>
      <c r="AE514" s="114"/>
      <c r="AF514" s="114"/>
      <c r="AG514" s="114"/>
      <c r="AH514" s="114"/>
      <c r="AI514" s="114"/>
      <c r="AJ514" s="114"/>
      <c r="AK514" s="114"/>
    </row>
    <row r="515" ht="15.75" customHeight="1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  <c r="AA515" s="114"/>
      <c r="AB515" s="114"/>
      <c r="AC515" s="114"/>
      <c r="AD515" s="114"/>
      <c r="AE515" s="114"/>
      <c r="AF515" s="114"/>
      <c r="AG515" s="114"/>
      <c r="AH515" s="114"/>
      <c r="AI515" s="114"/>
      <c r="AJ515" s="114"/>
      <c r="AK515" s="114"/>
    </row>
    <row r="516" ht="15.75" customHeight="1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  <c r="AA516" s="114"/>
      <c r="AB516" s="114"/>
      <c r="AC516" s="114"/>
      <c r="AD516" s="114"/>
      <c r="AE516" s="114"/>
      <c r="AF516" s="114"/>
      <c r="AG516" s="114"/>
      <c r="AH516" s="114"/>
      <c r="AI516" s="114"/>
      <c r="AJ516" s="114"/>
      <c r="AK516" s="114"/>
    </row>
    <row r="517" ht="15.75" customHeight="1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  <c r="AA517" s="114"/>
      <c r="AB517" s="114"/>
      <c r="AC517" s="114"/>
      <c r="AD517" s="114"/>
      <c r="AE517" s="114"/>
      <c r="AF517" s="114"/>
      <c r="AG517" s="114"/>
      <c r="AH517" s="114"/>
      <c r="AI517" s="114"/>
      <c r="AJ517" s="114"/>
      <c r="AK517" s="114"/>
    </row>
    <row r="518" ht="15.75" customHeight="1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  <c r="AA518" s="114"/>
      <c r="AB518" s="114"/>
      <c r="AC518" s="114"/>
      <c r="AD518" s="114"/>
      <c r="AE518" s="114"/>
      <c r="AF518" s="114"/>
      <c r="AG518" s="114"/>
      <c r="AH518" s="114"/>
      <c r="AI518" s="114"/>
      <c r="AJ518" s="114"/>
      <c r="AK518" s="114"/>
    </row>
    <row r="519" ht="15.75" customHeight="1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  <c r="AA519" s="114"/>
      <c r="AB519" s="114"/>
      <c r="AC519" s="114"/>
      <c r="AD519" s="114"/>
      <c r="AE519" s="114"/>
      <c r="AF519" s="114"/>
      <c r="AG519" s="114"/>
      <c r="AH519" s="114"/>
      <c r="AI519" s="114"/>
      <c r="AJ519" s="114"/>
      <c r="AK519" s="114"/>
    </row>
    <row r="520" ht="15.75" customHeight="1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  <c r="AA520" s="114"/>
      <c r="AB520" s="114"/>
      <c r="AC520" s="114"/>
      <c r="AD520" s="114"/>
      <c r="AE520" s="114"/>
      <c r="AF520" s="114"/>
      <c r="AG520" s="114"/>
      <c r="AH520" s="114"/>
      <c r="AI520" s="114"/>
      <c r="AJ520" s="114"/>
      <c r="AK520" s="114"/>
    </row>
    <row r="521" ht="15.75" customHeight="1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  <c r="AA521" s="114"/>
      <c r="AB521" s="114"/>
      <c r="AC521" s="114"/>
      <c r="AD521" s="114"/>
      <c r="AE521" s="114"/>
      <c r="AF521" s="114"/>
      <c r="AG521" s="114"/>
      <c r="AH521" s="114"/>
      <c r="AI521" s="114"/>
      <c r="AJ521" s="114"/>
      <c r="AK521" s="114"/>
    </row>
    <row r="522" ht="15.75" customHeight="1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  <c r="AA522" s="114"/>
      <c r="AB522" s="114"/>
      <c r="AC522" s="114"/>
      <c r="AD522" s="114"/>
      <c r="AE522" s="114"/>
      <c r="AF522" s="114"/>
      <c r="AG522" s="114"/>
      <c r="AH522" s="114"/>
      <c r="AI522" s="114"/>
      <c r="AJ522" s="114"/>
      <c r="AK522" s="114"/>
    </row>
    <row r="523" ht="15.75" customHeight="1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  <c r="AA523" s="114"/>
      <c r="AB523" s="114"/>
      <c r="AC523" s="114"/>
      <c r="AD523" s="114"/>
      <c r="AE523" s="114"/>
      <c r="AF523" s="114"/>
      <c r="AG523" s="114"/>
      <c r="AH523" s="114"/>
      <c r="AI523" s="114"/>
      <c r="AJ523" s="114"/>
      <c r="AK523" s="114"/>
    </row>
    <row r="524" ht="15.75" customHeight="1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  <c r="AA524" s="114"/>
      <c r="AB524" s="114"/>
      <c r="AC524" s="114"/>
      <c r="AD524" s="114"/>
      <c r="AE524" s="114"/>
      <c r="AF524" s="114"/>
      <c r="AG524" s="114"/>
      <c r="AH524" s="114"/>
      <c r="AI524" s="114"/>
      <c r="AJ524" s="114"/>
      <c r="AK524" s="114"/>
    </row>
    <row r="525" ht="15.75" customHeight="1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  <c r="AA525" s="114"/>
      <c r="AB525" s="114"/>
      <c r="AC525" s="114"/>
      <c r="AD525" s="114"/>
      <c r="AE525" s="114"/>
      <c r="AF525" s="114"/>
      <c r="AG525" s="114"/>
      <c r="AH525" s="114"/>
      <c r="AI525" s="114"/>
      <c r="AJ525" s="114"/>
      <c r="AK525" s="114"/>
    </row>
    <row r="526" ht="15.75" customHeight="1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  <c r="AA526" s="114"/>
      <c r="AB526" s="114"/>
      <c r="AC526" s="114"/>
      <c r="AD526" s="114"/>
      <c r="AE526" s="114"/>
      <c r="AF526" s="114"/>
      <c r="AG526" s="114"/>
      <c r="AH526" s="114"/>
      <c r="AI526" s="114"/>
      <c r="AJ526" s="114"/>
      <c r="AK526" s="114"/>
    </row>
    <row r="527" ht="15.75" customHeight="1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  <c r="AA527" s="114"/>
      <c r="AB527" s="114"/>
      <c r="AC527" s="114"/>
      <c r="AD527" s="114"/>
      <c r="AE527" s="114"/>
      <c r="AF527" s="114"/>
      <c r="AG527" s="114"/>
      <c r="AH527" s="114"/>
      <c r="AI527" s="114"/>
      <c r="AJ527" s="114"/>
      <c r="AK527" s="114"/>
    </row>
    <row r="528" ht="15.75" customHeight="1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  <c r="AA528" s="114"/>
      <c r="AB528" s="114"/>
      <c r="AC528" s="114"/>
      <c r="AD528" s="114"/>
      <c r="AE528" s="114"/>
      <c r="AF528" s="114"/>
      <c r="AG528" s="114"/>
      <c r="AH528" s="114"/>
      <c r="AI528" s="114"/>
      <c r="AJ528" s="114"/>
      <c r="AK528" s="114"/>
    </row>
    <row r="529" ht="15.75" customHeight="1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  <c r="AA529" s="114"/>
      <c r="AB529" s="114"/>
      <c r="AC529" s="114"/>
      <c r="AD529" s="114"/>
      <c r="AE529" s="114"/>
      <c r="AF529" s="114"/>
      <c r="AG529" s="114"/>
      <c r="AH529" s="114"/>
      <c r="AI529" s="114"/>
      <c r="AJ529" s="114"/>
      <c r="AK529" s="114"/>
    </row>
    <row r="530" ht="15.75" customHeight="1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  <c r="AA530" s="114"/>
      <c r="AB530" s="114"/>
      <c r="AC530" s="114"/>
      <c r="AD530" s="114"/>
      <c r="AE530" s="114"/>
      <c r="AF530" s="114"/>
      <c r="AG530" s="114"/>
      <c r="AH530" s="114"/>
      <c r="AI530" s="114"/>
      <c r="AJ530" s="114"/>
      <c r="AK530" s="114"/>
    </row>
    <row r="531" ht="15.75" customHeight="1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  <c r="AA531" s="114"/>
      <c r="AB531" s="114"/>
      <c r="AC531" s="114"/>
      <c r="AD531" s="114"/>
      <c r="AE531" s="114"/>
      <c r="AF531" s="114"/>
      <c r="AG531" s="114"/>
      <c r="AH531" s="114"/>
      <c r="AI531" s="114"/>
      <c r="AJ531" s="114"/>
      <c r="AK531" s="114"/>
    </row>
    <row r="532" ht="15.75" customHeight="1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  <c r="AA532" s="114"/>
      <c r="AB532" s="114"/>
      <c r="AC532" s="114"/>
      <c r="AD532" s="114"/>
      <c r="AE532" s="114"/>
      <c r="AF532" s="114"/>
      <c r="AG532" s="114"/>
      <c r="AH532" s="114"/>
      <c r="AI532" s="114"/>
      <c r="AJ532" s="114"/>
      <c r="AK532" s="114"/>
    </row>
    <row r="533" ht="15.75" customHeight="1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  <c r="AA533" s="114"/>
      <c r="AB533" s="114"/>
      <c r="AC533" s="114"/>
      <c r="AD533" s="114"/>
      <c r="AE533" s="114"/>
      <c r="AF533" s="114"/>
      <c r="AG533" s="114"/>
      <c r="AH533" s="114"/>
      <c r="AI533" s="114"/>
      <c r="AJ533" s="114"/>
      <c r="AK533" s="114"/>
    </row>
    <row r="534" ht="15.75" customHeight="1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  <c r="AA534" s="114"/>
      <c r="AB534" s="114"/>
      <c r="AC534" s="114"/>
      <c r="AD534" s="114"/>
      <c r="AE534" s="114"/>
      <c r="AF534" s="114"/>
      <c r="AG534" s="114"/>
      <c r="AH534" s="114"/>
      <c r="AI534" s="114"/>
      <c r="AJ534" s="114"/>
      <c r="AK534" s="114"/>
    </row>
    <row r="535" ht="15.75" customHeight="1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  <c r="AA535" s="114"/>
      <c r="AB535" s="114"/>
      <c r="AC535" s="114"/>
      <c r="AD535" s="114"/>
      <c r="AE535" s="114"/>
      <c r="AF535" s="114"/>
      <c r="AG535" s="114"/>
      <c r="AH535" s="114"/>
      <c r="AI535" s="114"/>
      <c r="AJ535" s="114"/>
      <c r="AK535" s="114"/>
    </row>
    <row r="536" ht="15.75" customHeight="1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  <c r="AA536" s="114"/>
      <c r="AB536" s="114"/>
      <c r="AC536" s="114"/>
      <c r="AD536" s="114"/>
      <c r="AE536" s="114"/>
      <c r="AF536" s="114"/>
      <c r="AG536" s="114"/>
      <c r="AH536" s="114"/>
      <c r="AI536" s="114"/>
      <c r="AJ536" s="114"/>
      <c r="AK536" s="114"/>
    </row>
    <row r="537" ht="15.75" customHeight="1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  <c r="AA537" s="114"/>
      <c r="AB537" s="114"/>
      <c r="AC537" s="114"/>
      <c r="AD537" s="114"/>
      <c r="AE537" s="114"/>
      <c r="AF537" s="114"/>
      <c r="AG537" s="114"/>
      <c r="AH537" s="114"/>
      <c r="AI537" s="114"/>
      <c r="AJ537" s="114"/>
      <c r="AK537" s="114"/>
    </row>
    <row r="538" ht="15.75" customHeight="1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  <c r="AA538" s="114"/>
      <c r="AB538" s="114"/>
      <c r="AC538" s="114"/>
      <c r="AD538" s="114"/>
      <c r="AE538" s="114"/>
      <c r="AF538" s="114"/>
      <c r="AG538" s="114"/>
      <c r="AH538" s="114"/>
      <c r="AI538" s="114"/>
      <c r="AJ538" s="114"/>
      <c r="AK538" s="114"/>
    </row>
    <row r="539" ht="15.75" customHeight="1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  <c r="AA539" s="114"/>
      <c r="AB539" s="114"/>
      <c r="AC539" s="114"/>
      <c r="AD539" s="114"/>
      <c r="AE539" s="114"/>
      <c r="AF539" s="114"/>
      <c r="AG539" s="114"/>
      <c r="AH539" s="114"/>
      <c r="AI539" s="114"/>
      <c r="AJ539" s="114"/>
      <c r="AK539" s="114"/>
    </row>
    <row r="540" ht="15.75" customHeight="1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  <c r="AA540" s="114"/>
      <c r="AB540" s="114"/>
      <c r="AC540" s="114"/>
      <c r="AD540" s="114"/>
      <c r="AE540" s="114"/>
      <c r="AF540" s="114"/>
      <c r="AG540" s="114"/>
      <c r="AH540" s="114"/>
      <c r="AI540" s="114"/>
      <c r="AJ540" s="114"/>
      <c r="AK540" s="114"/>
    </row>
    <row r="541" ht="15.75" customHeight="1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  <c r="AA541" s="114"/>
      <c r="AB541" s="114"/>
      <c r="AC541" s="114"/>
      <c r="AD541" s="114"/>
      <c r="AE541" s="114"/>
      <c r="AF541" s="114"/>
      <c r="AG541" s="114"/>
      <c r="AH541" s="114"/>
      <c r="AI541" s="114"/>
      <c r="AJ541" s="114"/>
      <c r="AK541" s="114"/>
    </row>
    <row r="542" ht="15.75" customHeight="1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  <c r="AA542" s="114"/>
      <c r="AB542" s="114"/>
      <c r="AC542" s="114"/>
      <c r="AD542" s="114"/>
      <c r="AE542" s="114"/>
      <c r="AF542" s="114"/>
      <c r="AG542" s="114"/>
      <c r="AH542" s="114"/>
      <c r="AI542" s="114"/>
      <c r="AJ542" s="114"/>
      <c r="AK542" s="114"/>
    </row>
    <row r="543" ht="15.75" customHeight="1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  <c r="AA543" s="114"/>
      <c r="AB543" s="114"/>
      <c r="AC543" s="114"/>
      <c r="AD543" s="114"/>
      <c r="AE543" s="114"/>
      <c r="AF543" s="114"/>
      <c r="AG543" s="114"/>
      <c r="AH543" s="114"/>
      <c r="AI543" s="114"/>
      <c r="AJ543" s="114"/>
      <c r="AK543" s="114"/>
    </row>
    <row r="544" ht="15.75" customHeight="1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  <c r="AA544" s="114"/>
      <c r="AB544" s="114"/>
      <c r="AC544" s="114"/>
      <c r="AD544" s="114"/>
      <c r="AE544" s="114"/>
      <c r="AF544" s="114"/>
      <c r="AG544" s="114"/>
      <c r="AH544" s="114"/>
      <c r="AI544" s="114"/>
      <c r="AJ544" s="114"/>
      <c r="AK544" s="114"/>
    </row>
    <row r="545" ht="15.75" customHeight="1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  <c r="AA545" s="114"/>
      <c r="AB545" s="114"/>
      <c r="AC545" s="114"/>
      <c r="AD545" s="114"/>
      <c r="AE545" s="114"/>
      <c r="AF545" s="114"/>
      <c r="AG545" s="114"/>
      <c r="AH545" s="114"/>
      <c r="AI545" s="114"/>
      <c r="AJ545" s="114"/>
      <c r="AK545" s="114"/>
    </row>
    <row r="546" ht="15.75" customHeight="1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  <c r="AA546" s="114"/>
      <c r="AB546" s="114"/>
      <c r="AC546" s="114"/>
      <c r="AD546" s="114"/>
      <c r="AE546" s="114"/>
      <c r="AF546" s="114"/>
      <c r="AG546" s="114"/>
      <c r="AH546" s="114"/>
      <c r="AI546" s="114"/>
      <c r="AJ546" s="114"/>
      <c r="AK546" s="114"/>
    </row>
    <row r="547" ht="15.75" customHeight="1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  <c r="AA547" s="114"/>
      <c r="AB547" s="114"/>
      <c r="AC547" s="114"/>
      <c r="AD547" s="114"/>
      <c r="AE547" s="114"/>
      <c r="AF547" s="114"/>
      <c r="AG547" s="114"/>
      <c r="AH547" s="114"/>
      <c r="AI547" s="114"/>
      <c r="AJ547" s="114"/>
      <c r="AK547" s="114"/>
    </row>
    <row r="548" ht="15.75" customHeight="1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  <c r="AA548" s="114"/>
      <c r="AB548" s="114"/>
      <c r="AC548" s="114"/>
      <c r="AD548" s="114"/>
      <c r="AE548" s="114"/>
      <c r="AF548" s="114"/>
      <c r="AG548" s="114"/>
      <c r="AH548" s="114"/>
      <c r="AI548" s="114"/>
      <c r="AJ548" s="114"/>
      <c r="AK548" s="114"/>
    </row>
    <row r="549" ht="15.75" customHeight="1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  <c r="AA549" s="114"/>
      <c r="AB549" s="114"/>
      <c r="AC549" s="114"/>
      <c r="AD549" s="114"/>
      <c r="AE549" s="114"/>
      <c r="AF549" s="114"/>
      <c r="AG549" s="114"/>
      <c r="AH549" s="114"/>
      <c r="AI549" s="114"/>
      <c r="AJ549" s="114"/>
      <c r="AK549" s="114"/>
    </row>
    <row r="550" ht="15.75" customHeight="1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  <c r="AA550" s="114"/>
      <c r="AB550" s="114"/>
      <c r="AC550" s="114"/>
      <c r="AD550" s="114"/>
      <c r="AE550" s="114"/>
      <c r="AF550" s="114"/>
      <c r="AG550" s="114"/>
      <c r="AH550" s="114"/>
      <c r="AI550" s="114"/>
      <c r="AJ550" s="114"/>
      <c r="AK550" s="114"/>
    </row>
    <row r="551" ht="15.75" customHeight="1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  <c r="AA551" s="114"/>
      <c r="AB551" s="114"/>
      <c r="AC551" s="114"/>
      <c r="AD551" s="114"/>
      <c r="AE551" s="114"/>
      <c r="AF551" s="114"/>
      <c r="AG551" s="114"/>
      <c r="AH551" s="114"/>
      <c r="AI551" s="114"/>
      <c r="AJ551" s="114"/>
      <c r="AK551" s="114"/>
    </row>
    <row r="552" ht="15.75" customHeight="1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  <c r="AA552" s="114"/>
      <c r="AB552" s="114"/>
      <c r="AC552" s="114"/>
      <c r="AD552" s="114"/>
      <c r="AE552" s="114"/>
      <c r="AF552" s="114"/>
      <c r="AG552" s="114"/>
      <c r="AH552" s="114"/>
      <c r="AI552" s="114"/>
      <c r="AJ552" s="114"/>
      <c r="AK552" s="114"/>
    </row>
    <row r="553" ht="15.75" customHeight="1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  <c r="AA553" s="114"/>
      <c r="AB553" s="114"/>
      <c r="AC553" s="114"/>
      <c r="AD553" s="114"/>
      <c r="AE553" s="114"/>
      <c r="AF553" s="114"/>
      <c r="AG553" s="114"/>
      <c r="AH553" s="114"/>
      <c r="AI553" s="114"/>
      <c r="AJ553" s="114"/>
      <c r="AK553" s="114"/>
    </row>
    <row r="554" ht="15.75" customHeight="1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  <c r="AA554" s="114"/>
      <c r="AB554" s="114"/>
      <c r="AC554" s="114"/>
      <c r="AD554" s="114"/>
      <c r="AE554" s="114"/>
      <c r="AF554" s="114"/>
      <c r="AG554" s="114"/>
      <c r="AH554" s="114"/>
      <c r="AI554" s="114"/>
      <c r="AJ554" s="114"/>
      <c r="AK554" s="114"/>
    </row>
    <row r="555" ht="15.75" customHeight="1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  <c r="AA555" s="114"/>
      <c r="AB555" s="114"/>
      <c r="AC555" s="114"/>
      <c r="AD555" s="114"/>
      <c r="AE555" s="114"/>
      <c r="AF555" s="114"/>
      <c r="AG555" s="114"/>
      <c r="AH555" s="114"/>
      <c r="AI555" s="114"/>
      <c r="AJ555" s="114"/>
      <c r="AK555" s="114"/>
    </row>
    <row r="556" ht="15.75" customHeight="1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  <c r="AA556" s="114"/>
      <c r="AB556" s="114"/>
      <c r="AC556" s="114"/>
      <c r="AD556" s="114"/>
      <c r="AE556" s="114"/>
      <c r="AF556" s="114"/>
      <c r="AG556" s="114"/>
      <c r="AH556" s="114"/>
      <c r="AI556" s="114"/>
      <c r="AJ556" s="114"/>
      <c r="AK556" s="114"/>
    </row>
    <row r="557" ht="15.75" customHeight="1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  <c r="AA557" s="114"/>
      <c r="AB557" s="114"/>
      <c r="AC557" s="114"/>
      <c r="AD557" s="114"/>
      <c r="AE557" s="114"/>
      <c r="AF557" s="114"/>
      <c r="AG557" s="114"/>
      <c r="AH557" s="114"/>
      <c r="AI557" s="114"/>
      <c r="AJ557" s="114"/>
      <c r="AK557" s="114"/>
    </row>
    <row r="558" ht="15.75" customHeight="1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  <c r="AA558" s="114"/>
      <c r="AB558" s="114"/>
      <c r="AC558" s="114"/>
      <c r="AD558" s="114"/>
      <c r="AE558" s="114"/>
      <c r="AF558" s="114"/>
      <c r="AG558" s="114"/>
      <c r="AH558" s="114"/>
      <c r="AI558" s="114"/>
      <c r="AJ558" s="114"/>
      <c r="AK558" s="114"/>
    </row>
    <row r="559" ht="15.75" customHeight="1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  <c r="AA559" s="114"/>
      <c r="AB559" s="114"/>
      <c r="AC559" s="114"/>
      <c r="AD559" s="114"/>
      <c r="AE559" s="114"/>
      <c r="AF559" s="114"/>
      <c r="AG559" s="114"/>
      <c r="AH559" s="114"/>
      <c r="AI559" s="114"/>
      <c r="AJ559" s="114"/>
      <c r="AK559" s="114"/>
    </row>
    <row r="560" ht="15.75" customHeight="1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  <c r="AA560" s="114"/>
      <c r="AB560" s="114"/>
      <c r="AC560" s="114"/>
      <c r="AD560" s="114"/>
      <c r="AE560" s="114"/>
      <c r="AF560" s="114"/>
      <c r="AG560" s="114"/>
      <c r="AH560" s="114"/>
      <c r="AI560" s="114"/>
      <c r="AJ560" s="114"/>
      <c r="AK560" s="114"/>
    </row>
    <row r="561" ht="15.75" customHeight="1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  <c r="AA561" s="114"/>
      <c r="AB561" s="114"/>
      <c r="AC561" s="114"/>
      <c r="AD561" s="114"/>
      <c r="AE561" s="114"/>
      <c r="AF561" s="114"/>
      <c r="AG561" s="114"/>
      <c r="AH561" s="114"/>
      <c r="AI561" s="114"/>
      <c r="AJ561" s="114"/>
      <c r="AK561" s="114"/>
    </row>
    <row r="562" ht="15.75" customHeight="1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  <c r="AA562" s="114"/>
      <c r="AB562" s="114"/>
      <c r="AC562" s="114"/>
      <c r="AD562" s="114"/>
      <c r="AE562" s="114"/>
      <c r="AF562" s="114"/>
      <c r="AG562" s="114"/>
      <c r="AH562" s="114"/>
      <c r="AI562" s="114"/>
      <c r="AJ562" s="114"/>
      <c r="AK562" s="114"/>
    </row>
    <row r="563" ht="15.75" customHeight="1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  <c r="AA563" s="114"/>
      <c r="AB563" s="114"/>
      <c r="AC563" s="114"/>
      <c r="AD563" s="114"/>
      <c r="AE563" s="114"/>
      <c r="AF563" s="114"/>
      <c r="AG563" s="114"/>
      <c r="AH563" s="114"/>
      <c r="AI563" s="114"/>
      <c r="AJ563" s="114"/>
      <c r="AK563" s="114"/>
    </row>
    <row r="564" ht="15.75" customHeight="1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  <c r="AA564" s="114"/>
      <c r="AB564" s="114"/>
      <c r="AC564" s="114"/>
      <c r="AD564" s="114"/>
      <c r="AE564" s="114"/>
      <c r="AF564" s="114"/>
      <c r="AG564" s="114"/>
      <c r="AH564" s="114"/>
      <c r="AI564" s="114"/>
      <c r="AJ564" s="114"/>
      <c r="AK564" s="114"/>
    </row>
    <row r="565" ht="15.75" customHeight="1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  <c r="AA565" s="114"/>
      <c r="AB565" s="114"/>
      <c r="AC565" s="114"/>
      <c r="AD565" s="114"/>
      <c r="AE565" s="114"/>
      <c r="AF565" s="114"/>
      <c r="AG565" s="114"/>
      <c r="AH565" s="114"/>
      <c r="AI565" s="114"/>
      <c r="AJ565" s="114"/>
      <c r="AK565" s="114"/>
    </row>
    <row r="566" ht="15.75" customHeight="1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  <c r="AA566" s="114"/>
      <c r="AB566" s="114"/>
      <c r="AC566" s="114"/>
      <c r="AD566" s="114"/>
      <c r="AE566" s="114"/>
      <c r="AF566" s="114"/>
      <c r="AG566" s="114"/>
      <c r="AH566" s="114"/>
      <c r="AI566" s="114"/>
      <c r="AJ566" s="114"/>
      <c r="AK566" s="114"/>
    </row>
    <row r="567" ht="15.75" customHeight="1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  <c r="AA567" s="114"/>
      <c r="AB567" s="114"/>
      <c r="AC567" s="114"/>
      <c r="AD567" s="114"/>
      <c r="AE567" s="114"/>
      <c r="AF567" s="114"/>
      <c r="AG567" s="114"/>
      <c r="AH567" s="114"/>
      <c r="AI567" s="114"/>
      <c r="AJ567" s="114"/>
      <c r="AK567" s="114"/>
    </row>
    <row r="568" ht="15.75" customHeight="1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  <c r="AA568" s="114"/>
      <c r="AB568" s="114"/>
      <c r="AC568" s="114"/>
      <c r="AD568" s="114"/>
      <c r="AE568" s="114"/>
      <c r="AF568" s="114"/>
      <c r="AG568" s="114"/>
      <c r="AH568" s="114"/>
      <c r="AI568" s="114"/>
      <c r="AJ568" s="114"/>
      <c r="AK568" s="114"/>
    </row>
    <row r="569" ht="15.75" customHeight="1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  <c r="AA569" s="114"/>
      <c r="AB569" s="114"/>
      <c r="AC569" s="114"/>
      <c r="AD569" s="114"/>
      <c r="AE569" s="114"/>
      <c r="AF569" s="114"/>
      <c r="AG569" s="114"/>
      <c r="AH569" s="114"/>
      <c r="AI569" s="114"/>
      <c r="AJ569" s="114"/>
      <c r="AK569" s="114"/>
    </row>
    <row r="570" ht="15.75" customHeight="1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  <c r="AA570" s="114"/>
      <c r="AB570" s="114"/>
      <c r="AC570" s="114"/>
      <c r="AD570" s="114"/>
      <c r="AE570" s="114"/>
      <c r="AF570" s="114"/>
      <c r="AG570" s="114"/>
      <c r="AH570" s="114"/>
      <c r="AI570" s="114"/>
      <c r="AJ570" s="114"/>
      <c r="AK570" s="114"/>
    </row>
    <row r="571" ht="15.75" customHeight="1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  <c r="AA571" s="114"/>
      <c r="AB571" s="114"/>
      <c r="AC571" s="114"/>
      <c r="AD571" s="114"/>
      <c r="AE571" s="114"/>
      <c r="AF571" s="114"/>
      <c r="AG571" s="114"/>
      <c r="AH571" s="114"/>
      <c r="AI571" s="114"/>
      <c r="AJ571" s="114"/>
      <c r="AK571" s="114"/>
    </row>
    <row r="572" ht="15.75" customHeight="1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  <c r="AA572" s="114"/>
      <c r="AB572" s="114"/>
      <c r="AC572" s="114"/>
      <c r="AD572" s="114"/>
      <c r="AE572" s="114"/>
      <c r="AF572" s="114"/>
      <c r="AG572" s="114"/>
      <c r="AH572" s="114"/>
      <c r="AI572" s="114"/>
      <c r="AJ572" s="114"/>
      <c r="AK572" s="114"/>
    </row>
    <row r="573" ht="15.75" customHeight="1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  <c r="AA573" s="114"/>
      <c r="AB573" s="114"/>
      <c r="AC573" s="114"/>
      <c r="AD573" s="114"/>
      <c r="AE573" s="114"/>
      <c r="AF573" s="114"/>
      <c r="AG573" s="114"/>
      <c r="AH573" s="114"/>
      <c r="AI573" s="114"/>
      <c r="AJ573" s="114"/>
      <c r="AK573" s="114"/>
    </row>
    <row r="574" ht="15.75" customHeight="1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  <c r="AA574" s="114"/>
      <c r="AB574" s="114"/>
      <c r="AC574" s="114"/>
      <c r="AD574" s="114"/>
      <c r="AE574" s="114"/>
      <c r="AF574" s="114"/>
      <c r="AG574" s="114"/>
      <c r="AH574" s="114"/>
      <c r="AI574" s="114"/>
      <c r="AJ574" s="114"/>
      <c r="AK574" s="114"/>
    </row>
    <row r="575" ht="15.75" customHeight="1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  <c r="AA575" s="114"/>
      <c r="AB575" s="114"/>
      <c r="AC575" s="114"/>
      <c r="AD575" s="114"/>
      <c r="AE575" s="114"/>
      <c r="AF575" s="114"/>
      <c r="AG575" s="114"/>
      <c r="AH575" s="114"/>
      <c r="AI575" s="114"/>
      <c r="AJ575" s="114"/>
      <c r="AK575" s="114"/>
    </row>
    <row r="576" ht="15.75" customHeight="1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  <c r="AA576" s="114"/>
      <c r="AB576" s="114"/>
      <c r="AC576" s="114"/>
      <c r="AD576" s="114"/>
      <c r="AE576" s="114"/>
      <c r="AF576" s="114"/>
      <c r="AG576" s="114"/>
      <c r="AH576" s="114"/>
      <c r="AI576" s="114"/>
      <c r="AJ576" s="114"/>
      <c r="AK576" s="114"/>
    </row>
    <row r="577" ht="15.75" customHeight="1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  <c r="AA577" s="114"/>
      <c r="AB577" s="114"/>
      <c r="AC577" s="114"/>
      <c r="AD577" s="114"/>
      <c r="AE577" s="114"/>
      <c r="AF577" s="114"/>
      <c r="AG577" s="114"/>
      <c r="AH577" s="114"/>
      <c r="AI577" s="114"/>
      <c r="AJ577" s="114"/>
      <c r="AK577" s="114"/>
    </row>
    <row r="578" ht="15.75" customHeight="1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  <c r="AA578" s="114"/>
      <c r="AB578" s="114"/>
      <c r="AC578" s="114"/>
      <c r="AD578" s="114"/>
      <c r="AE578" s="114"/>
      <c r="AF578" s="114"/>
      <c r="AG578" s="114"/>
      <c r="AH578" s="114"/>
      <c r="AI578" s="114"/>
      <c r="AJ578" s="114"/>
      <c r="AK578" s="114"/>
    </row>
    <row r="579" ht="15.75" customHeight="1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  <c r="AA579" s="114"/>
      <c r="AB579" s="114"/>
      <c r="AC579" s="114"/>
      <c r="AD579" s="114"/>
      <c r="AE579" s="114"/>
      <c r="AF579" s="114"/>
      <c r="AG579" s="114"/>
      <c r="AH579" s="114"/>
      <c r="AI579" s="114"/>
      <c r="AJ579" s="114"/>
      <c r="AK579" s="114"/>
    </row>
    <row r="580" ht="15.75" customHeight="1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  <c r="AA580" s="114"/>
      <c r="AB580" s="114"/>
      <c r="AC580" s="114"/>
      <c r="AD580" s="114"/>
      <c r="AE580" s="114"/>
      <c r="AF580" s="114"/>
      <c r="AG580" s="114"/>
      <c r="AH580" s="114"/>
      <c r="AI580" s="114"/>
      <c r="AJ580" s="114"/>
      <c r="AK580" s="114"/>
    </row>
    <row r="581" ht="15.75" customHeight="1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  <c r="AA581" s="114"/>
      <c r="AB581" s="114"/>
      <c r="AC581" s="114"/>
      <c r="AD581" s="114"/>
      <c r="AE581" s="114"/>
      <c r="AF581" s="114"/>
      <c r="AG581" s="114"/>
      <c r="AH581" s="114"/>
      <c r="AI581" s="114"/>
      <c r="AJ581" s="114"/>
      <c r="AK581" s="114"/>
    </row>
    <row r="582" ht="15.75" customHeight="1">
      <c r="A582" s="114"/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  <c r="AA582" s="114"/>
      <c r="AB582" s="114"/>
      <c r="AC582" s="114"/>
      <c r="AD582" s="114"/>
      <c r="AE582" s="114"/>
      <c r="AF582" s="114"/>
      <c r="AG582" s="114"/>
      <c r="AH582" s="114"/>
      <c r="AI582" s="114"/>
      <c r="AJ582" s="114"/>
      <c r="AK582" s="114"/>
    </row>
    <row r="583" ht="15.75" customHeight="1">
      <c r="A583" s="114"/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  <c r="AA583" s="114"/>
      <c r="AB583" s="114"/>
      <c r="AC583" s="114"/>
      <c r="AD583" s="114"/>
      <c r="AE583" s="114"/>
      <c r="AF583" s="114"/>
      <c r="AG583" s="114"/>
      <c r="AH583" s="114"/>
      <c r="AI583" s="114"/>
      <c r="AJ583" s="114"/>
      <c r="AK583" s="114"/>
    </row>
    <row r="584" ht="15.75" customHeight="1">
      <c r="A584" s="114"/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  <c r="AA584" s="114"/>
      <c r="AB584" s="114"/>
      <c r="AC584" s="114"/>
      <c r="AD584" s="114"/>
      <c r="AE584" s="114"/>
      <c r="AF584" s="114"/>
      <c r="AG584" s="114"/>
      <c r="AH584" s="114"/>
      <c r="AI584" s="114"/>
      <c r="AJ584" s="114"/>
      <c r="AK584" s="114"/>
    </row>
    <row r="585" ht="15.75" customHeight="1">
      <c r="A585" s="114"/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  <c r="AA585" s="114"/>
      <c r="AB585" s="114"/>
      <c r="AC585" s="114"/>
      <c r="AD585" s="114"/>
      <c r="AE585" s="114"/>
      <c r="AF585" s="114"/>
      <c r="AG585" s="114"/>
      <c r="AH585" s="114"/>
      <c r="AI585" s="114"/>
      <c r="AJ585" s="114"/>
      <c r="AK585" s="114"/>
    </row>
    <row r="586" ht="15.75" customHeight="1">
      <c r="A586" s="114"/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  <c r="AA586" s="114"/>
      <c r="AB586" s="114"/>
      <c r="AC586" s="114"/>
      <c r="AD586" s="114"/>
      <c r="AE586" s="114"/>
      <c r="AF586" s="114"/>
      <c r="AG586" s="114"/>
      <c r="AH586" s="114"/>
      <c r="AI586" s="114"/>
      <c r="AJ586" s="114"/>
      <c r="AK586" s="114"/>
    </row>
    <row r="587" ht="15.75" customHeight="1">
      <c r="A587" s="114"/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  <c r="AA587" s="114"/>
      <c r="AB587" s="114"/>
      <c r="AC587" s="114"/>
      <c r="AD587" s="114"/>
      <c r="AE587" s="114"/>
      <c r="AF587" s="114"/>
      <c r="AG587" s="114"/>
      <c r="AH587" s="114"/>
      <c r="AI587" s="114"/>
      <c r="AJ587" s="114"/>
      <c r="AK587" s="114"/>
    </row>
    <row r="588" ht="15.75" customHeight="1">
      <c r="A588" s="114"/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  <c r="AA588" s="114"/>
      <c r="AB588" s="114"/>
      <c r="AC588" s="114"/>
      <c r="AD588" s="114"/>
      <c r="AE588" s="114"/>
      <c r="AF588" s="114"/>
      <c r="AG588" s="114"/>
      <c r="AH588" s="114"/>
      <c r="AI588" s="114"/>
      <c r="AJ588" s="114"/>
      <c r="AK588" s="114"/>
    </row>
    <row r="589" ht="15.75" customHeight="1">
      <c r="A589" s="114"/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  <c r="AA589" s="114"/>
      <c r="AB589" s="114"/>
      <c r="AC589" s="114"/>
      <c r="AD589" s="114"/>
      <c r="AE589" s="114"/>
      <c r="AF589" s="114"/>
      <c r="AG589" s="114"/>
      <c r="AH589" s="114"/>
      <c r="AI589" s="114"/>
      <c r="AJ589" s="114"/>
      <c r="AK589" s="114"/>
    </row>
    <row r="590" ht="15.75" customHeight="1">
      <c r="A590" s="114"/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  <c r="AA590" s="114"/>
      <c r="AB590" s="114"/>
      <c r="AC590" s="114"/>
      <c r="AD590" s="114"/>
      <c r="AE590" s="114"/>
      <c r="AF590" s="114"/>
      <c r="AG590" s="114"/>
      <c r="AH590" s="114"/>
      <c r="AI590" s="114"/>
      <c r="AJ590" s="114"/>
      <c r="AK590" s="114"/>
    </row>
    <row r="591" ht="15.75" customHeight="1">
      <c r="A591" s="114"/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  <c r="AA591" s="114"/>
      <c r="AB591" s="114"/>
      <c r="AC591" s="114"/>
      <c r="AD591" s="114"/>
      <c r="AE591" s="114"/>
      <c r="AF591" s="114"/>
      <c r="AG591" s="114"/>
      <c r="AH591" s="114"/>
      <c r="AI591" s="114"/>
      <c r="AJ591" s="114"/>
      <c r="AK591" s="114"/>
    </row>
    <row r="592" ht="15.75" customHeight="1">
      <c r="A592" s="114"/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  <c r="AA592" s="114"/>
      <c r="AB592" s="114"/>
      <c r="AC592" s="114"/>
      <c r="AD592" s="114"/>
      <c r="AE592" s="114"/>
      <c r="AF592" s="114"/>
      <c r="AG592" s="114"/>
      <c r="AH592" s="114"/>
      <c r="AI592" s="114"/>
      <c r="AJ592" s="114"/>
      <c r="AK592" s="114"/>
    </row>
    <row r="593" ht="15.75" customHeight="1">
      <c r="A593" s="114"/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  <c r="AA593" s="114"/>
      <c r="AB593" s="114"/>
      <c r="AC593" s="114"/>
      <c r="AD593" s="114"/>
      <c r="AE593" s="114"/>
      <c r="AF593" s="114"/>
      <c r="AG593" s="114"/>
      <c r="AH593" s="114"/>
      <c r="AI593" s="114"/>
      <c r="AJ593" s="114"/>
      <c r="AK593" s="114"/>
    </row>
    <row r="594" ht="15.75" customHeight="1">
      <c r="A594" s="114"/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  <c r="AA594" s="114"/>
      <c r="AB594" s="114"/>
      <c r="AC594" s="114"/>
      <c r="AD594" s="114"/>
      <c r="AE594" s="114"/>
      <c r="AF594" s="114"/>
      <c r="AG594" s="114"/>
      <c r="AH594" s="114"/>
      <c r="AI594" s="114"/>
      <c r="AJ594" s="114"/>
      <c r="AK594" s="114"/>
    </row>
    <row r="595" ht="15.75" customHeight="1">
      <c r="A595" s="114"/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  <c r="AA595" s="114"/>
      <c r="AB595" s="114"/>
      <c r="AC595" s="114"/>
      <c r="AD595" s="114"/>
      <c r="AE595" s="114"/>
      <c r="AF595" s="114"/>
      <c r="AG595" s="114"/>
      <c r="AH595" s="114"/>
      <c r="AI595" s="114"/>
      <c r="AJ595" s="114"/>
      <c r="AK595" s="114"/>
    </row>
    <row r="596" ht="15.75" customHeight="1">
      <c r="A596" s="114"/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  <c r="AA596" s="114"/>
      <c r="AB596" s="114"/>
      <c r="AC596" s="114"/>
      <c r="AD596" s="114"/>
      <c r="AE596" s="114"/>
      <c r="AF596" s="114"/>
      <c r="AG596" s="114"/>
      <c r="AH596" s="114"/>
      <c r="AI596" s="114"/>
      <c r="AJ596" s="114"/>
      <c r="AK596" s="114"/>
    </row>
    <row r="597" ht="15.75" customHeight="1">
      <c r="A597" s="114"/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  <c r="AA597" s="114"/>
      <c r="AB597" s="114"/>
      <c r="AC597" s="114"/>
      <c r="AD597" s="114"/>
      <c r="AE597" s="114"/>
      <c r="AF597" s="114"/>
      <c r="AG597" s="114"/>
      <c r="AH597" s="114"/>
      <c r="AI597" s="114"/>
      <c r="AJ597" s="114"/>
      <c r="AK597" s="114"/>
    </row>
    <row r="598" ht="15.75" customHeight="1">
      <c r="A598" s="114"/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  <c r="AA598" s="114"/>
      <c r="AB598" s="114"/>
      <c r="AC598" s="114"/>
      <c r="AD598" s="114"/>
      <c r="AE598" s="114"/>
      <c r="AF598" s="114"/>
      <c r="AG598" s="114"/>
      <c r="AH598" s="114"/>
      <c r="AI598" s="114"/>
      <c r="AJ598" s="114"/>
      <c r="AK598" s="114"/>
    </row>
    <row r="599" ht="15.75" customHeight="1">
      <c r="A599" s="114"/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  <c r="AA599" s="114"/>
      <c r="AB599" s="114"/>
      <c r="AC599" s="114"/>
      <c r="AD599" s="114"/>
      <c r="AE599" s="114"/>
      <c r="AF599" s="114"/>
      <c r="AG599" s="114"/>
      <c r="AH599" s="114"/>
      <c r="AI599" s="114"/>
      <c r="AJ599" s="114"/>
      <c r="AK599" s="114"/>
    </row>
    <row r="600" ht="15.75" customHeight="1">
      <c r="A600" s="114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  <c r="AA600" s="114"/>
      <c r="AB600" s="114"/>
      <c r="AC600" s="114"/>
      <c r="AD600" s="114"/>
      <c r="AE600" s="114"/>
      <c r="AF600" s="114"/>
      <c r="AG600" s="114"/>
      <c r="AH600" s="114"/>
      <c r="AI600" s="114"/>
      <c r="AJ600" s="114"/>
      <c r="AK600" s="114"/>
    </row>
    <row r="601" ht="15.75" customHeight="1">
      <c r="A601" s="114"/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  <c r="AA601" s="114"/>
      <c r="AB601" s="114"/>
      <c r="AC601" s="114"/>
      <c r="AD601" s="114"/>
      <c r="AE601" s="114"/>
      <c r="AF601" s="114"/>
      <c r="AG601" s="114"/>
      <c r="AH601" s="114"/>
      <c r="AI601" s="114"/>
      <c r="AJ601" s="114"/>
      <c r="AK601" s="114"/>
    </row>
    <row r="602" ht="15.75" customHeight="1">
      <c r="A602" s="114"/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  <c r="AA602" s="114"/>
      <c r="AB602" s="114"/>
      <c r="AC602" s="114"/>
      <c r="AD602" s="114"/>
      <c r="AE602" s="114"/>
      <c r="AF602" s="114"/>
      <c r="AG602" s="114"/>
      <c r="AH602" s="114"/>
      <c r="AI602" s="114"/>
      <c r="AJ602" s="114"/>
      <c r="AK602" s="114"/>
    </row>
    <row r="603" ht="15.75" customHeight="1">
      <c r="A603" s="114"/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  <c r="AA603" s="114"/>
      <c r="AB603" s="114"/>
      <c r="AC603" s="114"/>
      <c r="AD603" s="114"/>
      <c r="AE603" s="114"/>
      <c r="AF603" s="114"/>
      <c r="AG603" s="114"/>
      <c r="AH603" s="114"/>
      <c r="AI603" s="114"/>
      <c r="AJ603" s="114"/>
      <c r="AK603" s="114"/>
    </row>
    <row r="604" ht="15.75" customHeight="1">
      <c r="A604" s="114"/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  <c r="AA604" s="114"/>
      <c r="AB604" s="114"/>
      <c r="AC604" s="114"/>
      <c r="AD604" s="114"/>
      <c r="AE604" s="114"/>
      <c r="AF604" s="114"/>
      <c r="AG604" s="114"/>
      <c r="AH604" s="114"/>
      <c r="AI604" s="114"/>
      <c r="AJ604" s="114"/>
      <c r="AK604" s="114"/>
    </row>
    <row r="605" ht="15.75" customHeight="1">
      <c r="A605" s="114"/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  <c r="AA605" s="114"/>
      <c r="AB605" s="114"/>
      <c r="AC605" s="114"/>
      <c r="AD605" s="114"/>
      <c r="AE605" s="114"/>
      <c r="AF605" s="114"/>
      <c r="AG605" s="114"/>
      <c r="AH605" s="114"/>
      <c r="AI605" s="114"/>
      <c r="AJ605" s="114"/>
      <c r="AK605" s="114"/>
    </row>
    <row r="606" ht="15.75" customHeight="1">
      <c r="A606" s="114"/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  <c r="AA606" s="114"/>
      <c r="AB606" s="114"/>
      <c r="AC606" s="114"/>
      <c r="AD606" s="114"/>
      <c r="AE606" s="114"/>
      <c r="AF606" s="114"/>
      <c r="AG606" s="114"/>
      <c r="AH606" s="114"/>
      <c r="AI606" s="114"/>
      <c r="AJ606" s="114"/>
      <c r="AK606" s="114"/>
    </row>
    <row r="607" ht="15.75" customHeight="1">
      <c r="A607" s="114"/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  <c r="AA607" s="114"/>
      <c r="AB607" s="114"/>
      <c r="AC607" s="114"/>
      <c r="AD607" s="114"/>
      <c r="AE607" s="114"/>
      <c r="AF607" s="114"/>
      <c r="AG607" s="114"/>
      <c r="AH607" s="114"/>
      <c r="AI607" s="114"/>
      <c r="AJ607" s="114"/>
      <c r="AK607" s="114"/>
    </row>
    <row r="608" ht="15.75" customHeight="1">
      <c r="A608" s="114"/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  <c r="AA608" s="114"/>
      <c r="AB608" s="114"/>
      <c r="AC608" s="114"/>
      <c r="AD608" s="114"/>
      <c r="AE608" s="114"/>
      <c r="AF608" s="114"/>
      <c r="AG608" s="114"/>
      <c r="AH608" s="114"/>
      <c r="AI608" s="114"/>
      <c r="AJ608" s="114"/>
      <c r="AK608" s="114"/>
    </row>
    <row r="609" ht="15.75" customHeight="1">
      <c r="A609" s="114"/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  <c r="AA609" s="114"/>
      <c r="AB609" s="114"/>
      <c r="AC609" s="114"/>
      <c r="AD609" s="114"/>
      <c r="AE609" s="114"/>
      <c r="AF609" s="114"/>
      <c r="AG609" s="114"/>
      <c r="AH609" s="114"/>
      <c r="AI609" s="114"/>
      <c r="AJ609" s="114"/>
      <c r="AK609" s="114"/>
    </row>
    <row r="610" ht="15.75" customHeight="1">
      <c r="A610" s="114"/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  <c r="AA610" s="114"/>
      <c r="AB610" s="114"/>
      <c r="AC610" s="114"/>
      <c r="AD610" s="114"/>
      <c r="AE610" s="114"/>
      <c r="AF610" s="114"/>
      <c r="AG610" s="114"/>
      <c r="AH610" s="114"/>
      <c r="AI610" s="114"/>
      <c r="AJ610" s="114"/>
      <c r="AK610" s="114"/>
    </row>
    <row r="611" ht="15.75" customHeight="1">
      <c r="A611" s="114"/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  <c r="AA611" s="114"/>
      <c r="AB611" s="114"/>
      <c r="AC611" s="114"/>
      <c r="AD611" s="114"/>
      <c r="AE611" s="114"/>
      <c r="AF611" s="114"/>
      <c r="AG611" s="114"/>
      <c r="AH611" s="114"/>
      <c r="AI611" s="114"/>
      <c r="AJ611" s="114"/>
      <c r="AK611" s="114"/>
    </row>
    <row r="612" ht="15.75" customHeight="1">
      <c r="A612" s="114"/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  <c r="AA612" s="114"/>
      <c r="AB612" s="114"/>
      <c r="AC612" s="114"/>
      <c r="AD612" s="114"/>
      <c r="AE612" s="114"/>
      <c r="AF612" s="114"/>
      <c r="AG612" s="114"/>
      <c r="AH612" s="114"/>
      <c r="AI612" s="114"/>
      <c r="AJ612" s="114"/>
      <c r="AK612" s="114"/>
    </row>
    <row r="613" ht="15.75" customHeight="1">
      <c r="A613" s="114"/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  <c r="AA613" s="114"/>
      <c r="AB613" s="114"/>
      <c r="AC613" s="114"/>
      <c r="AD613" s="114"/>
      <c r="AE613" s="114"/>
      <c r="AF613" s="114"/>
      <c r="AG613" s="114"/>
      <c r="AH613" s="114"/>
      <c r="AI613" s="114"/>
      <c r="AJ613" s="114"/>
      <c r="AK613" s="114"/>
    </row>
    <row r="614" ht="15.75" customHeight="1">
      <c r="A614" s="114"/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  <c r="AA614" s="114"/>
      <c r="AB614" s="114"/>
      <c r="AC614" s="114"/>
      <c r="AD614" s="114"/>
      <c r="AE614" s="114"/>
      <c r="AF614" s="114"/>
      <c r="AG614" s="114"/>
      <c r="AH614" s="114"/>
      <c r="AI614" s="114"/>
      <c r="AJ614" s="114"/>
      <c r="AK614" s="114"/>
    </row>
    <row r="615" ht="15.75" customHeight="1">
      <c r="A615" s="114"/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  <c r="AA615" s="114"/>
      <c r="AB615" s="114"/>
      <c r="AC615" s="114"/>
      <c r="AD615" s="114"/>
      <c r="AE615" s="114"/>
      <c r="AF615" s="114"/>
      <c r="AG615" s="114"/>
      <c r="AH615" s="114"/>
      <c r="AI615" s="114"/>
      <c r="AJ615" s="114"/>
      <c r="AK615" s="114"/>
    </row>
    <row r="616" ht="15.75" customHeight="1">
      <c r="A616" s="114"/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  <c r="AA616" s="114"/>
      <c r="AB616" s="114"/>
      <c r="AC616" s="114"/>
      <c r="AD616" s="114"/>
      <c r="AE616" s="114"/>
      <c r="AF616" s="114"/>
      <c r="AG616" s="114"/>
      <c r="AH616" s="114"/>
      <c r="AI616" s="114"/>
      <c r="AJ616" s="114"/>
      <c r="AK616" s="114"/>
    </row>
    <row r="617" ht="15.75" customHeight="1">
      <c r="A617" s="114"/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  <c r="AA617" s="114"/>
      <c r="AB617" s="114"/>
      <c r="AC617" s="114"/>
      <c r="AD617" s="114"/>
      <c r="AE617" s="114"/>
      <c r="AF617" s="114"/>
      <c r="AG617" s="114"/>
      <c r="AH617" s="114"/>
      <c r="AI617" s="114"/>
      <c r="AJ617" s="114"/>
      <c r="AK617" s="114"/>
    </row>
    <row r="618" ht="15.75" customHeight="1">
      <c r="A618" s="114"/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  <c r="AA618" s="114"/>
      <c r="AB618" s="114"/>
      <c r="AC618" s="114"/>
      <c r="AD618" s="114"/>
      <c r="AE618" s="114"/>
      <c r="AF618" s="114"/>
      <c r="AG618" s="114"/>
      <c r="AH618" s="114"/>
      <c r="AI618" s="114"/>
      <c r="AJ618" s="114"/>
      <c r="AK618" s="114"/>
    </row>
    <row r="619" ht="15.75" customHeight="1">
      <c r="A619" s="114"/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  <c r="AA619" s="114"/>
      <c r="AB619" s="114"/>
      <c r="AC619" s="114"/>
      <c r="AD619" s="114"/>
      <c r="AE619" s="114"/>
      <c r="AF619" s="114"/>
      <c r="AG619" s="114"/>
      <c r="AH619" s="114"/>
      <c r="AI619" s="114"/>
      <c r="AJ619" s="114"/>
      <c r="AK619" s="114"/>
    </row>
    <row r="620" ht="15.75" customHeight="1">
      <c r="A620" s="114"/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  <c r="AA620" s="114"/>
      <c r="AB620" s="114"/>
      <c r="AC620" s="114"/>
      <c r="AD620" s="114"/>
      <c r="AE620" s="114"/>
      <c r="AF620" s="114"/>
      <c r="AG620" s="114"/>
      <c r="AH620" s="114"/>
      <c r="AI620" s="114"/>
      <c r="AJ620" s="114"/>
      <c r="AK620" s="114"/>
    </row>
    <row r="621" ht="15.75" customHeight="1">
      <c r="A621" s="114"/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  <c r="AA621" s="114"/>
      <c r="AB621" s="114"/>
      <c r="AC621" s="114"/>
      <c r="AD621" s="114"/>
      <c r="AE621" s="114"/>
      <c r="AF621" s="114"/>
      <c r="AG621" s="114"/>
      <c r="AH621" s="114"/>
      <c r="AI621" s="114"/>
      <c r="AJ621" s="114"/>
      <c r="AK621" s="114"/>
    </row>
    <row r="622" ht="15.75" customHeight="1">
      <c r="A622" s="114"/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  <c r="AA622" s="114"/>
      <c r="AB622" s="114"/>
      <c r="AC622" s="114"/>
      <c r="AD622" s="114"/>
      <c r="AE622" s="114"/>
      <c r="AF622" s="114"/>
      <c r="AG622" s="114"/>
      <c r="AH622" s="114"/>
      <c r="AI622" s="114"/>
      <c r="AJ622" s="114"/>
      <c r="AK622" s="114"/>
    </row>
    <row r="623" ht="15.75" customHeight="1">
      <c r="A623" s="114"/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  <c r="AA623" s="114"/>
      <c r="AB623" s="114"/>
      <c r="AC623" s="114"/>
      <c r="AD623" s="114"/>
      <c r="AE623" s="114"/>
      <c r="AF623" s="114"/>
      <c r="AG623" s="114"/>
      <c r="AH623" s="114"/>
      <c r="AI623" s="114"/>
      <c r="AJ623" s="114"/>
      <c r="AK623" s="114"/>
    </row>
    <row r="624" ht="15.75" customHeight="1">
      <c r="A624" s="114"/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  <c r="AA624" s="114"/>
      <c r="AB624" s="114"/>
      <c r="AC624" s="114"/>
      <c r="AD624" s="114"/>
      <c r="AE624" s="114"/>
      <c r="AF624" s="114"/>
      <c r="AG624" s="114"/>
      <c r="AH624" s="114"/>
      <c r="AI624" s="114"/>
      <c r="AJ624" s="114"/>
      <c r="AK624" s="114"/>
    </row>
    <row r="625" ht="15.75" customHeight="1">
      <c r="A625" s="114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  <c r="AA625" s="114"/>
      <c r="AB625" s="114"/>
      <c r="AC625" s="114"/>
      <c r="AD625" s="114"/>
      <c r="AE625" s="114"/>
      <c r="AF625" s="114"/>
      <c r="AG625" s="114"/>
      <c r="AH625" s="114"/>
      <c r="AI625" s="114"/>
      <c r="AJ625" s="114"/>
      <c r="AK625" s="114"/>
    </row>
    <row r="626" ht="15.75" customHeight="1">
      <c r="A626" s="114"/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  <c r="AA626" s="114"/>
      <c r="AB626" s="114"/>
      <c r="AC626" s="114"/>
      <c r="AD626" s="114"/>
      <c r="AE626" s="114"/>
      <c r="AF626" s="114"/>
      <c r="AG626" s="114"/>
      <c r="AH626" s="114"/>
      <c r="AI626" s="114"/>
      <c r="AJ626" s="114"/>
      <c r="AK626" s="114"/>
    </row>
    <row r="627" ht="15.75" customHeight="1">
      <c r="A627" s="114"/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  <c r="AA627" s="114"/>
      <c r="AB627" s="114"/>
      <c r="AC627" s="114"/>
      <c r="AD627" s="114"/>
      <c r="AE627" s="114"/>
      <c r="AF627" s="114"/>
      <c r="AG627" s="114"/>
      <c r="AH627" s="114"/>
      <c r="AI627" s="114"/>
      <c r="AJ627" s="114"/>
      <c r="AK627" s="114"/>
    </row>
    <row r="628" ht="15.75" customHeight="1">
      <c r="A628" s="114"/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  <c r="AA628" s="114"/>
      <c r="AB628" s="114"/>
      <c r="AC628" s="114"/>
      <c r="AD628" s="114"/>
      <c r="AE628" s="114"/>
      <c r="AF628" s="114"/>
      <c r="AG628" s="114"/>
      <c r="AH628" s="114"/>
      <c r="AI628" s="114"/>
      <c r="AJ628" s="114"/>
      <c r="AK628" s="114"/>
    </row>
    <row r="629" ht="15.75" customHeight="1">
      <c r="A629" s="114"/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  <c r="AA629" s="114"/>
      <c r="AB629" s="114"/>
      <c r="AC629" s="114"/>
      <c r="AD629" s="114"/>
      <c r="AE629" s="114"/>
      <c r="AF629" s="114"/>
      <c r="AG629" s="114"/>
      <c r="AH629" s="114"/>
      <c r="AI629" s="114"/>
      <c r="AJ629" s="114"/>
      <c r="AK629" s="114"/>
    </row>
    <row r="630" ht="15.75" customHeight="1">
      <c r="A630" s="114"/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  <c r="AA630" s="114"/>
      <c r="AB630" s="114"/>
      <c r="AC630" s="114"/>
      <c r="AD630" s="114"/>
      <c r="AE630" s="114"/>
      <c r="AF630" s="114"/>
      <c r="AG630" s="114"/>
      <c r="AH630" s="114"/>
      <c r="AI630" s="114"/>
      <c r="AJ630" s="114"/>
      <c r="AK630" s="114"/>
    </row>
    <row r="631" ht="15.75" customHeight="1">
      <c r="A631" s="114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  <c r="AA631" s="114"/>
      <c r="AB631" s="114"/>
      <c r="AC631" s="114"/>
      <c r="AD631" s="114"/>
      <c r="AE631" s="114"/>
      <c r="AF631" s="114"/>
      <c r="AG631" s="114"/>
      <c r="AH631" s="114"/>
      <c r="AI631" s="114"/>
      <c r="AJ631" s="114"/>
      <c r="AK631" s="114"/>
    </row>
    <row r="632" ht="15.75" customHeight="1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  <c r="AA632" s="114"/>
      <c r="AB632" s="114"/>
      <c r="AC632" s="114"/>
      <c r="AD632" s="114"/>
      <c r="AE632" s="114"/>
      <c r="AF632" s="114"/>
      <c r="AG632" s="114"/>
      <c r="AH632" s="114"/>
      <c r="AI632" s="114"/>
      <c r="AJ632" s="114"/>
      <c r="AK632" s="114"/>
    </row>
    <row r="633" ht="15.75" customHeight="1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  <c r="AA633" s="114"/>
      <c r="AB633" s="114"/>
      <c r="AC633" s="114"/>
      <c r="AD633" s="114"/>
      <c r="AE633" s="114"/>
      <c r="AF633" s="114"/>
      <c r="AG633" s="114"/>
      <c r="AH633" s="114"/>
      <c r="AI633" s="114"/>
      <c r="AJ633" s="114"/>
      <c r="AK633" s="114"/>
    </row>
    <row r="634" ht="15.75" customHeight="1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  <c r="AA634" s="114"/>
      <c r="AB634" s="114"/>
      <c r="AC634" s="114"/>
      <c r="AD634" s="114"/>
      <c r="AE634" s="114"/>
      <c r="AF634" s="114"/>
      <c r="AG634" s="114"/>
      <c r="AH634" s="114"/>
      <c r="AI634" s="114"/>
      <c r="AJ634" s="114"/>
      <c r="AK634" s="114"/>
    </row>
    <row r="635" ht="15.75" customHeight="1">
      <c r="A635" s="114"/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  <c r="AA635" s="114"/>
      <c r="AB635" s="114"/>
      <c r="AC635" s="114"/>
      <c r="AD635" s="114"/>
      <c r="AE635" s="114"/>
      <c r="AF635" s="114"/>
      <c r="AG635" s="114"/>
      <c r="AH635" s="114"/>
      <c r="AI635" s="114"/>
      <c r="AJ635" s="114"/>
      <c r="AK635" s="114"/>
    </row>
    <row r="636" ht="15.75" customHeight="1">
      <c r="A636" s="114"/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  <c r="AA636" s="114"/>
      <c r="AB636" s="114"/>
      <c r="AC636" s="114"/>
      <c r="AD636" s="114"/>
      <c r="AE636" s="114"/>
      <c r="AF636" s="114"/>
      <c r="AG636" s="114"/>
      <c r="AH636" s="114"/>
      <c r="AI636" s="114"/>
      <c r="AJ636" s="114"/>
      <c r="AK636" s="114"/>
    </row>
    <row r="637" ht="15.75" customHeight="1">
      <c r="A637" s="114"/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  <c r="AA637" s="114"/>
      <c r="AB637" s="114"/>
      <c r="AC637" s="114"/>
      <c r="AD637" s="114"/>
      <c r="AE637" s="114"/>
      <c r="AF637" s="114"/>
      <c r="AG637" s="114"/>
      <c r="AH637" s="114"/>
      <c r="AI637" s="114"/>
      <c r="AJ637" s="114"/>
      <c r="AK637" s="114"/>
    </row>
    <row r="638" ht="15.75" customHeight="1">
      <c r="A638" s="114"/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  <c r="AA638" s="114"/>
      <c r="AB638" s="114"/>
      <c r="AC638" s="114"/>
      <c r="AD638" s="114"/>
      <c r="AE638" s="114"/>
      <c r="AF638" s="114"/>
      <c r="AG638" s="114"/>
      <c r="AH638" s="114"/>
      <c r="AI638" s="114"/>
      <c r="AJ638" s="114"/>
      <c r="AK638" s="114"/>
    </row>
    <row r="639" ht="15.75" customHeight="1">
      <c r="A639" s="114"/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  <c r="AA639" s="114"/>
      <c r="AB639" s="114"/>
      <c r="AC639" s="114"/>
      <c r="AD639" s="114"/>
      <c r="AE639" s="114"/>
      <c r="AF639" s="114"/>
      <c r="AG639" s="114"/>
      <c r="AH639" s="114"/>
      <c r="AI639" s="114"/>
      <c r="AJ639" s="114"/>
      <c r="AK639" s="114"/>
    </row>
    <row r="640" ht="15.75" customHeight="1">
      <c r="A640" s="114"/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  <c r="AA640" s="114"/>
      <c r="AB640" s="114"/>
      <c r="AC640" s="114"/>
      <c r="AD640" s="114"/>
      <c r="AE640" s="114"/>
      <c r="AF640" s="114"/>
      <c r="AG640" s="114"/>
      <c r="AH640" s="114"/>
      <c r="AI640" s="114"/>
      <c r="AJ640" s="114"/>
      <c r="AK640" s="114"/>
    </row>
    <row r="641" ht="15.75" customHeight="1">
      <c r="A641" s="114"/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  <c r="AA641" s="114"/>
      <c r="AB641" s="114"/>
      <c r="AC641" s="114"/>
      <c r="AD641" s="114"/>
      <c r="AE641" s="114"/>
      <c r="AF641" s="114"/>
      <c r="AG641" s="114"/>
      <c r="AH641" s="114"/>
      <c r="AI641" s="114"/>
      <c r="AJ641" s="114"/>
      <c r="AK641" s="114"/>
    </row>
    <row r="642" ht="15.75" customHeight="1">
      <c r="A642" s="114"/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  <c r="AA642" s="114"/>
      <c r="AB642" s="114"/>
      <c r="AC642" s="114"/>
      <c r="AD642" s="114"/>
      <c r="AE642" s="114"/>
      <c r="AF642" s="114"/>
      <c r="AG642" s="114"/>
      <c r="AH642" s="114"/>
      <c r="AI642" s="114"/>
      <c r="AJ642" s="114"/>
      <c r="AK642" s="114"/>
    </row>
    <row r="643" ht="15.75" customHeight="1">
      <c r="A643" s="114"/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  <c r="AA643" s="114"/>
      <c r="AB643" s="114"/>
      <c r="AC643" s="114"/>
      <c r="AD643" s="114"/>
      <c r="AE643" s="114"/>
      <c r="AF643" s="114"/>
      <c r="AG643" s="114"/>
      <c r="AH643" s="114"/>
      <c r="AI643" s="114"/>
      <c r="AJ643" s="114"/>
      <c r="AK643" s="114"/>
    </row>
    <row r="644" ht="15.75" customHeight="1">
      <c r="A644" s="114"/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  <c r="AA644" s="114"/>
      <c r="AB644" s="114"/>
      <c r="AC644" s="114"/>
      <c r="AD644" s="114"/>
      <c r="AE644" s="114"/>
      <c r="AF644" s="114"/>
      <c r="AG644" s="114"/>
      <c r="AH644" s="114"/>
      <c r="AI644" s="114"/>
      <c r="AJ644" s="114"/>
      <c r="AK644" s="114"/>
    </row>
    <row r="645" ht="15.75" customHeight="1">
      <c r="A645" s="114"/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  <c r="AA645" s="114"/>
      <c r="AB645" s="114"/>
      <c r="AC645" s="114"/>
      <c r="AD645" s="114"/>
      <c r="AE645" s="114"/>
      <c r="AF645" s="114"/>
      <c r="AG645" s="114"/>
      <c r="AH645" s="114"/>
      <c r="AI645" s="114"/>
      <c r="AJ645" s="114"/>
      <c r="AK645" s="114"/>
    </row>
    <row r="646" ht="15.75" customHeight="1">
      <c r="A646" s="114"/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  <c r="AA646" s="114"/>
      <c r="AB646" s="114"/>
      <c r="AC646" s="114"/>
      <c r="AD646" s="114"/>
      <c r="AE646" s="114"/>
      <c r="AF646" s="114"/>
      <c r="AG646" s="114"/>
      <c r="AH646" s="114"/>
      <c r="AI646" s="114"/>
      <c r="AJ646" s="114"/>
      <c r="AK646" s="114"/>
    </row>
    <row r="647" ht="15.75" customHeight="1">
      <c r="A647" s="114"/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  <c r="AA647" s="114"/>
      <c r="AB647" s="114"/>
      <c r="AC647" s="114"/>
      <c r="AD647" s="114"/>
      <c r="AE647" s="114"/>
      <c r="AF647" s="114"/>
      <c r="AG647" s="114"/>
      <c r="AH647" s="114"/>
      <c r="AI647" s="114"/>
      <c r="AJ647" s="114"/>
      <c r="AK647" s="114"/>
    </row>
    <row r="648" ht="15.75" customHeight="1">
      <c r="A648" s="114"/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  <c r="AA648" s="114"/>
      <c r="AB648" s="114"/>
      <c r="AC648" s="114"/>
      <c r="AD648" s="114"/>
      <c r="AE648" s="114"/>
      <c r="AF648" s="114"/>
      <c r="AG648" s="114"/>
      <c r="AH648" s="114"/>
      <c r="AI648" s="114"/>
      <c r="AJ648" s="114"/>
      <c r="AK648" s="114"/>
    </row>
    <row r="649" ht="15.75" customHeight="1">
      <c r="A649" s="114"/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  <c r="AA649" s="114"/>
      <c r="AB649" s="114"/>
      <c r="AC649" s="114"/>
      <c r="AD649" s="114"/>
      <c r="AE649" s="114"/>
      <c r="AF649" s="114"/>
      <c r="AG649" s="114"/>
      <c r="AH649" s="114"/>
      <c r="AI649" s="114"/>
      <c r="AJ649" s="114"/>
      <c r="AK649" s="114"/>
    </row>
    <row r="650" ht="15.75" customHeight="1">
      <c r="A650" s="114"/>
      <c r="B650" s="114"/>
      <c r="C650" s="114"/>
      <c r="D650" s="114"/>
      <c r="E650" s="114"/>
      <c r="F650" s="114"/>
      <c r="G650" s="114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  <c r="AA650" s="114"/>
      <c r="AB650" s="114"/>
      <c r="AC650" s="114"/>
      <c r="AD650" s="114"/>
      <c r="AE650" s="114"/>
      <c r="AF650" s="114"/>
      <c r="AG650" s="114"/>
      <c r="AH650" s="114"/>
      <c r="AI650" s="114"/>
      <c r="AJ650" s="114"/>
      <c r="AK650" s="114"/>
    </row>
    <row r="651" ht="15.75" customHeight="1">
      <c r="A651" s="114"/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  <c r="AA651" s="114"/>
      <c r="AB651" s="114"/>
      <c r="AC651" s="114"/>
      <c r="AD651" s="114"/>
      <c r="AE651" s="114"/>
      <c r="AF651" s="114"/>
      <c r="AG651" s="114"/>
      <c r="AH651" s="114"/>
      <c r="AI651" s="114"/>
      <c r="AJ651" s="114"/>
      <c r="AK651" s="114"/>
    </row>
    <row r="652" ht="15.75" customHeight="1">
      <c r="A652" s="114"/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  <c r="AA652" s="114"/>
      <c r="AB652" s="114"/>
      <c r="AC652" s="114"/>
      <c r="AD652" s="114"/>
      <c r="AE652" s="114"/>
      <c r="AF652" s="114"/>
      <c r="AG652" s="114"/>
      <c r="AH652" s="114"/>
      <c r="AI652" s="114"/>
      <c r="AJ652" s="114"/>
      <c r="AK652" s="114"/>
    </row>
    <row r="653" ht="15.75" customHeight="1">
      <c r="A653" s="114"/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  <c r="AA653" s="114"/>
      <c r="AB653" s="114"/>
      <c r="AC653" s="114"/>
      <c r="AD653" s="114"/>
      <c r="AE653" s="114"/>
      <c r="AF653" s="114"/>
      <c r="AG653" s="114"/>
      <c r="AH653" s="114"/>
      <c r="AI653" s="114"/>
      <c r="AJ653" s="114"/>
      <c r="AK653" s="114"/>
    </row>
    <row r="654" ht="15.75" customHeight="1">
      <c r="A654" s="114"/>
      <c r="B654" s="114"/>
      <c r="C654" s="114"/>
      <c r="D654" s="114"/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  <c r="AA654" s="114"/>
      <c r="AB654" s="114"/>
      <c r="AC654" s="114"/>
      <c r="AD654" s="114"/>
      <c r="AE654" s="114"/>
      <c r="AF654" s="114"/>
      <c r="AG654" s="114"/>
      <c r="AH654" s="114"/>
      <c r="AI654" s="114"/>
      <c r="AJ654" s="114"/>
      <c r="AK654" s="114"/>
    </row>
    <row r="655" ht="15.75" customHeight="1">
      <c r="A655" s="114"/>
      <c r="B655" s="114"/>
      <c r="C655" s="114"/>
      <c r="D655" s="114"/>
      <c r="E655" s="114"/>
      <c r="F655" s="114"/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  <c r="AA655" s="114"/>
      <c r="AB655" s="114"/>
      <c r="AC655" s="114"/>
      <c r="AD655" s="114"/>
      <c r="AE655" s="114"/>
      <c r="AF655" s="114"/>
      <c r="AG655" s="114"/>
      <c r="AH655" s="114"/>
      <c r="AI655" s="114"/>
      <c r="AJ655" s="114"/>
      <c r="AK655" s="114"/>
    </row>
    <row r="656" ht="15.75" customHeight="1">
      <c r="A656" s="114"/>
      <c r="B656" s="114"/>
      <c r="C656" s="114"/>
      <c r="D656" s="114"/>
      <c r="E656" s="114"/>
      <c r="F656" s="114"/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  <c r="AA656" s="114"/>
      <c r="AB656" s="114"/>
      <c r="AC656" s="114"/>
      <c r="AD656" s="114"/>
      <c r="AE656" s="114"/>
      <c r="AF656" s="114"/>
      <c r="AG656" s="114"/>
      <c r="AH656" s="114"/>
      <c r="AI656" s="114"/>
      <c r="AJ656" s="114"/>
      <c r="AK656" s="114"/>
    </row>
    <row r="657" ht="15.75" customHeight="1">
      <c r="A657" s="114"/>
      <c r="B657" s="114"/>
      <c r="C657" s="114"/>
      <c r="D657" s="114"/>
      <c r="E657" s="114"/>
      <c r="F657" s="114"/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  <c r="AA657" s="114"/>
      <c r="AB657" s="114"/>
      <c r="AC657" s="114"/>
      <c r="AD657" s="114"/>
      <c r="AE657" s="114"/>
      <c r="AF657" s="114"/>
      <c r="AG657" s="114"/>
      <c r="AH657" s="114"/>
      <c r="AI657" s="114"/>
      <c r="AJ657" s="114"/>
      <c r="AK657" s="114"/>
    </row>
    <row r="658" ht="15.75" customHeight="1">
      <c r="A658" s="114"/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  <c r="AA658" s="114"/>
      <c r="AB658" s="114"/>
      <c r="AC658" s="114"/>
      <c r="AD658" s="114"/>
      <c r="AE658" s="114"/>
      <c r="AF658" s="114"/>
      <c r="AG658" s="114"/>
      <c r="AH658" s="114"/>
      <c r="AI658" s="114"/>
      <c r="AJ658" s="114"/>
      <c r="AK658" s="114"/>
    </row>
    <row r="659" ht="15.75" customHeight="1">
      <c r="A659" s="114"/>
      <c r="B659" s="114"/>
      <c r="C659" s="114"/>
      <c r="D659" s="114"/>
      <c r="E659" s="114"/>
      <c r="F659" s="114"/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  <c r="AA659" s="114"/>
      <c r="AB659" s="114"/>
      <c r="AC659" s="114"/>
      <c r="AD659" s="114"/>
      <c r="AE659" s="114"/>
      <c r="AF659" s="114"/>
      <c r="AG659" s="114"/>
      <c r="AH659" s="114"/>
      <c r="AI659" s="114"/>
      <c r="AJ659" s="114"/>
      <c r="AK659" s="114"/>
    </row>
    <row r="660" ht="15.75" customHeight="1">
      <c r="A660" s="114"/>
      <c r="B660" s="114"/>
      <c r="C660" s="114"/>
      <c r="D660" s="114"/>
      <c r="E660" s="114"/>
      <c r="F660" s="114"/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  <c r="AA660" s="114"/>
      <c r="AB660" s="114"/>
      <c r="AC660" s="114"/>
      <c r="AD660" s="114"/>
      <c r="AE660" s="114"/>
      <c r="AF660" s="114"/>
      <c r="AG660" s="114"/>
      <c r="AH660" s="114"/>
      <c r="AI660" s="114"/>
      <c r="AJ660" s="114"/>
      <c r="AK660" s="114"/>
    </row>
    <row r="661" ht="15.75" customHeight="1">
      <c r="A661" s="114"/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  <c r="AA661" s="114"/>
      <c r="AB661" s="114"/>
      <c r="AC661" s="114"/>
      <c r="AD661" s="114"/>
      <c r="AE661" s="114"/>
      <c r="AF661" s="114"/>
      <c r="AG661" s="114"/>
      <c r="AH661" s="114"/>
      <c r="AI661" s="114"/>
      <c r="AJ661" s="114"/>
      <c r="AK661" s="114"/>
    </row>
    <row r="662" ht="15.75" customHeight="1">
      <c r="A662" s="114"/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  <c r="AA662" s="114"/>
      <c r="AB662" s="114"/>
      <c r="AC662" s="114"/>
      <c r="AD662" s="114"/>
      <c r="AE662" s="114"/>
      <c r="AF662" s="114"/>
      <c r="AG662" s="114"/>
      <c r="AH662" s="114"/>
      <c r="AI662" s="114"/>
      <c r="AJ662" s="114"/>
      <c r="AK662" s="114"/>
    </row>
    <row r="663" ht="15.75" customHeight="1">
      <c r="A663" s="114"/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  <c r="AA663" s="114"/>
      <c r="AB663" s="114"/>
      <c r="AC663" s="114"/>
      <c r="AD663" s="114"/>
      <c r="AE663" s="114"/>
      <c r="AF663" s="114"/>
      <c r="AG663" s="114"/>
      <c r="AH663" s="114"/>
      <c r="AI663" s="114"/>
      <c r="AJ663" s="114"/>
      <c r="AK663" s="114"/>
    </row>
    <row r="664" ht="15.75" customHeight="1">
      <c r="A664" s="114"/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  <c r="AA664" s="114"/>
      <c r="AB664" s="114"/>
      <c r="AC664" s="114"/>
      <c r="AD664" s="114"/>
      <c r="AE664" s="114"/>
      <c r="AF664" s="114"/>
      <c r="AG664" s="114"/>
      <c r="AH664" s="114"/>
      <c r="AI664" s="114"/>
      <c r="AJ664" s="114"/>
      <c r="AK664" s="114"/>
    </row>
    <row r="665" ht="15.75" customHeight="1">
      <c r="A665" s="114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  <c r="AA665" s="114"/>
      <c r="AB665" s="114"/>
      <c r="AC665" s="114"/>
      <c r="AD665" s="114"/>
      <c r="AE665" s="114"/>
      <c r="AF665" s="114"/>
      <c r="AG665" s="114"/>
      <c r="AH665" s="114"/>
      <c r="AI665" s="114"/>
      <c r="AJ665" s="114"/>
      <c r="AK665" s="114"/>
    </row>
    <row r="666" ht="15.75" customHeight="1">
      <c r="A666" s="114"/>
      <c r="B666" s="114"/>
      <c r="C666" s="114"/>
      <c r="D666" s="114"/>
      <c r="E666" s="114"/>
      <c r="F666" s="114"/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  <c r="AA666" s="114"/>
      <c r="AB666" s="114"/>
      <c r="AC666" s="114"/>
      <c r="AD666" s="114"/>
      <c r="AE666" s="114"/>
      <c r="AF666" s="114"/>
      <c r="AG666" s="114"/>
      <c r="AH666" s="114"/>
      <c r="AI666" s="114"/>
      <c r="AJ666" s="114"/>
      <c r="AK666" s="114"/>
    </row>
    <row r="667" ht="15.75" customHeight="1">
      <c r="A667" s="114"/>
      <c r="B667" s="114"/>
      <c r="C667" s="114"/>
      <c r="D667" s="114"/>
      <c r="E667" s="114"/>
      <c r="F667" s="114"/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  <c r="AA667" s="114"/>
      <c r="AB667" s="114"/>
      <c r="AC667" s="114"/>
      <c r="AD667" s="114"/>
      <c r="AE667" s="114"/>
      <c r="AF667" s="114"/>
      <c r="AG667" s="114"/>
      <c r="AH667" s="114"/>
      <c r="AI667" s="114"/>
      <c r="AJ667" s="114"/>
      <c r="AK667" s="114"/>
    </row>
    <row r="668" ht="15.75" customHeight="1">
      <c r="A668" s="114"/>
      <c r="B668" s="114"/>
      <c r="C668" s="114"/>
      <c r="D668" s="114"/>
      <c r="E668" s="114"/>
      <c r="F668" s="114"/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  <c r="AA668" s="114"/>
      <c r="AB668" s="114"/>
      <c r="AC668" s="114"/>
      <c r="AD668" s="114"/>
      <c r="AE668" s="114"/>
      <c r="AF668" s="114"/>
      <c r="AG668" s="114"/>
      <c r="AH668" s="114"/>
      <c r="AI668" s="114"/>
      <c r="AJ668" s="114"/>
      <c r="AK668" s="114"/>
    </row>
    <row r="669" ht="15.75" customHeight="1">
      <c r="A669" s="114"/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  <c r="AA669" s="114"/>
      <c r="AB669" s="114"/>
      <c r="AC669" s="114"/>
      <c r="AD669" s="114"/>
      <c r="AE669" s="114"/>
      <c r="AF669" s="114"/>
      <c r="AG669" s="114"/>
      <c r="AH669" s="114"/>
      <c r="AI669" s="114"/>
      <c r="AJ669" s="114"/>
      <c r="AK669" s="114"/>
    </row>
    <row r="670" ht="15.75" customHeight="1">
      <c r="A670" s="114"/>
      <c r="B670" s="114"/>
      <c r="C670" s="114"/>
      <c r="D670" s="114"/>
      <c r="E670" s="114"/>
      <c r="F670" s="114"/>
      <c r="G670" s="114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  <c r="AA670" s="114"/>
      <c r="AB670" s="114"/>
      <c r="AC670" s="114"/>
      <c r="AD670" s="114"/>
      <c r="AE670" s="114"/>
      <c r="AF670" s="114"/>
      <c r="AG670" s="114"/>
      <c r="AH670" s="114"/>
      <c r="AI670" s="114"/>
      <c r="AJ670" s="114"/>
      <c r="AK670" s="114"/>
    </row>
    <row r="671" ht="15.75" customHeight="1">
      <c r="A671" s="114"/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4"/>
      <c r="X671" s="114"/>
      <c r="Y671" s="114"/>
      <c r="Z671" s="114"/>
      <c r="AA671" s="114"/>
      <c r="AB671" s="114"/>
      <c r="AC671" s="114"/>
      <c r="AD671" s="114"/>
      <c r="AE671" s="114"/>
      <c r="AF671" s="114"/>
      <c r="AG671" s="114"/>
      <c r="AH671" s="114"/>
      <c r="AI671" s="114"/>
      <c r="AJ671" s="114"/>
      <c r="AK671" s="114"/>
    </row>
    <row r="672" ht="15.75" customHeight="1">
      <c r="A672" s="114"/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  <c r="AA672" s="114"/>
      <c r="AB672" s="114"/>
      <c r="AC672" s="114"/>
      <c r="AD672" s="114"/>
      <c r="AE672" s="114"/>
      <c r="AF672" s="114"/>
      <c r="AG672" s="114"/>
      <c r="AH672" s="114"/>
      <c r="AI672" s="114"/>
      <c r="AJ672" s="114"/>
      <c r="AK672" s="114"/>
    </row>
    <row r="673" ht="15.75" customHeight="1">
      <c r="A673" s="114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  <c r="AA673" s="114"/>
      <c r="AB673" s="114"/>
      <c r="AC673" s="114"/>
      <c r="AD673" s="114"/>
      <c r="AE673" s="114"/>
      <c r="AF673" s="114"/>
      <c r="AG673" s="114"/>
      <c r="AH673" s="114"/>
      <c r="AI673" s="114"/>
      <c r="AJ673" s="114"/>
      <c r="AK673" s="114"/>
    </row>
    <row r="674" ht="15.75" customHeight="1">
      <c r="A674" s="114"/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  <c r="AA674" s="114"/>
      <c r="AB674" s="114"/>
      <c r="AC674" s="114"/>
      <c r="AD674" s="114"/>
      <c r="AE674" s="114"/>
      <c r="AF674" s="114"/>
      <c r="AG674" s="114"/>
      <c r="AH674" s="114"/>
      <c r="AI674" s="114"/>
      <c r="AJ674" s="114"/>
      <c r="AK674" s="114"/>
    </row>
    <row r="675" ht="15.75" customHeight="1">
      <c r="A675" s="114"/>
      <c r="B675" s="114"/>
      <c r="C675" s="114"/>
      <c r="D675" s="114"/>
      <c r="E675" s="114"/>
      <c r="F675" s="114"/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  <c r="AA675" s="114"/>
      <c r="AB675" s="114"/>
      <c r="AC675" s="114"/>
      <c r="AD675" s="114"/>
      <c r="AE675" s="114"/>
      <c r="AF675" s="114"/>
      <c r="AG675" s="114"/>
      <c r="AH675" s="114"/>
      <c r="AI675" s="114"/>
      <c r="AJ675" s="114"/>
      <c r="AK675" s="114"/>
    </row>
    <row r="676" ht="15.75" customHeight="1">
      <c r="A676" s="114"/>
      <c r="B676" s="114"/>
      <c r="C676" s="114"/>
      <c r="D676" s="114"/>
      <c r="E676" s="114"/>
      <c r="F676" s="114"/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  <c r="AA676" s="114"/>
      <c r="AB676" s="114"/>
      <c r="AC676" s="114"/>
      <c r="AD676" s="114"/>
      <c r="AE676" s="114"/>
      <c r="AF676" s="114"/>
      <c r="AG676" s="114"/>
      <c r="AH676" s="114"/>
      <c r="AI676" s="114"/>
      <c r="AJ676" s="114"/>
      <c r="AK676" s="114"/>
    </row>
    <row r="677" ht="15.75" customHeight="1">
      <c r="A677" s="114"/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  <c r="AA677" s="114"/>
      <c r="AB677" s="114"/>
      <c r="AC677" s="114"/>
      <c r="AD677" s="114"/>
      <c r="AE677" s="114"/>
      <c r="AF677" s="114"/>
      <c r="AG677" s="114"/>
      <c r="AH677" s="114"/>
      <c r="AI677" s="114"/>
      <c r="AJ677" s="114"/>
      <c r="AK677" s="114"/>
    </row>
    <row r="678" ht="15.75" customHeight="1">
      <c r="A678" s="114"/>
      <c r="B678" s="114"/>
      <c r="C678" s="114"/>
      <c r="D678" s="114"/>
      <c r="E678" s="114"/>
      <c r="F678" s="114"/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  <c r="AA678" s="114"/>
      <c r="AB678" s="114"/>
      <c r="AC678" s="114"/>
      <c r="AD678" s="114"/>
      <c r="AE678" s="114"/>
      <c r="AF678" s="114"/>
      <c r="AG678" s="114"/>
      <c r="AH678" s="114"/>
      <c r="AI678" s="114"/>
      <c r="AJ678" s="114"/>
      <c r="AK678" s="114"/>
    </row>
    <row r="679" ht="15.75" customHeight="1">
      <c r="A679" s="114"/>
      <c r="B679" s="114"/>
      <c r="C679" s="114"/>
      <c r="D679" s="114"/>
      <c r="E679" s="114"/>
      <c r="F679" s="114"/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  <c r="AA679" s="114"/>
      <c r="AB679" s="114"/>
      <c r="AC679" s="114"/>
      <c r="AD679" s="114"/>
      <c r="AE679" s="114"/>
      <c r="AF679" s="114"/>
      <c r="AG679" s="114"/>
      <c r="AH679" s="114"/>
      <c r="AI679" s="114"/>
      <c r="AJ679" s="114"/>
      <c r="AK679" s="114"/>
    </row>
    <row r="680" ht="15.75" customHeight="1">
      <c r="A680" s="114"/>
      <c r="B680" s="114"/>
      <c r="C680" s="114"/>
      <c r="D680" s="114"/>
      <c r="E680" s="114"/>
      <c r="F680" s="114"/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  <c r="AA680" s="114"/>
      <c r="AB680" s="114"/>
      <c r="AC680" s="114"/>
      <c r="AD680" s="114"/>
      <c r="AE680" s="114"/>
      <c r="AF680" s="114"/>
      <c r="AG680" s="114"/>
      <c r="AH680" s="114"/>
      <c r="AI680" s="114"/>
      <c r="AJ680" s="114"/>
      <c r="AK680" s="114"/>
    </row>
    <row r="681" ht="15.75" customHeight="1">
      <c r="A681" s="114"/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  <c r="AA681" s="114"/>
      <c r="AB681" s="114"/>
      <c r="AC681" s="114"/>
      <c r="AD681" s="114"/>
      <c r="AE681" s="114"/>
      <c r="AF681" s="114"/>
      <c r="AG681" s="114"/>
      <c r="AH681" s="114"/>
      <c r="AI681" s="114"/>
      <c r="AJ681" s="114"/>
      <c r="AK681" s="114"/>
    </row>
    <row r="682" ht="15.75" customHeight="1">
      <c r="A682" s="114"/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  <c r="AA682" s="114"/>
      <c r="AB682" s="114"/>
      <c r="AC682" s="114"/>
      <c r="AD682" s="114"/>
      <c r="AE682" s="114"/>
      <c r="AF682" s="114"/>
      <c r="AG682" s="114"/>
      <c r="AH682" s="114"/>
      <c r="AI682" s="114"/>
      <c r="AJ682" s="114"/>
      <c r="AK682" s="114"/>
    </row>
    <row r="683" ht="15.75" customHeight="1">
      <c r="A683" s="114"/>
      <c r="B683" s="114"/>
      <c r="C683" s="114"/>
      <c r="D683" s="114"/>
      <c r="E683" s="114"/>
      <c r="F683" s="114"/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  <c r="AA683" s="114"/>
      <c r="AB683" s="114"/>
      <c r="AC683" s="114"/>
      <c r="AD683" s="114"/>
      <c r="AE683" s="114"/>
      <c r="AF683" s="114"/>
      <c r="AG683" s="114"/>
      <c r="AH683" s="114"/>
      <c r="AI683" s="114"/>
      <c r="AJ683" s="114"/>
      <c r="AK683" s="114"/>
    </row>
    <row r="684" ht="15.75" customHeight="1">
      <c r="A684" s="114"/>
      <c r="B684" s="114"/>
      <c r="C684" s="114"/>
      <c r="D684" s="114"/>
      <c r="E684" s="114"/>
      <c r="F684" s="114"/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  <c r="AA684" s="114"/>
      <c r="AB684" s="114"/>
      <c r="AC684" s="114"/>
      <c r="AD684" s="114"/>
      <c r="AE684" s="114"/>
      <c r="AF684" s="114"/>
      <c r="AG684" s="114"/>
      <c r="AH684" s="114"/>
      <c r="AI684" s="114"/>
      <c r="AJ684" s="114"/>
      <c r="AK684" s="114"/>
    </row>
    <row r="685" ht="15.75" customHeight="1">
      <c r="A685" s="114"/>
      <c r="B685" s="114"/>
      <c r="C685" s="114"/>
      <c r="D685" s="114"/>
      <c r="E685" s="114"/>
      <c r="F685" s="114"/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  <c r="AA685" s="114"/>
      <c r="AB685" s="114"/>
      <c r="AC685" s="114"/>
      <c r="AD685" s="114"/>
      <c r="AE685" s="114"/>
      <c r="AF685" s="114"/>
      <c r="AG685" s="114"/>
      <c r="AH685" s="114"/>
      <c r="AI685" s="114"/>
      <c r="AJ685" s="114"/>
      <c r="AK685" s="114"/>
    </row>
    <row r="686" ht="15.75" customHeight="1">
      <c r="A686" s="114"/>
      <c r="B686" s="114"/>
      <c r="C686" s="114"/>
      <c r="D686" s="114"/>
      <c r="E686" s="114"/>
      <c r="F686" s="114"/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  <c r="AA686" s="114"/>
      <c r="AB686" s="114"/>
      <c r="AC686" s="114"/>
      <c r="AD686" s="114"/>
      <c r="AE686" s="114"/>
      <c r="AF686" s="114"/>
      <c r="AG686" s="114"/>
      <c r="AH686" s="114"/>
      <c r="AI686" s="114"/>
      <c r="AJ686" s="114"/>
      <c r="AK686" s="114"/>
    </row>
    <row r="687" ht="15.75" customHeight="1">
      <c r="A687" s="114"/>
      <c r="B687" s="114"/>
      <c r="C687" s="114"/>
      <c r="D687" s="114"/>
      <c r="E687" s="114"/>
      <c r="F687" s="114"/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  <c r="AA687" s="114"/>
      <c r="AB687" s="114"/>
      <c r="AC687" s="114"/>
      <c r="AD687" s="114"/>
      <c r="AE687" s="114"/>
      <c r="AF687" s="114"/>
      <c r="AG687" s="114"/>
      <c r="AH687" s="114"/>
      <c r="AI687" s="114"/>
      <c r="AJ687" s="114"/>
      <c r="AK687" s="114"/>
    </row>
    <row r="688" ht="15.75" customHeight="1">
      <c r="A688" s="114"/>
      <c r="B688" s="114"/>
      <c r="C688" s="114"/>
      <c r="D688" s="114"/>
      <c r="E688" s="114"/>
      <c r="F688" s="114"/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  <c r="AA688" s="114"/>
      <c r="AB688" s="114"/>
      <c r="AC688" s="114"/>
      <c r="AD688" s="114"/>
      <c r="AE688" s="114"/>
      <c r="AF688" s="114"/>
      <c r="AG688" s="114"/>
      <c r="AH688" s="114"/>
      <c r="AI688" s="114"/>
      <c r="AJ688" s="114"/>
      <c r="AK688" s="114"/>
    </row>
    <row r="689" ht="15.75" customHeight="1">
      <c r="A689" s="114"/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  <c r="AA689" s="114"/>
      <c r="AB689" s="114"/>
      <c r="AC689" s="114"/>
      <c r="AD689" s="114"/>
      <c r="AE689" s="114"/>
      <c r="AF689" s="114"/>
      <c r="AG689" s="114"/>
      <c r="AH689" s="114"/>
      <c r="AI689" s="114"/>
      <c r="AJ689" s="114"/>
      <c r="AK689" s="114"/>
    </row>
    <row r="690" ht="15.75" customHeight="1">
      <c r="A690" s="114"/>
      <c r="B690" s="114"/>
      <c r="C690" s="114"/>
      <c r="D690" s="114"/>
      <c r="E690" s="114"/>
      <c r="F690" s="114"/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  <c r="AA690" s="114"/>
      <c r="AB690" s="114"/>
      <c r="AC690" s="114"/>
      <c r="AD690" s="114"/>
      <c r="AE690" s="114"/>
      <c r="AF690" s="114"/>
      <c r="AG690" s="114"/>
      <c r="AH690" s="114"/>
      <c r="AI690" s="114"/>
      <c r="AJ690" s="114"/>
      <c r="AK690" s="114"/>
    </row>
    <row r="691" ht="15.75" customHeight="1">
      <c r="A691" s="114"/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  <c r="AA691" s="114"/>
      <c r="AB691" s="114"/>
      <c r="AC691" s="114"/>
      <c r="AD691" s="114"/>
      <c r="AE691" s="114"/>
      <c r="AF691" s="114"/>
      <c r="AG691" s="114"/>
      <c r="AH691" s="114"/>
      <c r="AI691" s="114"/>
      <c r="AJ691" s="114"/>
      <c r="AK691" s="114"/>
    </row>
    <row r="692" ht="15.75" customHeight="1">
      <c r="A692" s="114"/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  <c r="AA692" s="114"/>
      <c r="AB692" s="114"/>
      <c r="AC692" s="114"/>
      <c r="AD692" s="114"/>
      <c r="AE692" s="114"/>
      <c r="AF692" s="114"/>
      <c r="AG692" s="114"/>
      <c r="AH692" s="114"/>
      <c r="AI692" s="114"/>
      <c r="AJ692" s="114"/>
      <c r="AK692" s="114"/>
    </row>
    <row r="693" ht="15.75" customHeight="1">
      <c r="A693" s="114"/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  <c r="AA693" s="114"/>
      <c r="AB693" s="114"/>
      <c r="AC693" s="114"/>
      <c r="AD693" s="114"/>
      <c r="AE693" s="114"/>
      <c r="AF693" s="114"/>
      <c r="AG693" s="114"/>
      <c r="AH693" s="114"/>
      <c r="AI693" s="114"/>
      <c r="AJ693" s="114"/>
      <c r="AK693" s="114"/>
    </row>
    <row r="694" ht="15.75" customHeight="1">
      <c r="A694" s="114"/>
      <c r="B694" s="114"/>
      <c r="C694" s="114"/>
      <c r="D694" s="114"/>
      <c r="E694" s="114"/>
      <c r="F694" s="114"/>
      <c r="G694" s="114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  <c r="AA694" s="114"/>
      <c r="AB694" s="114"/>
      <c r="AC694" s="114"/>
      <c r="AD694" s="114"/>
      <c r="AE694" s="114"/>
      <c r="AF694" s="114"/>
      <c r="AG694" s="114"/>
      <c r="AH694" s="114"/>
      <c r="AI694" s="114"/>
      <c r="AJ694" s="114"/>
      <c r="AK694" s="114"/>
    </row>
    <row r="695" ht="15.75" customHeight="1">
      <c r="A695" s="114"/>
      <c r="B695" s="114"/>
      <c r="C695" s="114"/>
      <c r="D695" s="114"/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  <c r="AA695" s="114"/>
      <c r="AB695" s="114"/>
      <c r="AC695" s="114"/>
      <c r="AD695" s="114"/>
      <c r="AE695" s="114"/>
      <c r="AF695" s="114"/>
      <c r="AG695" s="114"/>
      <c r="AH695" s="114"/>
      <c r="AI695" s="114"/>
      <c r="AJ695" s="114"/>
      <c r="AK695" s="114"/>
    </row>
    <row r="696" ht="15.75" customHeight="1">
      <c r="A696" s="114"/>
      <c r="B696" s="114"/>
      <c r="C696" s="114"/>
      <c r="D696" s="114"/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  <c r="AA696" s="114"/>
      <c r="AB696" s="114"/>
      <c r="AC696" s="114"/>
      <c r="AD696" s="114"/>
      <c r="AE696" s="114"/>
      <c r="AF696" s="114"/>
      <c r="AG696" s="114"/>
      <c r="AH696" s="114"/>
      <c r="AI696" s="114"/>
      <c r="AJ696" s="114"/>
      <c r="AK696" s="114"/>
    </row>
    <row r="697" ht="15.75" customHeight="1">
      <c r="A697" s="114"/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  <c r="AA697" s="114"/>
      <c r="AB697" s="114"/>
      <c r="AC697" s="114"/>
      <c r="AD697" s="114"/>
      <c r="AE697" s="114"/>
      <c r="AF697" s="114"/>
      <c r="AG697" s="114"/>
      <c r="AH697" s="114"/>
      <c r="AI697" s="114"/>
      <c r="AJ697" s="114"/>
      <c r="AK697" s="114"/>
    </row>
    <row r="698" ht="15.75" customHeight="1">
      <c r="A698" s="114"/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  <c r="AA698" s="114"/>
      <c r="AB698" s="114"/>
      <c r="AC698" s="114"/>
      <c r="AD698" s="114"/>
      <c r="AE698" s="114"/>
      <c r="AF698" s="114"/>
      <c r="AG698" s="114"/>
      <c r="AH698" s="114"/>
      <c r="AI698" s="114"/>
      <c r="AJ698" s="114"/>
      <c r="AK698" s="114"/>
    </row>
    <row r="699" ht="15.75" customHeight="1">
      <c r="A699" s="114"/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  <c r="AA699" s="114"/>
      <c r="AB699" s="114"/>
      <c r="AC699" s="114"/>
      <c r="AD699" s="114"/>
      <c r="AE699" s="114"/>
      <c r="AF699" s="114"/>
      <c r="AG699" s="114"/>
      <c r="AH699" s="114"/>
      <c r="AI699" s="114"/>
      <c r="AJ699" s="114"/>
      <c r="AK699" s="114"/>
    </row>
    <row r="700" ht="15.75" customHeight="1">
      <c r="A700" s="114"/>
      <c r="B700" s="114"/>
      <c r="C700" s="114"/>
      <c r="D700" s="114"/>
      <c r="E700" s="114"/>
      <c r="F700" s="114"/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  <c r="AA700" s="114"/>
      <c r="AB700" s="114"/>
      <c r="AC700" s="114"/>
      <c r="AD700" s="114"/>
      <c r="AE700" s="114"/>
      <c r="AF700" s="114"/>
      <c r="AG700" s="114"/>
      <c r="AH700" s="114"/>
      <c r="AI700" s="114"/>
      <c r="AJ700" s="114"/>
      <c r="AK700" s="114"/>
    </row>
    <row r="701" ht="15.75" customHeight="1">
      <c r="A701" s="114"/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  <c r="AA701" s="114"/>
      <c r="AB701" s="114"/>
      <c r="AC701" s="114"/>
      <c r="AD701" s="114"/>
      <c r="AE701" s="114"/>
      <c r="AF701" s="114"/>
      <c r="AG701" s="114"/>
      <c r="AH701" s="114"/>
      <c r="AI701" s="114"/>
      <c r="AJ701" s="114"/>
      <c r="AK701" s="114"/>
    </row>
    <row r="702" ht="15.75" customHeight="1">
      <c r="A702" s="114"/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  <c r="AA702" s="114"/>
      <c r="AB702" s="114"/>
      <c r="AC702" s="114"/>
      <c r="AD702" s="114"/>
      <c r="AE702" s="114"/>
      <c r="AF702" s="114"/>
      <c r="AG702" s="114"/>
      <c r="AH702" s="114"/>
      <c r="AI702" s="114"/>
      <c r="AJ702" s="114"/>
      <c r="AK702" s="114"/>
    </row>
    <row r="703" ht="15.75" customHeight="1">
      <c r="A703" s="114"/>
      <c r="B703" s="114"/>
      <c r="C703" s="114"/>
      <c r="D703" s="114"/>
      <c r="E703" s="114"/>
      <c r="F703" s="114"/>
      <c r="G703" s="114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  <c r="AA703" s="114"/>
      <c r="AB703" s="114"/>
      <c r="AC703" s="114"/>
      <c r="AD703" s="114"/>
      <c r="AE703" s="114"/>
      <c r="AF703" s="114"/>
      <c r="AG703" s="114"/>
      <c r="AH703" s="114"/>
      <c r="AI703" s="114"/>
      <c r="AJ703" s="114"/>
      <c r="AK703" s="114"/>
    </row>
    <row r="704" ht="15.75" customHeight="1">
      <c r="A704" s="114"/>
      <c r="B704" s="114"/>
      <c r="C704" s="114"/>
      <c r="D704" s="114"/>
      <c r="E704" s="114"/>
      <c r="F704" s="114"/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  <c r="AA704" s="114"/>
      <c r="AB704" s="114"/>
      <c r="AC704" s="114"/>
      <c r="AD704" s="114"/>
      <c r="AE704" s="114"/>
      <c r="AF704" s="114"/>
      <c r="AG704" s="114"/>
      <c r="AH704" s="114"/>
      <c r="AI704" s="114"/>
      <c r="AJ704" s="114"/>
      <c r="AK704" s="114"/>
    </row>
    <row r="705" ht="15.75" customHeight="1">
      <c r="A705" s="114"/>
      <c r="B705" s="114"/>
      <c r="C705" s="114"/>
      <c r="D705" s="114"/>
      <c r="E705" s="114"/>
      <c r="F705" s="114"/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  <c r="AA705" s="114"/>
      <c r="AB705" s="114"/>
      <c r="AC705" s="114"/>
      <c r="AD705" s="114"/>
      <c r="AE705" s="114"/>
      <c r="AF705" s="114"/>
      <c r="AG705" s="114"/>
      <c r="AH705" s="114"/>
      <c r="AI705" s="114"/>
      <c r="AJ705" s="114"/>
      <c r="AK705" s="114"/>
    </row>
    <row r="706" ht="15.75" customHeight="1">
      <c r="A706" s="114"/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  <c r="AA706" s="114"/>
      <c r="AB706" s="114"/>
      <c r="AC706" s="114"/>
      <c r="AD706" s="114"/>
      <c r="AE706" s="114"/>
      <c r="AF706" s="114"/>
      <c r="AG706" s="114"/>
      <c r="AH706" s="114"/>
      <c r="AI706" s="114"/>
      <c r="AJ706" s="114"/>
      <c r="AK706" s="114"/>
    </row>
    <row r="707" ht="15.75" customHeight="1">
      <c r="A707" s="114"/>
      <c r="B707" s="114"/>
      <c r="C707" s="114"/>
      <c r="D707" s="114"/>
      <c r="E707" s="114"/>
      <c r="F707" s="114"/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  <c r="AA707" s="114"/>
      <c r="AB707" s="114"/>
      <c r="AC707" s="114"/>
      <c r="AD707" s="114"/>
      <c r="AE707" s="114"/>
      <c r="AF707" s="114"/>
      <c r="AG707" s="114"/>
      <c r="AH707" s="114"/>
      <c r="AI707" s="114"/>
      <c r="AJ707" s="114"/>
      <c r="AK707" s="114"/>
    </row>
    <row r="708" ht="15.75" customHeight="1">
      <c r="A708" s="114"/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  <c r="AA708" s="114"/>
      <c r="AB708" s="114"/>
      <c r="AC708" s="114"/>
      <c r="AD708" s="114"/>
      <c r="AE708" s="114"/>
      <c r="AF708" s="114"/>
      <c r="AG708" s="114"/>
      <c r="AH708" s="114"/>
      <c r="AI708" s="114"/>
      <c r="AJ708" s="114"/>
      <c r="AK708" s="114"/>
    </row>
    <row r="709" ht="15.75" customHeight="1">
      <c r="A709" s="114"/>
      <c r="B709" s="114"/>
      <c r="C709" s="114"/>
      <c r="D709" s="114"/>
      <c r="E709" s="114"/>
      <c r="F709" s="114"/>
      <c r="G709" s="114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  <c r="AA709" s="114"/>
      <c r="AB709" s="114"/>
      <c r="AC709" s="114"/>
      <c r="AD709" s="114"/>
      <c r="AE709" s="114"/>
      <c r="AF709" s="114"/>
      <c r="AG709" s="114"/>
      <c r="AH709" s="114"/>
      <c r="AI709" s="114"/>
      <c r="AJ709" s="114"/>
      <c r="AK709" s="114"/>
    </row>
    <row r="710" ht="15.75" customHeight="1">
      <c r="A710" s="114"/>
      <c r="B710" s="114"/>
      <c r="C710" s="114"/>
      <c r="D710" s="114"/>
      <c r="E710" s="114"/>
      <c r="F710" s="114"/>
      <c r="G710" s="114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  <c r="AA710" s="114"/>
      <c r="AB710" s="114"/>
      <c r="AC710" s="114"/>
      <c r="AD710" s="114"/>
      <c r="AE710" s="114"/>
      <c r="AF710" s="114"/>
      <c r="AG710" s="114"/>
      <c r="AH710" s="114"/>
      <c r="AI710" s="114"/>
      <c r="AJ710" s="114"/>
      <c r="AK710" s="114"/>
    </row>
    <row r="711" ht="15.75" customHeight="1">
      <c r="A711" s="114"/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  <c r="AA711" s="114"/>
      <c r="AB711" s="114"/>
      <c r="AC711" s="114"/>
      <c r="AD711" s="114"/>
      <c r="AE711" s="114"/>
      <c r="AF711" s="114"/>
      <c r="AG711" s="114"/>
      <c r="AH711" s="114"/>
      <c r="AI711" s="114"/>
      <c r="AJ711" s="114"/>
      <c r="AK711" s="114"/>
    </row>
    <row r="712" ht="15.75" customHeight="1">
      <c r="A712" s="114"/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  <c r="AA712" s="114"/>
      <c r="AB712" s="114"/>
      <c r="AC712" s="114"/>
      <c r="AD712" s="114"/>
      <c r="AE712" s="114"/>
      <c r="AF712" s="114"/>
      <c r="AG712" s="114"/>
      <c r="AH712" s="114"/>
      <c r="AI712" s="114"/>
      <c r="AJ712" s="114"/>
      <c r="AK712" s="114"/>
    </row>
    <row r="713" ht="15.75" customHeight="1">
      <c r="A713" s="114"/>
      <c r="B713" s="114"/>
      <c r="C713" s="114"/>
      <c r="D713" s="114"/>
      <c r="E713" s="114"/>
      <c r="F713" s="114"/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  <c r="AA713" s="114"/>
      <c r="AB713" s="114"/>
      <c r="AC713" s="114"/>
      <c r="AD713" s="114"/>
      <c r="AE713" s="114"/>
      <c r="AF713" s="114"/>
      <c r="AG713" s="114"/>
      <c r="AH713" s="114"/>
      <c r="AI713" s="114"/>
      <c r="AJ713" s="114"/>
      <c r="AK713" s="114"/>
    </row>
    <row r="714" ht="15.75" customHeight="1">
      <c r="A714" s="114"/>
      <c r="B714" s="114"/>
      <c r="C714" s="114"/>
      <c r="D714" s="114"/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  <c r="AA714" s="114"/>
      <c r="AB714" s="114"/>
      <c r="AC714" s="114"/>
      <c r="AD714" s="114"/>
      <c r="AE714" s="114"/>
      <c r="AF714" s="114"/>
      <c r="AG714" s="114"/>
      <c r="AH714" s="114"/>
      <c r="AI714" s="114"/>
      <c r="AJ714" s="114"/>
      <c r="AK714" s="114"/>
    </row>
    <row r="715" ht="15.75" customHeight="1">
      <c r="A715" s="114"/>
      <c r="B715" s="114"/>
      <c r="C715" s="114"/>
      <c r="D715" s="114"/>
      <c r="E715" s="114"/>
      <c r="F715" s="114"/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  <c r="AA715" s="114"/>
      <c r="AB715" s="114"/>
      <c r="AC715" s="114"/>
      <c r="AD715" s="114"/>
      <c r="AE715" s="114"/>
      <c r="AF715" s="114"/>
      <c r="AG715" s="114"/>
      <c r="AH715" s="114"/>
      <c r="AI715" s="114"/>
      <c r="AJ715" s="114"/>
      <c r="AK715" s="114"/>
    </row>
    <row r="716" ht="15.75" customHeight="1">
      <c r="A716" s="114"/>
      <c r="B716" s="114"/>
      <c r="C716" s="114"/>
      <c r="D716" s="114"/>
      <c r="E716" s="114"/>
      <c r="F716" s="114"/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  <c r="AA716" s="114"/>
      <c r="AB716" s="114"/>
      <c r="AC716" s="114"/>
      <c r="AD716" s="114"/>
      <c r="AE716" s="114"/>
      <c r="AF716" s="114"/>
      <c r="AG716" s="114"/>
      <c r="AH716" s="114"/>
      <c r="AI716" s="114"/>
      <c r="AJ716" s="114"/>
      <c r="AK716" s="114"/>
    </row>
    <row r="717" ht="15.75" customHeight="1">
      <c r="A717" s="114"/>
      <c r="B717" s="114"/>
      <c r="C717" s="114"/>
      <c r="D717" s="114"/>
      <c r="E717" s="114"/>
      <c r="F717" s="114"/>
      <c r="G717" s="114"/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  <c r="AA717" s="114"/>
      <c r="AB717" s="114"/>
      <c r="AC717" s="114"/>
      <c r="AD717" s="114"/>
      <c r="AE717" s="114"/>
      <c r="AF717" s="114"/>
      <c r="AG717" s="114"/>
      <c r="AH717" s="114"/>
      <c r="AI717" s="114"/>
      <c r="AJ717" s="114"/>
      <c r="AK717" s="114"/>
    </row>
    <row r="718" ht="15.75" customHeight="1">
      <c r="A718" s="114"/>
      <c r="B718" s="114"/>
      <c r="C718" s="114"/>
      <c r="D718" s="114"/>
      <c r="E718" s="114"/>
      <c r="F718" s="114"/>
      <c r="G718" s="114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  <c r="AA718" s="114"/>
      <c r="AB718" s="114"/>
      <c r="AC718" s="114"/>
      <c r="AD718" s="114"/>
      <c r="AE718" s="114"/>
      <c r="AF718" s="114"/>
      <c r="AG718" s="114"/>
      <c r="AH718" s="114"/>
      <c r="AI718" s="114"/>
      <c r="AJ718" s="114"/>
      <c r="AK718" s="114"/>
    </row>
    <row r="719" ht="15.75" customHeight="1">
      <c r="A719" s="114"/>
      <c r="B719" s="114"/>
      <c r="C719" s="114"/>
      <c r="D719" s="114"/>
      <c r="E719" s="114"/>
      <c r="F719" s="114"/>
      <c r="G719" s="114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  <c r="AA719" s="114"/>
      <c r="AB719" s="114"/>
      <c r="AC719" s="114"/>
      <c r="AD719" s="114"/>
      <c r="AE719" s="114"/>
      <c r="AF719" s="114"/>
      <c r="AG719" s="114"/>
      <c r="AH719" s="114"/>
      <c r="AI719" s="114"/>
      <c r="AJ719" s="114"/>
      <c r="AK719" s="114"/>
    </row>
    <row r="720" ht="15.75" customHeight="1">
      <c r="A720" s="114"/>
      <c r="B720" s="114"/>
      <c r="C720" s="114"/>
      <c r="D720" s="114"/>
      <c r="E720" s="114"/>
      <c r="F720" s="114"/>
      <c r="G720" s="114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  <c r="AA720" s="114"/>
      <c r="AB720" s="114"/>
      <c r="AC720" s="114"/>
      <c r="AD720" s="114"/>
      <c r="AE720" s="114"/>
      <c r="AF720" s="114"/>
      <c r="AG720" s="114"/>
      <c r="AH720" s="114"/>
      <c r="AI720" s="114"/>
      <c r="AJ720" s="114"/>
      <c r="AK720" s="114"/>
    </row>
    <row r="721" ht="15.75" customHeight="1">
      <c r="A721" s="114"/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  <c r="AA721" s="114"/>
      <c r="AB721" s="114"/>
      <c r="AC721" s="114"/>
      <c r="AD721" s="114"/>
      <c r="AE721" s="114"/>
      <c r="AF721" s="114"/>
      <c r="AG721" s="114"/>
      <c r="AH721" s="114"/>
      <c r="AI721" s="114"/>
      <c r="AJ721" s="114"/>
      <c r="AK721" s="114"/>
    </row>
    <row r="722" ht="15.75" customHeight="1">
      <c r="A722" s="114"/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  <c r="AA722" s="114"/>
      <c r="AB722" s="114"/>
      <c r="AC722" s="114"/>
      <c r="AD722" s="114"/>
      <c r="AE722" s="114"/>
      <c r="AF722" s="114"/>
      <c r="AG722" s="114"/>
      <c r="AH722" s="114"/>
      <c r="AI722" s="114"/>
      <c r="AJ722" s="114"/>
      <c r="AK722" s="114"/>
    </row>
    <row r="723" ht="15.75" customHeight="1">
      <c r="A723" s="114"/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  <c r="AA723" s="114"/>
      <c r="AB723" s="114"/>
      <c r="AC723" s="114"/>
      <c r="AD723" s="114"/>
      <c r="AE723" s="114"/>
      <c r="AF723" s="114"/>
      <c r="AG723" s="114"/>
      <c r="AH723" s="114"/>
      <c r="AI723" s="114"/>
      <c r="AJ723" s="114"/>
      <c r="AK723" s="114"/>
    </row>
    <row r="724" ht="15.75" customHeight="1">
      <c r="A724" s="114"/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  <c r="AA724" s="114"/>
      <c r="AB724" s="114"/>
      <c r="AC724" s="114"/>
      <c r="AD724" s="114"/>
      <c r="AE724" s="114"/>
      <c r="AF724" s="114"/>
      <c r="AG724" s="114"/>
      <c r="AH724" s="114"/>
      <c r="AI724" s="114"/>
      <c r="AJ724" s="114"/>
      <c r="AK724" s="114"/>
    </row>
    <row r="725" ht="15.75" customHeight="1">
      <c r="A725" s="114"/>
      <c r="B725" s="114"/>
      <c r="C725" s="114"/>
      <c r="D725" s="114"/>
      <c r="E725" s="114"/>
      <c r="F725" s="114"/>
      <c r="G725" s="114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  <c r="AA725" s="114"/>
      <c r="AB725" s="114"/>
      <c r="AC725" s="114"/>
      <c r="AD725" s="114"/>
      <c r="AE725" s="114"/>
      <c r="AF725" s="114"/>
      <c r="AG725" s="114"/>
      <c r="AH725" s="114"/>
      <c r="AI725" s="114"/>
      <c r="AJ725" s="114"/>
      <c r="AK725" s="114"/>
    </row>
    <row r="726" ht="15.75" customHeight="1">
      <c r="A726" s="114"/>
      <c r="B726" s="114"/>
      <c r="C726" s="114"/>
      <c r="D726" s="114"/>
      <c r="E726" s="114"/>
      <c r="F726" s="114"/>
      <c r="G726" s="114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  <c r="AA726" s="114"/>
      <c r="AB726" s="114"/>
      <c r="AC726" s="114"/>
      <c r="AD726" s="114"/>
      <c r="AE726" s="114"/>
      <c r="AF726" s="114"/>
      <c r="AG726" s="114"/>
      <c r="AH726" s="114"/>
      <c r="AI726" s="114"/>
      <c r="AJ726" s="114"/>
      <c r="AK726" s="114"/>
    </row>
    <row r="727" ht="15.75" customHeight="1">
      <c r="A727" s="114"/>
      <c r="B727" s="114"/>
      <c r="C727" s="114"/>
      <c r="D727" s="114"/>
      <c r="E727" s="114"/>
      <c r="F727" s="114"/>
      <c r="G727" s="114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  <c r="AA727" s="114"/>
      <c r="AB727" s="114"/>
      <c r="AC727" s="114"/>
      <c r="AD727" s="114"/>
      <c r="AE727" s="114"/>
      <c r="AF727" s="114"/>
      <c r="AG727" s="114"/>
      <c r="AH727" s="114"/>
      <c r="AI727" s="114"/>
      <c r="AJ727" s="114"/>
      <c r="AK727" s="114"/>
    </row>
    <row r="728" ht="15.75" customHeight="1">
      <c r="A728" s="114"/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4"/>
      <c r="V728" s="114"/>
      <c r="W728" s="114"/>
      <c r="X728" s="114"/>
      <c r="Y728" s="114"/>
      <c r="Z728" s="114"/>
      <c r="AA728" s="114"/>
      <c r="AB728" s="114"/>
      <c r="AC728" s="114"/>
      <c r="AD728" s="114"/>
      <c r="AE728" s="114"/>
      <c r="AF728" s="114"/>
      <c r="AG728" s="114"/>
      <c r="AH728" s="114"/>
      <c r="AI728" s="114"/>
      <c r="AJ728" s="114"/>
      <c r="AK728" s="114"/>
    </row>
    <row r="729" ht="15.75" customHeight="1">
      <c r="A729" s="114"/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  <c r="AA729" s="114"/>
      <c r="AB729" s="114"/>
      <c r="AC729" s="114"/>
      <c r="AD729" s="114"/>
      <c r="AE729" s="114"/>
      <c r="AF729" s="114"/>
      <c r="AG729" s="114"/>
      <c r="AH729" s="114"/>
      <c r="AI729" s="114"/>
      <c r="AJ729" s="114"/>
      <c r="AK729" s="114"/>
    </row>
    <row r="730" ht="15.75" customHeight="1">
      <c r="A730" s="114"/>
      <c r="B730" s="114"/>
      <c r="C730" s="114"/>
      <c r="D730" s="114"/>
      <c r="E730" s="114"/>
      <c r="F730" s="114"/>
      <c r="G730" s="114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4"/>
      <c r="V730" s="114"/>
      <c r="W730" s="114"/>
      <c r="X730" s="114"/>
      <c r="Y730" s="114"/>
      <c r="Z730" s="114"/>
      <c r="AA730" s="114"/>
      <c r="AB730" s="114"/>
      <c r="AC730" s="114"/>
      <c r="AD730" s="114"/>
      <c r="AE730" s="114"/>
      <c r="AF730" s="114"/>
      <c r="AG730" s="114"/>
      <c r="AH730" s="114"/>
      <c r="AI730" s="114"/>
      <c r="AJ730" s="114"/>
      <c r="AK730" s="114"/>
    </row>
    <row r="731" ht="15.75" customHeight="1">
      <c r="A731" s="114"/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4"/>
      <c r="X731" s="114"/>
      <c r="Y731" s="114"/>
      <c r="Z731" s="114"/>
      <c r="AA731" s="114"/>
      <c r="AB731" s="114"/>
      <c r="AC731" s="114"/>
      <c r="AD731" s="114"/>
      <c r="AE731" s="114"/>
      <c r="AF731" s="114"/>
      <c r="AG731" s="114"/>
      <c r="AH731" s="114"/>
      <c r="AI731" s="114"/>
      <c r="AJ731" s="114"/>
      <c r="AK731" s="114"/>
    </row>
    <row r="732" ht="15.75" customHeight="1">
      <c r="A732" s="114"/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  <c r="AA732" s="114"/>
      <c r="AB732" s="114"/>
      <c r="AC732" s="114"/>
      <c r="AD732" s="114"/>
      <c r="AE732" s="114"/>
      <c r="AF732" s="114"/>
      <c r="AG732" s="114"/>
      <c r="AH732" s="114"/>
      <c r="AI732" s="114"/>
      <c r="AJ732" s="114"/>
      <c r="AK732" s="114"/>
    </row>
    <row r="733" ht="15.75" customHeight="1">
      <c r="A733" s="114"/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  <c r="AA733" s="114"/>
      <c r="AB733" s="114"/>
      <c r="AC733" s="114"/>
      <c r="AD733" s="114"/>
      <c r="AE733" s="114"/>
      <c r="AF733" s="114"/>
      <c r="AG733" s="114"/>
      <c r="AH733" s="114"/>
      <c r="AI733" s="114"/>
      <c r="AJ733" s="114"/>
      <c r="AK733" s="114"/>
    </row>
    <row r="734" ht="15.75" customHeight="1">
      <c r="A734" s="114"/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  <c r="AA734" s="114"/>
      <c r="AB734" s="114"/>
      <c r="AC734" s="114"/>
      <c r="AD734" s="114"/>
      <c r="AE734" s="114"/>
      <c r="AF734" s="114"/>
      <c r="AG734" s="114"/>
      <c r="AH734" s="114"/>
      <c r="AI734" s="114"/>
      <c r="AJ734" s="114"/>
      <c r="AK734" s="114"/>
    </row>
    <row r="735" ht="15.75" customHeight="1">
      <c r="A735" s="114"/>
      <c r="B735" s="114"/>
      <c r="C735" s="114"/>
      <c r="D735" s="114"/>
      <c r="E735" s="114"/>
      <c r="F735" s="114"/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  <c r="AA735" s="114"/>
      <c r="AB735" s="114"/>
      <c r="AC735" s="114"/>
      <c r="AD735" s="114"/>
      <c r="AE735" s="114"/>
      <c r="AF735" s="114"/>
      <c r="AG735" s="114"/>
      <c r="AH735" s="114"/>
      <c r="AI735" s="114"/>
      <c r="AJ735" s="114"/>
      <c r="AK735" s="114"/>
    </row>
    <row r="736" ht="15.75" customHeight="1">
      <c r="A736" s="114"/>
      <c r="B736" s="114"/>
      <c r="C736" s="114"/>
      <c r="D736" s="114"/>
      <c r="E736" s="114"/>
      <c r="F736" s="114"/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  <c r="AA736" s="114"/>
      <c r="AB736" s="114"/>
      <c r="AC736" s="114"/>
      <c r="AD736" s="114"/>
      <c r="AE736" s="114"/>
      <c r="AF736" s="114"/>
      <c r="AG736" s="114"/>
      <c r="AH736" s="114"/>
      <c r="AI736" s="114"/>
      <c r="AJ736" s="114"/>
      <c r="AK736" s="114"/>
    </row>
    <row r="737" ht="15.75" customHeight="1">
      <c r="A737" s="114"/>
      <c r="B737" s="114"/>
      <c r="C737" s="114"/>
      <c r="D737" s="114"/>
      <c r="E737" s="114"/>
      <c r="F737" s="114"/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  <c r="AA737" s="114"/>
      <c r="AB737" s="114"/>
      <c r="AC737" s="114"/>
      <c r="AD737" s="114"/>
      <c r="AE737" s="114"/>
      <c r="AF737" s="114"/>
      <c r="AG737" s="114"/>
      <c r="AH737" s="114"/>
      <c r="AI737" s="114"/>
      <c r="AJ737" s="114"/>
      <c r="AK737" s="114"/>
    </row>
    <row r="738" ht="15.75" customHeight="1">
      <c r="A738" s="114"/>
      <c r="B738" s="114"/>
      <c r="C738" s="114"/>
      <c r="D738" s="114"/>
      <c r="E738" s="114"/>
      <c r="F738" s="114"/>
      <c r="G738" s="114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4"/>
      <c r="V738" s="114"/>
      <c r="W738" s="114"/>
      <c r="X738" s="114"/>
      <c r="Y738" s="114"/>
      <c r="Z738" s="114"/>
      <c r="AA738" s="114"/>
      <c r="AB738" s="114"/>
      <c r="AC738" s="114"/>
      <c r="AD738" s="114"/>
      <c r="AE738" s="114"/>
      <c r="AF738" s="114"/>
      <c r="AG738" s="114"/>
      <c r="AH738" s="114"/>
      <c r="AI738" s="114"/>
      <c r="AJ738" s="114"/>
      <c r="AK738" s="114"/>
    </row>
    <row r="739" ht="15.75" customHeight="1">
      <c r="A739" s="114"/>
      <c r="B739" s="114"/>
      <c r="C739" s="114"/>
      <c r="D739" s="114"/>
      <c r="E739" s="114"/>
      <c r="F739" s="114"/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  <c r="AA739" s="114"/>
      <c r="AB739" s="114"/>
      <c r="AC739" s="114"/>
      <c r="AD739" s="114"/>
      <c r="AE739" s="114"/>
      <c r="AF739" s="114"/>
      <c r="AG739" s="114"/>
      <c r="AH739" s="114"/>
      <c r="AI739" s="114"/>
      <c r="AJ739" s="114"/>
      <c r="AK739" s="114"/>
    </row>
    <row r="740" ht="15.75" customHeight="1">
      <c r="A740" s="114"/>
      <c r="B740" s="114"/>
      <c r="C740" s="114"/>
      <c r="D740" s="114"/>
      <c r="E740" s="114"/>
      <c r="F740" s="114"/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  <c r="AA740" s="114"/>
      <c r="AB740" s="114"/>
      <c r="AC740" s="114"/>
      <c r="AD740" s="114"/>
      <c r="AE740" s="114"/>
      <c r="AF740" s="114"/>
      <c r="AG740" s="114"/>
      <c r="AH740" s="114"/>
      <c r="AI740" s="114"/>
      <c r="AJ740" s="114"/>
      <c r="AK740" s="114"/>
    </row>
    <row r="741" ht="15.75" customHeight="1">
      <c r="A741" s="114"/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  <c r="AA741" s="114"/>
      <c r="AB741" s="114"/>
      <c r="AC741" s="114"/>
      <c r="AD741" s="114"/>
      <c r="AE741" s="114"/>
      <c r="AF741" s="114"/>
      <c r="AG741" s="114"/>
      <c r="AH741" s="114"/>
      <c r="AI741" s="114"/>
      <c r="AJ741" s="114"/>
      <c r="AK741" s="114"/>
    </row>
    <row r="742" ht="15.75" customHeight="1">
      <c r="A742" s="114"/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  <c r="AA742" s="114"/>
      <c r="AB742" s="114"/>
      <c r="AC742" s="114"/>
      <c r="AD742" s="114"/>
      <c r="AE742" s="114"/>
      <c r="AF742" s="114"/>
      <c r="AG742" s="114"/>
      <c r="AH742" s="114"/>
      <c r="AI742" s="114"/>
      <c r="AJ742" s="114"/>
      <c r="AK742" s="114"/>
    </row>
    <row r="743" ht="15.75" customHeight="1">
      <c r="A743" s="114"/>
      <c r="B743" s="114"/>
      <c r="C743" s="114"/>
      <c r="D743" s="114"/>
      <c r="E743" s="114"/>
      <c r="F743" s="114"/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  <c r="AA743" s="114"/>
      <c r="AB743" s="114"/>
      <c r="AC743" s="114"/>
      <c r="AD743" s="114"/>
      <c r="AE743" s="114"/>
      <c r="AF743" s="114"/>
      <c r="AG743" s="114"/>
      <c r="AH743" s="114"/>
      <c r="AI743" s="114"/>
      <c r="AJ743" s="114"/>
      <c r="AK743" s="114"/>
    </row>
    <row r="744" ht="15.75" customHeight="1">
      <c r="A744" s="114"/>
      <c r="B744" s="114"/>
      <c r="C744" s="114"/>
      <c r="D744" s="114"/>
      <c r="E744" s="114"/>
      <c r="F744" s="114"/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  <c r="AA744" s="114"/>
      <c r="AB744" s="114"/>
      <c r="AC744" s="114"/>
      <c r="AD744" s="114"/>
      <c r="AE744" s="114"/>
      <c r="AF744" s="114"/>
      <c r="AG744" s="114"/>
      <c r="AH744" s="114"/>
      <c r="AI744" s="114"/>
      <c r="AJ744" s="114"/>
      <c r="AK744" s="114"/>
    </row>
    <row r="745" ht="15.75" customHeight="1">
      <c r="A745" s="114"/>
      <c r="B745" s="114"/>
      <c r="C745" s="114"/>
      <c r="D745" s="114"/>
      <c r="E745" s="114"/>
      <c r="F745" s="114"/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  <c r="AA745" s="114"/>
      <c r="AB745" s="114"/>
      <c r="AC745" s="114"/>
      <c r="AD745" s="114"/>
      <c r="AE745" s="114"/>
      <c r="AF745" s="114"/>
      <c r="AG745" s="114"/>
      <c r="AH745" s="114"/>
      <c r="AI745" s="114"/>
      <c r="AJ745" s="114"/>
      <c r="AK745" s="114"/>
    </row>
    <row r="746" ht="15.75" customHeight="1">
      <c r="A746" s="114"/>
      <c r="B746" s="114"/>
      <c r="C746" s="114"/>
      <c r="D746" s="114"/>
      <c r="E746" s="114"/>
      <c r="F746" s="114"/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  <c r="AA746" s="114"/>
      <c r="AB746" s="114"/>
      <c r="AC746" s="114"/>
      <c r="AD746" s="114"/>
      <c r="AE746" s="114"/>
      <c r="AF746" s="114"/>
      <c r="AG746" s="114"/>
      <c r="AH746" s="114"/>
      <c r="AI746" s="114"/>
      <c r="AJ746" s="114"/>
      <c r="AK746" s="114"/>
    </row>
    <row r="747" ht="15.75" customHeight="1">
      <c r="A747" s="114"/>
      <c r="B747" s="114"/>
      <c r="C747" s="114"/>
      <c r="D747" s="114"/>
      <c r="E747" s="114"/>
      <c r="F747" s="114"/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  <c r="AA747" s="114"/>
      <c r="AB747" s="114"/>
      <c r="AC747" s="114"/>
      <c r="AD747" s="114"/>
      <c r="AE747" s="114"/>
      <c r="AF747" s="114"/>
      <c r="AG747" s="114"/>
      <c r="AH747" s="114"/>
      <c r="AI747" s="114"/>
      <c r="AJ747" s="114"/>
      <c r="AK747" s="114"/>
    </row>
    <row r="748" ht="15.75" customHeight="1">
      <c r="A748" s="114"/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  <c r="AA748" s="114"/>
      <c r="AB748" s="114"/>
      <c r="AC748" s="114"/>
      <c r="AD748" s="114"/>
      <c r="AE748" s="114"/>
      <c r="AF748" s="114"/>
      <c r="AG748" s="114"/>
      <c r="AH748" s="114"/>
      <c r="AI748" s="114"/>
      <c r="AJ748" s="114"/>
      <c r="AK748" s="114"/>
    </row>
    <row r="749" ht="15.75" customHeight="1">
      <c r="A749" s="114"/>
      <c r="B749" s="114"/>
      <c r="C749" s="114"/>
      <c r="D749" s="114"/>
      <c r="E749" s="114"/>
      <c r="F749" s="114"/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  <c r="AA749" s="114"/>
      <c r="AB749" s="114"/>
      <c r="AC749" s="114"/>
      <c r="AD749" s="114"/>
      <c r="AE749" s="114"/>
      <c r="AF749" s="114"/>
      <c r="AG749" s="114"/>
      <c r="AH749" s="114"/>
      <c r="AI749" s="114"/>
      <c r="AJ749" s="114"/>
      <c r="AK749" s="114"/>
    </row>
    <row r="750" ht="15.75" customHeight="1">
      <c r="A750" s="114"/>
      <c r="B750" s="114"/>
      <c r="C750" s="114"/>
      <c r="D750" s="114"/>
      <c r="E750" s="114"/>
      <c r="F750" s="114"/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4"/>
      <c r="W750" s="114"/>
      <c r="X750" s="114"/>
      <c r="Y750" s="114"/>
      <c r="Z750" s="114"/>
      <c r="AA750" s="114"/>
      <c r="AB750" s="114"/>
      <c r="AC750" s="114"/>
      <c r="AD750" s="114"/>
      <c r="AE750" s="114"/>
      <c r="AF750" s="114"/>
      <c r="AG750" s="114"/>
      <c r="AH750" s="114"/>
      <c r="AI750" s="114"/>
      <c r="AJ750" s="114"/>
      <c r="AK750" s="114"/>
    </row>
    <row r="751" ht="15.75" customHeight="1">
      <c r="A751" s="114"/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  <c r="AA751" s="114"/>
      <c r="AB751" s="114"/>
      <c r="AC751" s="114"/>
      <c r="AD751" s="114"/>
      <c r="AE751" s="114"/>
      <c r="AF751" s="114"/>
      <c r="AG751" s="114"/>
      <c r="AH751" s="114"/>
      <c r="AI751" s="114"/>
      <c r="AJ751" s="114"/>
      <c r="AK751" s="114"/>
    </row>
    <row r="752" ht="15.75" customHeight="1">
      <c r="A752" s="114"/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  <c r="AA752" s="114"/>
      <c r="AB752" s="114"/>
      <c r="AC752" s="114"/>
      <c r="AD752" s="114"/>
      <c r="AE752" s="114"/>
      <c r="AF752" s="114"/>
      <c r="AG752" s="114"/>
      <c r="AH752" s="114"/>
      <c r="AI752" s="114"/>
      <c r="AJ752" s="114"/>
      <c r="AK752" s="114"/>
    </row>
    <row r="753" ht="15.75" customHeight="1">
      <c r="A753" s="114"/>
      <c r="B753" s="114"/>
      <c r="C753" s="114"/>
      <c r="D753" s="114"/>
      <c r="E753" s="114"/>
      <c r="F753" s="114"/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  <c r="AA753" s="114"/>
      <c r="AB753" s="114"/>
      <c r="AC753" s="114"/>
      <c r="AD753" s="114"/>
      <c r="AE753" s="114"/>
      <c r="AF753" s="114"/>
      <c r="AG753" s="114"/>
      <c r="AH753" s="114"/>
      <c r="AI753" s="114"/>
      <c r="AJ753" s="114"/>
      <c r="AK753" s="114"/>
    </row>
    <row r="754" ht="15.75" customHeight="1">
      <c r="A754" s="114"/>
      <c r="B754" s="114"/>
      <c r="C754" s="114"/>
      <c r="D754" s="114"/>
      <c r="E754" s="114"/>
      <c r="F754" s="114"/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  <c r="AA754" s="114"/>
      <c r="AB754" s="114"/>
      <c r="AC754" s="114"/>
      <c r="AD754" s="114"/>
      <c r="AE754" s="114"/>
      <c r="AF754" s="114"/>
      <c r="AG754" s="114"/>
      <c r="AH754" s="114"/>
      <c r="AI754" s="114"/>
      <c r="AJ754" s="114"/>
      <c r="AK754" s="114"/>
    </row>
    <row r="755" ht="15.75" customHeight="1">
      <c r="A755" s="114"/>
      <c r="B755" s="114"/>
      <c r="C755" s="114"/>
      <c r="D755" s="114"/>
      <c r="E755" s="114"/>
      <c r="F755" s="114"/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  <c r="AA755" s="114"/>
      <c r="AB755" s="114"/>
      <c r="AC755" s="114"/>
      <c r="AD755" s="114"/>
      <c r="AE755" s="114"/>
      <c r="AF755" s="114"/>
      <c r="AG755" s="114"/>
      <c r="AH755" s="114"/>
      <c r="AI755" s="114"/>
      <c r="AJ755" s="114"/>
      <c r="AK755" s="114"/>
    </row>
    <row r="756" ht="15.75" customHeight="1">
      <c r="A756" s="114"/>
      <c r="B756" s="114"/>
      <c r="C756" s="114"/>
      <c r="D756" s="114"/>
      <c r="E756" s="114"/>
      <c r="F756" s="114"/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  <c r="AA756" s="114"/>
      <c r="AB756" s="114"/>
      <c r="AC756" s="114"/>
      <c r="AD756" s="114"/>
      <c r="AE756" s="114"/>
      <c r="AF756" s="114"/>
      <c r="AG756" s="114"/>
      <c r="AH756" s="114"/>
      <c r="AI756" s="114"/>
      <c r="AJ756" s="114"/>
      <c r="AK756" s="114"/>
    </row>
    <row r="757" ht="15.75" customHeight="1">
      <c r="A757" s="114"/>
      <c r="B757" s="114"/>
      <c r="C757" s="114"/>
      <c r="D757" s="114"/>
      <c r="E757" s="114"/>
      <c r="F757" s="114"/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  <c r="AA757" s="114"/>
      <c r="AB757" s="114"/>
      <c r="AC757" s="114"/>
      <c r="AD757" s="114"/>
      <c r="AE757" s="114"/>
      <c r="AF757" s="114"/>
      <c r="AG757" s="114"/>
      <c r="AH757" s="114"/>
      <c r="AI757" s="114"/>
      <c r="AJ757" s="114"/>
      <c r="AK757" s="114"/>
    </row>
    <row r="758" ht="15.75" customHeight="1">
      <c r="A758" s="114"/>
      <c r="B758" s="114"/>
      <c r="C758" s="114"/>
      <c r="D758" s="114"/>
      <c r="E758" s="114"/>
      <c r="F758" s="114"/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  <c r="AA758" s="114"/>
      <c r="AB758" s="114"/>
      <c r="AC758" s="114"/>
      <c r="AD758" s="114"/>
      <c r="AE758" s="114"/>
      <c r="AF758" s="114"/>
      <c r="AG758" s="114"/>
      <c r="AH758" s="114"/>
      <c r="AI758" s="114"/>
      <c r="AJ758" s="114"/>
      <c r="AK758" s="114"/>
    </row>
    <row r="759" ht="15.75" customHeight="1">
      <c r="A759" s="114"/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  <c r="AA759" s="114"/>
      <c r="AB759" s="114"/>
      <c r="AC759" s="114"/>
      <c r="AD759" s="114"/>
      <c r="AE759" s="114"/>
      <c r="AF759" s="114"/>
      <c r="AG759" s="114"/>
      <c r="AH759" s="114"/>
      <c r="AI759" s="114"/>
      <c r="AJ759" s="114"/>
      <c r="AK759" s="114"/>
    </row>
    <row r="760" ht="15.75" customHeight="1">
      <c r="A760" s="114"/>
      <c r="B760" s="114"/>
      <c r="C760" s="114"/>
      <c r="D760" s="114"/>
      <c r="E760" s="114"/>
      <c r="F760" s="114"/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  <c r="AA760" s="114"/>
      <c r="AB760" s="114"/>
      <c r="AC760" s="114"/>
      <c r="AD760" s="114"/>
      <c r="AE760" s="114"/>
      <c r="AF760" s="114"/>
      <c r="AG760" s="114"/>
      <c r="AH760" s="114"/>
      <c r="AI760" s="114"/>
      <c r="AJ760" s="114"/>
      <c r="AK760" s="114"/>
    </row>
    <row r="761" ht="15.75" customHeight="1">
      <c r="A761" s="114"/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  <c r="AA761" s="114"/>
      <c r="AB761" s="114"/>
      <c r="AC761" s="114"/>
      <c r="AD761" s="114"/>
      <c r="AE761" s="114"/>
      <c r="AF761" s="114"/>
      <c r="AG761" s="114"/>
      <c r="AH761" s="114"/>
      <c r="AI761" s="114"/>
      <c r="AJ761" s="114"/>
      <c r="AK761" s="114"/>
    </row>
    <row r="762" ht="15.75" customHeight="1">
      <c r="A762" s="114"/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  <c r="AA762" s="114"/>
      <c r="AB762" s="114"/>
      <c r="AC762" s="114"/>
      <c r="AD762" s="114"/>
      <c r="AE762" s="114"/>
      <c r="AF762" s="114"/>
      <c r="AG762" s="114"/>
      <c r="AH762" s="114"/>
      <c r="AI762" s="114"/>
      <c r="AJ762" s="114"/>
      <c r="AK762" s="114"/>
    </row>
    <row r="763" ht="15.75" customHeight="1">
      <c r="A763" s="114"/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  <c r="AA763" s="114"/>
      <c r="AB763" s="114"/>
      <c r="AC763" s="114"/>
      <c r="AD763" s="114"/>
      <c r="AE763" s="114"/>
      <c r="AF763" s="114"/>
      <c r="AG763" s="114"/>
      <c r="AH763" s="114"/>
      <c r="AI763" s="114"/>
      <c r="AJ763" s="114"/>
      <c r="AK763" s="114"/>
    </row>
    <row r="764" ht="15.75" customHeight="1">
      <c r="A764" s="114"/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  <c r="AA764" s="114"/>
      <c r="AB764" s="114"/>
      <c r="AC764" s="114"/>
      <c r="AD764" s="114"/>
      <c r="AE764" s="114"/>
      <c r="AF764" s="114"/>
      <c r="AG764" s="114"/>
      <c r="AH764" s="114"/>
      <c r="AI764" s="114"/>
      <c r="AJ764" s="114"/>
      <c r="AK764" s="114"/>
    </row>
    <row r="765" ht="15.75" customHeight="1">
      <c r="A765" s="114"/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  <c r="AA765" s="114"/>
      <c r="AB765" s="114"/>
      <c r="AC765" s="114"/>
      <c r="AD765" s="114"/>
      <c r="AE765" s="114"/>
      <c r="AF765" s="114"/>
      <c r="AG765" s="114"/>
      <c r="AH765" s="114"/>
      <c r="AI765" s="114"/>
      <c r="AJ765" s="114"/>
      <c r="AK765" s="114"/>
    </row>
    <row r="766" ht="15.75" customHeight="1">
      <c r="A766" s="114"/>
      <c r="B766" s="114"/>
      <c r="C766" s="114"/>
      <c r="D766" s="114"/>
      <c r="E766" s="114"/>
      <c r="F766" s="114"/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  <c r="AA766" s="114"/>
      <c r="AB766" s="114"/>
      <c r="AC766" s="114"/>
      <c r="AD766" s="114"/>
      <c r="AE766" s="114"/>
      <c r="AF766" s="114"/>
      <c r="AG766" s="114"/>
      <c r="AH766" s="114"/>
      <c r="AI766" s="114"/>
      <c r="AJ766" s="114"/>
      <c r="AK766" s="114"/>
    </row>
    <row r="767" ht="15.75" customHeight="1">
      <c r="A767" s="114"/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  <c r="AA767" s="114"/>
      <c r="AB767" s="114"/>
      <c r="AC767" s="114"/>
      <c r="AD767" s="114"/>
      <c r="AE767" s="114"/>
      <c r="AF767" s="114"/>
      <c r="AG767" s="114"/>
      <c r="AH767" s="114"/>
      <c r="AI767" s="114"/>
      <c r="AJ767" s="114"/>
      <c r="AK767" s="114"/>
    </row>
    <row r="768" ht="15.75" customHeight="1">
      <c r="A768" s="114"/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  <c r="AA768" s="114"/>
      <c r="AB768" s="114"/>
      <c r="AC768" s="114"/>
      <c r="AD768" s="114"/>
      <c r="AE768" s="114"/>
      <c r="AF768" s="114"/>
      <c r="AG768" s="114"/>
      <c r="AH768" s="114"/>
      <c r="AI768" s="114"/>
      <c r="AJ768" s="114"/>
      <c r="AK768" s="114"/>
    </row>
    <row r="769" ht="15.75" customHeight="1">
      <c r="A769" s="114"/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  <c r="AA769" s="114"/>
      <c r="AB769" s="114"/>
      <c r="AC769" s="114"/>
      <c r="AD769" s="114"/>
      <c r="AE769" s="114"/>
      <c r="AF769" s="114"/>
      <c r="AG769" s="114"/>
      <c r="AH769" s="114"/>
      <c r="AI769" s="114"/>
      <c r="AJ769" s="114"/>
      <c r="AK769" s="114"/>
    </row>
    <row r="770" ht="15.75" customHeight="1">
      <c r="A770" s="114"/>
      <c r="B770" s="114"/>
      <c r="C770" s="114"/>
      <c r="D770" s="114"/>
      <c r="E770" s="114"/>
      <c r="F770" s="114"/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  <c r="AA770" s="114"/>
      <c r="AB770" s="114"/>
      <c r="AC770" s="114"/>
      <c r="AD770" s="114"/>
      <c r="AE770" s="114"/>
      <c r="AF770" s="114"/>
      <c r="AG770" s="114"/>
      <c r="AH770" s="114"/>
      <c r="AI770" s="114"/>
      <c r="AJ770" s="114"/>
      <c r="AK770" s="114"/>
    </row>
    <row r="771" ht="15.75" customHeight="1">
      <c r="A771" s="114"/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  <c r="AA771" s="114"/>
      <c r="AB771" s="114"/>
      <c r="AC771" s="114"/>
      <c r="AD771" s="114"/>
      <c r="AE771" s="114"/>
      <c r="AF771" s="114"/>
      <c r="AG771" s="114"/>
      <c r="AH771" s="114"/>
      <c r="AI771" s="114"/>
      <c r="AJ771" s="114"/>
      <c r="AK771" s="114"/>
    </row>
    <row r="772" ht="15.75" customHeight="1">
      <c r="A772" s="114"/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  <c r="AA772" s="114"/>
      <c r="AB772" s="114"/>
      <c r="AC772" s="114"/>
      <c r="AD772" s="114"/>
      <c r="AE772" s="114"/>
      <c r="AF772" s="114"/>
      <c r="AG772" s="114"/>
      <c r="AH772" s="114"/>
      <c r="AI772" s="114"/>
      <c r="AJ772" s="114"/>
      <c r="AK772" s="114"/>
    </row>
    <row r="773" ht="15.75" customHeight="1">
      <c r="A773" s="114"/>
      <c r="B773" s="114"/>
      <c r="C773" s="114"/>
      <c r="D773" s="114"/>
      <c r="E773" s="114"/>
      <c r="F773" s="114"/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  <c r="AA773" s="114"/>
      <c r="AB773" s="114"/>
      <c r="AC773" s="114"/>
      <c r="AD773" s="114"/>
      <c r="AE773" s="114"/>
      <c r="AF773" s="114"/>
      <c r="AG773" s="114"/>
      <c r="AH773" s="114"/>
      <c r="AI773" s="114"/>
      <c r="AJ773" s="114"/>
      <c r="AK773" s="114"/>
    </row>
    <row r="774" ht="15.75" customHeight="1">
      <c r="A774" s="114"/>
      <c r="B774" s="114"/>
      <c r="C774" s="114"/>
      <c r="D774" s="114"/>
      <c r="E774" s="114"/>
      <c r="F774" s="114"/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  <c r="AA774" s="114"/>
      <c r="AB774" s="114"/>
      <c r="AC774" s="114"/>
      <c r="AD774" s="114"/>
      <c r="AE774" s="114"/>
      <c r="AF774" s="114"/>
      <c r="AG774" s="114"/>
      <c r="AH774" s="114"/>
      <c r="AI774" s="114"/>
      <c r="AJ774" s="114"/>
      <c r="AK774" s="114"/>
    </row>
    <row r="775" ht="15.75" customHeight="1">
      <c r="A775" s="114"/>
      <c r="B775" s="114"/>
      <c r="C775" s="114"/>
      <c r="D775" s="114"/>
      <c r="E775" s="114"/>
      <c r="F775" s="114"/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  <c r="AA775" s="114"/>
      <c r="AB775" s="114"/>
      <c r="AC775" s="114"/>
      <c r="AD775" s="114"/>
      <c r="AE775" s="114"/>
      <c r="AF775" s="114"/>
      <c r="AG775" s="114"/>
      <c r="AH775" s="114"/>
      <c r="AI775" s="114"/>
      <c r="AJ775" s="114"/>
      <c r="AK775" s="114"/>
    </row>
    <row r="776" ht="15.75" customHeight="1">
      <c r="A776" s="114"/>
      <c r="B776" s="114"/>
      <c r="C776" s="114"/>
      <c r="D776" s="114"/>
      <c r="E776" s="114"/>
      <c r="F776" s="114"/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  <c r="AA776" s="114"/>
      <c r="AB776" s="114"/>
      <c r="AC776" s="114"/>
      <c r="AD776" s="114"/>
      <c r="AE776" s="114"/>
      <c r="AF776" s="114"/>
      <c r="AG776" s="114"/>
      <c r="AH776" s="114"/>
      <c r="AI776" s="114"/>
      <c r="AJ776" s="114"/>
      <c r="AK776" s="114"/>
    </row>
    <row r="777" ht="15.75" customHeight="1">
      <c r="A777" s="114"/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  <c r="AA777" s="114"/>
      <c r="AB777" s="114"/>
      <c r="AC777" s="114"/>
      <c r="AD777" s="114"/>
      <c r="AE777" s="114"/>
      <c r="AF777" s="114"/>
      <c r="AG777" s="114"/>
      <c r="AH777" s="114"/>
      <c r="AI777" s="114"/>
      <c r="AJ777" s="114"/>
      <c r="AK777" s="114"/>
    </row>
    <row r="778" ht="15.75" customHeight="1">
      <c r="A778" s="114"/>
      <c r="B778" s="114"/>
      <c r="C778" s="114"/>
      <c r="D778" s="114"/>
      <c r="E778" s="114"/>
      <c r="F778" s="114"/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  <c r="AA778" s="114"/>
      <c r="AB778" s="114"/>
      <c r="AC778" s="114"/>
      <c r="AD778" s="114"/>
      <c r="AE778" s="114"/>
      <c r="AF778" s="114"/>
      <c r="AG778" s="114"/>
      <c r="AH778" s="114"/>
      <c r="AI778" s="114"/>
      <c r="AJ778" s="114"/>
      <c r="AK778" s="114"/>
    </row>
    <row r="779" ht="15.75" customHeight="1">
      <c r="A779" s="114"/>
      <c r="B779" s="114"/>
      <c r="C779" s="114"/>
      <c r="D779" s="114"/>
      <c r="E779" s="114"/>
      <c r="F779" s="114"/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  <c r="AA779" s="114"/>
      <c r="AB779" s="114"/>
      <c r="AC779" s="114"/>
      <c r="AD779" s="114"/>
      <c r="AE779" s="114"/>
      <c r="AF779" s="114"/>
      <c r="AG779" s="114"/>
      <c r="AH779" s="114"/>
      <c r="AI779" s="114"/>
      <c r="AJ779" s="114"/>
      <c r="AK779" s="114"/>
    </row>
    <row r="780" ht="15.75" customHeight="1">
      <c r="A780" s="114"/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  <c r="AA780" s="114"/>
      <c r="AB780" s="114"/>
      <c r="AC780" s="114"/>
      <c r="AD780" s="114"/>
      <c r="AE780" s="114"/>
      <c r="AF780" s="114"/>
      <c r="AG780" s="114"/>
      <c r="AH780" s="114"/>
      <c r="AI780" s="114"/>
      <c r="AJ780" s="114"/>
      <c r="AK780" s="114"/>
    </row>
    <row r="781" ht="15.75" customHeight="1">
      <c r="A781" s="114"/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  <c r="AA781" s="114"/>
      <c r="AB781" s="114"/>
      <c r="AC781" s="114"/>
      <c r="AD781" s="114"/>
      <c r="AE781" s="114"/>
      <c r="AF781" s="114"/>
      <c r="AG781" s="114"/>
      <c r="AH781" s="114"/>
      <c r="AI781" s="114"/>
      <c r="AJ781" s="114"/>
      <c r="AK781" s="114"/>
    </row>
    <row r="782" ht="15.75" customHeight="1">
      <c r="A782" s="114"/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4"/>
      <c r="X782" s="114"/>
      <c r="Y782" s="114"/>
      <c r="Z782" s="114"/>
      <c r="AA782" s="114"/>
      <c r="AB782" s="114"/>
      <c r="AC782" s="114"/>
      <c r="AD782" s="114"/>
      <c r="AE782" s="114"/>
      <c r="AF782" s="114"/>
      <c r="AG782" s="114"/>
      <c r="AH782" s="114"/>
      <c r="AI782" s="114"/>
      <c r="AJ782" s="114"/>
      <c r="AK782" s="114"/>
    </row>
    <row r="783" ht="15.75" customHeight="1">
      <c r="A783" s="114"/>
      <c r="B783" s="114"/>
      <c r="C783" s="114"/>
      <c r="D783" s="114"/>
      <c r="E783" s="114"/>
      <c r="F783" s="114"/>
      <c r="G783" s="114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4"/>
      <c r="V783" s="114"/>
      <c r="W783" s="114"/>
      <c r="X783" s="114"/>
      <c r="Y783" s="114"/>
      <c r="Z783" s="114"/>
      <c r="AA783" s="114"/>
      <c r="AB783" s="114"/>
      <c r="AC783" s="114"/>
      <c r="AD783" s="114"/>
      <c r="AE783" s="114"/>
      <c r="AF783" s="114"/>
      <c r="AG783" s="114"/>
      <c r="AH783" s="114"/>
      <c r="AI783" s="114"/>
      <c r="AJ783" s="114"/>
      <c r="AK783" s="114"/>
    </row>
    <row r="784" ht="15.75" customHeight="1">
      <c r="A784" s="114"/>
      <c r="B784" s="114"/>
      <c r="C784" s="114"/>
      <c r="D784" s="114"/>
      <c r="E784" s="114"/>
      <c r="F784" s="114"/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  <c r="AA784" s="114"/>
      <c r="AB784" s="114"/>
      <c r="AC784" s="114"/>
      <c r="AD784" s="114"/>
      <c r="AE784" s="114"/>
      <c r="AF784" s="114"/>
      <c r="AG784" s="114"/>
      <c r="AH784" s="114"/>
      <c r="AI784" s="114"/>
      <c r="AJ784" s="114"/>
      <c r="AK784" s="114"/>
    </row>
    <row r="785" ht="15.75" customHeight="1">
      <c r="A785" s="114"/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4"/>
      <c r="V785" s="114"/>
      <c r="W785" s="114"/>
      <c r="X785" s="114"/>
      <c r="Y785" s="114"/>
      <c r="Z785" s="114"/>
      <c r="AA785" s="114"/>
      <c r="AB785" s="114"/>
      <c r="AC785" s="114"/>
      <c r="AD785" s="114"/>
      <c r="AE785" s="114"/>
      <c r="AF785" s="114"/>
      <c r="AG785" s="114"/>
      <c r="AH785" s="114"/>
      <c r="AI785" s="114"/>
      <c r="AJ785" s="114"/>
      <c r="AK785" s="114"/>
    </row>
    <row r="786" ht="15.75" customHeight="1">
      <c r="A786" s="114"/>
      <c r="B786" s="114"/>
      <c r="C786" s="114"/>
      <c r="D786" s="114"/>
      <c r="E786" s="114"/>
      <c r="F786" s="114"/>
      <c r="G786" s="114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4"/>
      <c r="V786" s="114"/>
      <c r="W786" s="114"/>
      <c r="X786" s="114"/>
      <c r="Y786" s="114"/>
      <c r="Z786" s="114"/>
      <c r="AA786" s="114"/>
      <c r="AB786" s="114"/>
      <c r="AC786" s="114"/>
      <c r="AD786" s="114"/>
      <c r="AE786" s="114"/>
      <c r="AF786" s="114"/>
      <c r="AG786" s="114"/>
      <c r="AH786" s="114"/>
      <c r="AI786" s="114"/>
      <c r="AJ786" s="114"/>
      <c r="AK786" s="114"/>
    </row>
    <row r="787" ht="15.75" customHeight="1">
      <c r="A787" s="114"/>
      <c r="B787" s="114"/>
      <c r="C787" s="114"/>
      <c r="D787" s="114"/>
      <c r="E787" s="114"/>
      <c r="F787" s="114"/>
      <c r="G787" s="114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4"/>
      <c r="V787" s="114"/>
      <c r="W787" s="114"/>
      <c r="X787" s="114"/>
      <c r="Y787" s="114"/>
      <c r="Z787" s="114"/>
      <c r="AA787" s="114"/>
      <c r="AB787" s="114"/>
      <c r="AC787" s="114"/>
      <c r="AD787" s="114"/>
      <c r="AE787" s="114"/>
      <c r="AF787" s="114"/>
      <c r="AG787" s="114"/>
      <c r="AH787" s="114"/>
      <c r="AI787" s="114"/>
      <c r="AJ787" s="114"/>
      <c r="AK787" s="114"/>
    </row>
    <row r="788" ht="15.75" customHeight="1">
      <c r="A788" s="114"/>
      <c r="B788" s="114"/>
      <c r="C788" s="114"/>
      <c r="D788" s="114"/>
      <c r="E788" s="114"/>
      <c r="F788" s="114"/>
      <c r="G788" s="114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4"/>
      <c r="V788" s="114"/>
      <c r="W788" s="114"/>
      <c r="X788" s="114"/>
      <c r="Y788" s="114"/>
      <c r="Z788" s="114"/>
      <c r="AA788" s="114"/>
      <c r="AB788" s="114"/>
      <c r="AC788" s="114"/>
      <c r="AD788" s="114"/>
      <c r="AE788" s="114"/>
      <c r="AF788" s="114"/>
      <c r="AG788" s="114"/>
      <c r="AH788" s="114"/>
      <c r="AI788" s="114"/>
      <c r="AJ788" s="114"/>
      <c r="AK788" s="114"/>
    </row>
    <row r="789" ht="15.75" customHeight="1">
      <c r="A789" s="114"/>
      <c r="B789" s="114"/>
      <c r="C789" s="114"/>
      <c r="D789" s="114"/>
      <c r="E789" s="114"/>
      <c r="F789" s="114"/>
      <c r="G789" s="114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  <c r="AA789" s="114"/>
      <c r="AB789" s="114"/>
      <c r="AC789" s="114"/>
      <c r="AD789" s="114"/>
      <c r="AE789" s="114"/>
      <c r="AF789" s="114"/>
      <c r="AG789" s="114"/>
      <c r="AH789" s="114"/>
      <c r="AI789" s="114"/>
      <c r="AJ789" s="114"/>
      <c r="AK789" s="114"/>
    </row>
    <row r="790" ht="15.75" customHeight="1">
      <c r="A790" s="114"/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  <c r="AA790" s="114"/>
      <c r="AB790" s="114"/>
      <c r="AC790" s="114"/>
      <c r="AD790" s="114"/>
      <c r="AE790" s="114"/>
      <c r="AF790" s="114"/>
      <c r="AG790" s="114"/>
      <c r="AH790" s="114"/>
      <c r="AI790" s="114"/>
      <c r="AJ790" s="114"/>
      <c r="AK790" s="114"/>
    </row>
    <row r="791" ht="15.75" customHeight="1">
      <c r="A791" s="114"/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4"/>
      <c r="X791" s="114"/>
      <c r="Y791" s="114"/>
      <c r="Z791" s="114"/>
      <c r="AA791" s="114"/>
      <c r="AB791" s="114"/>
      <c r="AC791" s="114"/>
      <c r="AD791" s="114"/>
      <c r="AE791" s="114"/>
      <c r="AF791" s="114"/>
      <c r="AG791" s="114"/>
      <c r="AH791" s="114"/>
      <c r="AI791" s="114"/>
      <c r="AJ791" s="114"/>
      <c r="AK791" s="114"/>
    </row>
    <row r="792" ht="15.75" customHeight="1">
      <c r="A792" s="114"/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4"/>
      <c r="X792" s="114"/>
      <c r="Y792" s="114"/>
      <c r="Z792" s="114"/>
      <c r="AA792" s="114"/>
      <c r="AB792" s="114"/>
      <c r="AC792" s="114"/>
      <c r="AD792" s="114"/>
      <c r="AE792" s="114"/>
      <c r="AF792" s="114"/>
      <c r="AG792" s="114"/>
      <c r="AH792" s="114"/>
      <c r="AI792" s="114"/>
      <c r="AJ792" s="114"/>
      <c r="AK792" s="114"/>
    </row>
    <row r="793" ht="15.75" customHeight="1">
      <c r="A793" s="114"/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4"/>
      <c r="V793" s="114"/>
      <c r="W793" s="114"/>
      <c r="X793" s="114"/>
      <c r="Y793" s="114"/>
      <c r="Z793" s="114"/>
      <c r="AA793" s="114"/>
      <c r="AB793" s="114"/>
      <c r="AC793" s="114"/>
      <c r="AD793" s="114"/>
      <c r="AE793" s="114"/>
      <c r="AF793" s="114"/>
      <c r="AG793" s="114"/>
      <c r="AH793" s="114"/>
      <c r="AI793" s="114"/>
      <c r="AJ793" s="114"/>
      <c r="AK793" s="114"/>
    </row>
    <row r="794" ht="15.75" customHeight="1">
      <c r="A794" s="114"/>
      <c r="B794" s="114"/>
      <c r="C794" s="114"/>
      <c r="D794" s="114"/>
      <c r="E794" s="114"/>
      <c r="F794" s="114"/>
      <c r="G794" s="114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4"/>
      <c r="V794" s="114"/>
      <c r="W794" s="114"/>
      <c r="X794" s="114"/>
      <c r="Y794" s="114"/>
      <c r="Z794" s="114"/>
      <c r="AA794" s="114"/>
      <c r="AB794" s="114"/>
      <c r="AC794" s="114"/>
      <c r="AD794" s="114"/>
      <c r="AE794" s="114"/>
      <c r="AF794" s="114"/>
      <c r="AG794" s="114"/>
      <c r="AH794" s="114"/>
      <c r="AI794" s="114"/>
      <c r="AJ794" s="114"/>
      <c r="AK794" s="114"/>
    </row>
    <row r="795" ht="15.75" customHeight="1">
      <c r="A795" s="114"/>
      <c r="B795" s="114"/>
      <c r="C795" s="114"/>
      <c r="D795" s="114"/>
      <c r="E795" s="114"/>
      <c r="F795" s="114"/>
      <c r="G795" s="114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4"/>
      <c r="V795" s="114"/>
      <c r="W795" s="114"/>
      <c r="X795" s="114"/>
      <c r="Y795" s="114"/>
      <c r="Z795" s="114"/>
      <c r="AA795" s="114"/>
      <c r="AB795" s="114"/>
      <c r="AC795" s="114"/>
      <c r="AD795" s="114"/>
      <c r="AE795" s="114"/>
      <c r="AF795" s="114"/>
      <c r="AG795" s="114"/>
      <c r="AH795" s="114"/>
      <c r="AI795" s="114"/>
      <c r="AJ795" s="114"/>
      <c r="AK795" s="114"/>
    </row>
    <row r="796" ht="15.75" customHeight="1">
      <c r="A796" s="114"/>
      <c r="B796" s="114"/>
      <c r="C796" s="114"/>
      <c r="D796" s="114"/>
      <c r="E796" s="114"/>
      <c r="F796" s="114"/>
      <c r="G796" s="114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4"/>
      <c r="V796" s="114"/>
      <c r="W796" s="114"/>
      <c r="X796" s="114"/>
      <c r="Y796" s="114"/>
      <c r="Z796" s="114"/>
      <c r="AA796" s="114"/>
      <c r="AB796" s="114"/>
      <c r="AC796" s="114"/>
      <c r="AD796" s="114"/>
      <c r="AE796" s="114"/>
      <c r="AF796" s="114"/>
      <c r="AG796" s="114"/>
      <c r="AH796" s="114"/>
      <c r="AI796" s="114"/>
      <c r="AJ796" s="114"/>
      <c r="AK796" s="114"/>
    </row>
    <row r="797" ht="15.75" customHeight="1">
      <c r="A797" s="114"/>
      <c r="B797" s="114"/>
      <c r="C797" s="114"/>
      <c r="D797" s="114"/>
      <c r="E797" s="114"/>
      <c r="F797" s="114"/>
      <c r="G797" s="114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4"/>
      <c r="V797" s="114"/>
      <c r="W797" s="114"/>
      <c r="X797" s="114"/>
      <c r="Y797" s="114"/>
      <c r="Z797" s="114"/>
      <c r="AA797" s="114"/>
      <c r="AB797" s="114"/>
      <c r="AC797" s="114"/>
      <c r="AD797" s="114"/>
      <c r="AE797" s="114"/>
      <c r="AF797" s="114"/>
      <c r="AG797" s="114"/>
      <c r="AH797" s="114"/>
      <c r="AI797" s="114"/>
      <c r="AJ797" s="114"/>
      <c r="AK797" s="114"/>
    </row>
    <row r="798" ht="15.75" customHeight="1">
      <c r="A798" s="114"/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  <c r="AA798" s="114"/>
      <c r="AB798" s="114"/>
      <c r="AC798" s="114"/>
      <c r="AD798" s="114"/>
      <c r="AE798" s="114"/>
      <c r="AF798" s="114"/>
      <c r="AG798" s="114"/>
      <c r="AH798" s="114"/>
      <c r="AI798" s="114"/>
      <c r="AJ798" s="114"/>
      <c r="AK798" s="114"/>
    </row>
    <row r="799" ht="15.75" customHeight="1">
      <c r="A799" s="114"/>
      <c r="B799" s="114"/>
      <c r="C799" s="114"/>
      <c r="D799" s="114"/>
      <c r="E799" s="114"/>
      <c r="F799" s="114"/>
      <c r="G799" s="114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  <c r="AA799" s="114"/>
      <c r="AB799" s="114"/>
      <c r="AC799" s="114"/>
      <c r="AD799" s="114"/>
      <c r="AE799" s="114"/>
      <c r="AF799" s="114"/>
      <c r="AG799" s="114"/>
      <c r="AH799" s="114"/>
      <c r="AI799" s="114"/>
      <c r="AJ799" s="114"/>
      <c r="AK799" s="114"/>
    </row>
    <row r="800" ht="15.75" customHeight="1">
      <c r="A800" s="114"/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4"/>
      <c r="V800" s="114"/>
      <c r="W800" s="114"/>
      <c r="X800" s="114"/>
      <c r="Y800" s="114"/>
      <c r="Z800" s="114"/>
      <c r="AA800" s="114"/>
      <c r="AB800" s="114"/>
      <c r="AC800" s="114"/>
      <c r="AD800" s="114"/>
      <c r="AE800" s="114"/>
      <c r="AF800" s="114"/>
      <c r="AG800" s="114"/>
      <c r="AH800" s="114"/>
      <c r="AI800" s="114"/>
      <c r="AJ800" s="114"/>
      <c r="AK800" s="114"/>
    </row>
    <row r="801" ht="15.75" customHeight="1">
      <c r="A801" s="114"/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4"/>
      <c r="X801" s="114"/>
      <c r="Y801" s="114"/>
      <c r="Z801" s="114"/>
      <c r="AA801" s="114"/>
      <c r="AB801" s="114"/>
      <c r="AC801" s="114"/>
      <c r="AD801" s="114"/>
      <c r="AE801" s="114"/>
      <c r="AF801" s="114"/>
      <c r="AG801" s="114"/>
      <c r="AH801" s="114"/>
      <c r="AI801" s="114"/>
      <c r="AJ801" s="114"/>
      <c r="AK801" s="114"/>
    </row>
    <row r="802" ht="15.75" customHeight="1">
      <c r="A802" s="114"/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4"/>
      <c r="X802" s="114"/>
      <c r="Y802" s="114"/>
      <c r="Z802" s="114"/>
      <c r="AA802" s="114"/>
      <c r="AB802" s="114"/>
      <c r="AC802" s="114"/>
      <c r="AD802" s="114"/>
      <c r="AE802" s="114"/>
      <c r="AF802" s="114"/>
      <c r="AG802" s="114"/>
      <c r="AH802" s="114"/>
      <c r="AI802" s="114"/>
      <c r="AJ802" s="114"/>
      <c r="AK802" s="114"/>
    </row>
    <row r="803" ht="15.75" customHeight="1">
      <c r="A803" s="114"/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114"/>
      <c r="Z803" s="114"/>
      <c r="AA803" s="114"/>
      <c r="AB803" s="114"/>
      <c r="AC803" s="114"/>
      <c r="AD803" s="114"/>
      <c r="AE803" s="114"/>
      <c r="AF803" s="114"/>
      <c r="AG803" s="114"/>
      <c r="AH803" s="114"/>
      <c r="AI803" s="114"/>
      <c r="AJ803" s="114"/>
      <c r="AK803" s="114"/>
    </row>
    <row r="804" ht="15.75" customHeight="1">
      <c r="A804" s="114"/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114"/>
      <c r="Z804" s="114"/>
      <c r="AA804" s="114"/>
      <c r="AB804" s="114"/>
      <c r="AC804" s="114"/>
      <c r="AD804" s="114"/>
      <c r="AE804" s="114"/>
      <c r="AF804" s="114"/>
      <c r="AG804" s="114"/>
      <c r="AH804" s="114"/>
      <c r="AI804" s="114"/>
      <c r="AJ804" s="114"/>
      <c r="AK804" s="114"/>
    </row>
    <row r="805" ht="15.75" customHeight="1">
      <c r="A805" s="114"/>
      <c r="B805" s="114"/>
      <c r="C805" s="114"/>
      <c r="D805" s="114"/>
      <c r="E805" s="114"/>
      <c r="F805" s="114"/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  <c r="AA805" s="114"/>
      <c r="AB805" s="114"/>
      <c r="AC805" s="114"/>
      <c r="AD805" s="114"/>
      <c r="AE805" s="114"/>
      <c r="AF805" s="114"/>
      <c r="AG805" s="114"/>
      <c r="AH805" s="114"/>
      <c r="AI805" s="114"/>
      <c r="AJ805" s="114"/>
      <c r="AK805" s="114"/>
    </row>
    <row r="806" ht="15.75" customHeight="1">
      <c r="A806" s="114"/>
      <c r="B806" s="114"/>
      <c r="C806" s="114"/>
      <c r="D806" s="114"/>
      <c r="E806" s="114"/>
      <c r="F806" s="114"/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  <c r="AA806" s="114"/>
      <c r="AB806" s="114"/>
      <c r="AC806" s="114"/>
      <c r="AD806" s="114"/>
      <c r="AE806" s="114"/>
      <c r="AF806" s="114"/>
      <c r="AG806" s="114"/>
      <c r="AH806" s="114"/>
      <c r="AI806" s="114"/>
      <c r="AJ806" s="114"/>
      <c r="AK806" s="114"/>
    </row>
    <row r="807" ht="15.75" customHeight="1">
      <c r="A807" s="114"/>
      <c r="B807" s="114"/>
      <c r="C807" s="114"/>
      <c r="D807" s="114"/>
      <c r="E807" s="114"/>
      <c r="F807" s="114"/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  <c r="AA807" s="114"/>
      <c r="AB807" s="114"/>
      <c r="AC807" s="114"/>
      <c r="AD807" s="114"/>
      <c r="AE807" s="114"/>
      <c r="AF807" s="114"/>
      <c r="AG807" s="114"/>
      <c r="AH807" s="114"/>
      <c r="AI807" s="114"/>
      <c r="AJ807" s="114"/>
      <c r="AK807" s="114"/>
    </row>
    <row r="808" ht="15.75" customHeight="1">
      <c r="A808" s="114"/>
      <c r="B808" s="114"/>
      <c r="C808" s="114"/>
      <c r="D808" s="114"/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  <c r="AA808" s="114"/>
      <c r="AB808" s="114"/>
      <c r="AC808" s="114"/>
      <c r="AD808" s="114"/>
      <c r="AE808" s="114"/>
      <c r="AF808" s="114"/>
      <c r="AG808" s="114"/>
      <c r="AH808" s="114"/>
      <c r="AI808" s="114"/>
      <c r="AJ808" s="114"/>
      <c r="AK808" s="114"/>
    </row>
    <row r="809" ht="15.75" customHeight="1">
      <c r="A809" s="114"/>
      <c r="B809" s="114"/>
      <c r="C809" s="114"/>
      <c r="D809" s="114"/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  <c r="AA809" s="114"/>
      <c r="AB809" s="114"/>
      <c r="AC809" s="114"/>
      <c r="AD809" s="114"/>
      <c r="AE809" s="114"/>
      <c r="AF809" s="114"/>
      <c r="AG809" s="114"/>
      <c r="AH809" s="114"/>
      <c r="AI809" s="114"/>
      <c r="AJ809" s="114"/>
      <c r="AK809" s="114"/>
    </row>
    <row r="810" ht="15.75" customHeight="1">
      <c r="A810" s="114"/>
      <c r="B810" s="114"/>
      <c r="C810" s="114"/>
      <c r="D810" s="114"/>
      <c r="E810" s="114"/>
      <c r="F810" s="114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  <c r="AA810" s="114"/>
      <c r="AB810" s="114"/>
      <c r="AC810" s="114"/>
      <c r="AD810" s="114"/>
      <c r="AE810" s="114"/>
      <c r="AF810" s="114"/>
      <c r="AG810" s="114"/>
      <c r="AH810" s="114"/>
      <c r="AI810" s="114"/>
      <c r="AJ810" s="114"/>
      <c r="AK810" s="114"/>
    </row>
    <row r="811" ht="15.75" customHeight="1">
      <c r="A811" s="114"/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  <c r="AA811" s="114"/>
      <c r="AB811" s="114"/>
      <c r="AC811" s="114"/>
      <c r="AD811" s="114"/>
      <c r="AE811" s="114"/>
      <c r="AF811" s="114"/>
      <c r="AG811" s="114"/>
      <c r="AH811" s="114"/>
      <c r="AI811" s="114"/>
      <c r="AJ811" s="114"/>
      <c r="AK811" s="114"/>
    </row>
    <row r="812" ht="15.75" customHeight="1">
      <c r="A812" s="114"/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  <c r="AA812" s="114"/>
      <c r="AB812" s="114"/>
      <c r="AC812" s="114"/>
      <c r="AD812" s="114"/>
      <c r="AE812" s="114"/>
      <c r="AF812" s="114"/>
      <c r="AG812" s="114"/>
      <c r="AH812" s="114"/>
      <c r="AI812" s="114"/>
      <c r="AJ812" s="114"/>
      <c r="AK812" s="114"/>
    </row>
    <row r="813" ht="15.75" customHeight="1">
      <c r="A813" s="114"/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  <c r="Z813" s="114"/>
      <c r="AA813" s="114"/>
      <c r="AB813" s="114"/>
      <c r="AC813" s="114"/>
      <c r="AD813" s="114"/>
      <c r="AE813" s="114"/>
      <c r="AF813" s="114"/>
      <c r="AG813" s="114"/>
      <c r="AH813" s="114"/>
      <c r="AI813" s="114"/>
      <c r="AJ813" s="114"/>
      <c r="AK813" s="114"/>
    </row>
    <row r="814" ht="15.75" customHeight="1">
      <c r="A814" s="114"/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4"/>
      <c r="V814" s="114"/>
      <c r="W814" s="114"/>
      <c r="X814" s="114"/>
      <c r="Y814" s="114"/>
      <c r="Z814" s="114"/>
      <c r="AA814" s="114"/>
      <c r="AB814" s="114"/>
      <c r="AC814" s="114"/>
      <c r="AD814" s="114"/>
      <c r="AE814" s="114"/>
      <c r="AF814" s="114"/>
      <c r="AG814" s="114"/>
      <c r="AH814" s="114"/>
      <c r="AI814" s="114"/>
      <c r="AJ814" s="114"/>
      <c r="AK814" s="114"/>
    </row>
    <row r="815" ht="15.75" customHeight="1">
      <c r="A815" s="114"/>
      <c r="B815" s="114"/>
      <c r="C815" s="114"/>
      <c r="D815" s="114"/>
      <c r="E815" s="114"/>
      <c r="F815" s="114"/>
      <c r="G815" s="114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4"/>
      <c r="V815" s="114"/>
      <c r="W815" s="114"/>
      <c r="X815" s="114"/>
      <c r="Y815" s="114"/>
      <c r="Z815" s="114"/>
      <c r="AA815" s="114"/>
      <c r="AB815" s="114"/>
      <c r="AC815" s="114"/>
      <c r="AD815" s="114"/>
      <c r="AE815" s="114"/>
      <c r="AF815" s="114"/>
      <c r="AG815" s="114"/>
      <c r="AH815" s="114"/>
      <c r="AI815" s="114"/>
      <c r="AJ815" s="114"/>
      <c r="AK815" s="114"/>
    </row>
    <row r="816" ht="15.75" customHeight="1">
      <c r="A816" s="114"/>
      <c r="B816" s="114"/>
      <c r="C816" s="114"/>
      <c r="D816" s="114"/>
      <c r="E816" s="114"/>
      <c r="F816" s="114"/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  <c r="AA816" s="114"/>
      <c r="AB816" s="114"/>
      <c r="AC816" s="114"/>
      <c r="AD816" s="114"/>
      <c r="AE816" s="114"/>
      <c r="AF816" s="114"/>
      <c r="AG816" s="114"/>
      <c r="AH816" s="114"/>
      <c r="AI816" s="114"/>
      <c r="AJ816" s="114"/>
      <c r="AK816" s="114"/>
    </row>
    <row r="817" ht="15.75" customHeight="1">
      <c r="A817" s="114"/>
      <c r="B817" s="114"/>
      <c r="C817" s="114"/>
      <c r="D817" s="114"/>
      <c r="E817" s="114"/>
      <c r="F817" s="114"/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  <c r="AA817" s="114"/>
      <c r="AB817" s="114"/>
      <c r="AC817" s="114"/>
      <c r="AD817" s="114"/>
      <c r="AE817" s="114"/>
      <c r="AF817" s="114"/>
      <c r="AG817" s="114"/>
      <c r="AH817" s="114"/>
      <c r="AI817" s="114"/>
      <c r="AJ817" s="114"/>
      <c r="AK817" s="114"/>
    </row>
    <row r="818" ht="15.75" customHeight="1">
      <c r="A818" s="114"/>
      <c r="B818" s="114"/>
      <c r="C818" s="114"/>
      <c r="D818" s="114"/>
      <c r="E818" s="114"/>
      <c r="F818" s="114"/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114"/>
      <c r="Z818" s="114"/>
      <c r="AA818" s="114"/>
      <c r="AB818" s="114"/>
      <c r="AC818" s="114"/>
      <c r="AD818" s="114"/>
      <c r="AE818" s="114"/>
      <c r="AF818" s="114"/>
      <c r="AG818" s="114"/>
      <c r="AH818" s="114"/>
      <c r="AI818" s="114"/>
      <c r="AJ818" s="114"/>
      <c r="AK818" s="114"/>
    </row>
    <row r="819" ht="15.75" customHeight="1">
      <c r="A819" s="114"/>
      <c r="B819" s="114"/>
      <c r="C819" s="114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114"/>
      <c r="Z819" s="114"/>
      <c r="AA819" s="114"/>
      <c r="AB819" s="114"/>
      <c r="AC819" s="114"/>
      <c r="AD819" s="114"/>
      <c r="AE819" s="114"/>
      <c r="AF819" s="114"/>
      <c r="AG819" s="114"/>
      <c r="AH819" s="114"/>
      <c r="AI819" s="114"/>
      <c r="AJ819" s="114"/>
      <c r="AK819" s="114"/>
    </row>
    <row r="820" ht="15.75" customHeight="1">
      <c r="A820" s="114"/>
      <c r="B820" s="114"/>
      <c r="C820" s="114"/>
      <c r="D820" s="114"/>
      <c r="E820" s="114"/>
      <c r="F820" s="114"/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114"/>
      <c r="Z820" s="114"/>
      <c r="AA820" s="114"/>
      <c r="AB820" s="114"/>
      <c r="AC820" s="114"/>
      <c r="AD820" s="114"/>
      <c r="AE820" s="114"/>
      <c r="AF820" s="114"/>
      <c r="AG820" s="114"/>
      <c r="AH820" s="114"/>
      <c r="AI820" s="114"/>
      <c r="AJ820" s="114"/>
      <c r="AK820" s="114"/>
    </row>
    <row r="821" ht="15.75" customHeight="1">
      <c r="A821" s="114"/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114"/>
      <c r="Z821" s="114"/>
      <c r="AA821" s="114"/>
      <c r="AB821" s="114"/>
      <c r="AC821" s="114"/>
      <c r="AD821" s="114"/>
      <c r="AE821" s="114"/>
      <c r="AF821" s="114"/>
      <c r="AG821" s="114"/>
      <c r="AH821" s="114"/>
      <c r="AI821" s="114"/>
      <c r="AJ821" s="114"/>
      <c r="AK821" s="114"/>
    </row>
    <row r="822" ht="15.75" customHeight="1">
      <c r="A822" s="114"/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114"/>
      <c r="Z822" s="114"/>
      <c r="AA822" s="114"/>
      <c r="AB822" s="114"/>
      <c r="AC822" s="114"/>
      <c r="AD822" s="114"/>
      <c r="AE822" s="114"/>
      <c r="AF822" s="114"/>
      <c r="AG822" s="114"/>
      <c r="AH822" s="114"/>
      <c r="AI822" s="114"/>
      <c r="AJ822" s="114"/>
      <c r="AK822" s="114"/>
    </row>
    <row r="823" ht="15.75" customHeight="1">
      <c r="A823" s="114"/>
      <c r="B823" s="114"/>
      <c r="C823" s="114"/>
      <c r="D823" s="114"/>
      <c r="E823" s="114"/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114"/>
      <c r="Z823" s="114"/>
      <c r="AA823" s="114"/>
      <c r="AB823" s="114"/>
      <c r="AC823" s="114"/>
      <c r="AD823" s="114"/>
      <c r="AE823" s="114"/>
      <c r="AF823" s="114"/>
      <c r="AG823" s="114"/>
      <c r="AH823" s="114"/>
      <c r="AI823" s="114"/>
      <c r="AJ823" s="114"/>
      <c r="AK823" s="114"/>
    </row>
    <row r="824" ht="15.75" customHeight="1">
      <c r="A824" s="114"/>
      <c r="B824" s="114"/>
      <c r="C824" s="114"/>
      <c r="D824" s="114"/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114"/>
      <c r="Z824" s="114"/>
      <c r="AA824" s="114"/>
      <c r="AB824" s="114"/>
      <c r="AC824" s="114"/>
      <c r="AD824" s="114"/>
      <c r="AE824" s="114"/>
      <c r="AF824" s="114"/>
      <c r="AG824" s="114"/>
      <c r="AH824" s="114"/>
      <c r="AI824" s="114"/>
      <c r="AJ824" s="114"/>
      <c r="AK824" s="114"/>
    </row>
    <row r="825" ht="15.75" customHeight="1">
      <c r="A825" s="114"/>
      <c r="B825" s="114"/>
      <c r="C825" s="114"/>
      <c r="D825" s="114"/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  <c r="AA825" s="114"/>
      <c r="AB825" s="114"/>
      <c r="AC825" s="114"/>
      <c r="AD825" s="114"/>
      <c r="AE825" s="114"/>
      <c r="AF825" s="114"/>
      <c r="AG825" s="114"/>
      <c r="AH825" s="114"/>
      <c r="AI825" s="114"/>
      <c r="AJ825" s="114"/>
      <c r="AK825" s="114"/>
    </row>
    <row r="826" ht="15.75" customHeight="1">
      <c r="A826" s="114"/>
      <c r="B826" s="114"/>
      <c r="C826" s="114"/>
      <c r="D826" s="114"/>
      <c r="E826" s="114"/>
      <c r="F826" s="114"/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  <c r="AA826" s="114"/>
      <c r="AB826" s="114"/>
      <c r="AC826" s="114"/>
      <c r="AD826" s="114"/>
      <c r="AE826" s="114"/>
      <c r="AF826" s="114"/>
      <c r="AG826" s="114"/>
      <c r="AH826" s="114"/>
      <c r="AI826" s="114"/>
      <c r="AJ826" s="114"/>
      <c r="AK826" s="114"/>
    </row>
    <row r="827" ht="15.75" customHeight="1">
      <c r="A827" s="114"/>
      <c r="B827" s="114"/>
      <c r="C827" s="114"/>
      <c r="D827" s="114"/>
      <c r="E827" s="114"/>
      <c r="F827" s="114"/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114"/>
      <c r="Z827" s="114"/>
      <c r="AA827" s="114"/>
      <c r="AB827" s="114"/>
      <c r="AC827" s="114"/>
      <c r="AD827" s="114"/>
      <c r="AE827" s="114"/>
      <c r="AF827" s="114"/>
      <c r="AG827" s="114"/>
      <c r="AH827" s="114"/>
      <c r="AI827" s="114"/>
      <c r="AJ827" s="114"/>
      <c r="AK827" s="114"/>
    </row>
    <row r="828" ht="15.75" customHeight="1">
      <c r="A828" s="114"/>
      <c r="B828" s="114"/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  <c r="AA828" s="114"/>
      <c r="AB828" s="114"/>
      <c r="AC828" s="114"/>
      <c r="AD828" s="114"/>
      <c r="AE828" s="114"/>
      <c r="AF828" s="114"/>
      <c r="AG828" s="114"/>
      <c r="AH828" s="114"/>
      <c r="AI828" s="114"/>
      <c r="AJ828" s="114"/>
      <c r="AK828" s="114"/>
    </row>
    <row r="829" ht="15.75" customHeight="1">
      <c r="A829" s="114"/>
      <c r="B829" s="114"/>
      <c r="C829" s="114"/>
      <c r="D829" s="114"/>
      <c r="E829" s="114"/>
      <c r="F829" s="114"/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114"/>
      <c r="Z829" s="114"/>
      <c r="AA829" s="114"/>
      <c r="AB829" s="114"/>
      <c r="AC829" s="114"/>
      <c r="AD829" s="114"/>
      <c r="AE829" s="114"/>
      <c r="AF829" s="114"/>
      <c r="AG829" s="114"/>
      <c r="AH829" s="114"/>
      <c r="AI829" s="114"/>
      <c r="AJ829" s="114"/>
      <c r="AK829" s="114"/>
    </row>
    <row r="830" ht="15.75" customHeight="1">
      <c r="A830" s="114"/>
      <c r="B830" s="114"/>
      <c r="C830" s="114"/>
      <c r="D830" s="114"/>
      <c r="E830" s="114"/>
      <c r="F830" s="114"/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  <c r="AA830" s="114"/>
      <c r="AB830" s="114"/>
      <c r="AC830" s="114"/>
      <c r="AD830" s="114"/>
      <c r="AE830" s="114"/>
      <c r="AF830" s="114"/>
      <c r="AG830" s="114"/>
      <c r="AH830" s="114"/>
      <c r="AI830" s="114"/>
      <c r="AJ830" s="114"/>
      <c r="AK830" s="114"/>
    </row>
    <row r="831" ht="15.75" customHeight="1">
      <c r="A831" s="114"/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  <c r="AA831" s="114"/>
      <c r="AB831" s="114"/>
      <c r="AC831" s="114"/>
      <c r="AD831" s="114"/>
      <c r="AE831" s="114"/>
      <c r="AF831" s="114"/>
      <c r="AG831" s="114"/>
      <c r="AH831" s="114"/>
      <c r="AI831" s="114"/>
      <c r="AJ831" s="114"/>
      <c r="AK831" s="114"/>
    </row>
    <row r="832" ht="15.75" customHeight="1">
      <c r="A832" s="114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  <c r="AA832" s="114"/>
      <c r="AB832" s="114"/>
      <c r="AC832" s="114"/>
      <c r="AD832" s="114"/>
      <c r="AE832" s="114"/>
      <c r="AF832" s="114"/>
      <c r="AG832" s="114"/>
      <c r="AH832" s="114"/>
      <c r="AI832" s="114"/>
      <c r="AJ832" s="114"/>
      <c r="AK832" s="114"/>
    </row>
    <row r="833" ht="15.75" customHeight="1">
      <c r="A833" s="114"/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  <c r="AA833" s="114"/>
      <c r="AB833" s="114"/>
      <c r="AC833" s="114"/>
      <c r="AD833" s="114"/>
      <c r="AE833" s="114"/>
      <c r="AF833" s="114"/>
      <c r="AG833" s="114"/>
      <c r="AH833" s="114"/>
      <c r="AI833" s="114"/>
      <c r="AJ833" s="114"/>
      <c r="AK833" s="114"/>
    </row>
    <row r="834" ht="15.75" customHeight="1">
      <c r="A834" s="114"/>
      <c r="B834" s="114"/>
      <c r="C834" s="114"/>
      <c r="D834" s="114"/>
      <c r="E834" s="114"/>
      <c r="F834" s="114"/>
      <c r="G834" s="114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  <c r="AA834" s="114"/>
      <c r="AB834" s="114"/>
      <c r="AC834" s="114"/>
      <c r="AD834" s="114"/>
      <c r="AE834" s="114"/>
      <c r="AF834" s="114"/>
      <c r="AG834" s="114"/>
      <c r="AH834" s="114"/>
      <c r="AI834" s="114"/>
      <c r="AJ834" s="114"/>
      <c r="AK834" s="114"/>
    </row>
    <row r="835" ht="15.75" customHeight="1">
      <c r="A835" s="114"/>
      <c r="B835" s="114"/>
      <c r="C835" s="114"/>
      <c r="D835" s="114"/>
      <c r="E835" s="114"/>
      <c r="F835" s="114"/>
      <c r="G835" s="114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  <c r="AA835" s="114"/>
      <c r="AB835" s="114"/>
      <c r="AC835" s="114"/>
      <c r="AD835" s="114"/>
      <c r="AE835" s="114"/>
      <c r="AF835" s="114"/>
      <c r="AG835" s="114"/>
      <c r="AH835" s="114"/>
      <c r="AI835" s="114"/>
      <c r="AJ835" s="114"/>
      <c r="AK835" s="114"/>
    </row>
    <row r="836" ht="15.75" customHeight="1">
      <c r="A836" s="114"/>
      <c r="B836" s="114"/>
      <c r="C836" s="114"/>
      <c r="D836" s="114"/>
      <c r="E836" s="114"/>
      <c r="F836" s="114"/>
      <c r="G836" s="114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  <c r="AA836" s="114"/>
      <c r="AB836" s="114"/>
      <c r="AC836" s="114"/>
      <c r="AD836" s="114"/>
      <c r="AE836" s="114"/>
      <c r="AF836" s="114"/>
      <c r="AG836" s="114"/>
      <c r="AH836" s="114"/>
      <c r="AI836" s="114"/>
      <c r="AJ836" s="114"/>
      <c r="AK836" s="114"/>
    </row>
    <row r="837" ht="15.75" customHeight="1">
      <c r="A837" s="114"/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  <c r="AA837" s="114"/>
      <c r="AB837" s="114"/>
      <c r="AC837" s="114"/>
      <c r="AD837" s="114"/>
      <c r="AE837" s="114"/>
      <c r="AF837" s="114"/>
      <c r="AG837" s="114"/>
      <c r="AH837" s="114"/>
      <c r="AI837" s="114"/>
      <c r="AJ837" s="114"/>
      <c r="AK837" s="114"/>
    </row>
    <row r="838" ht="15.75" customHeight="1">
      <c r="A838" s="114"/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4"/>
      <c r="V838" s="114"/>
      <c r="W838" s="114"/>
      <c r="X838" s="114"/>
      <c r="Y838" s="114"/>
      <c r="Z838" s="114"/>
      <c r="AA838" s="114"/>
      <c r="AB838" s="114"/>
      <c r="AC838" s="114"/>
      <c r="AD838" s="114"/>
      <c r="AE838" s="114"/>
      <c r="AF838" s="114"/>
      <c r="AG838" s="114"/>
      <c r="AH838" s="114"/>
      <c r="AI838" s="114"/>
      <c r="AJ838" s="114"/>
      <c r="AK838" s="114"/>
    </row>
    <row r="839" ht="15.75" customHeight="1">
      <c r="A839" s="114"/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4"/>
      <c r="V839" s="114"/>
      <c r="W839" s="114"/>
      <c r="X839" s="114"/>
      <c r="Y839" s="114"/>
      <c r="Z839" s="114"/>
      <c r="AA839" s="114"/>
      <c r="AB839" s="114"/>
      <c r="AC839" s="114"/>
      <c r="AD839" s="114"/>
      <c r="AE839" s="114"/>
      <c r="AF839" s="114"/>
      <c r="AG839" s="114"/>
      <c r="AH839" s="114"/>
      <c r="AI839" s="114"/>
      <c r="AJ839" s="114"/>
      <c r="AK839" s="114"/>
    </row>
    <row r="840" ht="15.75" customHeight="1">
      <c r="A840" s="114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4"/>
      <c r="V840" s="114"/>
      <c r="W840" s="114"/>
      <c r="X840" s="114"/>
      <c r="Y840" s="114"/>
      <c r="Z840" s="114"/>
      <c r="AA840" s="114"/>
      <c r="AB840" s="114"/>
      <c r="AC840" s="114"/>
      <c r="AD840" s="114"/>
      <c r="AE840" s="114"/>
      <c r="AF840" s="114"/>
      <c r="AG840" s="114"/>
      <c r="AH840" s="114"/>
      <c r="AI840" s="114"/>
      <c r="AJ840" s="114"/>
      <c r="AK840" s="114"/>
    </row>
    <row r="841" ht="15.75" customHeight="1">
      <c r="A841" s="114"/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4"/>
      <c r="X841" s="114"/>
      <c r="Y841" s="114"/>
      <c r="Z841" s="114"/>
      <c r="AA841" s="114"/>
      <c r="AB841" s="114"/>
      <c r="AC841" s="114"/>
      <c r="AD841" s="114"/>
      <c r="AE841" s="114"/>
      <c r="AF841" s="114"/>
      <c r="AG841" s="114"/>
      <c r="AH841" s="114"/>
      <c r="AI841" s="114"/>
      <c r="AJ841" s="114"/>
      <c r="AK841" s="114"/>
    </row>
    <row r="842" ht="15.75" customHeight="1">
      <c r="A842" s="114"/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4"/>
      <c r="X842" s="114"/>
      <c r="Y842" s="114"/>
      <c r="Z842" s="114"/>
      <c r="AA842" s="114"/>
      <c r="AB842" s="114"/>
      <c r="AC842" s="114"/>
      <c r="AD842" s="114"/>
      <c r="AE842" s="114"/>
      <c r="AF842" s="114"/>
      <c r="AG842" s="114"/>
      <c r="AH842" s="114"/>
      <c r="AI842" s="114"/>
      <c r="AJ842" s="114"/>
      <c r="AK842" s="114"/>
    </row>
    <row r="843" ht="15.75" customHeight="1">
      <c r="A843" s="114"/>
      <c r="B843" s="114"/>
      <c r="C843" s="114"/>
      <c r="D843" s="114"/>
      <c r="E843" s="114"/>
      <c r="F843" s="114"/>
      <c r="G843" s="114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  <c r="AA843" s="114"/>
      <c r="AB843" s="114"/>
      <c r="AC843" s="114"/>
      <c r="AD843" s="114"/>
      <c r="AE843" s="114"/>
      <c r="AF843" s="114"/>
      <c r="AG843" s="114"/>
      <c r="AH843" s="114"/>
      <c r="AI843" s="114"/>
      <c r="AJ843" s="114"/>
      <c r="AK843" s="114"/>
    </row>
    <row r="844" ht="15.75" customHeight="1">
      <c r="A844" s="114"/>
      <c r="B844" s="114"/>
      <c r="C844" s="114"/>
      <c r="D844" s="114"/>
      <c r="E844" s="114"/>
      <c r="F844" s="114"/>
      <c r="G844" s="114"/>
      <c r="H844" s="114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4"/>
      <c r="V844" s="114"/>
      <c r="W844" s="114"/>
      <c r="X844" s="114"/>
      <c r="Y844" s="114"/>
      <c r="Z844" s="114"/>
      <c r="AA844" s="114"/>
      <c r="AB844" s="114"/>
      <c r="AC844" s="114"/>
      <c r="AD844" s="114"/>
      <c r="AE844" s="114"/>
      <c r="AF844" s="114"/>
      <c r="AG844" s="114"/>
      <c r="AH844" s="114"/>
      <c r="AI844" s="114"/>
      <c r="AJ844" s="114"/>
      <c r="AK844" s="114"/>
    </row>
    <row r="845" ht="15.75" customHeight="1">
      <c r="A845" s="114"/>
      <c r="B845" s="114"/>
      <c r="C845" s="114"/>
      <c r="D845" s="114"/>
      <c r="E845" s="114"/>
      <c r="F845" s="114"/>
      <c r="G845" s="114"/>
      <c r="H845" s="114"/>
      <c r="I845" s="114"/>
      <c r="J845" s="114"/>
      <c r="K845" s="114"/>
      <c r="L845" s="114"/>
      <c r="M845" s="114"/>
      <c r="N845" s="114"/>
      <c r="O845" s="114"/>
      <c r="P845" s="114"/>
      <c r="Q845" s="114"/>
      <c r="R845" s="114"/>
      <c r="S845" s="114"/>
      <c r="T845" s="114"/>
      <c r="U845" s="114"/>
      <c r="V845" s="114"/>
      <c r="W845" s="114"/>
      <c r="X845" s="114"/>
      <c r="Y845" s="114"/>
      <c r="Z845" s="114"/>
      <c r="AA845" s="114"/>
      <c r="AB845" s="114"/>
      <c r="AC845" s="114"/>
      <c r="AD845" s="114"/>
      <c r="AE845" s="114"/>
      <c r="AF845" s="114"/>
      <c r="AG845" s="114"/>
      <c r="AH845" s="114"/>
      <c r="AI845" s="114"/>
      <c r="AJ845" s="114"/>
      <c r="AK845" s="114"/>
    </row>
    <row r="846" ht="15.75" customHeight="1">
      <c r="A846" s="114"/>
      <c r="B846" s="114"/>
      <c r="C846" s="114"/>
      <c r="D846" s="114"/>
      <c r="E846" s="114"/>
      <c r="F846" s="114"/>
      <c r="G846" s="114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4"/>
      <c r="V846" s="114"/>
      <c r="W846" s="114"/>
      <c r="X846" s="114"/>
      <c r="Y846" s="114"/>
      <c r="Z846" s="114"/>
      <c r="AA846" s="114"/>
      <c r="AB846" s="114"/>
      <c r="AC846" s="114"/>
      <c r="AD846" s="114"/>
      <c r="AE846" s="114"/>
      <c r="AF846" s="114"/>
      <c r="AG846" s="114"/>
      <c r="AH846" s="114"/>
      <c r="AI846" s="114"/>
      <c r="AJ846" s="114"/>
      <c r="AK846" s="114"/>
    </row>
    <row r="847" ht="15.75" customHeight="1">
      <c r="A847" s="114"/>
      <c r="B847" s="114"/>
      <c r="C847" s="114"/>
      <c r="D847" s="114"/>
      <c r="E847" s="114"/>
      <c r="F847" s="114"/>
      <c r="G847" s="114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4"/>
      <c r="V847" s="114"/>
      <c r="W847" s="114"/>
      <c r="X847" s="114"/>
      <c r="Y847" s="114"/>
      <c r="Z847" s="114"/>
      <c r="AA847" s="114"/>
      <c r="AB847" s="114"/>
      <c r="AC847" s="114"/>
      <c r="AD847" s="114"/>
      <c r="AE847" s="114"/>
      <c r="AF847" s="114"/>
      <c r="AG847" s="114"/>
      <c r="AH847" s="114"/>
      <c r="AI847" s="114"/>
      <c r="AJ847" s="114"/>
      <c r="AK847" s="114"/>
    </row>
    <row r="848" ht="15.75" customHeight="1">
      <c r="A848" s="114"/>
      <c r="B848" s="114"/>
      <c r="C848" s="114"/>
      <c r="D848" s="114"/>
      <c r="E848" s="114"/>
      <c r="F848" s="114"/>
      <c r="G848" s="114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4"/>
      <c r="V848" s="114"/>
      <c r="W848" s="114"/>
      <c r="X848" s="114"/>
      <c r="Y848" s="114"/>
      <c r="Z848" s="114"/>
      <c r="AA848" s="114"/>
      <c r="AB848" s="114"/>
      <c r="AC848" s="114"/>
      <c r="AD848" s="114"/>
      <c r="AE848" s="114"/>
      <c r="AF848" s="114"/>
      <c r="AG848" s="114"/>
      <c r="AH848" s="114"/>
      <c r="AI848" s="114"/>
      <c r="AJ848" s="114"/>
      <c r="AK848" s="114"/>
    </row>
    <row r="849" ht="15.75" customHeight="1">
      <c r="A849" s="114"/>
      <c r="B849" s="114"/>
      <c r="C849" s="114"/>
      <c r="D849" s="114"/>
      <c r="E849" s="114"/>
      <c r="F849" s="114"/>
      <c r="G849" s="114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  <c r="AA849" s="114"/>
      <c r="AB849" s="114"/>
      <c r="AC849" s="114"/>
      <c r="AD849" s="114"/>
      <c r="AE849" s="114"/>
      <c r="AF849" s="114"/>
      <c r="AG849" s="114"/>
      <c r="AH849" s="114"/>
      <c r="AI849" s="114"/>
      <c r="AJ849" s="114"/>
      <c r="AK849" s="114"/>
    </row>
    <row r="850" ht="15.75" customHeight="1">
      <c r="A850" s="114"/>
      <c r="B850" s="114"/>
      <c r="C850" s="114"/>
      <c r="D850" s="114"/>
      <c r="E850" s="114"/>
      <c r="F850" s="114"/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  <c r="AA850" s="114"/>
      <c r="AB850" s="114"/>
      <c r="AC850" s="114"/>
      <c r="AD850" s="114"/>
      <c r="AE850" s="114"/>
      <c r="AF850" s="114"/>
      <c r="AG850" s="114"/>
      <c r="AH850" s="114"/>
      <c r="AI850" s="114"/>
      <c r="AJ850" s="114"/>
      <c r="AK850" s="114"/>
    </row>
    <row r="851" ht="15.75" customHeight="1">
      <c r="A851" s="114"/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  <c r="AA851" s="114"/>
      <c r="AB851" s="114"/>
      <c r="AC851" s="114"/>
      <c r="AD851" s="114"/>
      <c r="AE851" s="114"/>
      <c r="AF851" s="114"/>
      <c r="AG851" s="114"/>
      <c r="AH851" s="114"/>
      <c r="AI851" s="114"/>
      <c r="AJ851" s="114"/>
      <c r="AK851" s="114"/>
    </row>
    <row r="852" ht="15.75" customHeight="1">
      <c r="A852" s="114"/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  <c r="AA852" s="114"/>
      <c r="AB852" s="114"/>
      <c r="AC852" s="114"/>
      <c r="AD852" s="114"/>
      <c r="AE852" s="114"/>
      <c r="AF852" s="114"/>
      <c r="AG852" s="114"/>
      <c r="AH852" s="114"/>
      <c r="AI852" s="114"/>
      <c r="AJ852" s="114"/>
      <c r="AK852" s="114"/>
    </row>
    <row r="853" ht="15.75" customHeight="1">
      <c r="A853" s="114"/>
      <c r="B853" s="114"/>
      <c r="C853" s="114"/>
      <c r="D853" s="114"/>
      <c r="E853" s="114"/>
      <c r="F853" s="114"/>
      <c r="G853" s="114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  <c r="AA853" s="114"/>
      <c r="AB853" s="114"/>
      <c r="AC853" s="114"/>
      <c r="AD853" s="114"/>
      <c r="AE853" s="114"/>
      <c r="AF853" s="114"/>
      <c r="AG853" s="114"/>
      <c r="AH853" s="114"/>
      <c r="AI853" s="114"/>
      <c r="AJ853" s="114"/>
      <c r="AK853" s="114"/>
    </row>
    <row r="854" ht="15.75" customHeight="1">
      <c r="A854" s="114"/>
      <c r="B854" s="114"/>
      <c r="C854" s="114"/>
      <c r="D854" s="114"/>
      <c r="E854" s="114"/>
      <c r="F854" s="114"/>
      <c r="G854" s="114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4"/>
      <c r="V854" s="114"/>
      <c r="W854" s="114"/>
      <c r="X854" s="114"/>
      <c r="Y854" s="114"/>
      <c r="Z854" s="114"/>
      <c r="AA854" s="114"/>
      <c r="AB854" s="114"/>
      <c r="AC854" s="114"/>
      <c r="AD854" s="114"/>
      <c r="AE854" s="114"/>
      <c r="AF854" s="114"/>
      <c r="AG854" s="114"/>
      <c r="AH854" s="114"/>
      <c r="AI854" s="114"/>
      <c r="AJ854" s="114"/>
      <c r="AK854" s="114"/>
    </row>
    <row r="855" ht="15.75" customHeight="1">
      <c r="A855" s="114"/>
      <c r="B855" s="114"/>
      <c r="C855" s="114"/>
      <c r="D855" s="114"/>
      <c r="E855" s="114"/>
      <c r="F855" s="114"/>
      <c r="G855" s="114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4"/>
      <c r="V855" s="114"/>
      <c r="W855" s="114"/>
      <c r="X855" s="114"/>
      <c r="Y855" s="114"/>
      <c r="Z855" s="114"/>
      <c r="AA855" s="114"/>
      <c r="AB855" s="114"/>
      <c r="AC855" s="114"/>
      <c r="AD855" s="114"/>
      <c r="AE855" s="114"/>
      <c r="AF855" s="114"/>
      <c r="AG855" s="114"/>
      <c r="AH855" s="114"/>
      <c r="AI855" s="114"/>
      <c r="AJ855" s="114"/>
      <c r="AK855" s="114"/>
    </row>
    <row r="856" ht="15.75" customHeight="1">
      <c r="A856" s="114"/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4"/>
      <c r="V856" s="114"/>
      <c r="W856" s="114"/>
      <c r="X856" s="114"/>
      <c r="Y856" s="114"/>
      <c r="Z856" s="114"/>
      <c r="AA856" s="114"/>
      <c r="AB856" s="114"/>
      <c r="AC856" s="114"/>
      <c r="AD856" s="114"/>
      <c r="AE856" s="114"/>
      <c r="AF856" s="114"/>
      <c r="AG856" s="114"/>
      <c r="AH856" s="114"/>
      <c r="AI856" s="114"/>
      <c r="AJ856" s="114"/>
      <c r="AK856" s="114"/>
    </row>
    <row r="857" ht="15.75" customHeight="1">
      <c r="A857" s="114"/>
      <c r="B857" s="114"/>
      <c r="C857" s="114"/>
      <c r="D857" s="114"/>
      <c r="E857" s="114"/>
      <c r="F857" s="114"/>
      <c r="G857" s="114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  <c r="AA857" s="114"/>
      <c r="AB857" s="114"/>
      <c r="AC857" s="114"/>
      <c r="AD857" s="114"/>
      <c r="AE857" s="114"/>
      <c r="AF857" s="114"/>
      <c r="AG857" s="114"/>
      <c r="AH857" s="114"/>
      <c r="AI857" s="114"/>
      <c r="AJ857" s="114"/>
      <c r="AK857" s="114"/>
    </row>
    <row r="858" ht="15.75" customHeight="1">
      <c r="A858" s="114"/>
      <c r="B858" s="114"/>
      <c r="C858" s="114"/>
      <c r="D858" s="114"/>
      <c r="E858" s="114"/>
      <c r="F858" s="114"/>
      <c r="G858" s="114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  <c r="AA858" s="114"/>
      <c r="AB858" s="114"/>
      <c r="AC858" s="114"/>
      <c r="AD858" s="114"/>
      <c r="AE858" s="114"/>
      <c r="AF858" s="114"/>
      <c r="AG858" s="114"/>
      <c r="AH858" s="114"/>
      <c r="AI858" s="114"/>
      <c r="AJ858" s="114"/>
      <c r="AK858" s="114"/>
    </row>
    <row r="859" ht="15.75" customHeight="1">
      <c r="A859" s="114"/>
      <c r="B859" s="114"/>
      <c r="C859" s="114"/>
      <c r="D859" s="114"/>
      <c r="E859" s="114"/>
      <c r="F859" s="114"/>
      <c r="G859" s="114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4"/>
      <c r="V859" s="114"/>
      <c r="W859" s="114"/>
      <c r="X859" s="114"/>
      <c r="Y859" s="114"/>
      <c r="Z859" s="114"/>
      <c r="AA859" s="114"/>
      <c r="AB859" s="114"/>
      <c r="AC859" s="114"/>
      <c r="AD859" s="114"/>
      <c r="AE859" s="114"/>
      <c r="AF859" s="114"/>
      <c r="AG859" s="114"/>
      <c r="AH859" s="114"/>
      <c r="AI859" s="114"/>
      <c r="AJ859" s="114"/>
      <c r="AK859" s="114"/>
    </row>
    <row r="860" ht="15.75" customHeight="1">
      <c r="A860" s="114"/>
      <c r="B860" s="114"/>
      <c r="C860" s="114"/>
      <c r="D860" s="114"/>
      <c r="E860" s="114"/>
      <c r="F860" s="114"/>
      <c r="G860" s="114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4"/>
      <c r="V860" s="114"/>
      <c r="W860" s="114"/>
      <c r="X860" s="114"/>
      <c r="Y860" s="114"/>
      <c r="Z860" s="114"/>
      <c r="AA860" s="114"/>
      <c r="AB860" s="114"/>
      <c r="AC860" s="114"/>
      <c r="AD860" s="114"/>
      <c r="AE860" s="114"/>
      <c r="AF860" s="114"/>
      <c r="AG860" s="114"/>
      <c r="AH860" s="114"/>
      <c r="AI860" s="114"/>
      <c r="AJ860" s="114"/>
      <c r="AK860" s="114"/>
    </row>
    <row r="861" ht="15.75" customHeight="1">
      <c r="A861" s="114"/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  <c r="AA861" s="114"/>
      <c r="AB861" s="114"/>
      <c r="AC861" s="114"/>
      <c r="AD861" s="114"/>
      <c r="AE861" s="114"/>
      <c r="AF861" s="114"/>
      <c r="AG861" s="114"/>
      <c r="AH861" s="114"/>
      <c r="AI861" s="114"/>
      <c r="AJ861" s="114"/>
      <c r="AK861" s="114"/>
    </row>
    <row r="862" ht="15.75" customHeight="1">
      <c r="A862" s="114"/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  <c r="AA862" s="114"/>
      <c r="AB862" s="114"/>
      <c r="AC862" s="114"/>
      <c r="AD862" s="114"/>
      <c r="AE862" s="114"/>
      <c r="AF862" s="114"/>
      <c r="AG862" s="114"/>
      <c r="AH862" s="114"/>
      <c r="AI862" s="114"/>
      <c r="AJ862" s="114"/>
      <c r="AK862" s="114"/>
    </row>
    <row r="863" ht="15.75" customHeight="1">
      <c r="A863" s="114"/>
      <c r="B863" s="114"/>
      <c r="C863" s="114"/>
      <c r="D863" s="114"/>
      <c r="E863" s="114"/>
      <c r="F863" s="114"/>
      <c r="G863" s="114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4"/>
      <c r="V863" s="114"/>
      <c r="W863" s="114"/>
      <c r="X863" s="114"/>
      <c r="Y863" s="114"/>
      <c r="Z863" s="114"/>
      <c r="AA863" s="114"/>
      <c r="AB863" s="114"/>
      <c r="AC863" s="114"/>
      <c r="AD863" s="114"/>
      <c r="AE863" s="114"/>
      <c r="AF863" s="114"/>
      <c r="AG863" s="114"/>
      <c r="AH863" s="114"/>
      <c r="AI863" s="114"/>
      <c r="AJ863" s="114"/>
      <c r="AK863" s="114"/>
    </row>
    <row r="864" ht="15.75" customHeight="1">
      <c r="A864" s="114"/>
      <c r="B864" s="114"/>
      <c r="C864" s="114"/>
      <c r="D864" s="114"/>
      <c r="E864" s="114"/>
      <c r="F864" s="114"/>
      <c r="G864" s="114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4"/>
      <c r="V864" s="114"/>
      <c r="W864" s="114"/>
      <c r="X864" s="114"/>
      <c r="Y864" s="114"/>
      <c r="Z864" s="114"/>
      <c r="AA864" s="114"/>
      <c r="AB864" s="114"/>
      <c r="AC864" s="114"/>
      <c r="AD864" s="114"/>
      <c r="AE864" s="114"/>
      <c r="AF864" s="114"/>
      <c r="AG864" s="114"/>
      <c r="AH864" s="114"/>
      <c r="AI864" s="114"/>
      <c r="AJ864" s="114"/>
      <c r="AK864" s="114"/>
    </row>
    <row r="865" ht="15.75" customHeight="1">
      <c r="A865" s="114"/>
      <c r="B865" s="114"/>
      <c r="C865" s="114"/>
      <c r="D865" s="114"/>
      <c r="E865" s="114"/>
      <c r="F865" s="114"/>
      <c r="G865" s="114"/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  <c r="AA865" s="114"/>
      <c r="AB865" s="114"/>
      <c r="AC865" s="114"/>
      <c r="AD865" s="114"/>
      <c r="AE865" s="114"/>
      <c r="AF865" s="114"/>
      <c r="AG865" s="114"/>
      <c r="AH865" s="114"/>
      <c r="AI865" s="114"/>
      <c r="AJ865" s="114"/>
      <c r="AK865" s="114"/>
    </row>
    <row r="866" ht="15.75" customHeight="1">
      <c r="A866" s="114"/>
      <c r="B866" s="114"/>
      <c r="C866" s="114"/>
      <c r="D866" s="114"/>
      <c r="E866" s="114"/>
      <c r="F866" s="114"/>
      <c r="G866" s="114"/>
      <c r="H866" s="114"/>
      <c r="I866" s="114"/>
      <c r="J866" s="114"/>
      <c r="K866" s="114"/>
      <c r="L866" s="114"/>
      <c r="M866" s="114"/>
      <c r="N866" s="114"/>
      <c r="O866" s="114"/>
      <c r="P866" s="114"/>
      <c r="Q866" s="114"/>
      <c r="R866" s="114"/>
      <c r="S866" s="114"/>
      <c r="T866" s="114"/>
      <c r="U866" s="114"/>
      <c r="V866" s="114"/>
      <c r="W866" s="114"/>
      <c r="X866" s="114"/>
      <c r="Y866" s="114"/>
      <c r="Z866" s="114"/>
      <c r="AA866" s="114"/>
      <c r="AB866" s="114"/>
      <c r="AC866" s="114"/>
      <c r="AD866" s="114"/>
      <c r="AE866" s="114"/>
      <c r="AF866" s="114"/>
      <c r="AG866" s="114"/>
      <c r="AH866" s="114"/>
      <c r="AI866" s="114"/>
      <c r="AJ866" s="114"/>
      <c r="AK866" s="114"/>
    </row>
    <row r="867" ht="15.75" customHeight="1">
      <c r="A867" s="114"/>
      <c r="B867" s="114"/>
      <c r="C867" s="114"/>
      <c r="D867" s="114"/>
      <c r="E867" s="114"/>
      <c r="F867" s="114"/>
      <c r="G867" s="114"/>
      <c r="H867" s="114"/>
      <c r="I867" s="114"/>
      <c r="J867" s="114"/>
      <c r="K867" s="114"/>
      <c r="L867" s="114"/>
      <c r="M867" s="114"/>
      <c r="N867" s="114"/>
      <c r="O867" s="114"/>
      <c r="P867" s="114"/>
      <c r="Q867" s="114"/>
      <c r="R867" s="114"/>
      <c r="S867" s="114"/>
      <c r="T867" s="114"/>
      <c r="U867" s="114"/>
      <c r="V867" s="114"/>
      <c r="W867" s="114"/>
      <c r="X867" s="114"/>
      <c r="Y867" s="114"/>
      <c r="Z867" s="114"/>
      <c r="AA867" s="114"/>
      <c r="AB867" s="114"/>
      <c r="AC867" s="114"/>
      <c r="AD867" s="114"/>
      <c r="AE867" s="114"/>
      <c r="AF867" s="114"/>
      <c r="AG867" s="114"/>
      <c r="AH867" s="114"/>
      <c r="AI867" s="114"/>
      <c r="AJ867" s="114"/>
      <c r="AK867" s="114"/>
    </row>
    <row r="868" ht="15.75" customHeight="1">
      <c r="A868" s="114"/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  <c r="AA868" s="114"/>
      <c r="AB868" s="114"/>
      <c r="AC868" s="114"/>
      <c r="AD868" s="114"/>
      <c r="AE868" s="114"/>
      <c r="AF868" s="114"/>
      <c r="AG868" s="114"/>
      <c r="AH868" s="114"/>
      <c r="AI868" s="114"/>
      <c r="AJ868" s="114"/>
      <c r="AK868" s="114"/>
    </row>
    <row r="869" ht="15.75" customHeight="1">
      <c r="A869" s="114"/>
      <c r="B869" s="114"/>
      <c r="C869" s="114"/>
      <c r="D869" s="114"/>
      <c r="E869" s="114"/>
      <c r="F869" s="114"/>
      <c r="G869" s="114"/>
      <c r="H869" s="114"/>
      <c r="I869" s="114"/>
      <c r="J869" s="114"/>
      <c r="K869" s="114"/>
      <c r="L869" s="114"/>
      <c r="M869" s="114"/>
      <c r="N869" s="114"/>
      <c r="O869" s="114"/>
      <c r="P869" s="114"/>
      <c r="Q869" s="114"/>
      <c r="R869" s="114"/>
      <c r="S869" s="114"/>
      <c r="T869" s="114"/>
      <c r="U869" s="114"/>
      <c r="V869" s="114"/>
      <c r="W869" s="114"/>
      <c r="X869" s="114"/>
      <c r="Y869" s="114"/>
      <c r="Z869" s="114"/>
      <c r="AA869" s="114"/>
      <c r="AB869" s="114"/>
      <c r="AC869" s="114"/>
      <c r="AD869" s="114"/>
      <c r="AE869" s="114"/>
      <c r="AF869" s="114"/>
      <c r="AG869" s="114"/>
      <c r="AH869" s="114"/>
      <c r="AI869" s="114"/>
      <c r="AJ869" s="114"/>
      <c r="AK869" s="114"/>
    </row>
    <row r="870" ht="15.75" customHeight="1">
      <c r="A870" s="114"/>
      <c r="B870" s="114"/>
      <c r="C870" s="114"/>
      <c r="D870" s="114"/>
      <c r="E870" s="114"/>
      <c r="F870" s="114"/>
      <c r="G870" s="114"/>
      <c r="H870" s="114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4"/>
      <c r="W870" s="114"/>
      <c r="X870" s="114"/>
      <c r="Y870" s="114"/>
      <c r="Z870" s="114"/>
      <c r="AA870" s="114"/>
      <c r="AB870" s="114"/>
      <c r="AC870" s="114"/>
      <c r="AD870" s="114"/>
      <c r="AE870" s="114"/>
      <c r="AF870" s="114"/>
      <c r="AG870" s="114"/>
      <c r="AH870" s="114"/>
      <c r="AI870" s="114"/>
      <c r="AJ870" s="114"/>
      <c r="AK870" s="114"/>
    </row>
    <row r="871" ht="15.75" customHeight="1">
      <c r="A871" s="114"/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  <c r="AA871" s="114"/>
      <c r="AB871" s="114"/>
      <c r="AC871" s="114"/>
      <c r="AD871" s="114"/>
      <c r="AE871" s="114"/>
      <c r="AF871" s="114"/>
      <c r="AG871" s="114"/>
      <c r="AH871" s="114"/>
      <c r="AI871" s="114"/>
      <c r="AJ871" s="114"/>
      <c r="AK871" s="114"/>
    </row>
    <row r="872" ht="15.75" customHeight="1">
      <c r="A872" s="114"/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4"/>
      <c r="X872" s="114"/>
      <c r="Y872" s="114"/>
      <c r="Z872" s="114"/>
      <c r="AA872" s="114"/>
      <c r="AB872" s="114"/>
      <c r="AC872" s="114"/>
      <c r="AD872" s="114"/>
      <c r="AE872" s="114"/>
      <c r="AF872" s="114"/>
      <c r="AG872" s="114"/>
      <c r="AH872" s="114"/>
      <c r="AI872" s="114"/>
      <c r="AJ872" s="114"/>
      <c r="AK872" s="114"/>
    </row>
    <row r="873" ht="15.75" customHeight="1">
      <c r="A873" s="114"/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4"/>
      <c r="P873" s="114"/>
      <c r="Q873" s="114"/>
      <c r="R873" s="114"/>
      <c r="S873" s="114"/>
      <c r="T873" s="114"/>
      <c r="U873" s="114"/>
      <c r="V873" s="114"/>
      <c r="W873" s="114"/>
      <c r="X873" s="114"/>
      <c r="Y873" s="114"/>
      <c r="Z873" s="114"/>
      <c r="AA873" s="114"/>
      <c r="AB873" s="114"/>
      <c r="AC873" s="114"/>
      <c r="AD873" s="114"/>
      <c r="AE873" s="114"/>
      <c r="AF873" s="114"/>
      <c r="AG873" s="114"/>
      <c r="AH873" s="114"/>
      <c r="AI873" s="114"/>
      <c r="AJ873" s="114"/>
      <c r="AK873" s="114"/>
    </row>
    <row r="874" ht="15.75" customHeight="1">
      <c r="A874" s="114"/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14"/>
      <c r="P874" s="114"/>
      <c r="Q874" s="114"/>
      <c r="R874" s="114"/>
      <c r="S874" s="114"/>
      <c r="T874" s="114"/>
      <c r="U874" s="114"/>
      <c r="V874" s="114"/>
      <c r="W874" s="114"/>
      <c r="X874" s="114"/>
      <c r="Y874" s="114"/>
      <c r="Z874" s="114"/>
      <c r="AA874" s="114"/>
      <c r="AB874" s="114"/>
      <c r="AC874" s="114"/>
      <c r="AD874" s="114"/>
      <c r="AE874" s="114"/>
      <c r="AF874" s="114"/>
      <c r="AG874" s="114"/>
      <c r="AH874" s="114"/>
      <c r="AI874" s="114"/>
      <c r="AJ874" s="114"/>
      <c r="AK874" s="114"/>
    </row>
    <row r="875" ht="15.75" customHeight="1">
      <c r="A875" s="114"/>
      <c r="B875" s="114"/>
      <c r="C875" s="114"/>
      <c r="D875" s="114"/>
      <c r="E875" s="114"/>
      <c r="F875" s="114"/>
      <c r="G875" s="114"/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  <c r="AA875" s="114"/>
      <c r="AB875" s="114"/>
      <c r="AC875" s="114"/>
      <c r="AD875" s="114"/>
      <c r="AE875" s="114"/>
      <c r="AF875" s="114"/>
      <c r="AG875" s="114"/>
      <c r="AH875" s="114"/>
      <c r="AI875" s="114"/>
      <c r="AJ875" s="114"/>
      <c r="AK875" s="114"/>
    </row>
    <row r="876" ht="15.75" customHeight="1">
      <c r="A876" s="114"/>
      <c r="B876" s="114"/>
      <c r="C876" s="114"/>
      <c r="D876" s="114"/>
      <c r="E876" s="114"/>
      <c r="F876" s="114"/>
      <c r="G876" s="114"/>
      <c r="H876" s="114"/>
      <c r="I876" s="114"/>
      <c r="J876" s="114"/>
      <c r="K876" s="114"/>
      <c r="L876" s="114"/>
      <c r="M876" s="114"/>
      <c r="N876" s="114"/>
      <c r="O876" s="114"/>
      <c r="P876" s="114"/>
      <c r="Q876" s="114"/>
      <c r="R876" s="114"/>
      <c r="S876" s="114"/>
      <c r="T876" s="114"/>
      <c r="U876" s="114"/>
      <c r="V876" s="114"/>
      <c r="W876" s="114"/>
      <c r="X876" s="114"/>
      <c r="Y876" s="114"/>
      <c r="Z876" s="114"/>
      <c r="AA876" s="114"/>
      <c r="AB876" s="114"/>
      <c r="AC876" s="114"/>
      <c r="AD876" s="114"/>
      <c r="AE876" s="114"/>
      <c r="AF876" s="114"/>
      <c r="AG876" s="114"/>
      <c r="AH876" s="114"/>
      <c r="AI876" s="114"/>
      <c r="AJ876" s="114"/>
      <c r="AK876" s="114"/>
    </row>
    <row r="877" ht="15.75" customHeight="1">
      <c r="A877" s="114"/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  <c r="AA877" s="114"/>
      <c r="AB877" s="114"/>
      <c r="AC877" s="114"/>
      <c r="AD877" s="114"/>
      <c r="AE877" s="114"/>
      <c r="AF877" s="114"/>
      <c r="AG877" s="114"/>
      <c r="AH877" s="114"/>
      <c r="AI877" s="114"/>
      <c r="AJ877" s="114"/>
      <c r="AK877" s="114"/>
    </row>
    <row r="878" ht="15.75" customHeight="1">
      <c r="A878" s="114"/>
      <c r="B878" s="114"/>
      <c r="C878" s="114"/>
      <c r="D878" s="114"/>
      <c r="E878" s="114"/>
      <c r="F878" s="114"/>
      <c r="G878" s="114"/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  <c r="AA878" s="114"/>
      <c r="AB878" s="114"/>
      <c r="AC878" s="114"/>
      <c r="AD878" s="114"/>
      <c r="AE878" s="114"/>
      <c r="AF878" s="114"/>
      <c r="AG878" s="114"/>
      <c r="AH878" s="114"/>
      <c r="AI878" s="114"/>
      <c r="AJ878" s="114"/>
      <c r="AK878" s="114"/>
    </row>
    <row r="879" ht="15.75" customHeight="1">
      <c r="A879" s="114"/>
      <c r="B879" s="114"/>
      <c r="C879" s="114"/>
      <c r="D879" s="114"/>
      <c r="E879" s="114"/>
      <c r="F879" s="114"/>
      <c r="G879" s="114"/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  <c r="AA879" s="114"/>
      <c r="AB879" s="114"/>
      <c r="AC879" s="114"/>
      <c r="AD879" s="114"/>
      <c r="AE879" s="114"/>
      <c r="AF879" s="114"/>
      <c r="AG879" s="114"/>
      <c r="AH879" s="114"/>
      <c r="AI879" s="114"/>
      <c r="AJ879" s="114"/>
      <c r="AK879" s="114"/>
    </row>
    <row r="880" ht="15.75" customHeight="1">
      <c r="A880" s="114"/>
      <c r="B880" s="114"/>
      <c r="C880" s="114"/>
      <c r="D880" s="114"/>
      <c r="E880" s="114"/>
      <c r="F880" s="114"/>
      <c r="G880" s="114"/>
      <c r="H880" s="114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  <c r="AA880" s="114"/>
      <c r="AB880" s="114"/>
      <c r="AC880" s="114"/>
      <c r="AD880" s="114"/>
      <c r="AE880" s="114"/>
      <c r="AF880" s="114"/>
      <c r="AG880" s="114"/>
      <c r="AH880" s="114"/>
      <c r="AI880" s="114"/>
      <c r="AJ880" s="114"/>
      <c r="AK880" s="114"/>
    </row>
    <row r="881" ht="15.75" customHeight="1">
      <c r="A881" s="114"/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4"/>
      <c r="X881" s="114"/>
      <c r="Y881" s="114"/>
      <c r="Z881" s="114"/>
      <c r="AA881" s="114"/>
      <c r="AB881" s="114"/>
      <c r="AC881" s="114"/>
      <c r="AD881" s="114"/>
      <c r="AE881" s="114"/>
      <c r="AF881" s="114"/>
      <c r="AG881" s="114"/>
      <c r="AH881" s="114"/>
      <c r="AI881" s="114"/>
      <c r="AJ881" s="114"/>
      <c r="AK881" s="114"/>
    </row>
    <row r="882" ht="15.75" customHeight="1">
      <c r="A882" s="114"/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  <c r="AA882" s="114"/>
      <c r="AB882" s="114"/>
      <c r="AC882" s="114"/>
      <c r="AD882" s="114"/>
      <c r="AE882" s="114"/>
      <c r="AF882" s="114"/>
      <c r="AG882" s="114"/>
      <c r="AH882" s="114"/>
      <c r="AI882" s="114"/>
      <c r="AJ882" s="114"/>
      <c r="AK882" s="114"/>
    </row>
    <row r="883" ht="15.75" customHeight="1">
      <c r="A883" s="114"/>
      <c r="B883" s="114"/>
      <c r="C883" s="114"/>
      <c r="D883" s="114"/>
      <c r="E883" s="114"/>
      <c r="F883" s="114"/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  <c r="AA883" s="114"/>
      <c r="AB883" s="114"/>
      <c r="AC883" s="114"/>
      <c r="AD883" s="114"/>
      <c r="AE883" s="114"/>
      <c r="AF883" s="114"/>
      <c r="AG883" s="114"/>
      <c r="AH883" s="114"/>
      <c r="AI883" s="114"/>
      <c r="AJ883" s="114"/>
      <c r="AK883" s="114"/>
    </row>
    <row r="884" ht="15.75" customHeight="1">
      <c r="A884" s="114"/>
      <c r="B884" s="114"/>
      <c r="C884" s="114"/>
      <c r="D884" s="114"/>
      <c r="E884" s="114"/>
      <c r="F884" s="114"/>
      <c r="G884" s="114"/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  <c r="AA884" s="114"/>
      <c r="AB884" s="114"/>
      <c r="AC884" s="114"/>
      <c r="AD884" s="114"/>
      <c r="AE884" s="114"/>
      <c r="AF884" s="114"/>
      <c r="AG884" s="114"/>
      <c r="AH884" s="114"/>
      <c r="AI884" s="114"/>
      <c r="AJ884" s="114"/>
      <c r="AK884" s="114"/>
    </row>
    <row r="885" ht="15.75" customHeight="1">
      <c r="A885" s="114"/>
      <c r="B885" s="114"/>
      <c r="C885" s="114"/>
      <c r="D885" s="114"/>
      <c r="E885" s="114"/>
      <c r="F885" s="114"/>
      <c r="G885" s="114"/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  <c r="AA885" s="114"/>
      <c r="AB885" s="114"/>
      <c r="AC885" s="114"/>
      <c r="AD885" s="114"/>
      <c r="AE885" s="114"/>
      <c r="AF885" s="114"/>
      <c r="AG885" s="114"/>
      <c r="AH885" s="114"/>
      <c r="AI885" s="114"/>
      <c r="AJ885" s="114"/>
      <c r="AK885" s="114"/>
    </row>
    <row r="886" ht="15.75" customHeight="1">
      <c r="A886" s="114"/>
      <c r="B886" s="114"/>
      <c r="C886" s="114"/>
      <c r="D886" s="114"/>
      <c r="E886" s="114"/>
      <c r="F886" s="114"/>
      <c r="G886" s="114"/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  <c r="AA886" s="114"/>
      <c r="AB886" s="114"/>
      <c r="AC886" s="114"/>
      <c r="AD886" s="114"/>
      <c r="AE886" s="114"/>
      <c r="AF886" s="114"/>
      <c r="AG886" s="114"/>
      <c r="AH886" s="114"/>
      <c r="AI886" s="114"/>
      <c r="AJ886" s="114"/>
      <c r="AK886" s="114"/>
    </row>
    <row r="887" ht="15.75" customHeight="1">
      <c r="A887" s="114"/>
      <c r="B887" s="114"/>
      <c r="C887" s="114"/>
      <c r="D887" s="114"/>
      <c r="E887" s="114"/>
      <c r="F887" s="114"/>
      <c r="G887" s="114"/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  <c r="AA887" s="114"/>
      <c r="AB887" s="114"/>
      <c r="AC887" s="114"/>
      <c r="AD887" s="114"/>
      <c r="AE887" s="114"/>
      <c r="AF887" s="114"/>
      <c r="AG887" s="114"/>
      <c r="AH887" s="114"/>
      <c r="AI887" s="114"/>
      <c r="AJ887" s="114"/>
      <c r="AK887" s="114"/>
    </row>
    <row r="888" ht="15.75" customHeight="1">
      <c r="A888" s="114"/>
      <c r="B888" s="114"/>
      <c r="C888" s="114"/>
      <c r="D888" s="114"/>
      <c r="E888" s="114"/>
      <c r="F888" s="114"/>
      <c r="G888" s="114"/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  <c r="AA888" s="114"/>
      <c r="AB888" s="114"/>
      <c r="AC888" s="114"/>
      <c r="AD888" s="114"/>
      <c r="AE888" s="114"/>
      <c r="AF888" s="114"/>
      <c r="AG888" s="114"/>
      <c r="AH888" s="114"/>
      <c r="AI888" s="114"/>
      <c r="AJ888" s="114"/>
      <c r="AK888" s="114"/>
    </row>
    <row r="889" ht="15.75" customHeight="1">
      <c r="A889" s="114"/>
      <c r="B889" s="114"/>
      <c r="C889" s="114"/>
      <c r="D889" s="114"/>
      <c r="E889" s="114"/>
      <c r="F889" s="114"/>
      <c r="G889" s="114"/>
      <c r="H889" s="114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  <c r="AA889" s="114"/>
      <c r="AB889" s="114"/>
      <c r="AC889" s="114"/>
      <c r="AD889" s="114"/>
      <c r="AE889" s="114"/>
      <c r="AF889" s="114"/>
      <c r="AG889" s="114"/>
      <c r="AH889" s="114"/>
      <c r="AI889" s="114"/>
      <c r="AJ889" s="114"/>
      <c r="AK889" s="114"/>
    </row>
    <row r="890" ht="15.75" customHeight="1">
      <c r="A890" s="114"/>
      <c r="B890" s="114"/>
      <c r="C890" s="114"/>
      <c r="D890" s="114"/>
      <c r="E890" s="114"/>
      <c r="F890" s="114"/>
      <c r="G890" s="114"/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  <c r="AA890" s="114"/>
      <c r="AB890" s="114"/>
      <c r="AC890" s="114"/>
      <c r="AD890" s="114"/>
      <c r="AE890" s="114"/>
      <c r="AF890" s="114"/>
      <c r="AG890" s="114"/>
      <c r="AH890" s="114"/>
      <c r="AI890" s="114"/>
      <c r="AJ890" s="114"/>
      <c r="AK890" s="114"/>
    </row>
    <row r="891" ht="15.75" customHeight="1">
      <c r="A891" s="114"/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  <c r="AA891" s="114"/>
      <c r="AB891" s="114"/>
      <c r="AC891" s="114"/>
      <c r="AD891" s="114"/>
      <c r="AE891" s="114"/>
      <c r="AF891" s="114"/>
      <c r="AG891" s="114"/>
      <c r="AH891" s="114"/>
      <c r="AI891" s="114"/>
      <c r="AJ891" s="114"/>
      <c r="AK891" s="114"/>
    </row>
    <row r="892" ht="15.75" customHeight="1">
      <c r="A892" s="114"/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  <c r="AA892" s="114"/>
      <c r="AB892" s="114"/>
      <c r="AC892" s="114"/>
      <c r="AD892" s="114"/>
      <c r="AE892" s="114"/>
      <c r="AF892" s="114"/>
      <c r="AG892" s="114"/>
      <c r="AH892" s="114"/>
      <c r="AI892" s="114"/>
      <c r="AJ892" s="114"/>
      <c r="AK892" s="114"/>
    </row>
    <row r="893" ht="15.75" customHeight="1">
      <c r="A893" s="114"/>
      <c r="B893" s="114"/>
      <c r="C893" s="114"/>
      <c r="D893" s="114"/>
      <c r="E893" s="114"/>
      <c r="F893" s="114"/>
      <c r="G893" s="114"/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  <c r="AA893" s="114"/>
      <c r="AB893" s="114"/>
      <c r="AC893" s="114"/>
      <c r="AD893" s="114"/>
      <c r="AE893" s="114"/>
      <c r="AF893" s="114"/>
      <c r="AG893" s="114"/>
      <c r="AH893" s="114"/>
      <c r="AI893" s="114"/>
      <c r="AJ893" s="114"/>
      <c r="AK893" s="114"/>
    </row>
    <row r="894" ht="15.75" customHeight="1">
      <c r="A894" s="114"/>
      <c r="B894" s="114"/>
      <c r="C894" s="114"/>
      <c r="D894" s="114"/>
      <c r="E894" s="114"/>
      <c r="F894" s="114"/>
      <c r="G894" s="114"/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  <c r="AA894" s="114"/>
      <c r="AB894" s="114"/>
      <c r="AC894" s="114"/>
      <c r="AD894" s="114"/>
      <c r="AE894" s="114"/>
      <c r="AF894" s="114"/>
      <c r="AG894" s="114"/>
      <c r="AH894" s="114"/>
      <c r="AI894" s="114"/>
      <c r="AJ894" s="114"/>
      <c r="AK894" s="114"/>
    </row>
    <row r="895" ht="15.75" customHeight="1">
      <c r="A895" s="114"/>
      <c r="B895" s="114"/>
      <c r="C895" s="114"/>
      <c r="D895" s="114"/>
      <c r="E895" s="114"/>
      <c r="F895" s="114"/>
      <c r="G895" s="114"/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  <c r="AA895" s="114"/>
      <c r="AB895" s="114"/>
      <c r="AC895" s="114"/>
      <c r="AD895" s="114"/>
      <c r="AE895" s="114"/>
      <c r="AF895" s="114"/>
      <c r="AG895" s="114"/>
      <c r="AH895" s="114"/>
      <c r="AI895" s="114"/>
      <c r="AJ895" s="114"/>
      <c r="AK895" s="114"/>
    </row>
    <row r="896" ht="15.75" customHeight="1">
      <c r="A896" s="114"/>
      <c r="B896" s="114"/>
      <c r="C896" s="114"/>
      <c r="D896" s="114"/>
      <c r="E896" s="114"/>
      <c r="F896" s="114"/>
      <c r="G896" s="114"/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  <c r="AA896" s="114"/>
      <c r="AB896" s="114"/>
      <c r="AC896" s="114"/>
      <c r="AD896" s="114"/>
      <c r="AE896" s="114"/>
      <c r="AF896" s="114"/>
      <c r="AG896" s="114"/>
      <c r="AH896" s="114"/>
      <c r="AI896" s="114"/>
      <c r="AJ896" s="114"/>
      <c r="AK896" s="114"/>
    </row>
    <row r="897" ht="15.75" customHeight="1">
      <c r="A897" s="114"/>
      <c r="B897" s="114"/>
      <c r="C897" s="114"/>
      <c r="D897" s="114"/>
      <c r="E897" s="114"/>
      <c r="F897" s="114"/>
      <c r="G897" s="114"/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  <c r="AA897" s="114"/>
      <c r="AB897" s="114"/>
      <c r="AC897" s="114"/>
      <c r="AD897" s="114"/>
      <c r="AE897" s="114"/>
      <c r="AF897" s="114"/>
      <c r="AG897" s="114"/>
      <c r="AH897" s="114"/>
      <c r="AI897" s="114"/>
      <c r="AJ897" s="114"/>
      <c r="AK897" s="114"/>
    </row>
    <row r="898" ht="15.75" customHeight="1">
      <c r="A898" s="114"/>
      <c r="B898" s="114"/>
      <c r="C898" s="114"/>
      <c r="D898" s="114"/>
      <c r="E898" s="114"/>
      <c r="F898" s="114"/>
      <c r="G898" s="114"/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  <c r="AA898" s="114"/>
      <c r="AB898" s="114"/>
      <c r="AC898" s="114"/>
      <c r="AD898" s="114"/>
      <c r="AE898" s="114"/>
      <c r="AF898" s="114"/>
      <c r="AG898" s="114"/>
      <c r="AH898" s="114"/>
      <c r="AI898" s="114"/>
      <c r="AJ898" s="114"/>
      <c r="AK898" s="114"/>
    </row>
    <row r="899" ht="15.75" customHeight="1">
      <c r="A899" s="114"/>
      <c r="B899" s="114"/>
      <c r="C899" s="114"/>
      <c r="D899" s="114"/>
      <c r="E899" s="114"/>
      <c r="F899" s="114"/>
      <c r="G899" s="114"/>
      <c r="H899" s="114"/>
      <c r="I899" s="114"/>
      <c r="J899" s="114"/>
      <c r="K899" s="114"/>
      <c r="L899" s="114"/>
      <c r="M899" s="114"/>
      <c r="N899" s="114"/>
      <c r="O899" s="114"/>
      <c r="P899" s="114"/>
      <c r="Q899" s="114"/>
      <c r="R899" s="114"/>
      <c r="S899" s="114"/>
      <c r="T899" s="114"/>
      <c r="U899" s="114"/>
      <c r="V899" s="114"/>
      <c r="W899" s="114"/>
      <c r="X899" s="114"/>
      <c r="Y899" s="114"/>
      <c r="Z899" s="114"/>
      <c r="AA899" s="114"/>
      <c r="AB899" s="114"/>
      <c r="AC899" s="114"/>
      <c r="AD899" s="114"/>
      <c r="AE899" s="114"/>
      <c r="AF899" s="114"/>
      <c r="AG899" s="114"/>
      <c r="AH899" s="114"/>
      <c r="AI899" s="114"/>
      <c r="AJ899" s="114"/>
      <c r="AK899" s="114"/>
    </row>
    <row r="900" ht="15.75" customHeight="1">
      <c r="A900" s="114"/>
      <c r="B900" s="114"/>
      <c r="C900" s="114"/>
      <c r="D900" s="114"/>
      <c r="E900" s="114"/>
      <c r="F900" s="114"/>
      <c r="G900" s="114"/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  <c r="AA900" s="114"/>
      <c r="AB900" s="114"/>
      <c r="AC900" s="114"/>
      <c r="AD900" s="114"/>
      <c r="AE900" s="114"/>
      <c r="AF900" s="114"/>
      <c r="AG900" s="114"/>
      <c r="AH900" s="114"/>
      <c r="AI900" s="114"/>
      <c r="AJ900" s="114"/>
      <c r="AK900" s="114"/>
    </row>
    <row r="901" ht="15.75" customHeight="1">
      <c r="A901" s="114"/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  <c r="AA901" s="114"/>
      <c r="AB901" s="114"/>
      <c r="AC901" s="114"/>
      <c r="AD901" s="114"/>
      <c r="AE901" s="114"/>
      <c r="AF901" s="114"/>
      <c r="AG901" s="114"/>
      <c r="AH901" s="114"/>
      <c r="AI901" s="114"/>
      <c r="AJ901" s="114"/>
      <c r="AK901" s="114"/>
    </row>
    <row r="902" ht="15.75" customHeight="1">
      <c r="A902" s="114"/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  <c r="AA902" s="114"/>
      <c r="AB902" s="114"/>
      <c r="AC902" s="114"/>
      <c r="AD902" s="114"/>
      <c r="AE902" s="114"/>
      <c r="AF902" s="114"/>
      <c r="AG902" s="114"/>
      <c r="AH902" s="114"/>
      <c r="AI902" s="114"/>
      <c r="AJ902" s="114"/>
      <c r="AK902" s="114"/>
    </row>
    <row r="903" ht="15.75" customHeight="1">
      <c r="A903" s="114"/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  <c r="AA903" s="114"/>
      <c r="AB903" s="114"/>
      <c r="AC903" s="114"/>
      <c r="AD903" s="114"/>
      <c r="AE903" s="114"/>
      <c r="AF903" s="114"/>
      <c r="AG903" s="114"/>
      <c r="AH903" s="114"/>
      <c r="AI903" s="114"/>
      <c r="AJ903" s="114"/>
      <c r="AK903" s="114"/>
    </row>
    <row r="904" ht="15.75" customHeight="1">
      <c r="A904" s="114"/>
      <c r="B904" s="114"/>
      <c r="C904" s="114"/>
      <c r="D904" s="114"/>
      <c r="E904" s="114"/>
      <c r="F904" s="114"/>
      <c r="G904" s="114"/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  <c r="AA904" s="114"/>
      <c r="AB904" s="114"/>
      <c r="AC904" s="114"/>
      <c r="AD904" s="114"/>
      <c r="AE904" s="114"/>
      <c r="AF904" s="114"/>
      <c r="AG904" s="114"/>
      <c r="AH904" s="114"/>
      <c r="AI904" s="114"/>
      <c r="AJ904" s="114"/>
      <c r="AK904" s="114"/>
    </row>
    <row r="905" ht="15.75" customHeight="1">
      <c r="A905" s="114"/>
      <c r="B905" s="114"/>
      <c r="C905" s="114"/>
      <c r="D905" s="114"/>
      <c r="E905" s="114"/>
      <c r="F905" s="114"/>
      <c r="G905" s="114"/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  <c r="AA905" s="114"/>
      <c r="AB905" s="114"/>
      <c r="AC905" s="114"/>
      <c r="AD905" s="114"/>
      <c r="AE905" s="114"/>
      <c r="AF905" s="114"/>
      <c r="AG905" s="114"/>
      <c r="AH905" s="114"/>
      <c r="AI905" s="114"/>
      <c r="AJ905" s="114"/>
      <c r="AK905" s="114"/>
    </row>
    <row r="906" ht="15.75" customHeight="1">
      <c r="A906" s="114"/>
      <c r="B906" s="114"/>
      <c r="C906" s="114"/>
      <c r="D906" s="114"/>
      <c r="E906" s="114"/>
      <c r="F906" s="114"/>
      <c r="G906" s="114"/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  <c r="AA906" s="114"/>
      <c r="AB906" s="114"/>
      <c r="AC906" s="114"/>
      <c r="AD906" s="114"/>
      <c r="AE906" s="114"/>
      <c r="AF906" s="114"/>
      <c r="AG906" s="114"/>
      <c r="AH906" s="114"/>
      <c r="AI906" s="114"/>
      <c r="AJ906" s="114"/>
      <c r="AK906" s="114"/>
    </row>
    <row r="907" ht="15.75" customHeight="1">
      <c r="A907" s="114"/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  <c r="AA907" s="114"/>
      <c r="AB907" s="114"/>
      <c r="AC907" s="114"/>
      <c r="AD907" s="114"/>
      <c r="AE907" s="114"/>
      <c r="AF907" s="114"/>
      <c r="AG907" s="114"/>
      <c r="AH907" s="114"/>
      <c r="AI907" s="114"/>
      <c r="AJ907" s="114"/>
      <c r="AK907" s="114"/>
    </row>
    <row r="908" ht="15.75" customHeight="1">
      <c r="A908" s="114"/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  <c r="AA908" s="114"/>
      <c r="AB908" s="114"/>
      <c r="AC908" s="114"/>
      <c r="AD908" s="114"/>
      <c r="AE908" s="114"/>
      <c r="AF908" s="114"/>
      <c r="AG908" s="114"/>
      <c r="AH908" s="114"/>
      <c r="AI908" s="114"/>
      <c r="AJ908" s="114"/>
      <c r="AK908" s="114"/>
    </row>
    <row r="909" ht="15.75" customHeight="1">
      <c r="A909" s="114"/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  <c r="AA909" s="114"/>
      <c r="AB909" s="114"/>
      <c r="AC909" s="114"/>
      <c r="AD909" s="114"/>
      <c r="AE909" s="114"/>
      <c r="AF909" s="114"/>
      <c r="AG909" s="114"/>
      <c r="AH909" s="114"/>
      <c r="AI909" s="114"/>
      <c r="AJ909" s="114"/>
      <c r="AK909" s="114"/>
    </row>
    <row r="910" ht="15.75" customHeight="1">
      <c r="A910" s="114"/>
      <c r="B910" s="114"/>
      <c r="C910" s="114"/>
      <c r="D910" s="114"/>
      <c r="E910" s="114"/>
      <c r="F910" s="114"/>
      <c r="G910" s="114"/>
      <c r="H910" s="114"/>
      <c r="I910" s="114"/>
      <c r="J910" s="114"/>
      <c r="K910" s="114"/>
      <c r="L910" s="114"/>
      <c r="M910" s="114"/>
      <c r="N910" s="114"/>
      <c r="O910" s="114"/>
      <c r="P910" s="114"/>
      <c r="Q910" s="114"/>
      <c r="R910" s="114"/>
      <c r="S910" s="114"/>
      <c r="T910" s="114"/>
      <c r="U910" s="114"/>
      <c r="V910" s="114"/>
      <c r="W910" s="114"/>
      <c r="X910" s="114"/>
      <c r="Y910" s="114"/>
      <c r="Z910" s="114"/>
      <c r="AA910" s="114"/>
      <c r="AB910" s="114"/>
      <c r="AC910" s="114"/>
      <c r="AD910" s="114"/>
      <c r="AE910" s="114"/>
      <c r="AF910" s="114"/>
      <c r="AG910" s="114"/>
      <c r="AH910" s="114"/>
      <c r="AI910" s="114"/>
      <c r="AJ910" s="114"/>
      <c r="AK910" s="114"/>
    </row>
    <row r="911" ht="15.75" customHeight="1">
      <c r="A911" s="114"/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4"/>
      <c r="X911" s="114"/>
      <c r="Y911" s="114"/>
      <c r="Z911" s="114"/>
      <c r="AA911" s="114"/>
      <c r="AB911" s="114"/>
      <c r="AC911" s="114"/>
      <c r="AD911" s="114"/>
      <c r="AE911" s="114"/>
      <c r="AF911" s="114"/>
      <c r="AG911" s="114"/>
      <c r="AH911" s="114"/>
      <c r="AI911" s="114"/>
      <c r="AJ911" s="114"/>
      <c r="AK911" s="114"/>
    </row>
    <row r="912" ht="15.75" customHeight="1">
      <c r="A912" s="114"/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4"/>
      <c r="X912" s="114"/>
      <c r="Y912" s="114"/>
      <c r="Z912" s="114"/>
      <c r="AA912" s="114"/>
      <c r="AB912" s="114"/>
      <c r="AC912" s="114"/>
      <c r="AD912" s="114"/>
      <c r="AE912" s="114"/>
      <c r="AF912" s="114"/>
      <c r="AG912" s="114"/>
      <c r="AH912" s="114"/>
      <c r="AI912" s="114"/>
      <c r="AJ912" s="114"/>
      <c r="AK912" s="114"/>
    </row>
    <row r="913" ht="15.75" customHeight="1">
      <c r="A913" s="114"/>
      <c r="B913" s="114"/>
      <c r="C913" s="114"/>
      <c r="D913" s="114"/>
      <c r="E913" s="114"/>
      <c r="F913" s="114"/>
      <c r="G913" s="114"/>
      <c r="H913" s="114"/>
      <c r="I913" s="114"/>
      <c r="J913" s="114"/>
      <c r="K913" s="114"/>
      <c r="L913" s="114"/>
      <c r="M913" s="114"/>
      <c r="N913" s="114"/>
      <c r="O913" s="114"/>
      <c r="P913" s="114"/>
      <c r="Q913" s="114"/>
      <c r="R913" s="114"/>
      <c r="S913" s="114"/>
      <c r="T913" s="114"/>
      <c r="U913" s="114"/>
      <c r="V913" s="114"/>
      <c r="W913" s="114"/>
      <c r="X913" s="114"/>
      <c r="Y913" s="114"/>
      <c r="Z913" s="114"/>
      <c r="AA913" s="114"/>
      <c r="AB913" s="114"/>
      <c r="AC913" s="114"/>
      <c r="AD913" s="114"/>
      <c r="AE913" s="114"/>
      <c r="AF913" s="114"/>
      <c r="AG913" s="114"/>
      <c r="AH913" s="114"/>
      <c r="AI913" s="114"/>
      <c r="AJ913" s="114"/>
      <c r="AK913" s="114"/>
    </row>
    <row r="914" ht="15.75" customHeight="1">
      <c r="A914" s="114"/>
      <c r="B914" s="114"/>
      <c r="C914" s="114"/>
      <c r="D914" s="114"/>
      <c r="E914" s="114"/>
      <c r="F914" s="114"/>
      <c r="G914" s="114"/>
      <c r="H914" s="114"/>
      <c r="I914" s="114"/>
      <c r="J914" s="114"/>
      <c r="K914" s="114"/>
      <c r="L914" s="114"/>
      <c r="M914" s="114"/>
      <c r="N914" s="114"/>
      <c r="O914" s="114"/>
      <c r="P914" s="114"/>
      <c r="Q914" s="114"/>
      <c r="R914" s="114"/>
      <c r="S914" s="114"/>
      <c r="T914" s="114"/>
      <c r="U914" s="114"/>
      <c r="V914" s="114"/>
      <c r="W914" s="114"/>
      <c r="X914" s="114"/>
      <c r="Y914" s="114"/>
      <c r="Z914" s="114"/>
      <c r="AA914" s="114"/>
      <c r="AB914" s="114"/>
      <c r="AC914" s="114"/>
      <c r="AD914" s="114"/>
      <c r="AE914" s="114"/>
      <c r="AF914" s="114"/>
      <c r="AG914" s="114"/>
      <c r="AH914" s="114"/>
      <c r="AI914" s="114"/>
      <c r="AJ914" s="114"/>
      <c r="AK914" s="114"/>
    </row>
    <row r="915" ht="15.75" customHeight="1">
      <c r="A915" s="114"/>
      <c r="B915" s="114"/>
      <c r="C915" s="114"/>
      <c r="D915" s="114"/>
      <c r="E915" s="114"/>
      <c r="F915" s="114"/>
      <c r="G915" s="114"/>
      <c r="H915" s="114"/>
      <c r="I915" s="114"/>
      <c r="J915" s="114"/>
      <c r="K915" s="114"/>
      <c r="L915" s="114"/>
      <c r="M915" s="114"/>
      <c r="N915" s="114"/>
      <c r="O915" s="114"/>
      <c r="P915" s="114"/>
      <c r="Q915" s="114"/>
      <c r="R915" s="114"/>
      <c r="S915" s="114"/>
      <c r="T915" s="114"/>
      <c r="U915" s="114"/>
      <c r="V915" s="114"/>
      <c r="W915" s="114"/>
      <c r="X915" s="114"/>
      <c r="Y915" s="114"/>
      <c r="Z915" s="114"/>
      <c r="AA915" s="114"/>
      <c r="AB915" s="114"/>
      <c r="AC915" s="114"/>
      <c r="AD915" s="114"/>
      <c r="AE915" s="114"/>
      <c r="AF915" s="114"/>
      <c r="AG915" s="114"/>
      <c r="AH915" s="114"/>
      <c r="AI915" s="114"/>
      <c r="AJ915" s="114"/>
      <c r="AK915" s="114"/>
    </row>
    <row r="916" ht="15.75" customHeight="1">
      <c r="A916" s="114"/>
      <c r="B916" s="114"/>
      <c r="C916" s="114"/>
      <c r="D916" s="114"/>
      <c r="E916" s="114"/>
      <c r="F916" s="114"/>
      <c r="G916" s="114"/>
      <c r="H916" s="114"/>
      <c r="I916" s="114"/>
      <c r="J916" s="114"/>
      <c r="K916" s="114"/>
      <c r="L916" s="114"/>
      <c r="M916" s="114"/>
      <c r="N916" s="114"/>
      <c r="O916" s="114"/>
      <c r="P916" s="114"/>
      <c r="Q916" s="114"/>
      <c r="R916" s="114"/>
      <c r="S916" s="114"/>
      <c r="T916" s="114"/>
      <c r="U916" s="114"/>
      <c r="V916" s="114"/>
      <c r="W916" s="114"/>
      <c r="X916" s="114"/>
      <c r="Y916" s="114"/>
      <c r="Z916" s="114"/>
      <c r="AA916" s="114"/>
      <c r="AB916" s="114"/>
      <c r="AC916" s="114"/>
      <c r="AD916" s="114"/>
      <c r="AE916" s="114"/>
      <c r="AF916" s="114"/>
      <c r="AG916" s="114"/>
      <c r="AH916" s="114"/>
      <c r="AI916" s="114"/>
      <c r="AJ916" s="114"/>
      <c r="AK916" s="114"/>
    </row>
    <row r="917" ht="15.75" customHeight="1">
      <c r="A917" s="114"/>
      <c r="B917" s="114"/>
      <c r="C917" s="114"/>
      <c r="D917" s="114"/>
      <c r="E917" s="114"/>
      <c r="F917" s="114"/>
      <c r="G917" s="114"/>
      <c r="H917" s="114"/>
      <c r="I917" s="114"/>
      <c r="J917" s="114"/>
      <c r="K917" s="114"/>
      <c r="L917" s="114"/>
      <c r="M917" s="114"/>
      <c r="N917" s="114"/>
      <c r="O917" s="114"/>
      <c r="P917" s="114"/>
      <c r="Q917" s="114"/>
      <c r="R917" s="114"/>
      <c r="S917" s="114"/>
      <c r="T917" s="114"/>
      <c r="U917" s="114"/>
      <c r="V917" s="114"/>
      <c r="W917" s="114"/>
      <c r="X917" s="114"/>
      <c r="Y917" s="114"/>
      <c r="Z917" s="114"/>
      <c r="AA917" s="114"/>
      <c r="AB917" s="114"/>
      <c r="AC917" s="114"/>
      <c r="AD917" s="114"/>
      <c r="AE917" s="114"/>
      <c r="AF917" s="114"/>
      <c r="AG917" s="114"/>
      <c r="AH917" s="114"/>
      <c r="AI917" s="114"/>
      <c r="AJ917" s="114"/>
      <c r="AK917" s="114"/>
    </row>
    <row r="918" ht="15.75" customHeight="1">
      <c r="A918" s="114"/>
      <c r="B918" s="114"/>
      <c r="C918" s="114"/>
      <c r="D918" s="114"/>
      <c r="E918" s="114"/>
      <c r="F918" s="114"/>
      <c r="G918" s="114"/>
      <c r="H918" s="114"/>
      <c r="I918" s="114"/>
      <c r="J918" s="114"/>
      <c r="K918" s="114"/>
      <c r="L918" s="114"/>
      <c r="M918" s="114"/>
      <c r="N918" s="114"/>
      <c r="O918" s="114"/>
      <c r="P918" s="114"/>
      <c r="Q918" s="114"/>
      <c r="R918" s="114"/>
      <c r="S918" s="114"/>
      <c r="T918" s="114"/>
      <c r="U918" s="114"/>
      <c r="V918" s="114"/>
      <c r="W918" s="114"/>
      <c r="X918" s="114"/>
      <c r="Y918" s="114"/>
      <c r="Z918" s="114"/>
      <c r="AA918" s="114"/>
      <c r="AB918" s="114"/>
      <c r="AC918" s="114"/>
      <c r="AD918" s="114"/>
      <c r="AE918" s="114"/>
      <c r="AF918" s="114"/>
      <c r="AG918" s="114"/>
      <c r="AH918" s="114"/>
      <c r="AI918" s="114"/>
      <c r="AJ918" s="114"/>
      <c r="AK918" s="114"/>
    </row>
    <row r="919" ht="15.75" customHeight="1">
      <c r="A919" s="114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  <c r="O919" s="114"/>
      <c r="P919" s="114"/>
      <c r="Q919" s="114"/>
      <c r="R919" s="114"/>
      <c r="S919" s="114"/>
      <c r="T919" s="114"/>
      <c r="U919" s="114"/>
      <c r="V919" s="114"/>
      <c r="W919" s="114"/>
      <c r="X919" s="114"/>
      <c r="Y919" s="114"/>
      <c r="Z919" s="114"/>
      <c r="AA919" s="114"/>
      <c r="AB919" s="114"/>
      <c r="AC919" s="114"/>
      <c r="AD919" s="114"/>
      <c r="AE919" s="114"/>
      <c r="AF919" s="114"/>
      <c r="AG919" s="114"/>
      <c r="AH919" s="114"/>
      <c r="AI919" s="114"/>
      <c r="AJ919" s="114"/>
      <c r="AK919" s="114"/>
    </row>
    <row r="920" ht="15.75" customHeight="1">
      <c r="A920" s="114"/>
      <c r="B920" s="114"/>
      <c r="C920" s="114"/>
      <c r="D920" s="114"/>
      <c r="E920" s="114"/>
      <c r="F920" s="114"/>
      <c r="G920" s="114"/>
      <c r="H920" s="114"/>
      <c r="I920" s="114"/>
      <c r="J920" s="114"/>
      <c r="K920" s="114"/>
      <c r="L920" s="114"/>
      <c r="M920" s="114"/>
      <c r="N920" s="114"/>
      <c r="O920" s="114"/>
      <c r="P920" s="114"/>
      <c r="Q920" s="114"/>
      <c r="R920" s="114"/>
      <c r="S920" s="114"/>
      <c r="T920" s="114"/>
      <c r="U920" s="114"/>
      <c r="V920" s="114"/>
      <c r="W920" s="114"/>
      <c r="X920" s="114"/>
      <c r="Y920" s="114"/>
      <c r="Z920" s="114"/>
      <c r="AA920" s="114"/>
      <c r="AB920" s="114"/>
      <c r="AC920" s="114"/>
      <c r="AD920" s="114"/>
      <c r="AE920" s="114"/>
      <c r="AF920" s="114"/>
      <c r="AG920" s="114"/>
      <c r="AH920" s="114"/>
      <c r="AI920" s="114"/>
      <c r="AJ920" s="114"/>
      <c r="AK920" s="114"/>
    </row>
    <row r="921" ht="15.75" customHeight="1">
      <c r="A921" s="114"/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4"/>
      <c r="M921" s="114"/>
      <c r="N921" s="114"/>
      <c r="O921" s="114"/>
      <c r="P921" s="114"/>
      <c r="Q921" s="114"/>
      <c r="R921" s="114"/>
      <c r="S921" s="114"/>
      <c r="T921" s="114"/>
      <c r="U921" s="114"/>
      <c r="V921" s="114"/>
      <c r="W921" s="114"/>
      <c r="X921" s="114"/>
      <c r="Y921" s="114"/>
      <c r="Z921" s="114"/>
      <c r="AA921" s="114"/>
      <c r="AB921" s="114"/>
      <c r="AC921" s="114"/>
      <c r="AD921" s="114"/>
      <c r="AE921" s="114"/>
      <c r="AF921" s="114"/>
      <c r="AG921" s="114"/>
      <c r="AH921" s="114"/>
      <c r="AI921" s="114"/>
      <c r="AJ921" s="114"/>
      <c r="AK921" s="114"/>
    </row>
    <row r="922" ht="15.75" customHeight="1">
      <c r="A922" s="114"/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4"/>
      <c r="N922" s="114"/>
      <c r="O922" s="114"/>
      <c r="P922" s="114"/>
      <c r="Q922" s="114"/>
      <c r="R922" s="114"/>
      <c r="S922" s="114"/>
      <c r="T922" s="114"/>
      <c r="U922" s="114"/>
      <c r="V922" s="114"/>
      <c r="W922" s="114"/>
      <c r="X922" s="114"/>
      <c r="Y922" s="114"/>
      <c r="Z922" s="114"/>
      <c r="AA922" s="114"/>
      <c r="AB922" s="114"/>
      <c r="AC922" s="114"/>
      <c r="AD922" s="114"/>
      <c r="AE922" s="114"/>
      <c r="AF922" s="114"/>
      <c r="AG922" s="114"/>
      <c r="AH922" s="114"/>
      <c r="AI922" s="114"/>
      <c r="AJ922" s="114"/>
      <c r="AK922" s="114"/>
    </row>
    <row r="923" ht="15.75" customHeight="1">
      <c r="A923" s="114"/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4"/>
      <c r="M923" s="114"/>
      <c r="N923" s="114"/>
      <c r="O923" s="114"/>
      <c r="P923" s="114"/>
      <c r="Q923" s="114"/>
      <c r="R923" s="114"/>
      <c r="S923" s="114"/>
      <c r="T923" s="114"/>
      <c r="U923" s="114"/>
      <c r="V923" s="114"/>
      <c r="W923" s="114"/>
      <c r="X923" s="114"/>
      <c r="Y923" s="114"/>
      <c r="Z923" s="114"/>
      <c r="AA923" s="114"/>
      <c r="AB923" s="114"/>
      <c r="AC923" s="114"/>
      <c r="AD923" s="114"/>
      <c r="AE923" s="114"/>
      <c r="AF923" s="114"/>
      <c r="AG923" s="114"/>
      <c r="AH923" s="114"/>
      <c r="AI923" s="114"/>
      <c r="AJ923" s="114"/>
      <c r="AK923" s="114"/>
    </row>
    <row r="924" ht="15.75" customHeight="1">
      <c r="A924" s="114"/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4"/>
      <c r="M924" s="114"/>
      <c r="N924" s="114"/>
      <c r="O924" s="114"/>
      <c r="P924" s="114"/>
      <c r="Q924" s="114"/>
      <c r="R924" s="114"/>
      <c r="S924" s="114"/>
      <c r="T924" s="114"/>
      <c r="U924" s="114"/>
      <c r="V924" s="114"/>
      <c r="W924" s="114"/>
      <c r="X924" s="114"/>
      <c r="Y924" s="114"/>
      <c r="Z924" s="114"/>
      <c r="AA924" s="114"/>
      <c r="AB924" s="114"/>
      <c r="AC924" s="114"/>
      <c r="AD924" s="114"/>
      <c r="AE924" s="114"/>
      <c r="AF924" s="114"/>
      <c r="AG924" s="114"/>
      <c r="AH924" s="114"/>
      <c r="AI924" s="114"/>
      <c r="AJ924" s="114"/>
      <c r="AK924" s="114"/>
    </row>
    <row r="925" ht="15.75" customHeight="1">
      <c r="A925" s="114"/>
      <c r="B925" s="114"/>
      <c r="C925" s="114"/>
      <c r="D925" s="114"/>
      <c r="E925" s="114"/>
      <c r="F925" s="114"/>
      <c r="G925" s="114"/>
      <c r="H925" s="114"/>
      <c r="I925" s="114"/>
      <c r="J925" s="114"/>
      <c r="K925" s="114"/>
      <c r="L925" s="114"/>
      <c r="M925" s="114"/>
      <c r="N925" s="114"/>
      <c r="O925" s="114"/>
      <c r="P925" s="114"/>
      <c r="Q925" s="114"/>
      <c r="R925" s="114"/>
      <c r="S925" s="114"/>
      <c r="T925" s="114"/>
      <c r="U925" s="114"/>
      <c r="V925" s="114"/>
      <c r="W925" s="114"/>
      <c r="X925" s="114"/>
      <c r="Y925" s="114"/>
      <c r="Z925" s="114"/>
      <c r="AA925" s="114"/>
      <c r="AB925" s="114"/>
      <c r="AC925" s="114"/>
      <c r="AD925" s="114"/>
      <c r="AE925" s="114"/>
      <c r="AF925" s="114"/>
      <c r="AG925" s="114"/>
      <c r="AH925" s="114"/>
      <c r="AI925" s="114"/>
      <c r="AJ925" s="114"/>
      <c r="AK925" s="114"/>
    </row>
    <row r="926" ht="15.75" customHeight="1">
      <c r="A926" s="114"/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4"/>
      <c r="M926" s="114"/>
      <c r="N926" s="114"/>
      <c r="O926" s="114"/>
      <c r="P926" s="114"/>
      <c r="Q926" s="114"/>
      <c r="R926" s="114"/>
      <c r="S926" s="114"/>
      <c r="T926" s="114"/>
      <c r="U926" s="114"/>
      <c r="V926" s="114"/>
      <c r="W926" s="114"/>
      <c r="X926" s="114"/>
      <c r="Y926" s="114"/>
      <c r="Z926" s="114"/>
      <c r="AA926" s="114"/>
      <c r="AB926" s="114"/>
      <c r="AC926" s="114"/>
      <c r="AD926" s="114"/>
      <c r="AE926" s="114"/>
      <c r="AF926" s="114"/>
      <c r="AG926" s="114"/>
      <c r="AH926" s="114"/>
      <c r="AI926" s="114"/>
      <c r="AJ926" s="114"/>
      <c r="AK926" s="114"/>
    </row>
    <row r="927" ht="15.75" customHeight="1">
      <c r="A927" s="114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  <c r="O927" s="114"/>
      <c r="P927" s="114"/>
      <c r="Q927" s="114"/>
      <c r="R927" s="114"/>
      <c r="S927" s="114"/>
      <c r="T927" s="114"/>
      <c r="U927" s="114"/>
      <c r="V927" s="114"/>
      <c r="W927" s="114"/>
      <c r="X927" s="114"/>
      <c r="Y927" s="114"/>
      <c r="Z927" s="114"/>
      <c r="AA927" s="114"/>
      <c r="AB927" s="114"/>
      <c r="AC927" s="114"/>
      <c r="AD927" s="114"/>
      <c r="AE927" s="114"/>
      <c r="AF927" s="114"/>
      <c r="AG927" s="114"/>
      <c r="AH927" s="114"/>
      <c r="AI927" s="114"/>
      <c r="AJ927" s="114"/>
      <c r="AK927" s="114"/>
    </row>
    <row r="928" ht="15.75" customHeight="1">
      <c r="A928" s="114"/>
      <c r="B928" s="114"/>
      <c r="C928" s="114"/>
      <c r="D928" s="114"/>
      <c r="E928" s="114"/>
      <c r="F928" s="114"/>
      <c r="G928" s="114"/>
      <c r="H928" s="114"/>
      <c r="I928" s="114"/>
      <c r="J928" s="114"/>
      <c r="K928" s="114"/>
      <c r="L928" s="114"/>
      <c r="M928" s="114"/>
      <c r="N928" s="114"/>
      <c r="O928" s="114"/>
      <c r="P928" s="114"/>
      <c r="Q928" s="114"/>
      <c r="R928" s="114"/>
      <c r="S928" s="114"/>
      <c r="T928" s="114"/>
      <c r="U928" s="114"/>
      <c r="V928" s="114"/>
      <c r="W928" s="114"/>
      <c r="X928" s="114"/>
      <c r="Y928" s="114"/>
      <c r="Z928" s="114"/>
      <c r="AA928" s="114"/>
      <c r="AB928" s="114"/>
      <c r="AC928" s="114"/>
      <c r="AD928" s="114"/>
      <c r="AE928" s="114"/>
      <c r="AF928" s="114"/>
      <c r="AG928" s="114"/>
      <c r="AH928" s="114"/>
      <c r="AI928" s="114"/>
      <c r="AJ928" s="114"/>
      <c r="AK928" s="114"/>
    </row>
    <row r="929" ht="15.75" customHeight="1">
      <c r="A929" s="114"/>
      <c r="B929" s="114"/>
      <c r="C929" s="114"/>
      <c r="D929" s="114"/>
      <c r="E929" s="114"/>
      <c r="F929" s="114"/>
      <c r="G929" s="114"/>
      <c r="H929" s="114"/>
      <c r="I929" s="114"/>
      <c r="J929" s="114"/>
      <c r="K929" s="114"/>
      <c r="L929" s="114"/>
      <c r="M929" s="114"/>
      <c r="N929" s="114"/>
      <c r="O929" s="114"/>
      <c r="P929" s="114"/>
      <c r="Q929" s="114"/>
      <c r="R929" s="114"/>
      <c r="S929" s="114"/>
      <c r="T929" s="114"/>
      <c r="U929" s="114"/>
      <c r="V929" s="114"/>
      <c r="W929" s="114"/>
      <c r="X929" s="114"/>
      <c r="Y929" s="114"/>
      <c r="Z929" s="114"/>
      <c r="AA929" s="114"/>
      <c r="AB929" s="114"/>
      <c r="AC929" s="114"/>
      <c r="AD929" s="114"/>
      <c r="AE929" s="114"/>
      <c r="AF929" s="114"/>
      <c r="AG929" s="114"/>
      <c r="AH929" s="114"/>
      <c r="AI929" s="114"/>
      <c r="AJ929" s="114"/>
      <c r="AK929" s="114"/>
    </row>
    <row r="930" ht="15.75" customHeight="1">
      <c r="A930" s="114"/>
      <c r="B930" s="114"/>
      <c r="C930" s="114"/>
      <c r="D930" s="114"/>
      <c r="E930" s="114"/>
      <c r="F930" s="114"/>
      <c r="G930" s="114"/>
      <c r="H930" s="114"/>
      <c r="I930" s="114"/>
      <c r="J930" s="114"/>
      <c r="K930" s="114"/>
      <c r="L930" s="114"/>
      <c r="M930" s="114"/>
      <c r="N930" s="114"/>
      <c r="O930" s="114"/>
      <c r="P930" s="114"/>
      <c r="Q930" s="114"/>
      <c r="R930" s="114"/>
      <c r="S930" s="114"/>
      <c r="T930" s="114"/>
      <c r="U930" s="114"/>
      <c r="V930" s="114"/>
      <c r="W930" s="114"/>
      <c r="X930" s="114"/>
      <c r="Y930" s="114"/>
      <c r="Z930" s="114"/>
      <c r="AA930" s="114"/>
      <c r="AB930" s="114"/>
      <c r="AC930" s="114"/>
      <c r="AD930" s="114"/>
      <c r="AE930" s="114"/>
      <c r="AF930" s="114"/>
      <c r="AG930" s="114"/>
      <c r="AH930" s="114"/>
      <c r="AI930" s="114"/>
      <c r="AJ930" s="114"/>
      <c r="AK930" s="114"/>
    </row>
    <row r="931" ht="15.75" customHeight="1">
      <c r="A931" s="114"/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4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4"/>
      <c r="X931" s="114"/>
      <c r="Y931" s="114"/>
      <c r="Z931" s="114"/>
      <c r="AA931" s="114"/>
      <c r="AB931" s="114"/>
      <c r="AC931" s="114"/>
      <c r="AD931" s="114"/>
      <c r="AE931" s="114"/>
      <c r="AF931" s="114"/>
      <c r="AG931" s="114"/>
      <c r="AH931" s="114"/>
      <c r="AI931" s="114"/>
      <c r="AJ931" s="114"/>
      <c r="AK931" s="114"/>
    </row>
    <row r="932" ht="15.75" customHeight="1">
      <c r="A932" s="114"/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4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4"/>
      <c r="X932" s="114"/>
      <c r="Y932" s="114"/>
      <c r="Z932" s="114"/>
      <c r="AA932" s="114"/>
      <c r="AB932" s="114"/>
      <c r="AC932" s="114"/>
      <c r="AD932" s="114"/>
      <c r="AE932" s="114"/>
      <c r="AF932" s="114"/>
      <c r="AG932" s="114"/>
      <c r="AH932" s="114"/>
      <c r="AI932" s="114"/>
      <c r="AJ932" s="114"/>
      <c r="AK932" s="114"/>
    </row>
    <row r="933" ht="15.75" customHeight="1">
      <c r="A933" s="114"/>
      <c r="B933" s="114"/>
      <c r="C933" s="114"/>
      <c r="D933" s="114"/>
      <c r="E933" s="114"/>
      <c r="F933" s="114"/>
      <c r="G933" s="114"/>
      <c r="H933" s="114"/>
      <c r="I933" s="114"/>
      <c r="J933" s="114"/>
      <c r="K933" s="114"/>
      <c r="L933" s="114"/>
      <c r="M933" s="114"/>
      <c r="N933" s="114"/>
      <c r="O933" s="114"/>
      <c r="P933" s="114"/>
      <c r="Q933" s="114"/>
      <c r="R933" s="114"/>
      <c r="S933" s="114"/>
      <c r="T933" s="114"/>
      <c r="U933" s="114"/>
      <c r="V933" s="114"/>
      <c r="W933" s="114"/>
      <c r="X933" s="114"/>
      <c r="Y933" s="114"/>
      <c r="Z933" s="114"/>
      <c r="AA933" s="114"/>
      <c r="AB933" s="114"/>
      <c r="AC933" s="114"/>
      <c r="AD933" s="114"/>
      <c r="AE933" s="114"/>
      <c r="AF933" s="114"/>
      <c r="AG933" s="114"/>
      <c r="AH933" s="114"/>
      <c r="AI933" s="114"/>
      <c r="AJ933" s="114"/>
      <c r="AK933" s="114"/>
    </row>
    <row r="934" ht="15.75" customHeight="1">
      <c r="A934" s="114"/>
      <c r="B934" s="114"/>
      <c r="C934" s="114"/>
      <c r="D934" s="114"/>
      <c r="E934" s="114"/>
      <c r="F934" s="114"/>
      <c r="G934" s="114"/>
      <c r="H934" s="114"/>
      <c r="I934" s="114"/>
      <c r="J934" s="114"/>
      <c r="K934" s="114"/>
      <c r="L934" s="114"/>
      <c r="M934" s="114"/>
      <c r="N934" s="114"/>
      <c r="O934" s="114"/>
      <c r="P934" s="114"/>
      <c r="Q934" s="114"/>
      <c r="R934" s="114"/>
      <c r="S934" s="114"/>
      <c r="T934" s="114"/>
      <c r="U934" s="114"/>
      <c r="V934" s="114"/>
      <c r="W934" s="114"/>
      <c r="X934" s="114"/>
      <c r="Y934" s="114"/>
      <c r="Z934" s="114"/>
      <c r="AA934" s="114"/>
      <c r="AB934" s="114"/>
      <c r="AC934" s="114"/>
      <c r="AD934" s="114"/>
      <c r="AE934" s="114"/>
      <c r="AF934" s="114"/>
      <c r="AG934" s="114"/>
      <c r="AH934" s="114"/>
      <c r="AI934" s="114"/>
      <c r="AJ934" s="114"/>
      <c r="AK934" s="114"/>
    </row>
    <row r="935" ht="15.75" customHeight="1">
      <c r="A935" s="114"/>
      <c r="B935" s="114"/>
      <c r="C935" s="114"/>
      <c r="D935" s="114"/>
      <c r="E935" s="114"/>
      <c r="F935" s="114"/>
      <c r="G935" s="114"/>
      <c r="H935" s="114"/>
      <c r="I935" s="114"/>
      <c r="J935" s="114"/>
      <c r="K935" s="114"/>
      <c r="L935" s="114"/>
      <c r="M935" s="114"/>
      <c r="N935" s="114"/>
      <c r="O935" s="114"/>
      <c r="P935" s="114"/>
      <c r="Q935" s="114"/>
      <c r="R935" s="114"/>
      <c r="S935" s="114"/>
      <c r="T935" s="114"/>
      <c r="U935" s="114"/>
      <c r="V935" s="114"/>
      <c r="W935" s="114"/>
      <c r="X935" s="114"/>
      <c r="Y935" s="114"/>
      <c r="Z935" s="114"/>
      <c r="AA935" s="114"/>
      <c r="AB935" s="114"/>
      <c r="AC935" s="114"/>
      <c r="AD935" s="114"/>
      <c r="AE935" s="114"/>
      <c r="AF935" s="114"/>
      <c r="AG935" s="114"/>
      <c r="AH935" s="114"/>
      <c r="AI935" s="114"/>
      <c r="AJ935" s="114"/>
      <c r="AK935" s="114"/>
    </row>
    <row r="936" ht="15.75" customHeight="1">
      <c r="A936" s="114"/>
      <c r="B936" s="114"/>
      <c r="C936" s="114"/>
      <c r="D936" s="114"/>
      <c r="E936" s="114"/>
      <c r="F936" s="114"/>
      <c r="G936" s="114"/>
      <c r="H936" s="114"/>
      <c r="I936" s="114"/>
      <c r="J936" s="114"/>
      <c r="K936" s="114"/>
      <c r="L936" s="114"/>
      <c r="M936" s="114"/>
      <c r="N936" s="114"/>
      <c r="O936" s="114"/>
      <c r="P936" s="114"/>
      <c r="Q936" s="114"/>
      <c r="R936" s="114"/>
      <c r="S936" s="114"/>
      <c r="T936" s="114"/>
      <c r="U936" s="114"/>
      <c r="V936" s="114"/>
      <c r="W936" s="114"/>
      <c r="X936" s="114"/>
      <c r="Y936" s="114"/>
      <c r="Z936" s="114"/>
      <c r="AA936" s="114"/>
      <c r="AB936" s="114"/>
      <c r="AC936" s="114"/>
      <c r="AD936" s="114"/>
      <c r="AE936" s="114"/>
      <c r="AF936" s="114"/>
      <c r="AG936" s="114"/>
      <c r="AH936" s="114"/>
      <c r="AI936" s="114"/>
      <c r="AJ936" s="114"/>
      <c r="AK936" s="114"/>
    </row>
    <row r="937" ht="15.75" customHeight="1">
      <c r="A937" s="114"/>
      <c r="B937" s="114"/>
      <c r="C937" s="114"/>
      <c r="D937" s="114"/>
      <c r="E937" s="114"/>
      <c r="F937" s="114"/>
      <c r="G937" s="114"/>
      <c r="H937" s="114"/>
      <c r="I937" s="114"/>
      <c r="J937" s="114"/>
      <c r="K937" s="114"/>
      <c r="L937" s="114"/>
      <c r="M937" s="114"/>
      <c r="N937" s="114"/>
      <c r="O937" s="114"/>
      <c r="P937" s="114"/>
      <c r="Q937" s="114"/>
      <c r="R937" s="114"/>
      <c r="S937" s="114"/>
      <c r="T937" s="114"/>
      <c r="U937" s="114"/>
      <c r="V937" s="114"/>
      <c r="W937" s="114"/>
      <c r="X937" s="114"/>
      <c r="Y937" s="114"/>
      <c r="Z937" s="114"/>
      <c r="AA937" s="114"/>
      <c r="AB937" s="114"/>
      <c r="AC937" s="114"/>
      <c r="AD937" s="114"/>
      <c r="AE937" s="114"/>
      <c r="AF937" s="114"/>
      <c r="AG937" s="114"/>
      <c r="AH937" s="114"/>
      <c r="AI937" s="114"/>
      <c r="AJ937" s="114"/>
      <c r="AK937" s="114"/>
    </row>
    <row r="938" ht="15.75" customHeight="1">
      <c r="A938" s="114"/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4"/>
      <c r="M938" s="114"/>
      <c r="N938" s="114"/>
      <c r="O938" s="114"/>
      <c r="P938" s="114"/>
      <c r="Q938" s="114"/>
      <c r="R938" s="114"/>
      <c r="S938" s="114"/>
      <c r="T938" s="114"/>
      <c r="U938" s="114"/>
      <c r="V938" s="114"/>
      <c r="W938" s="114"/>
      <c r="X938" s="114"/>
      <c r="Y938" s="114"/>
      <c r="Z938" s="114"/>
      <c r="AA938" s="114"/>
      <c r="AB938" s="114"/>
      <c r="AC938" s="114"/>
      <c r="AD938" s="114"/>
      <c r="AE938" s="114"/>
      <c r="AF938" s="114"/>
      <c r="AG938" s="114"/>
      <c r="AH938" s="114"/>
      <c r="AI938" s="114"/>
      <c r="AJ938" s="114"/>
      <c r="AK938" s="114"/>
    </row>
    <row r="939" ht="15.75" customHeight="1">
      <c r="A939" s="114"/>
      <c r="B939" s="114"/>
      <c r="C939" s="114"/>
      <c r="D939" s="114"/>
      <c r="E939" s="114"/>
      <c r="F939" s="114"/>
      <c r="G939" s="114"/>
      <c r="H939" s="114"/>
      <c r="I939" s="114"/>
      <c r="J939" s="114"/>
      <c r="K939" s="114"/>
      <c r="L939" s="114"/>
      <c r="M939" s="114"/>
      <c r="N939" s="114"/>
      <c r="O939" s="114"/>
      <c r="P939" s="114"/>
      <c r="Q939" s="114"/>
      <c r="R939" s="114"/>
      <c r="S939" s="114"/>
      <c r="T939" s="114"/>
      <c r="U939" s="114"/>
      <c r="V939" s="114"/>
      <c r="W939" s="114"/>
      <c r="X939" s="114"/>
      <c r="Y939" s="114"/>
      <c r="Z939" s="114"/>
      <c r="AA939" s="114"/>
      <c r="AB939" s="114"/>
      <c r="AC939" s="114"/>
      <c r="AD939" s="114"/>
      <c r="AE939" s="114"/>
      <c r="AF939" s="114"/>
      <c r="AG939" s="114"/>
      <c r="AH939" s="114"/>
      <c r="AI939" s="114"/>
      <c r="AJ939" s="114"/>
      <c r="AK939" s="114"/>
    </row>
    <row r="940" ht="15.75" customHeight="1">
      <c r="A940" s="114"/>
      <c r="B940" s="114"/>
      <c r="C940" s="114"/>
      <c r="D940" s="114"/>
      <c r="E940" s="114"/>
      <c r="F940" s="114"/>
      <c r="G940" s="114"/>
      <c r="H940" s="114"/>
      <c r="I940" s="114"/>
      <c r="J940" s="114"/>
      <c r="K940" s="114"/>
      <c r="L940" s="114"/>
      <c r="M940" s="114"/>
      <c r="N940" s="114"/>
      <c r="O940" s="114"/>
      <c r="P940" s="114"/>
      <c r="Q940" s="114"/>
      <c r="R940" s="114"/>
      <c r="S940" s="114"/>
      <c r="T940" s="114"/>
      <c r="U940" s="114"/>
      <c r="V940" s="114"/>
      <c r="W940" s="114"/>
      <c r="X940" s="114"/>
      <c r="Y940" s="114"/>
      <c r="Z940" s="114"/>
      <c r="AA940" s="114"/>
      <c r="AB940" s="114"/>
      <c r="AC940" s="114"/>
      <c r="AD940" s="114"/>
      <c r="AE940" s="114"/>
      <c r="AF940" s="114"/>
      <c r="AG940" s="114"/>
      <c r="AH940" s="114"/>
      <c r="AI940" s="114"/>
      <c r="AJ940" s="114"/>
      <c r="AK940" s="114"/>
    </row>
    <row r="941" ht="15.75" customHeight="1">
      <c r="A941" s="114"/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4"/>
      <c r="M941" s="114"/>
      <c r="N941" s="114"/>
      <c r="O941" s="114"/>
      <c r="P941" s="114"/>
      <c r="Q941" s="114"/>
      <c r="R941" s="114"/>
      <c r="S941" s="114"/>
      <c r="T941" s="114"/>
      <c r="U941" s="114"/>
      <c r="V941" s="114"/>
      <c r="W941" s="114"/>
      <c r="X941" s="114"/>
      <c r="Y941" s="114"/>
      <c r="Z941" s="114"/>
      <c r="AA941" s="114"/>
      <c r="AB941" s="114"/>
      <c r="AC941" s="114"/>
      <c r="AD941" s="114"/>
      <c r="AE941" s="114"/>
      <c r="AF941" s="114"/>
      <c r="AG941" s="114"/>
      <c r="AH941" s="114"/>
      <c r="AI941" s="114"/>
      <c r="AJ941" s="114"/>
      <c r="AK941" s="114"/>
    </row>
    <row r="942" ht="15.75" customHeight="1">
      <c r="A942" s="114"/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4"/>
      <c r="X942" s="114"/>
      <c r="Y942" s="114"/>
      <c r="Z942" s="114"/>
      <c r="AA942" s="114"/>
      <c r="AB942" s="114"/>
      <c r="AC942" s="114"/>
      <c r="AD942" s="114"/>
      <c r="AE942" s="114"/>
      <c r="AF942" s="114"/>
      <c r="AG942" s="114"/>
      <c r="AH942" s="114"/>
      <c r="AI942" s="114"/>
      <c r="AJ942" s="114"/>
      <c r="AK942" s="114"/>
    </row>
    <row r="943" ht="15.75" customHeight="1">
      <c r="A943" s="114"/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4"/>
      <c r="M943" s="114"/>
      <c r="N943" s="114"/>
      <c r="O943" s="114"/>
      <c r="P943" s="114"/>
      <c r="Q943" s="114"/>
      <c r="R943" s="114"/>
      <c r="S943" s="114"/>
      <c r="T943" s="114"/>
      <c r="U943" s="114"/>
      <c r="V943" s="114"/>
      <c r="W943" s="114"/>
      <c r="X943" s="114"/>
      <c r="Y943" s="114"/>
      <c r="Z943" s="114"/>
      <c r="AA943" s="114"/>
      <c r="AB943" s="114"/>
      <c r="AC943" s="114"/>
      <c r="AD943" s="114"/>
      <c r="AE943" s="114"/>
      <c r="AF943" s="114"/>
      <c r="AG943" s="114"/>
      <c r="AH943" s="114"/>
      <c r="AI943" s="114"/>
      <c r="AJ943" s="114"/>
      <c r="AK943" s="114"/>
    </row>
    <row r="944" ht="15.75" customHeight="1">
      <c r="A944" s="114"/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4"/>
      <c r="M944" s="114"/>
      <c r="N944" s="114"/>
      <c r="O944" s="114"/>
      <c r="P944" s="114"/>
      <c r="Q944" s="114"/>
      <c r="R944" s="114"/>
      <c r="S944" s="114"/>
      <c r="T944" s="114"/>
      <c r="U944" s="114"/>
      <c r="V944" s="114"/>
      <c r="W944" s="114"/>
      <c r="X944" s="114"/>
      <c r="Y944" s="114"/>
      <c r="Z944" s="114"/>
      <c r="AA944" s="114"/>
      <c r="AB944" s="114"/>
      <c r="AC944" s="114"/>
      <c r="AD944" s="114"/>
      <c r="AE944" s="114"/>
      <c r="AF944" s="114"/>
      <c r="AG944" s="114"/>
      <c r="AH944" s="114"/>
      <c r="AI944" s="114"/>
      <c r="AJ944" s="114"/>
      <c r="AK944" s="114"/>
    </row>
    <row r="945" ht="15.75" customHeight="1">
      <c r="A945" s="114"/>
      <c r="B945" s="114"/>
      <c r="C945" s="114"/>
      <c r="D945" s="114"/>
      <c r="E945" s="114"/>
      <c r="F945" s="114"/>
      <c r="G945" s="114"/>
      <c r="H945" s="114"/>
      <c r="I945" s="114"/>
      <c r="J945" s="114"/>
      <c r="K945" s="114"/>
      <c r="L945" s="114"/>
      <c r="M945" s="114"/>
      <c r="N945" s="114"/>
      <c r="O945" s="114"/>
      <c r="P945" s="114"/>
      <c r="Q945" s="114"/>
      <c r="R945" s="114"/>
      <c r="S945" s="114"/>
      <c r="T945" s="114"/>
      <c r="U945" s="114"/>
      <c r="V945" s="114"/>
      <c r="W945" s="114"/>
      <c r="X945" s="114"/>
      <c r="Y945" s="114"/>
      <c r="Z945" s="114"/>
      <c r="AA945" s="114"/>
      <c r="AB945" s="114"/>
      <c r="AC945" s="114"/>
      <c r="AD945" s="114"/>
      <c r="AE945" s="114"/>
      <c r="AF945" s="114"/>
      <c r="AG945" s="114"/>
      <c r="AH945" s="114"/>
      <c r="AI945" s="114"/>
      <c r="AJ945" s="114"/>
      <c r="AK945" s="114"/>
    </row>
    <row r="946" ht="15.75" customHeight="1">
      <c r="A946" s="114"/>
      <c r="B946" s="114"/>
      <c r="C946" s="114"/>
      <c r="D946" s="114"/>
      <c r="E946" s="114"/>
      <c r="F946" s="114"/>
      <c r="G946" s="114"/>
      <c r="H946" s="114"/>
      <c r="I946" s="114"/>
      <c r="J946" s="114"/>
      <c r="K946" s="114"/>
      <c r="L946" s="114"/>
      <c r="M946" s="114"/>
      <c r="N946" s="114"/>
      <c r="O946" s="114"/>
      <c r="P946" s="114"/>
      <c r="Q946" s="114"/>
      <c r="R946" s="114"/>
      <c r="S946" s="114"/>
      <c r="T946" s="114"/>
      <c r="U946" s="114"/>
      <c r="V946" s="114"/>
      <c r="W946" s="114"/>
      <c r="X946" s="114"/>
      <c r="Y946" s="114"/>
      <c r="Z946" s="114"/>
      <c r="AA946" s="114"/>
      <c r="AB946" s="114"/>
      <c r="AC946" s="114"/>
      <c r="AD946" s="114"/>
      <c r="AE946" s="114"/>
      <c r="AF946" s="114"/>
      <c r="AG946" s="114"/>
      <c r="AH946" s="114"/>
      <c r="AI946" s="114"/>
      <c r="AJ946" s="114"/>
      <c r="AK946" s="114"/>
    </row>
    <row r="947" ht="15.75" customHeight="1">
      <c r="A947" s="114"/>
      <c r="B947" s="114"/>
      <c r="C947" s="114"/>
      <c r="D947" s="114"/>
      <c r="E947" s="114"/>
      <c r="F947" s="114"/>
      <c r="G947" s="114"/>
      <c r="H947" s="114"/>
      <c r="I947" s="114"/>
      <c r="J947" s="114"/>
      <c r="K947" s="114"/>
      <c r="L947" s="114"/>
      <c r="M947" s="114"/>
      <c r="N947" s="114"/>
      <c r="O947" s="114"/>
      <c r="P947" s="114"/>
      <c r="Q947" s="114"/>
      <c r="R947" s="114"/>
      <c r="S947" s="114"/>
      <c r="T947" s="114"/>
      <c r="U947" s="114"/>
      <c r="V947" s="114"/>
      <c r="W947" s="114"/>
      <c r="X947" s="114"/>
      <c r="Y947" s="114"/>
      <c r="Z947" s="114"/>
      <c r="AA947" s="114"/>
      <c r="AB947" s="114"/>
      <c r="AC947" s="114"/>
      <c r="AD947" s="114"/>
      <c r="AE947" s="114"/>
      <c r="AF947" s="114"/>
      <c r="AG947" s="114"/>
      <c r="AH947" s="114"/>
      <c r="AI947" s="114"/>
      <c r="AJ947" s="114"/>
      <c r="AK947" s="114"/>
    </row>
    <row r="948" ht="15.75" customHeight="1">
      <c r="A948" s="114"/>
      <c r="B948" s="114"/>
      <c r="C948" s="114"/>
      <c r="D948" s="114"/>
      <c r="E948" s="114"/>
      <c r="F948" s="114"/>
      <c r="G948" s="114"/>
      <c r="H948" s="114"/>
      <c r="I948" s="114"/>
      <c r="J948" s="114"/>
      <c r="K948" s="114"/>
      <c r="L948" s="114"/>
      <c r="M948" s="114"/>
      <c r="N948" s="114"/>
      <c r="O948" s="114"/>
      <c r="P948" s="114"/>
      <c r="Q948" s="114"/>
      <c r="R948" s="114"/>
      <c r="S948" s="114"/>
      <c r="T948" s="114"/>
      <c r="U948" s="114"/>
      <c r="V948" s="114"/>
      <c r="W948" s="114"/>
      <c r="X948" s="114"/>
      <c r="Y948" s="114"/>
      <c r="Z948" s="114"/>
      <c r="AA948" s="114"/>
      <c r="AB948" s="114"/>
      <c r="AC948" s="114"/>
      <c r="AD948" s="114"/>
      <c r="AE948" s="114"/>
      <c r="AF948" s="114"/>
      <c r="AG948" s="114"/>
      <c r="AH948" s="114"/>
      <c r="AI948" s="114"/>
      <c r="AJ948" s="114"/>
      <c r="AK948" s="114"/>
    </row>
    <row r="949" ht="15.75" customHeight="1">
      <c r="A949" s="114"/>
      <c r="B949" s="114"/>
      <c r="C949" s="114"/>
      <c r="D949" s="114"/>
      <c r="E949" s="114"/>
      <c r="F949" s="114"/>
      <c r="G949" s="114"/>
      <c r="H949" s="114"/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  <c r="Z949" s="114"/>
      <c r="AA949" s="114"/>
      <c r="AB949" s="114"/>
      <c r="AC949" s="114"/>
      <c r="AD949" s="114"/>
      <c r="AE949" s="114"/>
      <c r="AF949" s="114"/>
      <c r="AG949" s="114"/>
      <c r="AH949" s="114"/>
      <c r="AI949" s="114"/>
      <c r="AJ949" s="114"/>
      <c r="AK949" s="114"/>
    </row>
    <row r="950" ht="15.75" customHeight="1">
      <c r="A950" s="114"/>
      <c r="B950" s="114"/>
      <c r="C950" s="114"/>
      <c r="D950" s="114"/>
      <c r="E950" s="114"/>
      <c r="F950" s="114"/>
      <c r="G950" s="114"/>
      <c r="H950" s="114"/>
      <c r="I950" s="114"/>
      <c r="J950" s="114"/>
      <c r="K950" s="114"/>
      <c r="L950" s="114"/>
      <c r="M950" s="114"/>
      <c r="N950" s="114"/>
      <c r="O950" s="114"/>
      <c r="P950" s="114"/>
      <c r="Q950" s="114"/>
      <c r="R950" s="114"/>
      <c r="S950" s="114"/>
      <c r="T950" s="114"/>
      <c r="U950" s="114"/>
      <c r="V950" s="114"/>
      <c r="W950" s="114"/>
      <c r="X950" s="114"/>
      <c r="Y950" s="114"/>
      <c r="Z950" s="114"/>
      <c r="AA950" s="114"/>
      <c r="AB950" s="114"/>
      <c r="AC950" s="114"/>
      <c r="AD950" s="114"/>
      <c r="AE950" s="114"/>
      <c r="AF950" s="114"/>
      <c r="AG950" s="114"/>
      <c r="AH950" s="114"/>
      <c r="AI950" s="114"/>
      <c r="AJ950" s="114"/>
      <c r="AK950" s="114"/>
    </row>
    <row r="951" ht="15.75" customHeight="1">
      <c r="A951" s="114"/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4"/>
      <c r="X951" s="114"/>
      <c r="Y951" s="114"/>
      <c r="Z951" s="114"/>
      <c r="AA951" s="114"/>
      <c r="AB951" s="114"/>
      <c r="AC951" s="114"/>
      <c r="AD951" s="114"/>
      <c r="AE951" s="114"/>
      <c r="AF951" s="114"/>
      <c r="AG951" s="114"/>
      <c r="AH951" s="114"/>
      <c r="AI951" s="114"/>
      <c r="AJ951" s="114"/>
      <c r="AK951" s="114"/>
    </row>
    <row r="952" ht="15.75" customHeight="1">
      <c r="A952" s="114"/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4"/>
      <c r="X952" s="114"/>
      <c r="Y952" s="114"/>
      <c r="Z952" s="114"/>
      <c r="AA952" s="114"/>
      <c r="AB952" s="114"/>
      <c r="AC952" s="114"/>
      <c r="AD952" s="114"/>
      <c r="AE952" s="114"/>
      <c r="AF952" s="114"/>
      <c r="AG952" s="114"/>
      <c r="AH952" s="114"/>
      <c r="AI952" s="114"/>
      <c r="AJ952" s="114"/>
      <c r="AK952" s="114"/>
    </row>
    <row r="953" ht="15.75" customHeight="1">
      <c r="A953" s="114"/>
      <c r="B953" s="114"/>
      <c r="C953" s="114"/>
      <c r="D953" s="114"/>
      <c r="E953" s="114"/>
      <c r="F953" s="114"/>
      <c r="G953" s="114"/>
      <c r="H953" s="114"/>
      <c r="I953" s="114"/>
      <c r="J953" s="114"/>
      <c r="K953" s="114"/>
      <c r="L953" s="114"/>
      <c r="M953" s="114"/>
      <c r="N953" s="114"/>
      <c r="O953" s="114"/>
      <c r="P953" s="114"/>
      <c r="Q953" s="114"/>
      <c r="R953" s="114"/>
      <c r="S953" s="114"/>
      <c r="T953" s="114"/>
      <c r="U953" s="114"/>
      <c r="V953" s="114"/>
      <c r="W953" s="114"/>
      <c r="X953" s="114"/>
      <c r="Y953" s="114"/>
      <c r="Z953" s="114"/>
      <c r="AA953" s="114"/>
      <c r="AB953" s="114"/>
      <c r="AC953" s="114"/>
      <c r="AD953" s="114"/>
      <c r="AE953" s="114"/>
      <c r="AF953" s="114"/>
      <c r="AG953" s="114"/>
      <c r="AH953" s="114"/>
      <c r="AI953" s="114"/>
      <c r="AJ953" s="114"/>
      <c r="AK953" s="114"/>
    </row>
    <row r="954" ht="15.75" customHeight="1">
      <c r="A954" s="114"/>
      <c r="B954" s="114"/>
      <c r="C954" s="114"/>
      <c r="D954" s="114"/>
      <c r="E954" s="114"/>
      <c r="F954" s="114"/>
      <c r="G954" s="114"/>
      <c r="H954" s="114"/>
      <c r="I954" s="114"/>
      <c r="J954" s="114"/>
      <c r="K954" s="114"/>
      <c r="L954" s="114"/>
      <c r="M954" s="114"/>
      <c r="N954" s="114"/>
      <c r="O954" s="114"/>
      <c r="P954" s="114"/>
      <c r="Q954" s="114"/>
      <c r="R954" s="114"/>
      <c r="S954" s="114"/>
      <c r="T954" s="114"/>
      <c r="U954" s="114"/>
      <c r="V954" s="114"/>
      <c r="W954" s="114"/>
      <c r="X954" s="114"/>
      <c r="Y954" s="114"/>
      <c r="Z954" s="114"/>
      <c r="AA954" s="114"/>
      <c r="AB954" s="114"/>
      <c r="AC954" s="114"/>
      <c r="AD954" s="114"/>
      <c r="AE954" s="114"/>
      <c r="AF954" s="114"/>
      <c r="AG954" s="114"/>
      <c r="AH954" s="114"/>
      <c r="AI954" s="114"/>
      <c r="AJ954" s="114"/>
      <c r="AK954" s="114"/>
    </row>
    <row r="955" ht="15.75" customHeight="1">
      <c r="A955" s="114"/>
      <c r="B955" s="114"/>
      <c r="C955" s="114"/>
      <c r="D955" s="114"/>
      <c r="E955" s="114"/>
      <c r="F955" s="114"/>
      <c r="G955" s="114"/>
      <c r="H955" s="114"/>
      <c r="I955" s="114"/>
      <c r="J955" s="114"/>
      <c r="K955" s="114"/>
      <c r="L955" s="114"/>
      <c r="M955" s="114"/>
      <c r="N955" s="114"/>
      <c r="O955" s="114"/>
      <c r="P955" s="114"/>
      <c r="Q955" s="114"/>
      <c r="R955" s="114"/>
      <c r="S955" s="114"/>
      <c r="T955" s="114"/>
      <c r="U955" s="114"/>
      <c r="V955" s="114"/>
      <c r="W955" s="114"/>
      <c r="X955" s="114"/>
      <c r="Y955" s="114"/>
      <c r="Z955" s="114"/>
      <c r="AA955" s="114"/>
      <c r="AB955" s="114"/>
      <c r="AC955" s="114"/>
      <c r="AD955" s="114"/>
      <c r="AE955" s="114"/>
      <c r="AF955" s="114"/>
      <c r="AG955" s="114"/>
      <c r="AH955" s="114"/>
      <c r="AI955" s="114"/>
      <c r="AJ955" s="114"/>
      <c r="AK955" s="114"/>
    </row>
    <row r="956" ht="15.75" customHeight="1">
      <c r="A956" s="114"/>
      <c r="B956" s="114"/>
      <c r="C956" s="114"/>
      <c r="D956" s="114"/>
      <c r="E956" s="114"/>
      <c r="F956" s="114"/>
      <c r="G956" s="114"/>
      <c r="H956" s="114"/>
      <c r="I956" s="114"/>
      <c r="J956" s="114"/>
      <c r="K956" s="114"/>
      <c r="L956" s="114"/>
      <c r="M956" s="114"/>
      <c r="N956" s="114"/>
      <c r="O956" s="114"/>
      <c r="P956" s="114"/>
      <c r="Q956" s="114"/>
      <c r="R956" s="114"/>
      <c r="S956" s="114"/>
      <c r="T956" s="114"/>
      <c r="U956" s="114"/>
      <c r="V956" s="114"/>
      <c r="W956" s="114"/>
      <c r="X956" s="114"/>
      <c r="Y956" s="114"/>
      <c r="Z956" s="114"/>
      <c r="AA956" s="114"/>
      <c r="AB956" s="114"/>
      <c r="AC956" s="114"/>
      <c r="AD956" s="114"/>
      <c r="AE956" s="114"/>
      <c r="AF956" s="114"/>
      <c r="AG956" s="114"/>
      <c r="AH956" s="114"/>
      <c r="AI956" s="114"/>
      <c r="AJ956" s="114"/>
      <c r="AK956" s="114"/>
    </row>
    <row r="957" ht="15.75" customHeight="1">
      <c r="A957" s="114"/>
      <c r="B957" s="114"/>
      <c r="C957" s="114"/>
      <c r="D957" s="114"/>
      <c r="E957" s="114"/>
      <c r="F957" s="114"/>
      <c r="G957" s="114"/>
      <c r="H957" s="114"/>
      <c r="I957" s="114"/>
      <c r="J957" s="114"/>
      <c r="K957" s="114"/>
      <c r="L957" s="114"/>
      <c r="M957" s="114"/>
      <c r="N957" s="114"/>
      <c r="O957" s="114"/>
      <c r="P957" s="114"/>
      <c r="Q957" s="114"/>
      <c r="R957" s="114"/>
      <c r="S957" s="114"/>
      <c r="T957" s="114"/>
      <c r="U957" s="114"/>
      <c r="V957" s="114"/>
      <c r="W957" s="114"/>
      <c r="X957" s="114"/>
      <c r="Y957" s="114"/>
      <c r="Z957" s="114"/>
      <c r="AA957" s="114"/>
      <c r="AB957" s="114"/>
      <c r="AC957" s="114"/>
      <c r="AD957" s="114"/>
      <c r="AE957" s="114"/>
      <c r="AF957" s="114"/>
      <c r="AG957" s="114"/>
      <c r="AH957" s="114"/>
      <c r="AI957" s="114"/>
      <c r="AJ957" s="114"/>
      <c r="AK957" s="114"/>
    </row>
    <row r="958" ht="15.75" customHeight="1">
      <c r="A958" s="114"/>
      <c r="B958" s="114"/>
      <c r="C958" s="114"/>
      <c r="D958" s="114"/>
      <c r="E958" s="114"/>
      <c r="F958" s="114"/>
      <c r="G958" s="114"/>
      <c r="H958" s="114"/>
      <c r="I958" s="114"/>
      <c r="J958" s="114"/>
      <c r="K958" s="114"/>
      <c r="L958" s="114"/>
      <c r="M958" s="114"/>
      <c r="N958" s="114"/>
      <c r="O958" s="114"/>
      <c r="P958" s="114"/>
      <c r="Q958" s="114"/>
      <c r="R958" s="114"/>
      <c r="S958" s="114"/>
      <c r="T958" s="114"/>
      <c r="U958" s="114"/>
      <c r="V958" s="114"/>
      <c r="W958" s="114"/>
      <c r="X958" s="114"/>
      <c r="Y958" s="114"/>
      <c r="Z958" s="114"/>
      <c r="AA958" s="114"/>
      <c r="AB958" s="114"/>
      <c r="AC958" s="114"/>
      <c r="AD958" s="114"/>
      <c r="AE958" s="114"/>
      <c r="AF958" s="114"/>
      <c r="AG958" s="114"/>
      <c r="AH958" s="114"/>
      <c r="AI958" s="114"/>
      <c r="AJ958" s="114"/>
      <c r="AK958" s="114"/>
    </row>
    <row r="959" ht="15.75" customHeight="1">
      <c r="A959" s="114"/>
      <c r="B959" s="114"/>
      <c r="C959" s="114"/>
      <c r="D959" s="114"/>
      <c r="E959" s="114"/>
      <c r="F959" s="114"/>
      <c r="G959" s="114"/>
      <c r="H959" s="114"/>
      <c r="I959" s="114"/>
      <c r="J959" s="114"/>
      <c r="K959" s="114"/>
      <c r="L959" s="114"/>
      <c r="M959" s="114"/>
      <c r="N959" s="114"/>
      <c r="O959" s="114"/>
      <c r="P959" s="114"/>
      <c r="Q959" s="114"/>
      <c r="R959" s="114"/>
      <c r="S959" s="114"/>
      <c r="T959" s="114"/>
      <c r="U959" s="114"/>
      <c r="V959" s="114"/>
      <c r="W959" s="114"/>
      <c r="X959" s="114"/>
      <c r="Y959" s="114"/>
      <c r="Z959" s="114"/>
      <c r="AA959" s="114"/>
      <c r="AB959" s="114"/>
      <c r="AC959" s="114"/>
      <c r="AD959" s="114"/>
      <c r="AE959" s="114"/>
      <c r="AF959" s="114"/>
      <c r="AG959" s="114"/>
      <c r="AH959" s="114"/>
      <c r="AI959" s="114"/>
      <c r="AJ959" s="114"/>
      <c r="AK959" s="114"/>
    </row>
    <row r="960" ht="15.75" customHeight="1">
      <c r="A960" s="114"/>
      <c r="B960" s="114"/>
      <c r="C960" s="114"/>
      <c r="D960" s="114"/>
      <c r="E960" s="114"/>
      <c r="F960" s="114"/>
      <c r="G960" s="114"/>
      <c r="H960" s="114"/>
      <c r="I960" s="114"/>
      <c r="J960" s="114"/>
      <c r="K960" s="114"/>
      <c r="L960" s="114"/>
      <c r="M960" s="114"/>
      <c r="N960" s="114"/>
      <c r="O960" s="114"/>
      <c r="P960" s="114"/>
      <c r="Q960" s="114"/>
      <c r="R960" s="114"/>
      <c r="S960" s="114"/>
      <c r="T960" s="114"/>
      <c r="U960" s="114"/>
      <c r="V960" s="114"/>
      <c r="W960" s="114"/>
      <c r="X960" s="114"/>
      <c r="Y960" s="114"/>
      <c r="Z960" s="114"/>
      <c r="AA960" s="114"/>
      <c r="AB960" s="114"/>
      <c r="AC960" s="114"/>
      <c r="AD960" s="114"/>
      <c r="AE960" s="114"/>
      <c r="AF960" s="114"/>
      <c r="AG960" s="114"/>
      <c r="AH960" s="114"/>
      <c r="AI960" s="114"/>
      <c r="AJ960" s="114"/>
      <c r="AK960" s="114"/>
    </row>
    <row r="961" ht="15.75" customHeight="1">
      <c r="A961" s="114"/>
      <c r="B961" s="114"/>
      <c r="C961" s="114"/>
      <c r="D961" s="114"/>
      <c r="E961" s="114"/>
      <c r="F961" s="114"/>
      <c r="G961" s="114"/>
      <c r="H961" s="114"/>
      <c r="I961" s="114"/>
      <c r="J961" s="114"/>
      <c r="K961" s="114"/>
      <c r="L961" s="114"/>
      <c r="M961" s="114"/>
      <c r="N961" s="114"/>
      <c r="O961" s="114"/>
      <c r="P961" s="114"/>
      <c r="Q961" s="114"/>
      <c r="R961" s="114"/>
      <c r="S961" s="114"/>
      <c r="T961" s="114"/>
      <c r="U961" s="114"/>
      <c r="V961" s="114"/>
      <c r="W961" s="114"/>
      <c r="X961" s="114"/>
      <c r="Y961" s="114"/>
      <c r="Z961" s="114"/>
      <c r="AA961" s="114"/>
      <c r="AB961" s="114"/>
      <c r="AC961" s="114"/>
      <c r="AD961" s="114"/>
      <c r="AE961" s="114"/>
      <c r="AF961" s="114"/>
      <c r="AG961" s="114"/>
      <c r="AH961" s="114"/>
      <c r="AI961" s="114"/>
      <c r="AJ961" s="114"/>
      <c r="AK961" s="114"/>
    </row>
    <row r="962" ht="15.75" customHeight="1">
      <c r="A962" s="114"/>
      <c r="B962" s="114"/>
      <c r="C962" s="114"/>
      <c r="D962" s="114"/>
      <c r="E962" s="114"/>
      <c r="F962" s="114"/>
      <c r="G962" s="114"/>
      <c r="H962" s="114"/>
      <c r="I962" s="114"/>
      <c r="J962" s="114"/>
      <c r="K962" s="114"/>
      <c r="L962" s="114"/>
      <c r="M962" s="114"/>
      <c r="N962" s="114"/>
      <c r="O962" s="114"/>
      <c r="P962" s="114"/>
      <c r="Q962" s="114"/>
      <c r="R962" s="114"/>
      <c r="S962" s="114"/>
      <c r="T962" s="114"/>
      <c r="U962" s="114"/>
      <c r="V962" s="114"/>
      <c r="W962" s="114"/>
      <c r="X962" s="114"/>
      <c r="Y962" s="114"/>
      <c r="Z962" s="114"/>
      <c r="AA962" s="114"/>
      <c r="AB962" s="114"/>
      <c r="AC962" s="114"/>
      <c r="AD962" s="114"/>
      <c r="AE962" s="114"/>
      <c r="AF962" s="114"/>
      <c r="AG962" s="114"/>
      <c r="AH962" s="114"/>
      <c r="AI962" s="114"/>
      <c r="AJ962" s="114"/>
      <c r="AK962" s="114"/>
    </row>
    <row r="963" ht="15.75" customHeight="1">
      <c r="A963" s="114"/>
      <c r="B963" s="114"/>
      <c r="C963" s="114"/>
      <c r="D963" s="114"/>
      <c r="E963" s="114"/>
      <c r="F963" s="114"/>
      <c r="G963" s="114"/>
      <c r="H963" s="114"/>
      <c r="I963" s="114"/>
      <c r="J963" s="114"/>
      <c r="K963" s="114"/>
      <c r="L963" s="114"/>
      <c r="M963" s="114"/>
      <c r="N963" s="114"/>
      <c r="O963" s="114"/>
      <c r="P963" s="114"/>
      <c r="Q963" s="114"/>
      <c r="R963" s="114"/>
      <c r="S963" s="114"/>
      <c r="T963" s="114"/>
      <c r="U963" s="114"/>
      <c r="V963" s="114"/>
      <c r="W963" s="114"/>
      <c r="X963" s="114"/>
      <c r="Y963" s="114"/>
      <c r="Z963" s="114"/>
      <c r="AA963" s="114"/>
      <c r="AB963" s="114"/>
      <c r="AC963" s="114"/>
      <c r="AD963" s="114"/>
      <c r="AE963" s="114"/>
      <c r="AF963" s="114"/>
      <c r="AG963" s="114"/>
      <c r="AH963" s="114"/>
      <c r="AI963" s="114"/>
      <c r="AJ963" s="114"/>
      <c r="AK963" s="114"/>
    </row>
    <row r="964" ht="15.75" customHeight="1">
      <c r="A964" s="114"/>
      <c r="B964" s="114"/>
      <c r="C964" s="114"/>
      <c r="D964" s="114"/>
      <c r="E964" s="114"/>
      <c r="F964" s="114"/>
      <c r="G964" s="114"/>
      <c r="H964" s="114"/>
      <c r="I964" s="114"/>
      <c r="J964" s="114"/>
      <c r="K964" s="114"/>
      <c r="L964" s="114"/>
      <c r="M964" s="114"/>
      <c r="N964" s="114"/>
      <c r="O964" s="114"/>
      <c r="P964" s="114"/>
      <c r="Q964" s="114"/>
      <c r="R964" s="114"/>
      <c r="S964" s="114"/>
      <c r="T964" s="114"/>
      <c r="U964" s="114"/>
      <c r="V964" s="114"/>
      <c r="W964" s="114"/>
      <c r="X964" s="114"/>
      <c r="Y964" s="114"/>
      <c r="Z964" s="114"/>
      <c r="AA964" s="114"/>
      <c r="AB964" s="114"/>
      <c r="AC964" s="114"/>
      <c r="AD964" s="114"/>
      <c r="AE964" s="114"/>
      <c r="AF964" s="114"/>
      <c r="AG964" s="114"/>
      <c r="AH964" s="114"/>
      <c r="AI964" s="114"/>
      <c r="AJ964" s="114"/>
      <c r="AK964" s="114"/>
    </row>
    <row r="965" ht="15.75" customHeight="1">
      <c r="A965" s="114"/>
      <c r="B965" s="114"/>
      <c r="C965" s="114"/>
      <c r="D965" s="114"/>
      <c r="E965" s="114"/>
      <c r="F965" s="114"/>
      <c r="G965" s="114"/>
      <c r="H965" s="114"/>
      <c r="I965" s="114"/>
      <c r="J965" s="114"/>
      <c r="K965" s="114"/>
      <c r="L965" s="114"/>
      <c r="M965" s="114"/>
      <c r="N965" s="114"/>
      <c r="O965" s="114"/>
      <c r="P965" s="114"/>
      <c r="Q965" s="114"/>
      <c r="R965" s="114"/>
      <c r="S965" s="114"/>
      <c r="T965" s="114"/>
      <c r="U965" s="114"/>
      <c r="V965" s="114"/>
      <c r="W965" s="114"/>
      <c r="X965" s="114"/>
      <c r="Y965" s="114"/>
      <c r="Z965" s="114"/>
      <c r="AA965" s="114"/>
      <c r="AB965" s="114"/>
      <c r="AC965" s="114"/>
      <c r="AD965" s="114"/>
      <c r="AE965" s="114"/>
      <c r="AF965" s="114"/>
      <c r="AG965" s="114"/>
      <c r="AH965" s="114"/>
      <c r="AI965" s="114"/>
      <c r="AJ965" s="114"/>
      <c r="AK965" s="114"/>
    </row>
    <row r="966" ht="15.75" customHeight="1">
      <c r="A966" s="114"/>
      <c r="B966" s="114"/>
      <c r="C966" s="114"/>
      <c r="D966" s="114"/>
      <c r="E966" s="114"/>
      <c r="F966" s="114"/>
      <c r="G966" s="114"/>
      <c r="H966" s="114"/>
      <c r="I966" s="114"/>
      <c r="J966" s="114"/>
      <c r="K966" s="114"/>
      <c r="L966" s="114"/>
      <c r="M966" s="114"/>
      <c r="N966" s="114"/>
      <c r="O966" s="114"/>
      <c r="P966" s="114"/>
      <c r="Q966" s="114"/>
      <c r="R966" s="114"/>
      <c r="S966" s="114"/>
      <c r="T966" s="114"/>
      <c r="U966" s="114"/>
      <c r="V966" s="114"/>
      <c r="W966" s="114"/>
      <c r="X966" s="114"/>
      <c r="Y966" s="114"/>
      <c r="Z966" s="114"/>
      <c r="AA966" s="114"/>
      <c r="AB966" s="114"/>
      <c r="AC966" s="114"/>
      <c r="AD966" s="114"/>
      <c r="AE966" s="114"/>
      <c r="AF966" s="114"/>
      <c r="AG966" s="114"/>
      <c r="AH966" s="114"/>
      <c r="AI966" s="114"/>
      <c r="AJ966" s="114"/>
      <c r="AK966" s="114"/>
    </row>
    <row r="967" ht="15.75" customHeight="1">
      <c r="A967" s="114"/>
      <c r="B967" s="114"/>
      <c r="C967" s="114"/>
      <c r="D967" s="114"/>
      <c r="E967" s="114"/>
      <c r="F967" s="114"/>
      <c r="G967" s="114"/>
      <c r="H967" s="114"/>
      <c r="I967" s="114"/>
      <c r="J967" s="114"/>
      <c r="K967" s="114"/>
      <c r="L967" s="114"/>
      <c r="M967" s="114"/>
      <c r="N967" s="114"/>
      <c r="O967" s="114"/>
      <c r="P967" s="114"/>
      <c r="Q967" s="114"/>
      <c r="R967" s="114"/>
      <c r="S967" s="114"/>
      <c r="T967" s="114"/>
      <c r="U967" s="114"/>
      <c r="V967" s="114"/>
      <c r="W967" s="114"/>
      <c r="X967" s="114"/>
      <c r="Y967" s="114"/>
      <c r="Z967" s="114"/>
      <c r="AA967" s="114"/>
      <c r="AB967" s="114"/>
      <c r="AC967" s="114"/>
      <c r="AD967" s="114"/>
      <c r="AE967" s="114"/>
      <c r="AF967" s="114"/>
      <c r="AG967" s="114"/>
      <c r="AH967" s="114"/>
      <c r="AI967" s="114"/>
      <c r="AJ967" s="114"/>
      <c r="AK967" s="114"/>
    </row>
    <row r="968" ht="15.75" customHeight="1">
      <c r="A968" s="114"/>
      <c r="B968" s="114"/>
      <c r="C968" s="114"/>
      <c r="D968" s="114"/>
      <c r="E968" s="114"/>
      <c r="F968" s="114"/>
      <c r="G968" s="114"/>
      <c r="H968" s="114"/>
      <c r="I968" s="114"/>
      <c r="J968" s="114"/>
      <c r="K968" s="114"/>
      <c r="L968" s="114"/>
      <c r="M968" s="114"/>
      <c r="N968" s="114"/>
      <c r="O968" s="114"/>
      <c r="P968" s="114"/>
      <c r="Q968" s="114"/>
      <c r="R968" s="114"/>
      <c r="S968" s="114"/>
      <c r="T968" s="114"/>
      <c r="U968" s="114"/>
      <c r="V968" s="114"/>
      <c r="W968" s="114"/>
      <c r="X968" s="114"/>
      <c r="Y968" s="114"/>
      <c r="Z968" s="114"/>
      <c r="AA968" s="114"/>
      <c r="AB968" s="114"/>
      <c r="AC968" s="114"/>
      <c r="AD968" s="114"/>
      <c r="AE968" s="114"/>
      <c r="AF968" s="114"/>
      <c r="AG968" s="114"/>
      <c r="AH968" s="114"/>
      <c r="AI968" s="114"/>
      <c r="AJ968" s="114"/>
      <c r="AK968" s="114"/>
    </row>
    <row r="969" ht="15.75" customHeight="1">
      <c r="A969" s="114"/>
      <c r="B969" s="114"/>
      <c r="C969" s="114"/>
      <c r="D969" s="114"/>
      <c r="E969" s="114"/>
      <c r="F969" s="114"/>
      <c r="G969" s="114"/>
      <c r="H969" s="114"/>
      <c r="I969" s="114"/>
      <c r="J969" s="114"/>
      <c r="K969" s="114"/>
      <c r="L969" s="114"/>
      <c r="M969" s="114"/>
      <c r="N969" s="114"/>
      <c r="O969" s="114"/>
      <c r="P969" s="114"/>
      <c r="Q969" s="114"/>
      <c r="R969" s="114"/>
      <c r="S969" s="114"/>
      <c r="T969" s="114"/>
      <c r="U969" s="114"/>
      <c r="V969" s="114"/>
      <c r="W969" s="114"/>
      <c r="X969" s="114"/>
      <c r="Y969" s="114"/>
      <c r="Z969" s="114"/>
      <c r="AA969" s="114"/>
      <c r="AB969" s="114"/>
      <c r="AC969" s="114"/>
      <c r="AD969" s="114"/>
      <c r="AE969" s="114"/>
      <c r="AF969" s="114"/>
      <c r="AG969" s="114"/>
      <c r="AH969" s="114"/>
      <c r="AI969" s="114"/>
      <c r="AJ969" s="114"/>
      <c r="AK969" s="114"/>
    </row>
    <row r="970" ht="15.75" customHeight="1">
      <c r="A970" s="114"/>
      <c r="B970" s="114"/>
      <c r="C970" s="114"/>
      <c r="D970" s="114"/>
      <c r="E970" s="114"/>
      <c r="F970" s="114"/>
      <c r="G970" s="114"/>
      <c r="H970" s="114"/>
      <c r="I970" s="114"/>
      <c r="J970" s="114"/>
      <c r="K970" s="114"/>
      <c r="L970" s="114"/>
      <c r="M970" s="114"/>
      <c r="N970" s="114"/>
      <c r="O970" s="114"/>
      <c r="P970" s="114"/>
      <c r="Q970" s="114"/>
      <c r="R970" s="114"/>
      <c r="S970" s="114"/>
      <c r="T970" s="114"/>
      <c r="U970" s="114"/>
      <c r="V970" s="114"/>
      <c r="W970" s="114"/>
      <c r="X970" s="114"/>
      <c r="Y970" s="114"/>
      <c r="Z970" s="114"/>
      <c r="AA970" s="114"/>
      <c r="AB970" s="114"/>
      <c r="AC970" s="114"/>
      <c r="AD970" s="114"/>
      <c r="AE970" s="114"/>
      <c r="AF970" s="114"/>
      <c r="AG970" s="114"/>
      <c r="AH970" s="114"/>
      <c r="AI970" s="114"/>
      <c r="AJ970" s="114"/>
      <c r="AK970" s="114"/>
    </row>
    <row r="971" ht="15.75" customHeight="1">
      <c r="A971" s="114"/>
      <c r="B971" s="114"/>
      <c r="C971" s="114"/>
      <c r="D971" s="114"/>
      <c r="E971" s="114"/>
      <c r="F971" s="114"/>
      <c r="G971" s="114"/>
      <c r="H971" s="114"/>
      <c r="I971" s="114"/>
      <c r="J971" s="114"/>
      <c r="K971" s="114"/>
      <c r="L971" s="114"/>
      <c r="M971" s="114"/>
      <c r="N971" s="114"/>
      <c r="O971" s="114"/>
      <c r="P971" s="114"/>
      <c r="Q971" s="114"/>
      <c r="R971" s="114"/>
      <c r="S971" s="114"/>
      <c r="T971" s="114"/>
      <c r="U971" s="114"/>
      <c r="V971" s="114"/>
      <c r="W971" s="114"/>
      <c r="X971" s="114"/>
      <c r="Y971" s="114"/>
      <c r="Z971" s="114"/>
      <c r="AA971" s="114"/>
      <c r="AB971" s="114"/>
      <c r="AC971" s="114"/>
      <c r="AD971" s="114"/>
      <c r="AE971" s="114"/>
      <c r="AF971" s="114"/>
      <c r="AG971" s="114"/>
      <c r="AH971" s="114"/>
      <c r="AI971" s="114"/>
      <c r="AJ971" s="114"/>
      <c r="AK971" s="114"/>
    </row>
    <row r="972" ht="15.75" customHeight="1">
      <c r="A972" s="114"/>
      <c r="B972" s="114"/>
      <c r="C972" s="114"/>
      <c r="D972" s="114"/>
      <c r="E972" s="114"/>
      <c r="F972" s="114"/>
      <c r="G972" s="114"/>
      <c r="H972" s="114"/>
      <c r="I972" s="114"/>
      <c r="J972" s="114"/>
      <c r="K972" s="114"/>
      <c r="L972" s="114"/>
      <c r="M972" s="114"/>
      <c r="N972" s="114"/>
      <c r="O972" s="114"/>
      <c r="P972" s="114"/>
      <c r="Q972" s="114"/>
      <c r="R972" s="114"/>
      <c r="S972" s="114"/>
      <c r="T972" s="114"/>
      <c r="U972" s="114"/>
      <c r="V972" s="114"/>
      <c r="W972" s="114"/>
      <c r="X972" s="114"/>
      <c r="Y972" s="114"/>
      <c r="Z972" s="114"/>
      <c r="AA972" s="114"/>
      <c r="AB972" s="114"/>
      <c r="AC972" s="114"/>
      <c r="AD972" s="114"/>
      <c r="AE972" s="114"/>
      <c r="AF972" s="114"/>
      <c r="AG972" s="114"/>
      <c r="AH972" s="114"/>
      <c r="AI972" s="114"/>
      <c r="AJ972" s="114"/>
      <c r="AK972" s="114"/>
    </row>
    <row r="973" ht="15.75" customHeight="1">
      <c r="A973" s="114"/>
      <c r="B973" s="114"/>
      <c r="C973" s="114"/>
      <c r="D973" s="114"/>
      <c r="E973" s="114"/>
      <c r="F973" s="114"/>
      <c r="G973" s="114"/>
      <c r="H973" s="114"/>
      <c r="I973" s="114"/>
      <c r="J973" s="114"/>
      <c r="K973" s="114"/>
      <c r="L973" s="114"/>
      <c r="M973" s="114"/>
      <c r="N973" s="114"/>
      <c r="O973" s="114"/>
      <c r="P973" s="114"/>
      <c r="Q973" s="114"/>
      <c r="R973" s="114"/>
      <c r="S973" s="114"/>
      <c r="T973" s="114"/>
      <c r="U973" s="114"/>
      <c r="V973" s="114"/>
      <c r="W973" s="114"/>
      <c r="X973" s="114"/>
      <c r="Y973" s="114"/>
      <c r="Z973" s="114"/>
      <c r="AA973" s="114"/>
      <c r="AB973" s="114"/>
      <c r="AC973" s="114"/>
      <c r="AD973" s="114"/>
      <c r="AE973" s="114"/>
      <c r="AF973" s="114"/>
      <c r="AG973" s="114"/>
      <c r="AH973" s="114"/>
      <c r="AI973" s="114"/>
      <c r="AJ973" s="114"/>
      <c r="AK973" s="114"/>
    </row>
    <row r="974" ht="15.75" customHeight="1">
      <c r="A974" s="114"/>
      <c r="B974" s="114"/>
      <c r="C974" s="114"/>
      <c r="D974" s="114"/>
      <c r="E974" s="114"/>
      <c r="F974" s="114"/>
      <c r="G974" s="114"/>
      <c r="H974" s="114"/>
      <c r="I974" s="114"/>
      <c r="J974" s="114"/>
      <c r="K974" s="114"/>
      <c r="L974" s="114"/>
      <c r="M974" s="114"/>
      <c r="N974" s="114"/>
      <c r="O974" s="114"/>
      <c r="P974" s="114"/>
      <c r="Q974" s="114"/>
      <c r="R974" s="114"/>
      <c r="S974" s="114"/>
      <c r="T974" s="114"/>
      <c r="U974" s="114"/>
      <c r="V974" s="114"/>
      <c r="W974" s="114"/>
      <c r="X974" s="114"/>
      <c r="Y974" s="114"/>
      <c r="Z974" s="114"/>
      <c r="AA974" s="114"/>
      <c r="AB974" s="114"/>
      <c r="AC974" s="114"/>
      <c r="AD974" s="114"/>
      <c r="AE974" s="114"/>
      <c r="AF974" s="114"/>
      <c r="AG974" s="114"/>
      <c r="AH974" s="114"/>
      <c r="AI974" s="114"/>
      <c r="AJ974" s="114"/>
      <c r="AK974" s="114"/>
    </row>
    <row r="975" ht="15.75" customHeight="1">
      <c r="A975" s="114"/>
      <c r="B975" s="114"/>
      <c r="C975" s="114"/>
      <c r="D975" s="114"/>
      <c r="E975" s="114"/>
      <c r="F975" s="114"/>
      <c r="G975" s="114"/>
      <c r="H975" s="114"/>
      <c r="I975" s="114"/>
      <c r="J975" s="114"/>
      <c r="K975" s="114"/>
      <c r="L975" s="114"/>
      <c r="M975" s="114"/>
      <c r="N975" s="114"/>
      <c r="O975" s="114"/>
      <c r="P975" s="114"/>
      <c r="Q975" s="114"/>
      <c r="R975" s="114"/>
      <c r="S975" s="114"/>
      <c r="T975" s="114"/>
      <c r="U975" s="114"/>
      <c r="V975" s="114"/>
      <c r="W975" s="114"/>
      <c r="X975" s="114"/>
      <c r="Y975" s="114"/>
      <c r="Z975" s="114"/>
      <c r="AA975" s="114"/>
      <c r="AB975" s="114"/>
      <c r="AC975" s="114"/>
      <c r="AD975" s="114"/>
      <c r="AE975" s="114"/>
      <c r="AF975" s="114"/>
      <c r="AG975" s="114"/>
      <c r="AH975" s="114"/>
      <c r="AI975" s="114"/>
      <c r="AJ975" s="114"/>
      <c r="AK975" s="114"/>
    </row>
    <row r="976" ht="15.75" customHeight="1">
      <c r="A976" s="114"/>
      <c r="B976" s="114"/>
      <c r="C976" s="114"/>
      <c r="D976" s="114"/>
      <c r="E976" s="114"/>
      <c r="F976" s="114"/>
      <c r="G976" s="114"/>
      <c r="H976" s="114"/>
      <c r="I976" s="114"/>
      <c r="J976" s="114"/>
      <c r="K976" s="114"/>
      <c r="L976" s="114"/>
      <c r="M976" s="114"/>
      <c r="N976" s="114"/>
      <c r="O976" s="114"/>
      <c r="P976" s="114"/>
      <c r="Q976" s="114"/>
      <c r="R976" s="114"/>
      <c r="S976" s="114"/>
      <c r="T976" s="114"/>
      <c r="U976" s="114"/>
      <c r="V976" s="114"/>
      <c r="W976" s="114"/>
      <c r="X976" s="114"/>
      <c r="Y976" s="114"/>
      <c r="Z976" s="114"/>
      <c r="AA976" s="114"/>
      <c r="AB976" s="114"/>
      <c r="AC976" s="114"/>
      <c r="AD976" s="114"/>
      <c r="AE976" s="114"/>
      <c r="AF976" s="114"/>
      <c r="AG976" s="114"/>
      <c r="AH976" s="114"/>
      <c r="AI976" s="114"/>
      <c r="AJ976" s="114"/>
      <c r="AK976" s="114"/>
    </row>
    <row r="977" ht="15.75" customHeight="1">
      <c r="A977" s="114"/>
      <c r="B977" s="114"/>
      <c r="C977" s="114"/>
      <c r="D977" s="114"/>
      <c r="E977" s="114"/>
      <c r="F977" s="114"/>
      <c r="G977" s="114"/>
      <c r="H977" s="114"/>
      <c r="I977" s="114"/>
      <c r="J977" s="114"/>
      <c r="K977" s="114"/>
      <c r="L977" s="114"/>
      <c r="M977" s="114"/>
      <c r="N977" s="114"/>
      <c r="O977" s="114"/>
      <c r="P977" s="114"/>
      <c r="Q977" s="114"/>
      <c r="R977" s="114"/>
      <c r="S977" s="114"/>
      <c r="T977" s="114"/>
      <c r="U977" s="114"/>
      <c r="V977" s="114"/>
      <c r="W977" s="114"/>
      <c r="X977" s="114"/>
      <c r="Y977" s="114"/>
      <c r="Z977" s="114"/>
      <c r="AA977" s="114"/>
      <c r="AB977" s="114"/>
      <c r="AC977" s="114"/>
      <c r="AD977" s="114"/>
      <c r="AE977" s="114"/>
      <c r="AF977" s="114"/>
      <c r="AG977" s="114"/>
      <c r="AH977" s="114"/>
      <c r="AI977" s="114"/>
      <c r="AJ977" s="114"/>
      <c r="AK977" s="114"/>
    </row>
    <row r="978" ht="15.75" customHeight="1">
      <c r="A978" s="114"/>
      <c r="B978" s="114"/>
      <c r="C978" s="114"/>
      <c r="D978" s="114"/>
      <c r="E978" s="114"/>
      <c r="F978" s="114"/>
      <c r="G978" s="114"/>
      <c r="H978" s="114"/>
      <c r="I978" s="114"/>
      <c r="J978" s="114"/>
      <c r="K978" s="114"/>
      <c r="L978" s="114"/>
      <c r="M978" s="114"/>
      <c r="N978" s="114"/>
      <c r="O978" s="114"/>
      <c r="P978" s="114"/>
      <c r="Q978" s="114"/>
      <c r="R978" s="114"/>
      <c r="S978" s="114"/>
      <c r="T978" s="114"/>
      <c r="U978" s="114"/>
      <c r="V978" s="114"/>
      <c r="W978" s="114"/>
      <c r="X978" s="114"/>
      <c r="Y978" s="114"/>
      <c r="Z978" s="114"/>
      <c r="AA978" s="114"/>
      <c r="AB978" s="114"/>
      <c r="AC978" s="114"/>
      <c r="AD978" s="114"/>
      <c r="AE978" s="114"/>
      <c r="AF978" s="114"/>
      <c r="AG978" s="114"/>
      <c r="AH978" s="114"/>
      <c r="AI978" s="114"/>
      <c r="AJ978" s="114"/>
      <c r="AK978" s="114"/>
    </row>
    <row r="979" ht="15.75" customHeight="1">
      <c r="A979" s="114"/>
      <c r="B979" s="114"/>
      <c r="C979" s="114"/>
      <c r="D979" s="114"/>
      <c r="E979" s="114"/>
      <c r="F979" s="114"/>
      <c r="G979" s="114"/>
      <c r="H979" s="114"/>
      <c r="I979" s="114"/>
      <c r="J979" s="114"/>
      <c r="K979" s="114"/>
      <c r="L979" s="114"/>
      <c r="M979" s="114"/>
      <c r="N979" s="114"/>
      <c r="O979" s="114"/>
      <c r="P979" s="114"/>
      <c r="Q979" s="114"/>
      <c r="R979" s="114"/>
      <c r="S979" s="114"/>
      <c r="T979" s="114"/>
      <c r="U979" s="114"/>
      <c r="V979" s="114"/>
      <c r="W979" s="114"/>
      <c r="X979" s="114"/>
      <c r="Y979" s="114"/>
      <c r="Z979" s="114"/>
      <c r="AA979" s="114"/>
      <c r="AB979" s="114"/>
      <c r="AC979" s="114"/>
      <c r="AD979" s="114"/>
      <c r="AE979" s="114"/>
      <c r="AF979" s="114"/>
      <c r="AG979" s="114"/>
      <c r="AH979" s="114"/>
      <c r="AI979" s="114"/>
      <c r="AJ979" s="114"/>
      <c r="AK979" s="114"/>
    </row>
    <row r="980" ht="15.75" customHeight="1">
      <c r="A980" s="114"/>
      <c r="B980" s="114"/>
      <c r="C980" s="114"/>
      <c r="D980" s="114"/>
      <c r="E980" s="114"/>
      <c r="F980" s="114"/>
      <c r="G980" s="114"/>
      <c r="H980" s="114"/>
      <c r="I980" s="114"/>
      <c r="J980" s="114"/>
      <c r="K980" s="114"/>
      <c r="L980" s="114"/>
      <c r="M980" s="114"/>
      <c r="N980" s="114"/>
      <c r="O980" s="114"/>
      <c r="P980" s="114"/>
      <c r="Q980" s="114"/>
      <c r="R980" s="114"/>
      <c r="S980" s="114"/>
      <c r="T980" s="114"/>
      <c r="U980" s="114"/>
      <c r="V980" s="114"/>
      <c r="W980" s="114"/>
      <c r="X980" s="114"/>
      <c r="Y980" s="114"/>
      <c r="Z980" s="114"/>
      <c r="AA980" s="114"/>
      <c r="AB980" s="114"/>
      <c r="AC980" s="114"/>
      <c r="AD980" s="114"/>
      <c r="AE980" s="114"/>
      <c r="AF980" s="114"/>
      <c r="AG980" s="114"/>
      <c r="AH980" s="114"/>
      <c r="AI980" s="114"/>
      <c r="AJ980" s="114"/>
      <c r="AK980" s="114"/>
    </row>
    <row r="981" ht="15.75" customHeight="1">
      <c r="A981" s="114"/>
      <c r="B981" s="114"/>
      <c r="C981" s="114"/>
      <c r="D981" s="114"/>
      <c r="E981" s="114"/>
      <c r="F981" s="114"/>
      <c r="G981" s="114"/>
      <c r="H981" s="114"/>
      <c r="I981" s="114"/>
      <c r="J981" s="114"/>
      <c r="K981" s="114"/>
      <c r="L981" s="114"/>
      <c r="M981" s="114"/>
      <c r="N981" s="114"/>
      <c r="O981" s="114"/>
      <c r="P981" s="114"/>
      <c r="Q981" s="114"/>
      <c r="R981" s="114"/>
      <c r="S981" s="114"/>
      <c r="T981" s="114"/>
      <c r="U981" s="114"/>
      <c r="V981" s="114"/>
      <c r="W981" s="114"/>
      <c r="X981" s="114"/>
      <c r="Y981" s="114"/>
      <c r="Z981" s="114"/>
      <c r="AA981" s="114"/>
      <c r="AB981" s="114"/>
      <c r="AC981" s="114"/>
      <c r="AD981" s="114"/>
      <c r="AE981" s="114"/>
      <c r="AF981" s="114"/>
      <c r="AG981" s="114"/>
      <c r="AH981" s="114"/>
      <c r="AI981" s="114"/>
      <c r="AJ981" s="114"/>
      <c r="AK981" s="114"/>
    </row>
    <row r="982" ht="15.75" customHeight="1">
      <c r="A982" s="114"/>
      <c r="B982" s="114"/>
      <c r="C982" s="114"/>
      <c r="D982" s="114"/>
      <c r="E982" s="114"/>
      <c r="F982" s="114"/>
      <c r="G982" s="114"/>
      <c r="H982" s="114"/>
      <c r="I982" s="114"/>
      <c r="J982" s="114"/>
      <c r="K982" s="114"/>
      <c r="L982" s="114"/>
      <c r="M982" s="114"/>
      <c r="N982" s="114"/>
      <c r="O982" s="114"/>
      <c r="P982" s="114"/>
      <c r="Q982" s="114"/>
      <c r="R982" s="114"/>
      <c r="S982" s="114"/>
      <c r="T982" s="114"/>
      <c r="U982" s="114"/>
      <c r="V982" s="114"/>
      <c r="W982" s="114"/>
      <c r="X982" s="114"/>
      <c r="Y982" s="114"/>
      <c r="Z982" s="114"/>
      <c r="AA982" s="114"/>
      <c r="AB982" s="114"/>
      <c r="AC982" s="114"/>
      <c r="AD982" s="114"/>
      <c r="AE982" s="114"/>
      <c r="AF982" s="114"/>
      <c r="AG982" s="114"/>
      <c r="AH982" s="114"/>
      <c r="AI982" s="114"/>
      <c r="AJ982" s="114"/>
      <c r="AK982" s="114"/>
    </row>
    <row r="983" ht="15.75" customHeight="1">
      <c r="A983" s="114"/>
      <c r="B983" s="114"/>
      <c r="C983" s="114"/>
      <c r="D983" s="114"/>
      <c r="E983" s="114"/>
      <c r="F983" s="114"/>
      <c r="G983" s="114"/>
      <c r="H983" s="114"/>
      <c r="I983" s="114"/>
      <c r="J983" s="114"/>
      <c r="K983" s="114"/>
      <c r="L983" s="114"/>
      <c r="M983" s="114"/>
      <c r="N983" s="114"/>
      <c r="O983" s="114"/>
      <c r="P983" s="114"/>
      <c r="Q983" s="114"/>
      <c r="R983" s="114"/>
      <c r="S983" s="114"/>
      <c r="T983" s="114"/>
      <c r="U983" s="114"/>
      <c r="V983" s="114"/>
      <c r="W983" s="114"/>
      <c r="X983" s="114"/>
      <c r="Y983" s="114"/>
      <c r="Z983" s="114"/>
      <c r="AA983" s="114"/>
      <c r="AB983" s="114"/>
      <c r="AC983" s="114"/>
      <c r="AD983" s="114"/>
      <c r="AE983" s="114"/>
      <c r="AF983" s="114"/>
      <c r="AG983" s="114"/>
      <c r="AH983" s="114"/>
      <c r="AI983" s="114"/>
      <c r="AJ983" s="114"/>
      <c r="AK983" s="114"/>
    </row>
    <row r="984" ht="15.75" customHeight="1">
      <c r="A984" s="114"/>
      <c r="B984" s="114"/>
      <c r="C984" s="114"/>
      <c r="D984" s="114"/>
      <c r="E984" s="114"/>
      <c r="F984" s="114"/>
      <c r="G984" s="114"/>
      <c r="H984" s="114"/>
      <c r="I984" s="114"/>
      <c r="J984" s="114"/>
      <c r="K984" s="114"/>
      <c r="L984" s="114"/>
      <c r="M984" s="114"/>
      <c r="N984" s="114"/>
      <c r="O984" s="114"/>
      <c r="P984" s="114"/>
      <c r="Q984" s="114"/>
      <c r="R984" s="114"/>
      <c r="S984" s="114"/>
      <c r="T984" s="114"/>
      <c r="U984" s="114"/>
      <c r="V984" s="114"/>
      <c r="W984" s="114"/>
      <c r="X984" s="114"/>
      <c r="Y984" s="114"/>
      <c r="Z984" s="114"/>
      <c r="AA984" s="114"/>
      <c r="AB984" s="114"/>
      <c r="AC984" s="114"/>
      <c r="AD984" s="114"/>
      <c r="AE984" s="114"/>
      <c r="AF984" s="114"/>
      <c r="AG984" s="114"/>
      <c r="AH984" s="114"/>
      <c r="AI984" s="114"/>
      <c r="AJ984" s="114"/>
      <c r="AK984" s="114"/>
    </row>
    <row r="985" ht="15.75" customHeight="1">
      <c r="A985" s="114"/>
      <c r="B985" s="114"/>
      <c r="C985" s="114"/>
      <c r="D985" s="114"/>
      <c r="E985" s="114"/>
      <c r="F985" s="114"/>
      <c r="G985" s="114"/>
      <c r="H985" s="114"/>
      <c r="I985" s="114"/>
      <c r="J985" s="114"/>
      <c r="K985" s="114"/>
      <c r="L985" s="114"/>
      <c r="M985" s="114"/>
      <c r="N985" s="114"/>
      <c r="O985" s="114"/>
      <c r="P985" s="114"/>
      <c r="Q985" s="114"/>
      <c r="R985" s="114"/>
      <c r="S985" s="114"/>
      <c r="T985" s="114"/>
      <c r="U985" s="114"/>
      <c r="V985" s="114"/>
      <c r="W985" s="114"/>
      <c r="X985" s="114"/>
      <c r="Y985" s="114"/>
      <c r="Z985" s="114"/>
      <c r="AA985" s="114"/>
      <c r="AB985" s="114"/>
      <c r="AC985" s="114"/>
      <c r="AD985" s="114"/>
      <c r="AE985" s="114"/>
      <c r="AF985" s="114"/>
      <c r="AG985" s="114"/>
      <c r="AH985" s="114"/>
      <c r="AI985" s="114"/>
      <c r="AJ985" s="114"/>
      <c r="AK985" s="114"/>
    </row>
    <row r="986" ht="15.75" customHeight="1">
      <c r="A986" s="114"/>
      <c r="B986" s="114"/>
      <c r="C986" s="114"/>
      <c r="D986" s="114"/>
      <c r="E986" s="114"/>
      <c r="F986" s="114"/>
      <c r="G986" s="114"/>
      <c r="H986" s="114"/>
      <c r="I986" s="114"/>
      <c r="J986" s="114"/>
      <c r="K986" s="114"/>
      <c r="L986" s="114"/>
      <c r="M986" s="114"/>
      <c r="N986" s="114"/>
      <c r="O986" s="114"/>
      <c r="P986" s="114"/>
      <c r="Q986" s="114"/>
      <c r="R986" s="114"/>
      <c r="S986" s="114"/>
      <c r="T986" s="114"/>
      <c r="U986" s="114"/>
      <c r="V986" s="114"/>
      <c r="W986" s="114"/>
      <c r="X986" s="114"/>
      <c r="Y986" s="114"/>
      <c r="Z986" s="114"/>
      <c r="AA986" s="114"/>
      <c r="AB986" s="114"/>
      <c r="AC986" s="114"/>
      <c r="AD986" s="114"/>
      <c r="AE986" s="114"/>
      <c r="AF986" s="114"/>
      <c r="AG986" s="114"/>
      <c r="AH986" s="114"/>
      <c r="AI986" s="114"/>
      <c r="AJ986" s="114"/>
      <c r="AK986" s="114"/>
    </row>
    <row r="987" ht="15.75" customHeight="1">
      <c r="A987" s="114"/>
      <c r="B987" s="114"/>
      <c r="C987" s="114"/>
      <c r="D987" s="114"/>
      <c r="E987" s="114"/>
      <c r="F987" s="114"/>
      <c r="G987" s="114"/>
      <c r="H987" s="114"/>
      <c r="I987" s="114"/>
      <c r="J987" s="114"/>
      <c r="K987" s="114"/>
      <c r="L987" s="114"/>
      <c r="M987" s="114"/>
      <c r="N987" s="114"/>
      <c r="O987" s="114"/>
      <c r="P987" s="114"/>
      <c r="Q987" s="114"/>
      <c r="R987" s="114"/>
      <c r="S987" s="114"/>
      <c r="T987" s="114"/>
      <c r="U987" s="114"/>
      <c r="V987" s="114"/>
      <c r="W987" s="114"/>
      <c r="X987" s="114"/>
      <c r="Y987" s="114"/>
      <c r="Z987" s="114"/>
      <c r="AA987" s="114"/>
      <c r="AB987" s="114"/>
      <c r="AC987" s="114"/>
      <c r="AD987" s="114"/>
      <c r="AE987" s="114"/>
      <c r="AF987" s="114"/>
      <c r="AG987" s="114"/>
      <c r="AH987" s="114"/>
      <c r="AI987" s="114"/>
      <c r="AJ987" s="114"/>
      <c r="AK987" s="114"/>
    </row>
    <row r="988" ht="15.75" customHeight="1">
      <c r="A988" s="114"/>
      <c r="B988" s="114"/>
      <c r="C988" s="114"/>
      <c r="D988" s="114"/>
      <c r="E988" s="114"/>
      <c r="F988" s="114"/>
      <c r="G988" s="114"/>
      <c r="H988" s="114"/>
      <c r="I988" s="114"/>
      <c r="J988" s="114"/>
      <c r="K988" s="114"/>
      <c r="L988" s="114"/>
      <c r="M988" s="114"/>
      <c r="N988" s="114"/>
      <c r="O988" s="114"/>
      <c r="P988" s="114"/>
      <c r="Q988" s="114"/>
      <c r="R988" s="114"/>
      <c r="S988" s="114"/>
      <c r="T988" s="114"/>
      <c r="U988" s="114"/>
      <c r="V988" s="114"/>
      <c r="W988" s="114"/>
      <c r="X988" s="114"/>
      <c r="Y988" s="114"/>
      <c r="Z988" s="114"/>
      <c r="AA988" s="114"/>
      <c r="AB988" s="114"/>
      <c r="AC988" s="114"/>
      <c r="AD988" s="114"/>
      <c r="AE988" s="114"/>
      <c r="AF988" s="114"/>
      <c r="AG988" s="114"/>
      <c r="AH988" s="114"/>
      <c r="AI988" s="114"/>
      <c r="AJ988" s="114"/>
      <c r="AK988" s="114"/>
    </row>
    <row r="989" ht="15.75" customHeight="1">
      <c r="A989" s="114"/>
      <c r="B989" s="114"/>
      <c r="C989" s="114"/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O989" s="114"/>
      <c r="P989" s="114"/>
      <c r="Q989" s="114"/>
      <c r="R989" s="114"/>
      <c r="S989" s="114"/>
      <c r="T989" s="114"/>
      <c r="U989" s="114"/>
      <c r="V989" s="114"/>
      <c r="W989" s="114"/>
      <c r="X989" s="114"/>
      <c r="Y989" s="114"/>
      <c r="Z989" s="114"/>
      <c r="AA989" s="114"/>
      <c r="AB989" s="114"/>
      <c r="AC989" s="114"/>
      <c r="AD989" s="114"/>
      <c r="AE989" s="114"/>
      <c r="AF989" s="114"/>
      <c r="AG989" s="114"/>
      <c r="AH989" s="114"/>
      <c r="AI989" s="114"/>
      <c r="AJ989" s="114"/>
      <c r="AK989" s="114"/>
    </row>
    <row r="990" ht="15.75" customHeight="1">
      <c r="A990" s="114"/>
      <c r="B990" s="114"/>
      <c r="C990" s="114"/>
      <c r="D990" s="114"/>
      <c r="E990" s="114"/>
      <c r="F990" s="114"/>
      <c r="G990" s="114"/>
      <c r="H990" s="114"/>
      <c r="I990" s="114"/>
      <c r="J990" s="114"/>
      <c r="K990" s="114"/>
      <c r="L990" s="114"/>
      <c r="M990" s="114"/>
      <c r="N990" s="114"/>
      <c r="O990" s="114"/>
      <c r="P990" s="114"/>
      <c r="Q990" s="114"/>
      <c r="R990" s="114"/>
      <c r="S990" s="114"/>
      <c r="T990" s="114"/>
      <c r="U990" s="114"/>
      <c r="V990" s="114"/>
      <c r="W990" s="114"/>
      <c r="X990" s="114"/>
      <c r="Y990" s="114"/>
      <c r="Z990" s="114"/>
      <c r="AA990" s="114"/>
      <c r="AB990" s="114"/>
      <c r="AC990" s="114"/>
      <c r="AD990" s="114"/>
      <c r="AE990" s="114"/>
      <c r="AF990" s="114"/>
      <c r="AG990" s="114"/>
      <c r="AH990" s="114"/>
      <c r="AI990" s="114"/>
      <c r="AJ990" s="114"/>
      <c r="AK990" s="114"/>
    </row>
    <row r="991" ht="15.75" customHeight="1">
      <c r="A991" s="114"/>
      <c r="B991" s="114"/>
      <c r="C991" s="114"/>
      <c r="D991" s="114"/>
      <c r="E991" s="114"/>
      <c r="F991" s="114"/>
      <c r="G991" s="114"/>
      <c r="H991" s="114"/>
      <c r="I991" s="114"/>
      <c r="J991" s="114"/>
      <c r="K991" s="114"/>
      <c r="L991" s="114"/>
      <c r="M991" s="114"/>
      <c r="N991" s="114"/>
      <c r="O991" s="114"/>
      <c r="P991" s="114"/>
      <c r="Q991" s="114"/>
      <c r="R991" s="114"/>
      <c r="S991" s="114"/>
      <c r="T991" s="114"/>
      <c r="U991" s="114"/>
      <c r="V991" s="114"/>
      <c r="W991" s="114"/>
      <c r="X991" s="114"/>
      <c r="Y991" s="114"/>
      <c r="Z991" s="114"/>
      <c r="AA991" s="114"/>
      <c r="AB991" s="114"/>
      <c r="AC991" s="114"/>
      <c r="AD991" s="114"/>
      <c r="AE991" s="114"/>
      <c r="AF991" s="114"/>
      <c r="AG991" s="114"/>
      <c r="AH991" s="114"/>
      <c r="AI991" s="114"/>
      <c r="AJ991" s="114"/>
      <c r="AK991" s="114"/>
    </row>
    <row r="992" ht="15.75" customHeight="1">
      <c r="A992" s="114"/>
      <c r="B992" s="114"/>
      <c r="C992" s="114"/>
      <c r="D992" s="114"/>
      <c r="E992" s="114"/>
      <c r="F992" s="114"/>
      <c r="G992" s="114"/>
      <c r="H992" s="114"/>
      <c r="I992" s="114"/>
      <c r="J992" s="114"/>
      <c r="K992" s="114"/>
      <c r="L992" s="114"/>
      <c r="M992" s="114"/>
      <c r="N992" s="114"/>
      <c r="O992" s="114"/>
      <c r="P992" s="114"/>
      <c r="Q992" s="114"/>
      <c r="R992" s="114"/>
      <c r="S992" s="114"/>
      <c r="T992" s="114"/>
      <c r="U992" s="114"/>
      <c r="V992" s="114"/>
      <c r="W992" s="114"/>
      <c r="X992" s="114"/>
      <c r="Y992" s="114"/>
      <c r="Z992" s="114"/>
      <c r="AA992" s="114"/>
      <c r="AB992" s="114"/>
      <c r="AC992" s="114"/>
      <c r="AD992" s="114"/>
      <c r="AE992" s="114"/>
      <c r="AF992" s="114"/>
      <c r="AG992" s="114"/>
      <c r="AH992" s="114"/>
      <c r="AI992" s="114"/>
      <c r="AJ992" s="114"/>
      <c r="AK992" s="114"/>
    </row>
    <row r="993" ht="15.75" customHeight="1">
      <c r="A993" s="114"/>
      <c r="B993" s="114"/>
      <c r="C993" s="114"/>
      <c r="D993" s="114"/>
      <c r="E993" s="114"/>
      <c r="F993" s="114"/>
      <c r="G993" s="114"/>
      <c r="H993" s="114"/>
      <c r="I993" s="114"/>
      <c r="J993" s="114"/>
      <c r="K993" s="114"/>
      <c r="L993" s="114"/>
      <c r="M993" s="114"/>
      <c r="N993" s="114"/>
      <c r="O993" s="114"/>
      <c r="P993" s="114"/>
      <c r="Q993" s="114"/>
      <c r="R993" s="114"/>
      <c r="S993" s="114"/>
      <c r="T993" s="114"/>
      <c r="U993" s="114"/>
      <c r="V993" s="114"/>
      <c r="W993" s="114"/>
      <c r="X993" s="114"/>
      <c r="Y993" s="114"/>
      <c r="Z993" s="114"/>
      <c r="AA993" s="114"/>
      <c r="AB993" s="114"/>
      <c r="AC993" s="114"/>
      <c r="AD993" s="114"/>
      <c r="AE993" s="114"/>
      <c r="AF993" s="114"/>
      <c r="AG993" s="114"/>
      <c r="AH993" s="114"/>
      <c r="AI993" s="114"/>
      <c r="AJ993" s="114"/>
      <c r="AK993" s="114"/>
    </row>
    <row r="994" ht="15.75" customHeight="1">
      <c r="A994" s="114"/>
      <c r="B994" s="114"/>
      <c r="C994" s="114"/>
      <c r="D994" s="114"/>
      <c r="E994" s="114"/>
      <c r="F994" s="114"/>
      <c r="G994" s="114"/>
      <c r="H994" s="114"/>
      <c r="I994" s="114"/>
      <c r="J994" s="114"/>
      <c r="K994" s="114"/>
      <c r="L994" s="114"/>
      <c r="M994" s="114"/>
      <c r="N994" s="114"/>
      <c r="O994" s="114"/>
      <c r="P994" s="114"/>
      <c r="Q994" s="114"/>
      <c r="R994" s="114"/>
      <c r="S994" s="114"/>
      <c r="T994" s="114"/>
      <c r="U994" s="114"/>
      <c r="V994" s="114"/>
      <c r="W994" s="114"/>
      <c r="X994" s="114"/>
      <c r="Y994" s="114"/>
      <c r="Z994" s="114"/>
      <c r="AA994" s="114"/>
      <c r="AB994" s="114"/>
      <c r="AC994" s="114"/>
      <c r="AD994" s="114"/>
      <c r="AE994" s="114"/>
      <c r="AF994" s="114"/>
      <c r="AG994" s="114"/>
      <c r="AH994" s="114"/>
      <c r="AI994" s="114"/>
      <c r="AJ994" s="114"/>
      <c r="AK994" s="114"/>
    </row>
    <row r="995" ht="15.75" customHeight="1">
      <c r="A995" s="114"/>
      <c r="B995" s="114"/>
      <c r="C995" s="114"/>
      <c r="D995" s="114"/>
      <c r="E995" s="114"/>
      <c r="F995" s="114"/>
      <c r="G995" s="114"/>
      <c r="H995" s="114"/>
      <c r="I995" s="114"/>
      <c r="J995" s="114"/>
      <c r="K995" s="114"/>
      <c r="L995" s="114"/>
      <c r="M995" s="114"/>
      <c r="N995" s="114"/>
      <c r="O995" s="114"/>
      <c r="P995" s="114"/>
      <c r="Q995" s="114"/>
      <c r="R995" s="114"/>
      <c r="S995" s="114"/>
      <c r="T995" s="114"/>
      <c r="U995" s="114"/>
      <c r="V995" s="114"/>
      <c r="W995" s="114"/>
      <c r="X995" s="114"/>
      <c r="Y995" s="114"/>
      <c r="Z995" s="114"/>
      <c r="AA995" s="114"/>
      <c r="AB995" s="114"/>
      <c r="AC995" s="114"/>
      <c r="AD995" s="114"/>
      <c r="AE995" s="114"/>
      <c r="AF995" s="114"/>
      <c r="AG995" s="114"/>
      <c r="AH995" s="114"/>
      <c r="AI995" s="114"/>
      <c r="AJ995" s="114"/>
      <c r="AK995" s="114"/>
    </row>
    <row r="996" ht="15.75" customHeight="1">
      <c r="A996" s="114"/>
      <c r="B996" s="114"/>
      <c r="C996" s="114"/>
      <c r="D996" s="114"/>
      <c r="E996" s="114"/>
      <c r="F996" s="114"/>
      <c r="G996" s="114"/>
      <c r="H996" s="114"/>
      <c r="I996" s="114"/>
      <c r="J996" s="114"/>
      <c r="K996" s="114"/>
      <c r="L996" s="114"/>
      <c r="M996" s="114"/>
      <c r="N996" s="114"/>
      <c r="O996" s="114"/>
      <c r="P996" s="114"/>
      <c r="Q996" s="114"/>
      <c r="R996" s="114"/>
      <c r="S996" s="114"/>
      <c r="T996" s="114"/>
      <c r="U996" s="114"/>
      <c r="V996" s="114"/>
      <c r="W996" s="114"/>
      <c r="X996" s="114"/>
      <c r="Y996" s="114"/>
      <c r="Z996" s="114"/>
      <c r="AA996" s="114"/>
      <c r="AB996" s="114"/>
      <c r="AC996" s="114"/>
      <c r="AD996" s="114"/>
      <c r="AE996" s="114"/>
      <c r="AF996" s="114"/>
      <c r="AG996" s="114"/>
      <c r="AH996" s="114"/>
      <c r="AI996" s="114"/>
      <c r="AJ996" s="114"/>
      <c r="AK996" s="114"/>
    </row>
    <row r="997" ht="15.75" customHeight="1">
      <c r="A997" s="114"/>
      <c r="B997" s="114"/>
      <c r="C997" s="114"/>
      <c r="D997" s="114"/>
      <c r="E997" s="114"/>
      <c r="F997" s="114"/>
      <c r="G997" s="114"/>
      <c r="H997" s="114"/>
      <c r="I997" s="114"/>
      <c r="J997" s="114"/>
      <c r="K997" s="114"/>
      <c r="L997" s="114"/>
      <c r="M997" s="114"/>
      <c r="N997" s="114"/>
      <c r="O997" s="114"/>
      <c r="P997" s="114"/>
      <c r="Q997" s="114"/>
      <c r="R997" s="114"/>
      <c r="S997" s="114"/>
      <c r="T997" s="114"/>
      <c r="U997" s="114"/>
      <c r="V997" s="114"/>
      <c r="W997" s="114"/>
      <c r="X997" s="114"/>
      <c r="Y997" s="114"/>
      <c r="Z997" s="114"/>
      <c r="AA997" s="114"/>
      <c r="AB997" s="114"/>
      <c r="AC997" s="114"/>
      <c r="AD997" s="114"/>
      <c r="AE997" s="114"/>
      <c r="AF997" s="114"/>
      <c r="AG997" s="114"/>
      <c r="AH997" s="114"/>
      <c r="AI997" s="114"/>
      <c r="AJ997" s="114"/>
      <c r="AK997" s="114"/>
    </row>
    <row r="998" ht="15.75" customHeight="1">
      <c r="A998" s="114"/>
      <c r="B998" s="114"/>
      <c r="C998" s="114"/>
      <c r="D998" s="114"/>
      <c r="E998" s="114"/>
      <c r="F998" s="114"/>
      <c r="G998" s="114"/>
      <c r="H998" s="114"/>
      <c r="I998" s="114"/>
      <c r="J998" s="114"/>
      <c r="K998" s="114"/>
      <c r="L998" s="114"/>
      <c r="M998" s="114"/>
      <c r="N998" s="114"/>
      <c r="O998" s="114"/>
      <c r="P998" s="114"/>
      <c r="Q998" s="114"/>
      <c r="R998" s="114"/>
      <c r="S998" s="114"/>
      <c r="T998" s="114"/>
      <c r="U998" s="114"/>
      <c r="V998" s="114"/>
      <c r="W998" s="114"/>
      <c r="X998" s="114"/>
      <c r="Y998" s="114"/>
      <c r="Z998" s="114"/>
      <c r="AA998" s="114"/>
      <c r="AB998" s="114"/>
      <c r="AC998" s="114"/>
      <c r="AD998" s="114"/>
      <c r="AE998" s="114"/>
      <c r="AF998" s="114"/>
      <c r="AG998" s="114"/>
      <c r="AH998" s="114"/>
      <c r="AI998" s="114"/>
      <c r="AJ998" s="114"/>
      <c r="AK998" s="114"/>
    </row>
    <row r="999" ht="15.75" customHeight="1">
      <c r="A999" s="114"/>
      <c r="B999" s="114"/>
      <c r="C999" s="114"/>
      <c r="D999" s="114"/>
      <c r="E999" s="114"/>
      <c r="F999" s="114"/>
      <c r="G999" s="114"/>
      <c r="H999" s="114"/>
      <c r="I999" s="114"/>
      <c r="J999" s="114"/>
      <c r="K999" s="114"/>
      <c r="L999" s="114"/>
      <c r="M999" s="114"/>
      <c r="N999" s="114"/>
      <c r="O999" s="114"/>
      <c r="P999" s="114"/>
      <c r="Q999" s="114"/>
      <c r="R999" s="114"/>
      <c r="S999" s="114"/>
      <c r="T999" s="114"/>
      <c r="U999" s="114"/>
      <c r="V999" s="114"/>
      <c r="W999" s="114"/>
      <c r="X999" s="114"/>
      <c r="Y999" s="114"/>
      <c r="Z999" s="114"/>
      <c r="AA999" s="114"/>
      <c r="AB999" s="114"/>
      <c r="AC999" s="114"/>
      <c r="AD999" s="114"/>
      <c r="AE999" s="114"/>
      <c r="AF999" s="114"/>
      <c r="AG999" s="114"/>
      <c r="AH999" s="114"/>
      <c r="AI999" s="114"/>
      <c r="AJ999" s="114"/>
      <c r="AK999" s="114"/>
    </row>
    <row r="1000" ht="15.75" customHeight="1">
      <c r="A1000" s="114"/>
      <c r="B1000" s="114"/>
      <c r="C1000" s="114"/>
      <c r="D1000" s="114"/>
      <c r="E1000" s="114"/>
      <c r="F1000" s="114"/>
      <c r="G1000" s="114"/>
      <c r="H1000" s="114"/>
      <c r="I1000" s="114"/>
      <c r="J1000" s="114"/>
      <c r="K1000" s="114"/>
      <c r="L1000" s="114"/>
      <c r="M1000" s="114"/>
      <c r="N1000" s="114"/>
      <c r="O1000" s="114"/>
      <c r="P1000" s="114"/>
      <c r="Q1000" s="114"/>
      <c r="R1000" s="114"/>
      <c r="S1000" s="114"/>
      <c r="T1000" s="114"/>
      <c r="U1000" s="114"/>
      <c r="V1000" s="114"/>
      <c r="W1000" s="114"/>
      <c r="X1000" s="114"/>
      <c r="Y1000" s="114"/>
      <c r="Z1000" s="114"/>
      <c r="AA1000" s="114"/>
      <c r="AB1000" s="114"/>
      <c r="AC1000" s="114"/>
      <c r="AD1000" s="114"/>
      <c r="AE1000" s="114"/>
      <c r="AF1000" s="114"/>
      <c r="AG1000" s="114"/>
      <c r="AH1000" s="114"/>
      <c r="AI1000" s="114"/>
      <c r="AJ1000" s="114"/>
      <c r="AK1000" s="114"/>
    </row>
  </sheetData>
  <conditionalFormatting sqref="B122:B126">
    <cfRule type="containsText" dxfId="0" priority="1" operator="containsText" text="0">
      <formula>NOT(ISERROR(SEARCH(("0"),(B122))))</formula>
    </cfRule>
  </conditionalFormatting>
  <conditionalFormatting sqref="B122:B126">
    <cfRule type="containsText" dxfId="0" priority="2" operator="containsText" text="0">
      <formula>NOT(ISERROR(SEARCH(("0"),(B122))))</formula>
    </cfRule>
  </conditionalFormatting>
  <conditionalFormatting sqref="B122:B126">
    <cfRule type="containsText" dxfId="0" priority="3" operator="containsText" text="0">
      <formula>NOT(ISERROR(SEARCH(("0"),(B122))))</formula>
    </cfRule>
  </conditionalFormatting>
  <printOptions/>
  <pageMargins bottom="0.75" footer="0.0" header="0.0" left="0.7" right="0.7" top="0.75"/>
  <pageSetup paperSize="9" orientation="portrait"/>
  <drawing r:id="rId1"/>
  <tableParts count="2">
    <tablePart r:id="rId4"/>
    <tablePart r:id="rId5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E75B5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57</v>
      </c>
    </row>
    <row r="2" ht="14.25" customHeight="1">
      <c r="A2" s="118" t="str">
        <f>IFERROR(__xludf.DUMMYFUNCTION(" IMPORTRANGE(""https://docs.google.com/spreadsheets/d/1KsO4uWLsUcWxACsXn17Ot-OZ0HwBofQroKQ-15UXK2s/edit#gid=1444344404"",""Surprise!A2:A161"")"),"GooodJooob")</f>
        <v>GooodJooob</v>
      </c>
      <c r="B2" s="103">
        <v>1.0</v>
      </c>
      <c r="C2" s="183">
        <f t="shared" ref="C2:C161" si="1">260*(1-(B2/($H$1+1)))*POWER((SQRT(($H$1+1)/B2)),1/2)</f>
        <v>705.1430154</v>
      </c>
      <c r="D2" s="124" t="str">
        <f>VLOOKUP(A2,'Classement Surp'!$B$2:$B$149,1,0)</f>
        <v>GooodJooob</v>
      </c>
      <c r="E2" s="125" t="str">
        <f t="shared" ref="E2:E161" si="2">IF(D2=A2,"","erreur")</f>
        <v/>
      </c>
      <c r="F2" s="120" t="str">
        <f>VLOOKUP(A2,'Classement Général'!$B$2:$B$146,1,0)</f>
        <v>GooodJooob</v>
      </c>
    </row>
    <row r="3" ht="14.25" customHeight="1">
      <c r="A3" s="118" t="str">
        <f>IFERROR(__xludf.DUMMYFUNCTION("""COMPUTED_VALUE"""),"VietNems86")</f>
        <v>VietNems86</v>
      </c>
      <c r="B3" s="103">
        <v>2.0</v>
      </c>
      <c r="C3" s="183">
        <f t="shared" si="1"/>
        <v>582.5495631</v>
      </c>
      <c r="D3" s="124" t="str">
        <f>VLOOKUP(A3,'Classement Surp'!$B$2:$B$149,1,0)</f>
        <v>VietNems86</v>
      </c>
      <c r="E3" s="125" t="str">
        <f t="shared" si="2"/>
        <v/>
      </c>
      <c r="F3" s="120" t="str">
        <f>VLOOKUP(A3,'Classement Général'!$B$2:$B$146,1,0)</f>
        <v>VietNems86</v>
      </c>
    </row>
    <row r="4" ht="14.25" customHeight="1">
      <c r="A4" s="118" t="str">
        <f>IFERROR(__xludf.DUMMYFUNCTION("""COMPUTED_VALUE"""),".choco")</f>
        <v>.choco</v>
      </c>
      <c r="B4" s="103">
        <v>3.0</v>
      </c>
      <c r="C4" s="183">
        <f t="shared" si="1"/>
        <v>516.9930783</v>
      </c>
      <c r="D4" s="124" t="str">
        <f>VLOOKUP(A4,'Classement Surp'!$B$2:$B$149,1,0)</f>
        <v>.choco</v>
      </c>
      <c r="E4" s="125" t="str">
        <f t="shared" si="2"/>
        <v/>
      </c>
      <c r="F4" s="120" t="str">
        <f>VLOOKUP(A4,'Classement Général'!$B$2:$B$146,1,0)</f>
        <v>.choco</v>
      </c>
    </row>
    <row r="5" ht="14.25" customHeight="1">
      <c r="A5" s="118" t="str">
        <f>IFERROR(__xludf.DUMMYFUNCTION("""COMPUTED_VALUE"""),"handpanistan")</f>
        <v>handpanistan</v>
      </c>
      <c r="B5" s="103">
        <v>4.0</v>
      </c>
      <c r="C5" s="183">
        <f t="shared" si="1"/>
        <v>472.3687022</v>
      </c>
      <c r="D5" s="124" t="str">
        <f>VLOOKUP(A5,'Classement Surp'!$B$2:$B$149,1,0)</f>
        <v>handpanistan</v>
      </c>
      <c r="E5" s="125" t="str">
        <f t="shared" si="2"/>
        <v/>
      </c>
      <c r="F5" s="120" t="str">
        <f>VLOOKUP(A5,'Classement Général'!$B$2:$B$146,1,0)</f>
        <v>handpanistan</v>
      </c>
    </row>
    <row r="6" ht="14.25" customHeight="1">
      <c r="A6" s="118" t="str">
        <f>IFERROR(__xludf.DUMMYFUNCTION("""COMPUTED_VALUE"""),"8kinder6")</f>
        <v>8kinder6</v>
      </c>
      <c r="B6" s="103">
        <v>5.0</v>
      </c>
      <c r="C6" s="183">
        <f t="shared" si="1"/>
        <v>438.4657969</v>
      </c>
      <c r="D6" s="124" t="str">
        <f>VLOOKUP(A6,'Classement Surp'!$B$2:$B$149,1,0)</f>
        <v>8kinder6</v>
      </c>
      <c r="E6" s="125" t="str">
        <f t="shared" si="2"/>
        <v/>
      </c>
      <c r="F6" s="120" t="str">
        <f>VLOOKUP(A6,'Classement Général'!$B$2:$B$146,1,0)</f>
        <v>8kinder6</v>
      </c>
    </row>
    <row r="7" ht="14.25" customHeight="1">
      <c r="A7" s="118" t="str">
        <f>IFERROR(__xludf.DUMMYFUNCTION("""COMPUTED_VALUE"""),"immond")</f>
        <v>immond</v>
      </c>
      <c r="B7" s="103">
        <v>6.0</v>
      </c>
      <c r="C7" s="183">
        <f t="shared" si="1"/>
        <v>411.0246648</v>
      </c>
      <c r="D7" s="124" t="str">
        <f>VLOOKUP(A7,'Classement Surp'!$B$2:$B$149,1,0)</f>
        <v>immond</v>
      </c>
      <c r="E7" s="125" t="str">
        <f t="shared" si="2"/>
        <v/>
      </c>
      <c r="F7" s="120" t="str">
        <f>VLOOKUP(A7,'Classement Général'!$B$2:$B$146,1,0)</f>
        <v>immond</v>
      </c>
    </row>
    <row r="8" ht="14.25" customHeight="1">
      <c r="A8" s="118" t="str">
        <f>IFERROR(__xludf.DUMMYFUNCTION("""COMPUTED_VALUE"""),"Elfy")</f>
        <v>Elfy</v>
      </c>
      <c r="B8" s="103">
        <v>7.0</v>
      </c>
      <c r="C8" s="183">
        <f t="shared" si="1"/>
        <v>387.8805644</v>
      </c>
      <c r="D8" s="124" t="str">
        <f>VLOOKUP(A8,'Classement Surp'!$B$2:$B$149,1,0)</f>
        <v>Elfy</v>
      </c>
      <c r="E8" s="125" t="str">
        <f t="shared" si="2"/>
        <v/>
      </c>
      <c r="F8" s="120" t="str">
        <f>VLOOKUP(A8,'Classement Général'!$B$2:$B$146,1,0)</f>
        <v>Elfy</v>
      </c>
    </row>
    <row r="9" ht="14.25" customHeight="1">
      <c r="A9" s="118" t="str">
        <f>IFERROR(__xludf.DUMMYFUNCTION("""COMPUTED_VALUE"""),"belussac")</f>
        <v>belussac</v>
      </c>
      <c r="B9" s="103">
        <v>8.0</v>
      </c>
      <c r="C9" s="183">
        <f t="shared" si="1"/>
        <v>367.7899522</v>
      </c>
      <c r="D9" s="124" t="str">
        <f>VLOOKUP(A9,'Classement Surp'!$B$2:$B$149,1,0)</f>
        <v>belussac</v>
      </c>
      <c r="E9" s="125" t="str">
        <f t="shared" si="2"/>
        <v/>
      </c>
      <c r="F9" s="120" t="str">
        <f>VLOOKUP(A9,'Classement Général'!$B$2:$B$146,1,0)</f>
        <v>belussac</v>
      </c>
    </row>
    <row r="10" ht="14.25" customHeight="1">
      <c r="A10" s="118" t="str">
        <f>IFERROR(__xludf.DUMMYFUNCTION("""COMPUTED_VALUE"""),"Modoriya")</f>
        <v>Modoriya</v>
      </c>
      <c r="B10" s="103">
        <v>9.0</v>
      </c>
      <c r="C10" s="183">
        <f t="shared" si="1"/>
        <v>349.9756312</v>
      </c>
      <c r="D10" s="124" t="str">
        <f>VLOOKUP(A10,'Classement Surp'!$B$2:$B$149,1,0)</f>
        <v>Modoriya</v>
      </c>
      <c r="E10" s="125" t="str">
        <f t="shared" si="2"/>
        <v/>
      </c>
      <c r="F10" s="120" t="str">
        <f>VLOOKUP(A10,'Classement Général'!$B$2:$B$146,1,0)</f>
        <v>Modoriya</v>
      </c>
    </row>
    <row r="11" ht="14.25" customHeight="1">
      <c r="A11" s="118" t="str">
        <f>IFERROR(__xludf.DUMMYFUNCTION("""COMPUTED_VALUE"""),"Sab86360")</f>
        <v>Sab86360</v>
      </c>
      <c r="B11" s="103">
        <v>10.0</v>
      </c>
      <c r="C11" s="183">
        <f t="shared" si="1"/>
        <v>333.9208907</v>
      </c>
      <c r="D11" s="124" t="str">
        <f>VLOOKUP(A11,'Classement Surp'!$B$2:$B$149,1,0)</f>
        <v>Sab86360</v>
      </c>
      <c r="E11" s="125" t="str">
        <f t="shared" si="2"/>
        <v/>
      </c>
      <c r="F11" s="120" t="str">
        <f>VLOOKUP(A11,'Classement Général'!$B$2:$B$146,1,0)</f>
        <v>Sab86360</v>
      </c>
    </row>
    <row r="12" ht="14.25" customHeight="1">
      <c r="A12" s="118" t="str">
        <f>IFERROR(__xludf.DUMMYFUNCTION("""COMPUTED_VALUE"""),"Le_Pictavien")</f>
        <v>Le_Pictavien</v>
      </c>
      <c r="B12" s="103">
        <v>11.0</v>
      </c>
      <c r="C12" s="183">
        <f t="shared" si="1"/>
        <v>319.2655356</v>
      </c>
      <c r="D12" s="124" t="str">
        <f>VLOOKUP(A12,'Classement Surp'!$B$2:$B$149,1,0)</f>
        <v>Le_Pictavien</v>
      </c>
      <c r="E12" s="125" t="str">
        <f t="shared" si="2"/>
        <v/>
      </c>
      <c r="F12" s="120" t="str">
        <f>VLOOKUP(A12,'Classement Général'!$B$2:$B$146,1,0)</f>
        <v>Le_Pictavien</v>
      </c>
    </row>
    <row r="13" ht="14.25" customHeight="1">
      <c r="A13" s="118" t="str">
        <f>IFERROR(__xludf.DUMMYFUNCTION("""COMPUTED_VALUE"""),"SIr_Tango")</f>
        <v>SIr_Tango</v>
      </c>
      <c r="B13" s="103">
        <v>12.0</v>
      </c>
      <c r="C13" s="183">
        <f t="shared" si="1"/>
        <v>305.7488787</v>
      </c>
      <c r="D13" s="124" t="str">
        <f>VLOOKUP(A13,'Classement Surp'!$B$2:$B$149,1,0)</f>
        <v>SIr_Tango</v>
      </c>
      <c r="E13" s="125" t="str">
        <f t="shared" si="2"/>
        <v/>
      </c>
      <c r="F13" s="120" t="str">
        <f>VLOOKUP(A13,'Classement Général'!$B$2:$B$146,1,0)</f>
        <v>#N/A</v>
      </c>
    </row>
    <row r="14" ht="14.25" customHeight="1">
      <c r="A14" s="118" t="str">
        <f>IFERROR(__xludf.DUMMYFUNCTION("""COMPUTED_VALUE"""),"Mako Lemore")</f>
        <v>Mako Lemore</v>
      </c>
      <c r="B14" s="103">
        <v>13.0</v>
      </c>
      <c r="C14" s="183">
        <f t="shared" si="1"/>
        <v>293.176414</v>
      </c>
      <c r="D14" s="124" t="str">
        <f>VLOOKUP(A14,'Classement Surp'!$B$2:$B$149,1,0)</f>
        <v>Mako Lemore</v>
      </c>
      <c r="E14" s="125" t="str">
        <f t="shared" si="2"/>
        <v/>
      </c>
      <c r="F14" s="120" t="str">
        <f>VLOOKUP(A14,'Classement Général'!$B$2:$B$146,1,0)</f>
        <v>Mako Lemore</v>
      </c>
    </row>
    <row r="15" ht="14.25" customHeight="1">
      <c r="A15" s="118" t="str">
        <f>IFERROR(__xludf.DUMMYFUNCTION("""COMPUTED_VALUE"""),"AKlibur")</f>
        <v>AKlibur</v>
      </c>
      <c r="B15" s="103">
        <v>14.0</v>
      </c>
      <c r="C15" s="183">
        <f t="shared" si="1"/>
        <v>281.3993049</v>
      </c>
      <c r="D15" s="124" t="str">
        <f>VLOOKUP(A15,'Classement Surp'!$B$2:$B$149,1,0)</f>
        <v>AKlibur</v>
      </c>
      <c r="E15" s="125" t="str">
        <f t="shared" si="2"/>
        <v/>
      </c>
      <c r="F15" s="120" t="str">
        <f>VLOOKUP(A15,'Classement Général'!$B$2:$B$146,1,0)</f>
        <v>AKlibur</v>
      </c>
    </row>
    <row r="16" ht="14.25" customHeight="1">
      <c r="A16" s="118" t="str">
        <f>IFERROR(__xludf.DUMMYFUNCTION("""COMPUTED_VALUE"""),"Dr Linebourg")</f>
        <v>Dr Linebourg</v>
      </c>
      <c r="B16" s="103">
        <v>15.0</v>
      </c>
      <c r="C16" s="183">
        <f t="shared" si="1"/>
        <v>270.3012124</v>
      </c>
      <c r="D16" s="124" t="str">
        <f>VLOOKUP(A16,'Classement Surp'!$B$2:$B$149,1,0)</f>
        <v>Dr Linebourg</v>
      </c>
      <c r="E16" s="125" t="str">
        <f t="shared" si="2"/>
        <v/>
      </c>
      <c r="F16" s="120" t="str">
        <f>VLOOKUP(A16,'Classement Général'!$B$2:$B$146,1,0)</f>
        <v>Dr Linebourg</v>
      </c>
    </row>
    <row r="17" ht="14.25" customHeight="1">
      <c r="A17" s="118" t="str">
        <f>IFERROR(__xludf.DUMMYFUNCTION("""COMPUTED_VALUE"""),"NezuKO-demon")</f>
        <v>NezuKO-demon</v>
      </c>
      <c r="B17" s="103">
        <v>16.0</v>
      </c>
      <c r="C17" s="183">
        <f t="shared" si="1"/>
        <v>259.789532</v>
      </c>
      <c r="D17" s="124" t="str">
        <f>VLOOKUP(A17,'Classement Surp'!$B$2:$B$149,1,0)</f>
        <v>NezuKO-demon</v>
      </c>
      <c r="E17" s="125" t="str">
        <f t="shared" si="2"/>
        <v/>
      </c>
      <c r="F17" s="120" t="str">
        <f>VLOOKUP(A17,'Classement Général'!$B$2:$B$146,1,0)</f>
        <v>NezuKO-demon</v>
      </c>
    </row>
    <row r="18" ht="14.25" customHeight="1">
      <c r="A18" s="118" t="str">
        <f>IFERROR(__xludf.DUMMYFUNCTION("""COMPUTED_VALUE"""),"Anais")</f>
        <v>Anais</v>
      </c>
      <c r="B18" s="103">
        <v>17.0</v>
      </c>
      <c r="C18" s="183">
        <f t="shared" si="1"/>
        <v>249.7893853</v>
      </c>
      <c r="D18" s="124" t="str">
        <f>VLOOKUP(A18,'Classement Surp'!$B$2:$B$149,1,0)</f>
        <v>Anais</v>
      </c>
      <c r="E18" s="125" t="str">
        <f t="shared" si="2"/>
        <v/>
      </c>
      <c r="F18" s="120" t="str">
        <f>VLOOKUP(A18,'Classement Général'!$B$2:$B$146,1,0)</f>
        <v>Anais</v>
      </c>
    </row>
    <row r="19" ht="14.25" customHeight="1">
      <c r="A19" s="118" t="str">
        <f>IFERROR(__xludf.DUMMYFUNCTION("""COMPUTED_VALUE"""),"Legabodu86")</f>
        <v>Legabodu86</v>
      </c>
      <c r="B19" s="103">
        <v>18.0</v>
      </c>
      <c r="C19" s="183">
        <f t="shared" si="1"/>
        <v>240.2393908</v>
      </c>
      <c r="D19" s="124" t="str">
        <f>VLOOKUP(A19,'Classement Surp'!$B$2:$B$149,1,0)</f>
        <v>Legabodu86</v>
      </c>
      <c r="E19" s="125" t="str">
        <f t="shared" si="2"/>
        <v/>
      </c>
      <c r="F19" s="120" t="str">
        <f>VLOOKUP(A19,'Classement Général'!$B$2:$B$146,1,0)</f>
        <v>Legabodu86</v>
      </c>
    </row>
    <row r="20" ht="14.25" customHeight="1">
      <c r="A20" s="118" t="str">
        <f>IFERROR(__xludf.DUMMYFUNCTION("""COMPUTED_VALUE"""),"Devilbock")</f>
        <v>Devilbock</v>
      </c>
      <c r="B20" s="103">
        <v>19.0</v>
      </c>
      <c r="C20" s="183">
        <f t="shared" si="1"/>
        <v>231.0886203</v>
      </c>
      <c r="D20" s="124" t="str">
        <f>VLOOKUP(A20,'Classement Surp'!$B$2:$B$149,1,0)</f>
        <v>DevilBock</v>
      </c>
      <c r="E20" s="125" t="str">
        <f t="shared" si="2"/>
        <v/>
      </c>
      <c r="F20" s="120" t="str">
        <f>VLOOKUP(A20,'Classement Général'!$B$2:$B$146,1,0)</f>
        <v>DevilBock</v>
      </c>
    </row>
    <row r="21" ht="14.25" customHeight="1">
      <c r="A21" s="118" t="str">
        <f>IFERROR(__xludf.DUMMYFUNCTION("""COMPUTED_VALUE"""),"Dirty Bazaar")</f>
        <v>Dirty Bazaar</v>
      </c>
      <c r="B21" s="103">
        <v>20.0</v>
      </c>
      <c r="C21" s="183">
        <f t="shared" si="1"/>
        <v>222.2943633</v>
      </c>
      <c r="D21" s="124" t="str">
        <f>VLOOKUP(A21,'Classement Surp'!$B$2:$B$149,1,0)</f>
        <v>Dirty Bazaar</v>
      </c>
      <c r="E21" s="125" t="str">
        <f t="shared" si="2"/>
        <v/>
      </c>
      <c r="F21" s="120" t="str">
        <f>VLOOKUP(A21,'Classement Général'!$B$2:$B$146,1,0)</f>
        <v>Dirty Bazaar</v>
      </c>
    </row>
    <row r="22" ht="14.25" customHeight="1">
      <c r="A22" s="118" t="str">
        <f>IFERROR(__xludf.DUMMYFUNCTION("""COMPUTED_VALUE"""),"Butterfly-as")</f>
        <v>Butterfly-as</v>
      </c>
      <c r="B22" s="103">
        <v>21.0</v>
      </c>
      <c r="C22" s="183">
        <f t="shared" si="1"/>
        <v>213.8204569</v>
      </c>
      <c r="D22" s="124" t="str">
        <f>VLOOKUP(A22,'Classement Surp'!$B$2:$B$149,1,0)</f>
        <v>Butterfly-as</v>
      </c>
      <c r="E22" s="125" t="str">
        <f t="shared" si="2"/>
        <v/>
      </c>
      <c r="F22" s="120" t="str">
        <f>VLOOKUP(A22,'Classement Général'!$B$2:$B$146,1,0)</f>
        <v>Butterfly-as</v>
      </c>
    </row>
    <row r="23" ht="14.25" customHeight="1">
      <c r="A23" s="118" t="str">
        <f>IFERROR(__xludf.DUMMYFUNCTION("""COMPUTED_VALUE"""),"Kinchuck")</f>
        <v>Kinchuck</v>
      </c>
      <c r="B23" s="103">
        <v>22.0</v>
      </c>
      <c r="C23" s="183">
        <f t="shared" si="1"/>
        <v>205.636017</v>
      </c>
      <c r="D23" s="124" t="str">
        <f>VLOOKUP(A23,'Classement Surp'!$B$2:$B$149,1,0)</f>
        <v>Kinchuck</v>
      </c>
      <c r="E23" s="125" t="str">
        <f t="shared" si="2"/>
        <v/>
      </c>
      <c r="F23" s="120" t="str">
        <f>VLOOKUP(A23,'Classement Général'!$B$2:$B$146,1,0)</f>
        <v>Kinchuck</v>
      </c>
    </row>
    <row r="24" ht="14.25" customHeight="1">
      <c r="A24" s="118" t="str">
        <f>IFERROR(__xludf.DUMMYFUNCTION("""COMPUTED_VALUE"""),"christ86000")</f>
        <v>christ86000</v>
      </c>
      <c r="B24" s="103">
        <v>23.0</v>
      </c>
      <c r="C24" s="183">
        <f t="shared" si="1"/>
        <v>197.7144624</v>
      </c>
      <c r="D24" s="124" t="str">
        <f>VLOOKUP(A24,'Classement Surp'!$B$2:$B$149,1,0)</f>
        <v>christ86000</v>
      </c>
      <c r="E24" s="125" t="str">
        <f t="shared" si="2"/>
        <v/>
      </c>
      <c r="F24" s="120" t="str">
        <f>VLOOKUP(A24,'Classement Général'!$B$2:$B$146,1,0)</f>
        <v>christ86000</v>
      </c>
    </row>
    <row r="25" ht="14.25" customHeight="1">
      <c r="A25" s="118" t="str">
        <f>IFERROR(__xludf.DUMMYFUNCTION("""COMPUTED_VALUE"""),"kiki86 x")</f>
        <v>kiki86 x</v>
      </c>
      <c r="B25" s="103">
        <v>24.0</v>
      </c>
      <c r="C25" s="183">
        <f t="shared" si="1"/>
        <v>190.0327527</v>
      </c>
      <c r="D25" s="124" t="str">
        <f>VLOOKUP(A25,'Classement Surp'!$B$2:$B$149,1,0)</f>
        <v>kiki86 x</v>
      </c>
      <c r="E25" s="125" t="str">
        <f t="shared" si="2"/>
        <v/>
      </c>
      <c r="F25" s="120" t="str">
        <f>VLOOKUP(A25,'Classement Général'!$B$2:$B$146,1,0)</f>
        <v>kiki86 x</v>
      </c>
    </row>
    <row r="26" ht="14.25" customHeight="1">
      <c r="A26" s="118" t="str">
        <f>IFERROR(__xludf.DUMMYFUNCTION("""COMPUTED_VALUE"""),"erniedog56x")</f>
        <v>erniedog56x</v>
      </c>
      <c r="B26" s="103">
        <v>25.0</v>
      </c>
      <c r="C26" s="183">
        <f t="shared" si="1"/>
        <v>182.5707882</v>
      </c>
      <c r="D26" s="124" t="str">
        <f>VLOOKUP(A26,'Classement Surp'!$B$2:$B$149,1,0)</f>
        <v>erniedog56x</v>
      </c>
      <c r="E26" s="125" t="str">
        <f t="shared" si="2"/>
        <v/>
      </c>
      <c r="F26" s="120" t="str">
        <f>VLOOKUP(A26,'Classement Général'!$B$2:$B$146,1,0)</f>
        <v>erniedog56x</v>
      </c>
    </row>
    <row r="27" ht="14.25" customHeight="1">
      <c r="A27" s="118" t="str">
        <f>IFERROR(__xludf.DUMMYFUNCTION("""COMPUTED_VALUE"""),"cassius-86")</f>
        <v>cassius-86</v>
      </c>
      <c r="B27" s="103">
        <v>26.0</v>
      </c>
      <c r="C27" s="183">
        <f t="shared" si="1"/>
        <v>175.3109302</v>
      </c>
      <c r="D27" s="124" t="str">
        <f>VLOOKUP(A27,'Classement Surp'!$B$2:$B$149,1,0)</f>
        <v>cassius-86</v>
      </c>
      <c r="E27" s="125" t="str">
        <f t="shared" si="2"/>
        <v/>
      </c>
      <c r="F27" s="120" t="str">
        <f>VLOOKUP(A27,'Classement Général'!$B$2:$B$146,1,0)</f>
        <v>cassius-86</v>
      </c>
    </row>
    <row r="28" ht="14.25" customHeight="1">
      <c r="A28" s="118" t="str">
        <f>IFERROR(__xludf.DUMMYFUNCTION("""COMPUTED_VALUE"""),"Sylvain")</f>
        <v>Sylvain</v>
      </c>
      <c r="B28" s="103">
        <v>27.0</v>
      </c>
      <c r="C28" s="183">
        <f t="shared" si="1"/>
        <v>168.237616</v>
      </c>
      <c r="D28" s="124" t="str">
        <f>VLOOKUP(A28,'Classement Surp'!$B$2:$B$149,1,0)</f>
        <v>Sylvain</v>
      </c>
      <c r="E28" s="125" t="str">
        <f t="shared" si="2"/>
        <v/>
      </c>
      <c r="F28" s="120" t="str">
        <f>VLOOKUP(A28,'Classement Général'!$B$2:$B$146,1,0)</f>
        <v>Sylvain</v>
      </c>
    </row>
    <row r="29" ht="14.25" customHeight="1">
      <c r="A29" s="118" t="str">
        <f>IFERROR(__xludf.DUMMYFUNCTION("""COMPUTED_VALUE"""),"Sebos")</f>
        <v>Sebos</v>
      </c>
      <c r="B29" s="103">
        <v>28.0</v>
      </c>
      <c r="C29" s="183">
        <f t="shared" si="1"/>
        <v>161.3370455</v>
      </c>
      <c r="D29" s="124" t="str">
        <f>VLOOKUP(A29,'Classement Surp'!$B$2:$B$149,1,0)</f>
        <v>Sebos</v>
      </c>
      <c r="E29" s="125" t="str">
        <f t="shared" si="2"/>
        <v/>
      </c>
      <c r="F29" s="120" t="str">
        <f>VLOOKUP(A29,'Classement Général'!$B$2:$B$146,1,0)</f>
        <v>Sebos</v>
      </c>
    </row>
    <row r="30" ht="14.25" customHeight="1">
      <c r="A30" s="118" t="str">
        <f>IFERROR(__xludf.DUMMYFUNCTION("""COMPUTED_VALUE"""),"Fistipanda")</f>
        <v>Fistipanda</v>
      </c>
      <c r="B30" s="103">
        <v>29.0</v>
      </c>
      <c r="C30" s="183">
        <f t="shared" si="1"/>
        <v>154.596925</v>
      </c>
      <c r="D30" s="124" t="str">
        <f>VLOOKUP(A30,'Classement Surp'!$B$2:$B$149,1,0)</f>
        <v>Fistipanda</v>
      </c>
      <c r="E30" s="125" t="str">
        <f t="shared" si="2"/>
        <v/>
      </c>
      <c r="F30" s="120" t="str">
        <f>VLOOKUP(A30,'Classement Général'!$B$2:$B$146,1,0)</f>
        <v>Fistipanda</v>
      </c>
    </row>
    <row r="31" ht="14.25" customHeight="1">
      <c r="A31" s="118" t="str">
        <f>IFERROR(__xludf.DUMMYFUNCTION("""COMPUTED_VALUE"""),"vicmackey86")</f>
        <v>vicmackey86</v>
      </c>
      <c r="B31" s="103">
        <v>30.0</v>
      </c>
      <c r="C31" s="183">
        <f t="shared" si="1"/>
        <v>148.0062552</v>
      </c>
      <c r="D31" s="124" t="str">
        <f>VLOOKUP(A31,'Classement Surp'!$B$2:$B$149,1,0)</f>
        <v>vicmackey86</v>
      </c>
      <c r="E31" s="125" t="str">
        <f t="shared" si="2"/>
        <v/>
      </c>
      <c r="F31" s="120" t="str">
        <f>VLOOKUP(A31,'Classement Général'!$B$2:$B$146,1,0)</f>
        <v>vicmackey86</v>
      </c>
    </row>
    <row r="32" ht="14.25" customHeight="1">
      <c r="A32" s="118" t="str">
        <f>IFERROR(__xludf.DUMMYFUNCTION("""COMPUTED_VALUE"""),"PocketBike")</f>
        <v>PocketBike</v>
      </c>
      <c r="B32" s="103">
        <v>31.0</v>
      </c>
      <c r="C32" s="183">
        <f t="shared" si="1"/>
        <v>141.5551563</v>
      </c>
      <c r="D32" s="124" t="str">
        <f>VLOOKUP(A32,'Classement Surp'!$B$2:$B$149,1,0)</f>
        <v>PocketBike</v>
      </c>
      <c r="E32" s="125" t="str">
        <f t="shared" si="2"/>
        <v/>
      </c>
      <c r="F32" s="120" t="str">
        <f>VLOOKUP(A32,'Classement Général'!$B$2:$B$146,1,0)</f>
        <v>PocketBike</v>
      </c>
    </row>
    <row r="33" ht="14.25" customHeight="1">
      <c r="A33" s="118" t="str">
        <f>IFERROR(__xludf.DUMMYFUNCTION("""COMPUTED_VALUE"""),"Kiki Bazaar")</f>
        <v>Kiki Bazaar</v>
      </c>
      <c r="B33" s="103">
        <v>32.0</v>
      </c>
      <c r="C33" s="183">
        <f t="shared" si="1"/>
        <v>135.23472</v>
      </c>
      <c r="D33" s="124" t="str">
        <f>VLOOKUP(A33,'Classement Surp'!$B$2:$B$149,1,0)</f>
        <v>Kiki Bazaar</v>
      </c>
      <c r="E33" s="125" t="str">
        <f t="shared" si="2"/>
        <v/>
      </c>
      <c r="F33" s="120" t="str">
        <f>VLOOKUP(A33,'Classement Général'!$B$2:$B$146,1,0)</f>
        <v>Kiki Bazaar</v>
      </c>
    </row>
    <row r="34" ht="14.25" customHeight="1">
      <c r="A34" s="118" t="str">
        <f>IFERROR(__xludf.DUMMYFUNCTION("""COMPUTED_VALUE"""),"marypops64")</f>
        <v>marypops64</v>
      </c>
      <c r="B34" s="103">
        <v>33.0</v>
      </c>
      <c r="C34" s="183">
        <f t="shared" si="1"/>
        <v>129.0368868</v>
      </c>
      <c r="D34" s="124" t="str">
        <f>VLOOKUP(A34,'Classement Surp'!$B$2:$B$149,1,0)</f>
        <v>marypops64</v>
      </c>
      <c r="E34" s="125" t="str">
        <f t="shared" si="2"/>
        <v/>
      </c>
      <c r="F34" s="120" t="str">
        <f>VLOOKUP(A34,'Classement Général'!$B$2:$B$146,1,0)</f>
        <v>marypops64</v>
      </c>
    </row>
    <row r="35" ht="14.25" customHeight="1">
      <c r="A35" s="118" t="str">
        <f>IFERROR(__xludf.DUMMYFUNCTION("""COMPUTED_VALUE"""),"PSGJM")</f>
        <v>PSGJM</v>
      </c>
      <c r="B35" s="103">
        <v>34.0</v>
      </c>
      <c r="C35" s="183">
        <f t="shared" si="1"/>
        <v>122.9543407</v>
      </c>
      <c r="D35" s="124" t="str">
        <f>VLOOKUP(A35,'Classement Surp'!$B$2:$B$149,1,0)</f>
        <v>PSGJM</v>
      </c>
      <c r="E35" s="125" t="str">
        <f t="shared" si="2"/>
        <v/>
      </c>
      <c r="F35" s="120" t="str">
        <f>VLOOKUP(A35,'Classement Général'!$B$2:$B$146,1,0)</f>
        <v>PSGJM</v>
      </c>
    </row>
    <row r="36" ht="14.25" customHeight="1">
      <c r="A36" s="118" t="str">
        <f>IFERROR(__xludf.DUMMYFUNCTION("""COMPUTED_VALUE"""),"Pachavi")</f>
        <v>Pachavi</v>
      </c>
      <c r="B36" s="103">
        <v>35.0</v>
      </c>
      <c r="C36" s="183">
        <f t="shared" si="1"/>
        <v>116.9804204</v>
      </c>
      <c r="D36" s="124" t="str">
        <f>VLOOKUP(A36,'Classement Surp'!$B$2:$B$149,1,0)</f>
        <v>Pachavi</v>
      </c>
      <c r="E36" s="125" t="str">
        <f t="shared" si="2"/>
        <v/>
      </c>
      <c r="F36" s="120" t="str">
        <f>VLOOKUP(A36,'Classement Général'!$B$2:$B$146,1,0)</f>
        <v>Pachavi</v>
      </c>
    </row>
    <row r="37" ht="14.25" customHeight="1">
      <c r="A37" s="118" t="str">
        <f>IFERROR(__xludf.DUMMYFUNCTION("""COMPUTED_VALUE"""),"NOVICEMYSTIC")</f>
        <v>NOVICEMYSTIC</v>
      </c>
      <c r="B37" s="103">
        <v>36.0</v>
      </c>
      <c r="C37" s="183">
        <f t="shared" si="1"/>
        <v>111.1090434</v>
      </c>
      <c r="D37" s="124" t="str">
        <f>VLOOKUP(A37,'Classement Surp'!$B$2:$B$149,1,0)</f>
        <v>NOVICEMYSTIC</v>
      </c>
      <c r="E37" s="125" t="str">
        <f t="shared" si="2"/>
        <v/>
      </c>
      <c r="F37" s="120" t="str">
        <f>VLOOKUP(A37,'Classement Général'!$B$2:$B$146,1,0)</f>
        <v>NOVICEMYSTIC</v>
      </c>
    </row>
    <row r="38" ht="14.25" customHeight="1">
      <c r="A38" s="118" t="str">
        <f>IFERROR(__xludf.DUMMYFUNCTION("""COMPUTED_VALUE"""),"KamehamehAS")</f>
        <v>KamehamehAS</v>
      </c>
      <c r="B38" s="103">
        <v>37.0</v>
      </c>
      <c r="C38" s="183">
        <f t="shared" si="1"/>
        <v>105.3346403</v>
      </c>
      <c r="D38" s="124" t="str">
        <f>VLOOKUP(A38,'Classement Surp'!$B$2:$B$149,1,0)</f>
        <v>KamehamehAS</v>
      </c>
      <c r="E38" s="125" t="str">
        <f t="shared" si="2"/>
        <v/>
      </c>
      <c r="F38" s="120" t="str">
        <f>VLOOKUP(A38,'Classement Général'!$B$2:$B$146,1,0)</f>
        <v>KamehamehAS</v>
      </c>
    </row>
    <row r="39" ht="14.25" customHeight="1">
      <c r="A39" s="118" t="str">
        <f>IFERROR(__xludf.DUMMYFUNCTION("""COMPUTED_VALUE"""),". BARBAPAPA66")</f>
        <v>. BARBAPAPA66</v>
      </c>
      <c r="B39" s="103">
        <v>38.0</v>
      </c>
      <c r="C39" s="183">
        <f t="shared" si="1"/>
        <v>99.65209866</v>
      </c>
      <c r="D39" s="124" t="str">
        <f>VLOOKUP(A39,'Classement Surp'!$B$2:$B$149,1,0)</f>
        <v>. BARBAPAPA66</v>
      </c>
      <c r="E39" s="125" t="str">
        <f t="shared" si="2"/>
        <v/>
      </c>
      <c r="F39" s="120" t="str">
        <f>VLOOKUP(A39,'Classement Général'!$B$2:$B$146,1,0)</f>
        <v>. BARBAPAPA66</v>
      </c>
    </row>
    <row r="40" ht="14.25" customHeight="1">
      <c r="A40" s="118" t="str">
        <f>IFERROR(__xludf.DUMMYFUNCTION("""COMPUTED_VALUE"""),"Rod_John_VI")</f>
        <v>Rod_John_VI</v>
      </c>
      <c r="B40" s="103">
        <v>39.0</v>
      </c>
      <c r="C40" s="183">
        <f t="shared" si="1"/>
        <v>94.056714</v>
      </c>
      <c r="D40" s="124" t="str">
        <f>VLOOKUP(A40,'Classement Surp'!$B$2:$B$149,1,0)</f>
        <v>Rod_John_VI</v>
      </c>
      <c r="E40" s="125" t="str">
        <f t="shared" si="2"/>
        <v/>
      </c>
      <c r="F40" s="120" t="str">
        <f>VLOOKUP(A40,'Classement Général'!$B$2:$B$146,1,0)</f>
        <v>Rod_John_VI</v>
      </c>
    </row>
    <row r="41" ht="14.25" customHeight="1">
      <c r="A41" s="118" t="str">
        <f>IFERROR(__xludf.DUMMYFUNCTION("""COMPUTED_VALUE"""),"Bratake")</f>
        <v>Bratake</v>
      </c>
      <c r="B41" s="103">
        <v>40.0</v>
      </c>
      <c r="C41" s="183">
        <f t="shared" si="1"/>
        <v>88.54414733</v>
      </c>
      <c r="D41" s="124" t="str">
        <f>VLOOKUP(A41,'Classement Surp'!$B$2:$B$149,1,0)</f>
        <v>Bratake</v>
      </c>
      <c r="E41" s="125" t="str">
        <f t="shared" si="2"/>
        <v/>
      </c>
      <c r="F41" s="120" t="str">
        <f>VLOOKUP(A41,'Classement Général'!$B$2:$B$146,1,0)</f>
        <v>Bratake</v>
      </c>
    </row>
    <row r="42" ht="14.25" customHeight="1">
      <c r="A42" s="118" t="str">
        <f>IFERROR(__xludf.DUMMYFUNCTION("""COMPUTED_VALUE"""),"POMB1664")</f>
        <v>POMB1664</v>
      </c>
      <c r="B42" s="103">
        <v>41.0</v>
      </c>
      <c r="C42" s="183">
        <f t="shared" si="1"/>
        <v>83.11038803</v>
      </c>
      <c r="D42" s="124" t="str">
        <f>VLOOKUP(A42,'Classement Surp'!$B$2:$B$149,1,0)</f>
        <v>POMB1664</v>
      </c>
      <c r="E42" s="125" t="str">
        <f t="shared" si="2"/>
        <v/>
      </c>
      <c r="F42" s="120" t="str">
        <f>VLOOKUP(A42,'Classement Général'!$B$2:$B$146,1,0)</f>
        <v>POMB1664</v>
      </c>
    </row>
    <row r="43" ht="14.25" customHeight="1">
      <c r="A43" s="118" t="str">
        <f>IFERROR(__xludf.DUMMYFUNCTION("""COMPUTED_VALUE"""),"--WondeR--")</f>
        <v>--WondeR--</v>
      </c>
      <c r="B43" s="103">
        <v>42.0</v>
      </c>
      <c r="C43" s="183">
        <f t="shared" si="1"/>
        <v>77.75172138</v>
      </c>
      <c r="D43" s="124" t="str">
        <f>VLOOKUP(A43,'Classement Surp'!$B$2:$B$149,1,0)</f>
        <v>--WondeR--</v>
      </c>
      <c r="E43" s="125" t="str">
        <f t="shared" si="2"/>
        <v/>
      </c>
      <c r="F43" s="120" t="str">
        <f>VLOOKUP(A43,'Classement Général'!$B$2:$B$146,1,0)</f>
        <v>--WondeR--</v>
      </c>
    </row>
    <row r="44" ht="14.25" customHeight="1">
      <c r="A44" s="118" t="str">
        <f>IFERROR(__xludf.DUMMYFUNCTION("""COMPUTED_VALUE"""),"Odile2Raise")</f>
        <v>Odile2Raise</v>
      </c>
      <c r="B44" s="103">
        <v>43.0</v>
      </c>
      <c r="C44" s="183">
        <f t="shared" si="1"/>
        <v>72.46469989</v>
      </c>
      <c r="D44" s="124" t="str">
        <f>VLOOKUP(A44,'Classement Surp'!$B$2:$B$149,1,0)</f>
        <v>Odile2Raise</v>
      </c>
      <c r="E44" s="125" t="str">
        <f t="shared" si="2"/>
        <v/>
      </c>
      <c r="F44" s="120" t="str">
        <f>VLOOKUP(A44,'Classement Général'!$B$2:$B$146,1,0)</f>
        <v>Odile2Raise</v>
      </c>
    </row>
    <row r="45" ht="14.25" customHeight="1">
      <c r="A45" s="118" t="str">
        <f>IFERROR(__xludf.DUMMYFUNCTION("""COMPUTED_VALUE"""),"Karibette86")</f>
        <v>Karibette86</v>
      </c>
      <c r="B45" s="103">
        <v>44.0</v>
      </c>
      <c r="C45" s="183">
        <f t="shared" si="1"/>
        <v>67.24611816</v>
      </c>
      <c r="D45" s="124" t="str">
        <f>VLOOKUP(A45,'Classement Surp'!$B$2:$B$149,1,0)</f>
        <v>karibette86</v>
      </c>
      <c r="E45" s="125" t="str">
        <f t="shared" si="2"/>
        <v/>
      </c>
      <c r="F45" s="120" t="str">
        <f>VLOOKUP(A45,'Classement Général'!$B$2:$B$146,1,0)</f>
        <v>karibette86</v>
      </c>
    </row>
    <row r="46" ht="14.25" customHeight="1">
      <c r="A46" s="118" t="str">
        <f>IFERROR(__xludf.DUMMYFUNCTION("""COMPUTED_VALUE"""),"DonnesTchips")</f>
        <v>DonnesTchips</v>
      </c>
      <c r="B46" s="103">
        <v>45.0</v>
      </c>
      <c r="C46" s="183">
        <f t="shared" si="1"/>
        <v>62.0929905</v>
      </c>
      <c r="D46" s="124" t="str">
        <f>VLOOKUP(A46,'Classement Surp'!$B$2:$B$149,1,0)</f>
        <v>DonnesTchips</v>
      </c>
      <c r="E46" s="125" t="str">
        <f t="shared" si="2"/>
        <v/>
      </c>
      <c r="F46" s="120" t="str">
        <f>VLOOKUP(A46,'Classement Général'!$B$2:$B$146,1,0)</f>
        <v>DonnesTchips</v>
      </c>
    </row>
    <row r="47" ht="14.25" customHeight="1">
      <c r="A47" s="118" t="str">
        <f>IFERROR(__xludf.DUMMYFUNCTION("""COMPUTED_VALUE"""),"Mikalack")</f>
        <v>Mikalack</v>
      </c>
      <c r="B47" s="103">
        <v>46.0</v>
      </c>
      <c r="C47" s="183">
        <f t="shared" si="1"/>
        <v>57.00253119</v>
      </c>
      <c r="D47" s="124" t="str">
        <f>VLOOKUP(A47,'Classement Surp'!$B$2:$B$149,1,0)</f>
        <v>Mikalack</v>
      </c>
      <c r="E47" s="125" t="str">
        <f t="shared" si="2"/>
        <v/>
      </c>
      <c r="F47" s="120" t="str">
        <f>VLOOKUP(A47,'Classement Général'!$B$2:$B$146,1,0)</f>
        <v>Mikalack</v>
      </c>
    </row>
    <row r="48" ht="14.25" customHeight="1">
      <c r="A48" s="118" t="str">
        <f>IFERROR(__xludf.DUMMYFUNCTION("""COMPUTED_VALUE"""),"gregmoore")</f>
        <v>gregmoore</v>
      </c>
      <c r="B48" s="103">
        <v>47.0</v>
      </c>
      <c r="C48" s="183">
        <f t="shared" si="1"/>
        <v>51.97213687</v>
      </c>
      <c r="D48" s="124" t="str">
        <f>VLOOKUP(A48,'Classement Surp'!$B$2:$B$149,1,0)</f>
        <v>gregmoore</v>
      </c>
      <c r="E48" s="125" t="str">
        <f t="shared" si="2"/>
        <v/>
      </c>
      <c r="F48" s="120" t="str">
        <f>VLOOKUP(A48,'Classement Général'!$B$2:$B$146,1,0)</f>
        <v>gregmoore</v>
      </c>
    </row>
    <row r="49" ht="14.25" customHeight="1">
      <c r="A49" s="118" t="str">
        <f>IFERROR(__xludf.DUMMYFUNCTION("""COMPUTED_VALUE"""),"chatouill86")</f>
        <v>chatouill86</v>
      </c>
      <c r="B49" s="103">
        <v>48.0</v>
      </c>
      <c r="C49" s="183">
        <f t="shared" si="1"/>
        <v>46.99937075</v>
      </c>
      <c r="D49" s="124" t="str">
        <f>VLOOKUP(A49,'Classement Surp'!$B$2:$B$149,1,0)</f>
        <v>chatouill86</v>
      </c>
      <c r="E49" s="125" t="str">
        <f t="shared" si="2"/>
        <v/>
      </c>
      <c r="F49" s="120" t="str">
        <f>VLOOKUP(A49,'Classement Général'!$B$2:$B$146,1,0)</f>
        <v>chatouill86</v>
      </c>
    </row>
    <row r="50" ht="14.25" customHeight="1">
      <c r="A50" s="118" t="str">
        <f>IFERROR(__xludf.DUMMYFUNCTION("""COMPUTED_VALUE"""),"Gabus")</f>
        <v>Gabus</v>
      </c>
      <c r="B50" s="103">
        <v>49.0</v>
      </c>
      <c r="C50" s="183">
        <f t="shared" si="1"/>
        <v>42.08194866</v>
      </c>
      <c r="D50" s="124" t="str">
        <f>VLOOKUP(A50,'Classement Surp'!$B$2:$B$149,1,0)</f>
        <v>Gabus</v>
      </c>
      <c r="E50" s="125" t="str">
        <f t="shared" si="2"/>
        <v/>
      </c>
      <c r="F50" s="120" t="str">
        <f>VLOOKUP(A50,'Classement Général'!$B$2:$B$146,1,0)</f>
        <v>Gabus</v>
      </c>
    </row>
    <row r="51" ht="14.25" customHeight="1">
      <c r="A51" s="118" t="str">
        <f>IFERROR(__xludf.DUMMYFUNCTION("""COMPUTED_VALUE"""),"Chuckzim")</f>
        <v>Chuckzim</v>
      </c>
      <c r="B51" s="103">
        <v>50.0</v>
      </c>
      <c r="C51" s="183">
        <f t="shared" si="1"/>
        <v>37.21772638</v>
      </c>
      <c r="D51" s="124" t="str">
        <f>VLOOKUP(A51,'Classement Surp'!$B$2:$B$149,1,0)</f>
        <v>Chuckzim</v>
      </c>
      <c r="E51" s="125" t="str">
        <f t="shared" si="2"/>
        <v/>
      </c>
      <c r="F51" s="120" t="str">
        <f>VLOOKUP(A51,'Classement Général'!$B$2:$B$146,1,0)</f>
        <v>Chuckzim</v>
      </c>
    </row>
    <row r="52" ht="14.25" customHeight="1">
      <c r="A52" s="118" t="str">
        <f>IFERROR(__xludf.DUMMYFUNCTION("""COMPUTED_VALUE"""),"PrendmAmAin")</f>
        <v>PrendmAmAin</v>
      </c>
      <c r="B52" s="103">
        <v>51.0</v>
      </c>
      <c r="C52" s="183">
        <f t="shared" si="1"/>
        <v>32.40468833</v>
      </c>
      <c r="D52" s="124" t="str">
        <f>VLOOKUP(A52,'Classement Surp'!$B$2:$B$149,1,0)</f>
        <v>PrendmAmAin</v>
      </c>
      <c r="E52" s="125" t="str">
        <f t="shared" si="2"/>
        <v/>
      </c>
      <c r="F52" s="120" t="str">
        <f>VLOOKUP(A52,'Classement Général'!$B$2:$B$146,1,0)</f>
        <v>PrendmAmAin</v>
      </c>
    </row>
    <row r="53" ht="14.25" customHeight="1">
      <c r="A53" s="118" t="str">
        <f>IFERROR(__xludf.DUMMYFUNCTION("""COMPUTED_VALUE"""),"Phil1308")</f>
        <v>Phil1308</v>
      </c>
      <c r="B53" s="103">
        <v>52.0</v>
      </c>
      <c r="C53" s="183">
        <f t="shared" si="1"/>
        <v>27.64093739</v>
      </c>
      <c r="D53" s="124" t="str">
        <f>VLOOKUP(A53,'Classement Surp'!$B$2:$B$149,1,0)</f>
        <v>Phil1308</v>
      </c>
      <c r="E53" s="125" t="str">
        <f t="shared" si="2"/>
        <v/>
      </c>
      <c r="F53" s="120" t="str">
        <f>VLOOKUP(A53,'Classement Général'!$B$2:$B$146,1,0)</f>
        <v>Phil1308</v>
      </c>
    </row>
    <row r="54" ht="14.25" customHeight="1">
      <c r="A54" s="118" t="str">
        <f>IFERROR(__xludf.DUMMYFUNCTION("""COMPUTED_VALUE"""),"Redblood92")</f>
        <v>Redblood92</v>
      </c>
      <c r="B54" s="103">
        <v>53.0</v>
      </c>
      <c r="C54" s="183">
        <f t="shared" si="1"/>
        <v>22.92468568</v>
      </c>
      <c r="D54" s="124" t="str">
        <f>VLOOKUP(A54,'Classement Surp'!$B$2:$B$149,1,0)</f>
        <v>Redblood92</v>
      </c>
      <c r="E54" s="125" t="str">
        <f t="shared" si="2"/>
        <v/>
      </c>
      <c r="F54" s="120" t="str">
        <f>VLOOKUP(A54,'Classement Général'!$B$2:$B$146,1,0)</f>
        <v>Redblood92</v>
      </c>
    </row>
    <row r="55" ht="14.25" customHeight="1">
      <c r="A55" s="118" t="str">
        <f>IFERROR(__xludf.DUMMYFUNCTION("""COMPUTED_VALUE"""),"_Sale-Bet_")</f>
        <v>_Sale-Bet_</v>
      </c>
      <c r="B55" s="103">
        <v>54.0</v>
      </c>
      <c r="C55" s="183">
        <f t="shared" si="1"/>
        <v>18.25424622</v>
      </c>
      <c r="D55" s="124" t="str">
        <f>VLOOKUP(A55,'Classement Surp'!$B$2:$B$149,1,0)</f>
        <v>_Sale-Bet_</v>
      </c>
      <c r="E55" s="125" t="str">
        <f t="shared" si="2"/>
        <v/>
      </c>
      <c r="F55" s="120" t="str">
        <f>VLOOKUP(A55,'Classement Général'!$B$2:$B$146,1,0)</f>
        <v>_Sale-Bet_</v>
      </c>
    </row>
    <row r="56" ht="14.25" customHeight="1">
      <c r="A56" s="118" t="str">
        <f>IFERROR(__xludf.DUMMYFUNCTION("""COMPUTED_VALUE"""),"Ad-Ice")</f>
        <v>Ad-Ice</v>
      </c>
      <c r="B56" s="103">
        <v>55.0</v>
      </c>
      <c r="C56" s="183">
        <f t="shared" si="1"/>
        <v>13.62802543</v>
      </c>
      <c r="D56" s="124" t="str">
        <f>VLOOKUP(A56,'Classement Surp'!$B$2:$B$149,1,0)</f>
        <v>AD-ICE</v>
      </c>
      <c r="E56" s="125" t="str">
        <f t="shared" si="2"/>
        <v/>
      </c>
      <c r="F56" s="120" t="str">
        <f>VLOOKUP(A56,'Classement Général'!$B$2:$B$146,1,0)</f>
        <v>AD-ICE</v>
      </c>
    </row>
    <row r="57" ht="14.25" customHeight="1">
      <c r="A57" s="118" t="str">
        <f>IFERROR(__xludf.DUMMYFUNCTION("""COMPUTED_VALUE"""),"LEGOLEGOTE")</f>
        <v>LEGOLEGOTE</v>
      </c>
      <c r="B57" s="103">
        <v>56.0</v>
      </c>
      <c r="C57" s="183">
        <f t="shared" si="1"/>
        <v>9.044516215</v>
      </c>
      <c r="D57" s="124" t="str">
        <f>VLOOKUP(A57,'Classement Surp'!$B$2:$B$149,1,0)</f>
        <v>LEGOLEGOTE</v>
      </c>
      <c r="E57" s="125" t="str">
        <f t="shared" si="2"/>
        <v/>
      </c>
      <c r="F57" s="120" t="str">
        <f>VLOOKUP(A57,'Classement Général'!$B$2:$B$146,1,0)</f>
        <v>LEGOLEGOTE</v>
      </c>
    </row>
    <row r="58" ht="14.25" customHeight="1">
      <c r="A58" s="118" t="str">
        <f>IFERROR(__xludf.DUMMYFUNCTION("""COMPUTED_VALUE"""),"rastamokett")</f>
        <v>rastamokett</v>
      </c>
      <c r="B58" s="103">
        <v>57.0</v>
      </c>
      <c r="C58" s="183">
        <f t="shared" si="1"/>
        <v>4.502291801</v>
      </c>
      <c r="D58" s="124" t="str">
        <f>VLOOKUP(A58,'Classement Surp'!$B$2:$B$149,1,0)</f>
        <v>rastamokett</v>
      </c>
      <c r="E58" s="125" t="str">
        <f t="shared" si="2"/>
        <v/>
      </c>
      <c r="F58" s="120" t="str">
        <f>VLOOKUP(A58,'Classement Général'!$B$2:$B$146,1,0)</f>
        <v>rastamokett</v>
      </c>
    </row>
    <row r="59" ht="14.25" customHeight="1">
      <c r="A59" s="118"/>
      <c r="B59" s="103">
        <v>58.0</v>
      </c>
      <c r="C59" s="183">
        <f t="shared" si="1"/>
        <v>0</v>
      </c>
      <c r="D59" s="124" t="str">
        <f>VLOOKUP(A59,'Classement Surp'!$B$2:$B$149,1,0)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18"/>
      <c r="B60" s="103">
        <v>59.0</v>
      </c>
      <c r="C60" s="183">
        <f t="shared" si="1"/>
        <v>-4.463641944</v>
      </c>
      <c r="D60" s="124" t="str">
        <f>VLOOKUP(A60,'Classement Surp'!$B$2:$B$149,1,0)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18"/>
      <c r="B61" s="103">
        <v>60.0</v>
      </c>
      <c r="C61" s="183">
        <f t="shared" si="1"/>
        <v>-8.889852103</v>
      </c>
      <c r="D61" s="124" t="str">
        <f>VLOOKUP(A61,'Classement Surp'!$B$2:$B$149,1,0)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18"/>
      <c r="B62" s="103">
        <v>61.0</v>
      </c>
      <c r="C62" s="183">
        <f t="shared" si="1"/>
        <v>-13.27978821</v>
      </c>
      <c r="D62" s="124" t="str">
        <f>VLOOKUP(A62,'Classement Surp'!$B$2:$B$149,1,0)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18"/>
      <c r="B63" s="103">
        <v>62.0</v>
      </c>
      <c r="C63" s="183">
        <f t="shared" si="1"/>
        <v>-17.63455162</v>
      </c>
      <c r="D63" s="124" t="str">
        <f>VLOOKUP(A63,'Classement Surp'!$B$2:$B$149,1,0)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18"/>
      <c r="B64" s="103">
        <v>63.0</v>
      </c>
      <c r="C64" s="183">
        <f t="shared" si="1"/>
        <v>-21.95519101</v>
      </c>
      <c r="D64" s="124" t="str">
        <f>VLOOKUP(A64,'Classement Surp'!$B$2:$B$149,1,0)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18"/>
      <c r="B65" s="103">
        <v>64.0</v>
      </c>
      <c r="C65" s="183">
        <f t="shared" si="1"/>
        <v>-26.24270568</v>
      </c>
      <c r="D65" s="124" t="str">
        <f>VLOOKUP(A65,'Classement Surp'!$B$2:$B$149,1,0)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18"/>
      <c r="B66" s="103">
        <v>65.0</v>
      </c>
      <c r="C66" s="183">
        <f t="shared" si="1"/>
        <v>-30.49804871</v>
      </c>
      <c r="D66" s="124" t="str">
        <f>VLOOKUP(A66,'Classement Surp'!$B$2:$B$149,1,0)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18"/>
      <c r="B67" s="103">
        <v>66.0</v>
      </c>
      <c r="C67" s="183">
        <f t="shared" si="1"/>
        <v>-34.72212977</v>
      </c>
      <c r="D67" s="124" t="str">
        <f>VLOOKUP(A67,'Classement Surp'!$B$2:$B$149,1,0)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18"/>
      <c r="B68" s="103">
        <v>67.0</v>
      </c>
      <c r="C68" s="183">
        <f t="shared" si="1"/>
        <v>-38.91581781</v>
      </c>
      <c r="D68" s="124" t="str">
        <f>VLOOKUP(A68,'Classement Surp'!$B$2:$B$149,1,0)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18"/>
      <c r="B69" s="103">
        <v>68.0</v>
      </c>
      <c r="C69" s="183">
        <f t="shared" si="1"/>
        <v>-43.07994346</v>
      </c>
      <c r="D69" s="124" t="str">
        <f>VLOOKUP(A69,'Classement Surp'!$B$2:$B$149,1,0)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18"/>
      <c r="B70" s="103">
        <v>69.0</v>
      </c>
      <c r="C70" s="183">
        <f t="shared" si="1"/>
        <v>-47.21530128</v>
      </c>
      <c r="D70" s="124" t="str">
        <f>VLOOKUP(A70,'Classement Surp'!$B$2:$B$149,1,0)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18"/>
      <c r="B71" s="103">
        <v>70.0</v>
      </c>
      <c r="C71" s="183">
        <f t="shared" si="1"/>
        <v>-51.32265191</v>
      </c>
      <c r="D71" s="124" t="str">
        <f>VLOOKUP(A71,'Classement Surp'!$B$2:$B$149,1,0)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18"/>
      <c r="B72" s="103">
        <v>71.0</v>
      </c>
      <c r="C72" s="183">
        <f t="shared" si="1"/>
        <v>-55.40272395</v>
      </c>
      <c r="D72" s="124" t="str">
        <f>VLOOKUP(A72,'Classement Surp'!$B$2:$B$149,1,0)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18"/>
      <c r="B73" s="103">
        <v>72.0</v>
      </c>
      <c r="C73" s="183">
        <f t="shared" si="1"/>
        <v>-59.45621581</v>
      </c>
      <c r="D73" s="124" t="str">
        <f>VLOOKUP(A73,'Classement Surp'!$B$2:$B$149,1,0)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18"/>
      <c r="B74" s="103">
        <v>73.0</v>
      </c>
      <c r="C74" s="183">
        <f t="shared" si="1"/>
        <v>-63.48379738</v>
      </c>
      <c r="D74" s="124" t="str">
        <f>VLOOKUP(A74,'Classement Surp'!$B$2:$B$149,1,0)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18"/>
      <c r="B75" s="103">
        <v>74.0</v>
      </c>
      <c r="C75" s="183">
        <f t="shared" si="1"/>
        <v>-67.48611156</v>
      </c>
      <c r="D75" s="124" t="str">
        <f>VLOOKUP(A75,'Classement Surp'!$B$2:$B$149,1,0)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18"/>
      <c r="B76" s="103">
        <v>75.0</v>
      </c>
      <c r="C76" s="183">
        <f t="shared" si="1"/>
        <v>-71.46377577</v>
      </c>
      <c r="D76" s="124" t="str">
        <f>VLOOKUP(A76,'Classement Surp'!$B$2:$B$149,1,0)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18"/>
      <c r="B77" s="103">
        <v>76.0</v>
      </c>
      <c r="C77" s="183">
        <f t="shared" si="1"/>
        <v>-75.41738328</v>
      </c>
      <c r="D77" s="124" t="str">
        <f>VLOOKUP(A77,'Classement Surp'!$B$2:$B$149,1,0)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18"/>
      <c r="B78" s="103">
        <v>77.0</v>
      </c>
      <c r="C78" s="183">
        <f t="shared" si="1"/>
        <v>-79.34750447</v>
      </c>
      <c r="D78" s="124" t="str">
        <f>VLOOKUP(A78,'Classement Surp'!$B$2:$B$149,1,0)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18"/>
      <c r="B79" s="103">
        <v>78.0</v>
      </c>
      <c r="C79" s="183">
        <f t="shared" si="1"/>
        <v>-83.25468803</v>
      </c>
      <c r="D79" s="124" t="str">
        <f>VLOOKUP(A79,'Classement Surp'!$B$2:$B$149,1,0)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18"/>
      <c r="B80" s="103">
        <v>79.0</v>
      </c>
      <c r="C80" s="183">
        <f t="shared" si="1"/>
        <v>-87.13946209</v>
      </c>
      <c r="D80" s="124" t="str">
        <f>VLOOKUP(A80,'Classement Surp'!$B$2:$B$149,1,0)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18"/>
      <c r="B81" s="103">
        <v>80.0</v>
      </c>
      <c r="C81" s="183">
        <f t="shared" si="1"/>
        <v>-91.00233521</v>
      </c>
      <c r="D81" s="124" t="str">
        <f>VLOOKUP(A81,'Classement Surp'!$B$2:$B$149,1,0)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18"/>
      <c r="B82" s="103">
        <v>81.0</v>
      </c>
      <c r="C82" s="183">
        <f t="shared" si="1"/>
        <v>-94.84379739</v>
      </c>
      <c r="D82" s="124" t="str">
        <f>VLOOKUP(A82,'Classement Surp'!$B$2:$B$149,1,0)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18"/>
      <c r="B83" s="103">
        <v>82.0</v>
      </c>
      <c r="C83" s="183">
        <f t="shared" si="1"/>
        <v>-98.66432099</v>
      </c>
      <c r="D83" s="124" t="str">
        <f>VLOOKUP(A83,'Classement Surp'!$B$2:$B$149,1,0)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18"/>
      <c r="B84" s="103">
        <v>83.0</v>
      </c>
      <c r="C84" s="183">
        <f t="shared" si="1"/>
        <v>-102.4643616</v>
      </c>
      <c r="D84" s="124" t="str">
        <f>VLOOKUP(A84,'Classement Surp'!$B$2:$B$149,1,0)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18"/>
      <c r="B85" s="103">
        <v>84.0</v>
      </c>
      <c r="C85" s="183">
        <f t="shared" si="1"/>
        <v>-106.2443587</v>
      </c>
      <c r="D85" s="124" t="str">
        <f>VLOOKUP(A85,'Classement Surp'!$B$2:$B$149,1,0)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18"/>
      <c r="B86" s="103">
        <v>85.0</v>
      </c>
      <c r="C86" s="183">
        <f t="shared" si="1"/>
        <v>-110.0047366</v>
      </c>
      <c r="D86" s="124" t="str">
        <f>VLOOKUP(A86,'Classement Surp'!$B$2:$B$149,1,0)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18"/>
      <c r="B87" s="103">
        <v>86.0</v>
      </c>
      <c r="C87" s="183">
        <f t="shared" si="1"/>
        <v>-113.7459052</v>
      </c>
      <c r="D87" s="124" t="str">
        <f>VLOOKUP(A87,'Classement Surp'!$B$2:$B$149,1,0)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18"/>
      <c r="B88" s="103">
        <v>87.0</v>
      </c>
      <c r="C88" s="183">
        <f t="shared" si="1"/>
        <v>-117.4682605</v>
      </c>
      <c r="D88" s="124" t="str">
        <f>VLOOKUP(A88,'Classement Surp'!$B$2:$B$149,1,0)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18"/>
      <c r="B89" s="103">
        <v>88.0</v>
      </c>
      <c r="C89" s="183">
        <f t="shared" si="1"/>
        <v>-121.1721851</v>
      </c>
      <c r="D89" s="124" t="str">
        <f>VLOOKUP(A89,'Classement Surp'!$B$2:$B$149,1,0)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18"/>
      <c r="B90" s="103">
        <v>89.0</v>
      </c>
      <c r="C90" s="183">
        <f t="shared" si="1"/>
        <v>-124.8580491</v>
      </c>
      <c r="D90" s="124" t="str">
        <f>VLOOKUP(A90,'Classement Surp'!$B$2:$B$149,1,0)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18"/>
      <c r="B91" s="103">
        <v>90.0</v>
      </c>
      <c r="C91" s="183">
        <f t="shared" si="1"/>
        <v>-128.5262108</v>
      </c>
      <c r="D91" s="124" t="str">
        <f>VLOOKUP(A91,'Classement Surp'!$B$2:$B$149,1,0)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18"/>
      <c r="B92" s="103">
        <v>91.0</v>
      </c>
      <c r="C92" s="183">
        <f t="shared" si="1"/>
        <v>-132.1770165</v>
      </c>
      <c r="D92" s="124" t="str">
        <f>VLOOKUP(A92,'Classement Surp'!$B$2:$B$149,1,0)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18"/>
      <c r="B93" s="103">
        <v>92.0</v>
      </c>
      <c r="C93" s="183">
        <f t="shared" si="1"/>
        <v>-135.8108017</v>
      </c>
      <c r="D93" s="124" t="str">
        <f>VLOOKUP(A93,'Classement Surp'!$B$2:$B$149,1,0)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18"/>
      <c r="B94" s="103">
        <v>93.0</v>
      </c>
      <c r="C94" s="183">
        <f t="shared" si="1"/>
        <v>-139.4278916</v>
      </c>
      <c r="D94" s="124" t="str">
        <f>VLOOKUP(A94,'Classement Surp'!$B$2:$B$149,1,0)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18"/>
      <c r="B95" s="103">
        <v>94.0</v>
      </c>
      <c r="C95" s="183">
        <f t="shared" si="1"/>
        <v>-143.0286008</v>
      </c>
      <c r="D95" s="124" t="str">
        <f>VLOOKUP(A95,'Classement Surp'!$B$2:$B$149,1,0)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18"/>
      <c r="B96" s="103">
        <v>95.0</v>
      </c>
      <c r="C96" s="183">
        <f t="shared" si="1"/>
        <v>-146.6132347</v>
      </c>
      <c r="D96" s="124" t="str">
        <f>VLOOKUP(A96,'Classement Surp'!$B$2:$B$149,1,0)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18"/>
      <c r="B97" s="103">
        <v>96.0</v>
      </c>
      <c r="C97" s="183">
        <f t="shared" si="1"/>
        <v>-150.1820891</v>
      </c>
      <c r="D97" s="124" t="str">
        <f>VLOOKUP(A97,'Classement Surp'!$B$2:$B$149,1,0)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18"/>
      <c r="B98" s="103">
        <v>97.0</v>
      </c>
      <c r="C98" s="183">
        <f t="shared" si="1"/>
        <v>-153.735451</v>
      </c>
      <c r="D98" s="124" t="str">
        <f>VLOOKUP(A98,'Classement Surp'!$B$2:$B$149,1,0)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18"/>
      <c r="B99" s="103">
        <v>98.0</v>
      </c>
      <c r="C99" s="183">
        <f t="shared" si="1"/>
        <v>-157.273599</v>
      </c>
      <c r="D99" s="124" t="str">
        <f>VLOOKUP(A99,'Classement Surp'!$B$2:$B$149,1,0)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18"/>
      <c r="B100" s="103">
        <v>99.0</v>
      </c>
      <c r="C100" s="183">
        <f t="shared" si="1"/>
        <v>-160.7968034</v>
      </c>
      <c r="D100" s="124" t="str">
        <f>VLOOKUP(A100,'Classement Surp'!$B$2:$B$149,1,0)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18"/>
      <c r="B101" s="103">
        <v>100.0</v>
      </c>
      <c r="C101" s="183">
        <f t="shared" si="1"/>
        <v>-164.3053267</v>
      </c>
      <c r="D101" s="124" t="str">
        <f>VLOOKUP(A101,'Classement Surp'!$B$2:$B$149,1,0)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18"/>
      <c r="B102" s="103">
        <v>101.0</v>
      </c>
      <c r="C102" s="183">
        <f t="shared" si="1"/>
        <v>-167.7994237</v>
      </c>
      <c r="D102" s="124" t="str">
        <f>VLOOKUP(A102,'Classement Surp'!$B$2:$B$149,1,0)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18"/>
      <c r="B103" s="103">
        <v>102.0</v>
      </c>
      <c r="C103" s="183">
        <f t="shared" si="1"/>
        <v>-171.2793422</v>
      </c>
      <c r="D103" s="124" t="str">
        <f>VLOOKUP(A103,'Classement Surp'!$B$2:$B$149,1,0)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18"/>
      <c r="B104" s="103">
        <v>103.0</v>
      </c>
      <c r="C104" s="183">
        <f t="shared" si="1"/>
        <v>-174.7453228</v>
      </c>
      <c r="D104" s="124" t="str">
        <f>VLOOKUP(A104,'Classement Surp'!$B$2:$B$149,1,0)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18"/>
      <c r="B105" s="103">
        <v>104.0</v>
      </c>
      <c r="C105" s="183">
        <f t="shared" si="1"/>
        <v>-178.1975996</v>
      </c>
      <c r="D105" s="124" t="str">
        <f>VLOOKUP(A105,'Classement Surp'!$B$2:$B$149,1,0)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18"/>
      <c r="B106" s="103">
        <v>105.0</v>
      </c>
      <c r="C106" s="183">
        <f t="shared" si="1"/>
        <v>-181.6364001</v>
      </c>
      <c r="D106" s="124" t="str">
        <f>VLOOKUP(A106,'Classement Surp'!$B$2:$B$149,1,0)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18"/>
      <c r="B107" s="103">
        <v>106.0</v>
      </c>
      <c r="C107" s="183">
        <f t="shared" si="1"/>
        <v>-185.0619457</v>
      </c>
      <c r="D107" s="124" t="str">
        <f>VLOOKUP(A107,'Classement Surp'!$B$2:$B$149,1,0)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18"/>
      <c r="B108" s="103">
        <v>107.0</v>
      </c>
      <c r="C108" s="183">
        <f t="shared" si="1"/>
        <v>-188.4744516</v>
      </c>
      <c r="D108" s="124" t="str">
        <f>VLOOKUP(A108,'Classement Surp'!$B$2:$B$149,1,0)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18"/>
      <c r="B109" s="103">
        <v>108.0</v>
      </c>
      <c r="C109" s="183">
        <f t="shared" si="1"/>
        <v>-191.8741276</v>
      </c>
      <c r="D109" s="124" t="str">
        <f>VLOOKUP(A109,'Classement Surp'!$B$2:$B$149,1,0)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18"/>
      <c r="B110" s="103">
        <v>109.0</v>
      </c>
      <c r="C110" s="183">
        <f t="shared" si="1"/>
        <v>-195.2611777</v>
      </c>
      <c r="D110" s="124" t="str">
        <f>VLOOKUP(A110,'Classement Surp'!$B$2:$B$149,1,0)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18"/>
      <c r="B111" s="103">
        <v>110.0</v>
      </c>
      <c r="C111" s="183">
        <f t="shared" si="1"/>
        <v>-198.6358006</v>
      </c>
      <c r="D111" s="124" t="str">
        <f>VLOOKUP(A111,'Classement Surp'!$B$2:$B$149,1,0)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18"/>
      <c r="B112" s="103">
        <v>111.0</v>
      </c>
      <c r="C112" s="183">
        <f t="shared" si="1"/>
        <v>-201.9981899</v>
      </c>
      <c r="D112" s="124" t="str">
        <f>VLOOKUP(A112,'Classement Surp'!$B$2:$B$149,1,0)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18"/>
      <c r="B113" s="103">
        <v>112.0</v>
      </c>
      <c r="C113" s="183">
        <f t="shared" si="1"/>
        <v>-205.3485341</v>
      </c>
      <c r="D113" s="124" t="str">
        <f>VLOOKUP(A113,'Classement Surp'!$B$2:$B$149,1,0)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18"/>
      <c r="B114" s="103">
        <v>113.0</v>
      </c>
      <c r="C114" s="183">
        <f t="shared" si="1"/>
        <v>-208.6870171</v>
      </c>
      <c r="D114" s="124" t="str">
        <f>VLOOKUP(A114,'Classement Surp'!$B$2:$B$149,1,0)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18"/>
      <c r="B115" s="103">
        <v>114.0</v>
      </c>
      <c r="C115" s="183">
        <f t="shared" si="1"/>
        <v>-212.013818</v>
      </c>
      <c r="D115" s="124" t="str">
        <f>VLOOKUP(A115,'Classement Surp'!$B$2:$B$149,1,0)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18"/>
      <c r="B116" s="103">
        <v>115.0</v>
      </c>
      <c r="C116" s="183">
        <f t="shared" si="1"/>
        <v>-215.3291115</v>
      </c>
      <c r="D116" s="124" t="str">
        <f>VLOOKUP(A116,'Classement Surp'!$B$2:$B$149,1,0)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18"/>
      <c r="B117" s="103">
        <v>116.0</v>
      </c>
      <c r="C117" s="183">
        <f t="shared" si="1"/>
        <v>-218.633068</v>
      </c>
      <c r="D117" s="124" t="str">
        <f>VLOOKUP(A117,'Classement Surp'!$B$2:$B$149,1,0)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18"/>
      <c r="B118" s="103">
        <v>117.0</v>
      </c>
      <c r="C118" s="183">
        <f t="shared" si="1"/>
        <v>-221.9258536</v>
      </c>
      <c r="D118" s="124" t="str">
        <f>VLOOKUP(A118,'Classement Surp'!$B$2:$B$149,1,0)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18"/>
      <c r="B119" s="103">
        <v>118.0</v>
      </c>
      <c r="C119" s="183">
        <f t="shared" si="1"/>
        <v>-225.2076306</v>
      </c>
      <c r="D119" s="124" t="str">
        <f>VLOOKUP(A119,'Classement Surp'!$B$2:$B$149,1,0)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18"/>
      <c r="B120" s="103">
        <v>119.0</v>
      </c>
      <c r="C120" s="183">
        <f t="shared" si="1"/>
        <v>-228.4785571</v>
      </c>
      <c r="D120" s="124" t="str">
        <f>VLOOKUP(A120,'Classement Surp'!$B$2:$B$149,1,0)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18"/>
      <c r="B121" s="103">
        <v>120.0</v>
      </c>
      <c r="C121" s="183">
        <f t="shared" si="1"/>
        <v>-231.7387877</v>
      </c>
      <c r="D121" s="124" t="str">
        <f>VLOOKUP(A121,'Classement Surp'!$B$2:$B$149,1,0)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18"/>
      <c r="B122" s="103">
        <v>121.0</v>
      </c>
      <c r="C122" s="183">
        <f t="shared" si="1"/>
        <v>-234.9884733</v>
      </c>
      <c r="D122" s="124" t="str">
        <f>VLOOKUP(A122,'Classement Surp'!$B$2:$B$149,1,0)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18"/>
      <c r="B123" s="103">
        <v>122.0</v>
      </c>
      <c r="C123" s="183">
        <f t="shared" si="1"/>
        <v>-238.2277611</v>
      </c>
      <c r="D123" s="124" t="str">
        <f>VLOOKUP(A123,'Classement Surp'!$B$2:$B$149,1,0)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18"/>
      <c r="B124" s="103">
        <v>123.0</v>
      </c>
      <c r="C124" s="183">
        <f t="shared" si="1"/>
        <v>-241.4567949</v>
      </c>
      <c r="D124" s="124" t="str">
        <f>VLOOKUP(A124,'Classement Surp'!$B$2:$B$149,1,0)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18"/>
      <c r="B125" s="103">
        <v>124.0</v>
      </c>
      <c r="C125" s="183">
        <f t="shared" si="1"/>
        <v>-244.6757155</v>
      </c>
      <c r="D125" s="124" t="str">
        <f>VLOOKUP(A125,'Classement Surp'!$B$2:$B$149,1,0)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18"/>
      <c r="B126" s="103">
        <v>125.0</v>
      </c>
      <c r="C126" s="183">
        <f t="shared" si="1"/>
        <v>-247.8846602</v>
      </c>
      <c r="D126" s="124" t="str">
        <f>VLOOKUP(A126,'Classement Surp'!$B$2:$B$149,1,0)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18"/>
      <c r="B127" s="103">
        <v>126.0</v>
      </c>
      <c r="C127" s="183">
        <f t="shared" si="1"/>
        <v>-251.0837632</v>
      </c>
      <c r="D127" s="124" t="str">
        <f>VLOOKUP(A127,'Classement Surp'!$B$2:$B$149,1,0)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18"/>
      <c r="B128" s="103">
        <v>127.0</v>
      </c>
      <c r="C128" s="183">
        <f t="shared" si="1"/>
        <v>-254.2731559</v>
      </c>
      <c r="D128" s="124" t="str">
        <f>VLOOKUP(A128,'Classement Surp'!$B$2:$B$149,1,0)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18"/>
      <c r="B129" s="103">
        <v>128.0</v>
      </c>
      <c r="C129" s="183">
        <f t="shared" si="1"/>
        <v>-257.4529665</v>
      </c>
      <c r="D129" s="124" t="str">
        <f>VLOOKUP(A129,'Classement Surp'!$B$2:$B$149,1,0)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18"/>
      <c r="B130" s="103">
        <v>129.0</v>
      </c>
      <c r="C130" s="183">
        <f t="shared" si="1"/>
        <v>-260.6233207</v>
      </c>
      <c r="D130" s="124" t="str">
        <f>VLOOKUP(A130,'Classement Surp'!$B$2:$B$149,1,0)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18"/>
      <c r="B131" s="103">
        <v>130.0</v>
      </c>
      <c r="C131" s="183">
        <f t="shared" si="1"/>
        <v>-263.7843411</v>
      </c>
      <c r="D131" s="124" t="str">
        <f>VLOOKUP(A131,'Classement Surp'!$B$2:$B$149,1,0)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18"/>
      <c r="B132" s="103">
        <v>131.0</v>
      </c>
      <c r="C132" s="183">
        <f t="shared" si="1"/>
        <v>-266.9361479</v>
      </c>
      <c r="D132" s="124" t="str">
        <f>VLOOKUP(A132,'Classement Surp'!$B$2:$B$149,1,0)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18"/>
      <c r="B133" s="103">
        <v>132.0</v>
      </c>
      <c r="C133" s="183">
        <f t="shared" si="1"/>
        <v>-270.0788587</v>
      </c>
      <c r="D133" s="124" t="str">
        <f>VLOOKUP(A133,'Classement Surp'!$B$2:$B$149,1,0)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18"/>
      <c r="B134" s="103">
        <v>133.0</v>
      </c>
      <c r="C134" s="183">
        <f t="shared" si="1"/>
        <v>-273.2125885</v>
      </c>
      <c r="D134" s="124" t="str">
        <f>VLOOKUP(A134,'Classement Surp'!$B$2:$B$149,1,0)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18"/>
      <c r="B135" s="103">
        <v>134.0</v>
      </c>
      <c r="C135" s="183">
        <f t="shared" si="1"/>
        <v>-276.3374499</v>
      </c>
      <c r="D135" s="124" t="str">
        <f>VLOOKUP(A135,'Classement Surp'!$B$2:$B$149,1,0)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18"/>
      <c r="B136" s="103">
        <v>135.0</v>
      </c>
      <c r="C136" s="183">
        <f t="shared" si="1"/>
        <v>-279.4535531</v>
      </c>
      <c r="D136" s="124" t="str">
        <f>VLOOKUP(A136,'Classement Surp'!$B$2:$B$149,1,0)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18"/>
      <c r="B137" s="103">
        <v>136.0</v>
      </c>
      <c r="C137" s="183">
        <f t="shared" si="1"/>
        <v>-282.5610062</v>
      </c>
      <c r="D137" s="124" t="str">
        <f>VLOOKUP(A137,'Classement Surp'!$B$2:$B$149,1,0)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18"/>
      <c r="B138" s="103">
        <v>137.0</v>
      </c>
      <c r="C138" s="183">
        <f t="shared" si="1"/>
        <v>-285.6599148</v>
      </c>
      <c r="D138" s="124" t="str">
        <f>VLOOKUP(A138,'Classement Surp'!$B$2:$B$149,1,0)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18"/>
      <c r="B139" s="103">
        <v>138.0</v>
      </c>
      <c r="C139" s="183">
        <f t="shared" si="1"/>
        <v>-288.7503825</v>
      </c>
      <c r="D139" s="124" t="str">
        <f>VLOOKUP(A139,'Classement Surp'!$B$2:$B$149,1,0)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18"/>
      <c r="B140" s="103">
        <v>139.0</v>
      </c>
      <c r="C140" s="183">
        <f t="shared" si="1"/>
        <v>-291.8325108</v>
      </c>
      <c r="D140" s="124" t="str">
        <f>VLOOKUP(A140,'Classement Surp'!$B$2:$B$149,1,0)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18"/>
      <c r="B141" s="103">
        <v>140.0</v>
      </c>
      <c r="C141" s="183">
        <f t="shared" si="1"/>
        <v>-294.9063991</v>
      </c>
      <c r="D141" s="124" t="str">
        <f>VLOOKUP(A141,'Classement Surp'!$B$2:$B$149,1,0)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18"/>
      <c r="B142" s="103">
        <v>141.0</v>
      </c>
      <c r="C142" s="183">
        <f t="shared" si="1"/>
        <v>-297.9721448</v>
      </c>
      <c r="D142" s="124" t="str">
        <f>VLOOKUP(A142,'Classement Surp'!$B$2:$B$149,1,0)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18"/>
      <c r="B143" s="103">
        <v>142.0</v>
      </c>
      <c r="C143" s="183">
        <f t="shared" si="1"/>
        <v>-301.0298435</v>
      </c>
      <c r="D143" s="124" t="str">
        <f>VLOOKUP(A143,'Classement Surp'!$B$2:$B$149,1,0)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18"/>
      <c r="B144" s="103">
        <v>143.0</v>
      </c>
      <c r="C144" s="183">
        <f t="shared" si="1"/>
        <v>-304.0795887</v>
      </c>
      <c r="D144" s="124" t="str">
        <f>VLOOKUP(A144,'Classement Surp'!$B$2:$B$149,1,0)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18"/>
      <c r="B145" s="103">
        <v>144.0</v>
      </c>
      <c r="C145" s="183">
        <f t="shared" si="1"/>
        <v>-307.1214723</v>
      </c>
      <c r="D145" s="124" t="str">
        <f>VLOOKUP(A145,'Classement Surp'!$B$2:$B$149,1,0)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18"/>
      <c r="B146" s="103">
        <v>145.0</v>
      </c>
      <c r="C146" s="183">
        <f t="shared" si="1"/>
        <v>-310.1555842</v>
      </c>
      <c r="D146" s="124" t="str">
        <f>VLOOKUP(A146,'Classement Surp'!$B$2:$B$149,1,0)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18"/>
      <c r="B147" s="103">
        <v>146.0</v>
      </c>
      <c r="C147" s="183">
        <f t="shared" si="1"/>
        <v>-313.1820128</v>
      </c>
      <c r="D147" s="124" t="str">
        <f>VLOOKUP(A147,'Classement Surp'!$B$2:$B$149,1,0)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18"/>
      <c r="B148" s="103">
        <v>147.0</v>
      </c>
      <c r="C148" s="183">
        <f t="shared" si="1"/>
        <v>-316.2008447</v>
      </c>
      <c r="D148" s="124" t="str">
        <f>VLOOKUP(A148,'Classement Surp'!$B$2:$B$149,1,0)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18"/>
      <c r="B149" s="103">
        <v>148.0</v>
      </c>
      <c r="C149" s="183">
        <f t="shared" si="1"/>
        <v>-319.2121648</v>
      </c>
      <c r="D149" s="124" t="str">
        <f>VLOOKUP(A149,'Classement Surp'!$B$2:$B$149,1,0)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18"/>
      <c r="B150" s="103">
        <v>149.0</v>
      </c>
      <c r="C150" s="183">
        <f t="shared" si="1"/>
        <v>-322.2160564</v>
      </c>
      <c r="D150" s="124" t="str">
        <f>VLOOKUP(A150,'Classement Surp'!$B$2:$B$149,1,0)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18"/>
      <c r="B151" s="103">
        <v>150.0</v>
      </c>
      <c r="C151" s="183">
        <f t="shared" si="1"/>
        <v>-325.2126014</v>
      </c>
      <c r="D151" s="124" t="str">
        <f>VLOOKUP(A151,'Classement Surp'!$B$2:$B$149,1,0)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18"/>
      <c r="B152" s="103">
        <v>151.0</v>
      </c>
      <c r="C152" s="183">
        <f t="shared" si="1"/>
        <v>-328.2018801</v>
      </c>
      <c r="D152" s="124" t="str">
        <f>VLOOKUP(A152,'Classement Surp'!$B$2:$B$149,1,0)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18"/>
      <c r="B153" s="103">
        <v>152.0</v>
      </c>
      <c r="C153" s="183">
        <f t="shared" si="1"/>
        <v>-331.1839712</v>
      </c>
      <c r="D153" s="124" t="str">
        <f>VLOOKUP(A153,'Classement Surp'!$B$2:$B$149,1,0)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18"/>
      <c r="B154" s="103">
        <v>153.0</v>
      </c>
      <c r="C154" s="183">
        <f t="shared" si="1"/>
        <v>-334.1589521</v>
      </c>
      <c r="D154" s="124" t="str">
        <f>VLOOKUP(A154,'Classement Surp'!$B$2:$B$149,1,0)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18"/>
      <c r="B155" s="103">
        <v>154.0</v>
      </c>
      <c r="C155" s="183">
        <f t="shared" si="1"/>
        <v>-337.1268989</v>
      </c>
      <c r="D155" s="124" t="str">
        <f>VLOOKUP(A155,'Classement Surp'!$B$2:$B$149,1,0)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18"/>
      <c r="B156" s="103">
        <v>155.0</v>
      </c>
      <c r="C156" s="183">
        <f t="shared" si="1"/>
        <v>-340.087886</v>
      </c>
      <c r="D156" s="124" t="str">
        <f>VLOOKUP(A156,'Classement Surp'!$B$2:$B$149,1,0)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18"/>
      <c r="B157" s="103">
        <v>156.0</v>
      </c>
      <c r="C157" s="183">
        <f t="shared" si="1"/>
        <v>-343.0419867</v>
      </c>
      <c r="D157" s="124" t="str">
        <f>VLOOKUP(A157,'Classement Surp'!$B$2:$B$149,1,0)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18"/>
      <c r="B158" s="103">
        <v>157.0</v>
      </c>
      <c r="C158" s="183">
        <f t="shared" si="1"/>
        <v>-345.9892731</v>
      </c>
      <c r="D158" s="124" t="str">
        <f>VLOOKUP(A158,'Classement Surp'!$B$2:$B$149,1,0)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18"/>
      <c r="B159" s="103">
        <v>158.0</v>
      </c>
      <c r="C159" s="183">
        <f t="shared" si="1"/>
        <v>-348.9298157</v>
      </c>
      <c r="D159" s="124" t="str">
        <f>VLOOKUP(A159,'Classement Surp'!$B$2:$B$149,1,0)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18"/>
      <c r="B160" s="103">
        <v>159.0</v>
      </c>
      <c r="C160" s="183">
        <f t="shared" si="1"/>
        <v>-351.8636841</v>
      </c>
      <c r="D160" s="124" t="str">
        <f>VLOOKUP(A160,'Classement Surp'!$B$2:$B$149,1,0)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84"/>
      <c r="B161" s="185">
        <v>160.0</v>
      </c>
      <c r="C161" s="186">
        <f t="shared" si="1"/>
        <v>-354.7909464</v>
      </c>
      <c r="D161" s="124" t="str">
        <f>VLOOKUP(A161,'Classement Surp'!$B$2:$B$149,1,0)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A162" s="187"/>
      <c r="B162" s="128"/>
    </row>
    <row r="163" ht="14.25" customHeight="1">
      <c r="A163" s="187"/>
      <c r="B163" s="128"/>
    </row>
    <row r="164" ht="14.25" customHeight="1">
      <c r="A164" s="187"/>
      <c r="B164" s="128"/>
    </row>
    <row r="165" ht="14.25" customHeight="1">
      <c r="A165" s="187"/>
      <c r="B165" s="128"/>
    </row>
    <row r="166" ht="14.25" customHeight="1">
      <c r="A166" s="187"/>
      <c r="B166" s="128"/>
    </row>
    <row r="167" ht="14.25" customHeight="1">
      <c r="A167" s="187"/>
      <c r="B167" s="128"/>
    </row>
    <row r="168" ht="14.25" customHeight="1">
      <c r="A168" s="187"/>
      <c r="B168" s="128"/>
    </row>
    <row r="169" ht="14.25" customHeight="1">
      <c r="A169" s="187"/>
      <c r="B169" s="128"/>
    </row>
    <row r="170" ht="14.25" customHeight="1">
      <c r="A170" s="187"/>
      <c r="B170" s="128"/>
    </row>
    <row r="171" ht="14.25" customHeight="1">
      <c r="A171" s="187"/>
      <c r="B171" s="128"/>
    </row>
    <row r="172" ht="14.25" customHeight="1">
      <c r="A172" s="187"/>
      <c r="B172" s="128"/>
    </row>
    <row r="173" ht="14.25" customHeight="1">
      <c r="A173" s="187"/>
      <c r="B173" s="128"/>
    </row>
    <row r="174" ht="14.25" customHeight="1">
      <c r="A174" s="187"/>
      <c r="B174" s="128"/>
    </row>
    <row r="175" ht="14.25" customHeight="1">
      <c r="A175" s="187"/>
      <c r="B175" s="128"/>
    </row>
    <row r="176" ht="14.25" customHeight="1">
      <c r="A176" s="187"/>
      <c r="B176" s="128"/>
    </row>
    <row r="177" ht="14.25" customHeight="1">
      <c r="A177" s="187"/>
      <c r="B177" s="128"/>
    </row>
    <row r="178" ht="14.25" customHeight="1">
      <c r="A178" s="187"/>
      <c r="B178" s="128"/>
    </row>
    <row r="179" ht="14.25" customHeight="1">
      <c r="A179" s="187"/>
      <c r="B179" s="128"/>
    </row>
    <row r="180" ht="14.25" customHeight="1">
      <c r="A180" s="187"/>
      <c r="B180" s="128"/>
    </row>
    <row r="181" ht="14.25" customHeight="1">
      <c r="A181" s="187"/>
      <c r="B181" s="128"/>
    </row>
    <row r="182" ht="14.25" customHeight="1">
      <c r="A182" s="187"/>
      <c r="B182" s="128"/>
    </row>
    <row r="183" ht="14.25" customHeight="1">
      <c r="A183" s="187"/>
      <c r="B183" s="128"/>
    </row>
    <row r="184" ht="14.25" customHeight="1">
      <c r="A184" s="187"/>
      <c r="B184" s="128"/>
    </row>
    <row r="185" ht="14.25" customHeight="1">
      <c r="A185" s="187"/>
      <c r="B185" s="128"/>
    </row>
    <row r="186" ht="14.25" customHeight="1">
      <c r="A186" s="187"/>
      <c r="B186" s="128"/>
    </row>
    <row r="187" ht="14.25" customHeight="1">
      <c r="A187" s="187"/>
      <c r="B187" s="128"/>
    </row>
    <row r="188" ht="14.25" customHeight="1">
      <c r="A188" s="187"/>
      <c r="B188" s="128"/>
    </row>
    <row r="189" ht="14.25" customHeight="1">
      <c r="A189" s="187"/>
      <c r="B189" s="128"/>
    </row>
    <row r="190" ht="14.25" customHeight="1">
      <c r="A190" s="187"/>
      <c r="B190" s="128"/>
    </row>
    <row r="191" ht="14.25" customHeight="1">
      <c r="A191" s="187"/>
      <c r="B191" s="128"/>
    </row>
    <row r="192" ht="14.25" customHeight="1">
      <c r="A192" s="187"/>
      <c r="B192" s="128"/>
    </row>
    <row r="193" ht="14.25" customHeight="1">
      <c r="A193" s="187"/>
      <c r="B193" s="128"/>
    </row>
    <row r="194" ht="14.25" customHeight="1">
      <c r="A194" s="187"/>
      <c r="B194" s="128"/>
    </row>
    <row r="195" ht="14.25" customHeight="1">
      <c r="A195" s="187"/>
      <c r="B195" s="128"/>
    </row>
    <row r="196" ht="14.25" customHeight="1">
      <c r="A196" s="187"/>
      <c r="B196" s="128"/>
    </row>
    <row r="197" ht="14.25" customHeight="1">
      <c r="A197" s="187"/>
      <c r="B197" s="128"/>
    </row>
    <row r="198" ht="14.25" customHeight="1">
      <c r="A198" s="187"/>
      <c r="B198" s="128"/>
    </row>
    <row r="199" ht="14.25" customHeight="1">
      <c r="A199" s="187"/>
      <c r="B199" s="128"/>
    </row>
    <row r="200" ht="14.25" customHeight="1">
      <c r="A200" s="187"/>
      <c r="B200" s="128"/>
    </row>
    <row r="201" ht="14.25" customHeight="1">
      <c r="A201" s="187"/>
      <c r="B201" s="128"/>
    </row>
    <row r="202" ht="14.25" customHeight="1">
      <c r="A202" s="187"/>
      <c r="B202" s="128"/>
    </row>
    <row r="203" ht="14.25" customHeight="1">
      <c r="A203" s="187"/>
      <c r="B203" s="128"/>
    </row>
    <row r="204" ht="14.25" customHeight="1">
      <c r="A204" s="187"/>
      <c r="B204" s="128"/>
    </row>
    <row r="205" ht="14.25" customHeight="1">
      <c r="A205" s="187"/>
      <c r="B205" s="128"/>
    </row>
    <row r="206" ht="14.25" customHeight="1">
      <c r="A206" s="187"/>
      <c r="B206" s="128"/>
    </row>
    <row r="207" ht="14.25" customHeight="1">
      <c r="A207" s="187"/>
      <c r="B207" s="128"/>
    </row>
    <row r="208" ht="14.25" customHeight="1">
      <c r="A208" s="187"/>
      <c r="B208" s="128"/>
    </row>
    <row r="209" ht="14.25" customHeight="1">
      <c r="A209" s="187"/>
      <c r="B209" s="128"/>
    </row>
    <row r="210" ht="14.25" customHeight="1">
      <c r="A210" s="187"/>
      <c r="B210" s="128"/>
    </row>
    <row r="211" ht="14.25" customHeight="1">
      <c r="A211" s="187"/>
      <c r="B211" s="128"/>
    </row>
    <row r="212" ht="14.25" customHeight="1">
      <c r="A212" s="187"/>
      <c r="B212" s="128"/>
    </row>
    <row r="213" ht="14.25" customHeight="1">
      <c r="A213" s="187"/>
      <c r="B213" s="128"/>
    </row>
    <row r="214" ht="14.25" customHeight="1">
      <c r="A214" s="187"/>
      <c r="B214" s="128"/>
    </row>
    <row r="215" ht="14.25" customHeight="1">
      <c r="A215" s="187"/>
      <c r="B215" s="128"/>
    </row>
    <row r="216" ht="14.25" customHeight="1">
      <c r="A216" s="187"/>
      <c r="B216" s="128"/>
    </row>
    <row r="217" ht="14.25" customHeight="1">
      <c r="A217" s="187"/>
      <c r="B217" s="128"/>
    </row>
    <row r="218" ht="14.25" customHeight="1">
      <c r="A218" s="187"/>
      <c r="B218" s="128"/>
    </row>
    <row r="219" ht="14.25" customHeight="1">
      <c r="A219" s="187"/>
      <c r="B219" s="128"/>
    </row>
    <row r="220" ht="14.25" customHeight="1">
      <c r="A220" s="187"/>
      <c r="B220" s="128"/>
    </row>
    <row r="221" ht="14.25" customHeight="1">
      <c r="A221" s="187"/>
      <c r="B221" s="128"/>
    </row>
    <row r="222" ht="14.25" customHeight="1">
      <c r="A222" s="187"/>
      <c r="B222" s="128"/>
    </row>
    <row r="223" ht="14.25" customHeight="1">
      <c r="A223" s="187"/>
      <c r="B223" s="128"/>
    </row>
    <row r="224" ht="14.25" customHeight="1">
      <c r="A224" s="187"/>
      <c r="B224" s="128"/>
    </row>
    <row r="225" ht="14.25" customHeight="1">
      <c r="A225" s="187"/>
      <c r="B225" s="128"/>
    </row>
    <row r="226" ht="14.25" customHeight="1">
      <c r="A226" s="187"/>
      <c r="B226" s="128"/>
    </row>
    <row r="227" ht="14.25" customHeight="1">
      <c r="A227" s="187"/>
      <c r="B227" s="128"/>
    </row>
    <row r="228" ht="14.25" customHeight="1">
      <c r="A228" s="187"/>
      <c r="B228" s="128"/>
    </row>
    <row r="229" ht="14.25" customHeight="1">
      <c r="A229" s="187"/>
      <c r="B229" s="128"/>
    </row>
    <row r="230" ht="14.25" customHeight="1">
      <c r="A230" s="187"/>
      <c r="B230" s="128"/>
    </row>
    <row r="231" ht="14.25" customHeight="1">
      <c r="A231" s="187"/>
      <c r="B231" s="128"/>
    </row>
    <row r="232" ht="14.25" customHeight="1">
      <c r="A232" s="187"/>
      <c r="B232" s="128"/>
    </row>
    <row r="233" ht="14.25" customHeight="1">
      <c r="A233" s="187"/>
      <c r="B233" s="128"/>
    </row>
    <row r="234" ht="14.25" customHeight="1">
      <c r="A234" s="187"/>
      <c r="B234" s="128"/>
    </row>
    <row r="235" ht="14.25" customHeight="1">
      <c r="A235" s="187"/>
      <c r="B235" s="128"/>
    </row>
    <row r="236" ht="14.25" customHeight="1">
      <c r="A236" s="187"/>
      <c r="B236" s="128"/>
    </row>
    <row r="237" ht="14.25" customHeight="1">
      <c r="A237" s="187"/>
      <c r="B237" s="128"/>
    </row>
    <row r="238" ht="14.25" customHeight="1">
      <c r="A238" s="187"/>
      <c r="B238" s="128"/>
    </row>
    <row r="239" ht="14.25" customHeight="1">
      <c r="A239" s="187"/>
      <c r="B239" s="128"/>
    </row>
    <row r="240" ht="14.25" customHeight="1">
      <c r="A240" s="187"/>
      <c r="B240" s="128"/>
    </row>
    <row r="241" ht="14.25" customHeight="1">
      <c r="A241" s="187"/>
      <c r="B241" s="128"/>
    </row>
    <row r="242" ht="14.25" customHeight="1">
      <c r="A242" s="187"/>
      <c r="B242" s="128"/>
    </row>
    <row r="243" ht="14.25" customHeight="1">
      <c r="A243" s="187"/>
      <c r="B243" s="128"/>
    </row>
    <row r="244" ht="14.25" customHeight="1">
      <c r="A244" s="187"/>
      <c r="B244" s="128"/>
    </row>
    <row r="245" ht="14.25" customHeight="1">
      <c r="A245" s="187"/>
      <c r="B245" s="128"/>
    </row>
    <row r="246" ht="14.25" customHeight="1">
      <c r="A246" s="187"/>
      <c r="B246" s="128"/>
    </row>
    <row r="247" ht="14.25" customHeight="1">
      <c r="A247" s="187"/>
      <c r="B247" s="128"/>
    </row>
    <row r="248" ht="14.25" customHeight="1">
      <c r="A248" s="187"/>
      <c r="B248" s="128"/>
    </row>
    <row r="249" ht="14.25" customHeight="1">
      <c r="A249" s="187"/>
      <c r="B249" s="128"/>
    </row>
    <row r="250" ht="14.25" customHeight="1">
      <c r="A250" s="187"/>
      <c r="B250" s="128"/>
    </row>
    <row r="251" ht="14.25" customHeight="1">
      <c r="A251" s="187"/>
      <c r="B251" s="128"/>
    </row>
    <row r="252" ht="14.25" customHeight="1">
      <c r="A252" s="187"/>
      <c r="B252" s="128"/>
    </row>
    <row r="253" ht="14.25" customHeight="1">
      <c r="A253" s="187"/>
      <c r="B253" s="128"/>
    </row>
    <row r="254" ht="14.25" customHeight="1">
      <c r="A254" s="187"/>
      <c r="B254" s="128"/>
    </row>
    <row r="255" ht="14.25" customHeight="1">
      <c r="A255" s="187"/>
      <c r="B255" s="128"/>
    </row>
    <row r="256" ht="14.25" customHeight="1">
      <c r="A256" s="187"/>
      <c r="B256" s="128"/>
    </row>
    <row r="257" ht="14.25" customHeight="1">
      <c r="A257" s="187"/>
      <c r="B257" s="128"/>
    </row>
    <row r="258" ht="14.25" customHeight="1">
      <c r="A258" s="187"/>
      <c r="B258" s="128"/>
    </row>
    <row r="259" ht="14.25" customHeight="1">
      <c r="A259" s="187"/>
      <c r="B259" s="128"/>
    </row>
    <row r="260" ht="14.25" customHeight="1">
      <c r="A260" s="187"/>
      <c r="B260" s="128"/>
    </row>
    <row r="261" ht="14.25" customHeight="1">
      <c r="A261" s="187"/>
      <c r="B261" s="128"/>
    </row>
    <row r="262" ht="14.25" customHeight="1">
      <c r="A262" s="187"/>
      <c r="B262" s="128"/>
    </row>
    <row r="263" ht="14.25" customHeight="1">
      <c r="A263" s="187"/>
      <c r="B263" s="128"/>
    </row>
    <row r="264" ht="14.25" customHeight="1">
      <c r="A264" s="187"/>
      <c r="B264" s="128"/>
    </row>
    <row r="265" ht="14.25" customHeight="1">
      <c r="A265" s="187"/>
      <c r="B265" s="128"/>
    </row>
    <row r="266" ht="14.25" customHeight="1">
      <c r="A266" s="187"/>
      <c r="B266" s="128"/>
    </row>
    <row r="267" ht="14.25" customHeight="1">
      <c r="A267" s="187"/>
      <c r="B267" s="128"/>
    </row>
    <row r="268" ht="14.25" customHeight="1">
      <c r="A268" s="187"/>
      <c r="B268" s="128"/>
    </row>
    <row r="269" ht="14.25" customHeight="1">
      <c r="A269" s="187"/>
      <c r="B269" s="128"/>
    </row>
    <row r="270" ht="14.25" customHeight="1">
      <c r="A270" s="187"/>
      <c r="B270" s="128"/>
    </row>
    <row r="271" ht="14.25" customHeight="1">
      <c r="A271" s="187"/>
      <c r="B271" s="128"/>
    </row>
    <row r="272" ht="14.25" customHeight="1">
      <c r="A272" s="187"/>
      <c r="B272" s="128"/>
    </row>
    <row r="273" ht="14.25" customHeight="1">
      <c r="A273" s="187"/>
      <c r="B273" s="128"/>
    </row>
    <row r="274" ht="14.25" customHeight="1">
      <c r="A274" s="187"/>
      <c r="B274" s="128"/>
    </row>
    <row r="275" ht="14.25" customHeight="1">
      <c r="A275" s="187"/>
      <c r="B275" s="128"/>
    </row>
    <row r="276" ht="14.25" customHeight="1">
      <c r="A276" s="187"/>
      <c r="B276" s="128"/>
    </row>
    <row r="277" ht="14.25" customHeight="1">
      <c r="A277" s="187"/>
      <c r="B277" s="128"/>
    </row>
    <row r="278" ht="14.25" customHeight="1">
      <c r="A278" s="187"/>
      <c r="B278" s="128"/>
    </row>
    <row r="279" ht="14.25" customHeight="1">
      <c r="A279" s="187"/>
      <c r="B279" s="128"/>
    </row>
    <row r="280" ht="14.25" customHeight="1">
      <c r="A280" s="187"/>
      <c r="B280" s="128"/>
    </row>
    <row r="281" ht="14.25" customHeight="1">
      <c r="A281" s="187"/>
      <c r="B281" s="128"/>
    </row>
    <row r="282" ht="14.25" customHeight="1">
      <c r="A282" s="187"/>
      <c r="B282" s="128"/>
    </row>
    <row r="283" ht="14.25" customHeight="1">
      <c r="A283" s="187"/>
      <c r="B283" s="128"/>
    </row>
    <row r="284" ht="14.25" customHeight="1">
      <c r="A284" s="187"/>
      <c r="B284" s="128"/>
    </row>
    <row r="285" ht="14.25" customHeight="1">
      <c r="A285" s="187"/>
      <c r="B285" s="128"/>
    </row>
    <row r="286" ht="14.25" customHeight="1">
      <c r="A286" s="187"/>
      <c r="B286" s="128"/>
    </row>
    <row r="287" ht="14.25" customHeight="1">
      <c r="A287" s="187"/>
      <c r="B287" s="128"/>
    </row>
    <row r="288" ht="14.25" customHeight="1">
      <c r="A288" s="187"/>
      <c r="B288" s="128"/>
    </row>
    <row r="289" ht="14.25" customHeight="1">
      <c r="A289" s="187"/>
      <c r="B289" s="128"/>
    </row>
    <row r="290" ht="14.25" customHeight="1">
      <c r="A290" s="187"/>
      <c r="B290" s="128"/>
    </row>
    <row r="291" ht="14.25" customHeight="1">
      <c r="A291" s="187"/>
      <c r="B291" s="128"/>
    </row>
    <row r="292" ht="14.25" customHeight="1">
      <c r="A292" s="187"/>
      <c r="B292" s="128"/>
    </row>
    <row r="293" ht="14.25" customHeight="1">
      <c r="A293" s="187"/>
      <c r="B293" s="128"/>
    </row>
    <row r="294" ht="14.25" customHeight="1">
      <c r="A294" s="187"/>
      <c r="B294" s="128"/>
    </row>
    <row r="295" ht="14.25" customHeight="1">
      <c r="A295" s="187"/>
      <c r="B295" s="128"/>
    </row>
    <row r="296" ht="14.25" customHeight="1">
      <c r="A296" s="187"/>
      <c r="B296" s="128"/>
    </row>
    <row r="297" ht="14.25" customHeight="1">
      <c r="A297" s="187"/>
      <c r="B297" s="128"/>
    </row>
    <row r="298" ht="14.25" customHeight="1">
      <c r="A298" s="187"/>
      <c r="B298" s="128"/>
    </row>
    <row r="299" ht="14.25" customHeight="1">
      <c r="A299" s="187"/>
      <c r="B299" s="128"/>
    </row>
    <row r="300" ht="14.25" customHeight="1">
      <c r="A300" s="187"/>
      <c r="B300" s="128"/>
    </row>
    <row r="301" ht="14.25" customHeight="1">
      <c r="A301" s="187"/>
      <c r="B301" s="128"/>
    </row>
    <row r="302" ht="14.25" customHeight="1">
      <c r="A302" s="187"/>
      <c r="B302" s="128"/>
    </row>
    <row r="303" ht="14.25" customHeight="1">
      <c r="A303" s="187"/>
      <c r="B303" s="128"/>
    </row>
    <row r="304" ht="14.25" customHeight="1">
      <c r="A304" s="187"/>
      <c r="B304" s="128"/>
    </row>
    <row r="305" ht="14.25" customHeight="1">
      <c r="A305" s="187"/>
      <c r="B305" s="128"/>
    </row>
    <row r="306" ht="14.25" customHeight="1">
      <c r="A306" s="187"/>
      <c r="B306" s="128"/>
    </row>
    <row r="307" ht="14.25" customHeight="1">
      <c r="A307" s="187"/>
      <c r="B307" s="128"/>
    </row>
    <row r="308" ht="14.25" customHeight="1">
      <c r="A308" s="187"/>
      <c r="B308" s="128"/>
    </row>
    <row r="309" ht="14.25" customHeight="1">
      <c r="A309" s="187"/>
      <c r="B309" s="128"/>
    </row>
    <row r="310" ht="14.25" customHeight="1">
      <c r="A310" s="187"/>
      <c r="B310" s="128"/>
    </row>
    <row r="311" ht="14.25" customHeight="1">
      <c r="A311" s="187"/>
      <c r="B311" s="128"/>
    </row>
    <row r="312" ht="14.25" customHeight="1">
      <c r="A312" s="187"/>
      <c r="B312" s="128"/>
    </row>
    <row r="313" ht="14.25" customHeight="1">
      <c r="A313" s="187"/>
      <c r="B313" s="128"/>
    </row>
    <row r="314" ht="14.25" customHeight="1">
      <c r="A314" s="187"/>
      <c r="B314" s="128"/>
    </row>
    <row r="315" ht="14.25" customHeight="1">
      <c r="A315" s="187"/>
      <c r="B315" s="128"/>
    </row>
    <row r="316" ht="14.25" customHeight="1">
      <c r="A316" s="187"/>
      <c r="B316" s="128"/>
    </row>
    <row r="317" ht="14.25" customHeight="1">
      <c r="A317" s="187"/>
      <c r="B317" s="128"/>
    </row>
    <row r="318" ht="14.25" customHeight="1">
      <c r="A318" s="187"/>
      <c r="B318" s="128"/>
    </row>
    <row r="319" ht="14.25" customHeight="1">
      <c r="A319" s="187"/>
      <c r="B319" s="128"/>
    </row>
    <row r="320" ht="14.25" customHeight="1">
      <c r="A320" s="187"/>
      <c r="B320" s="128"/>
    </row>
    <row r="321" ht="14.25" customHeight="1">
      <c r="A321" s="187"/>
      <c r="B321" s="128"/>
    </row>
    <row r="322" ht="14.25" customHeight="1">
      <c r="A322" s="187"/>
      <c r="B322" s="128"/>
    </row>
    <row r="323" ht="14.25" customHeight="1">
      <c r="A323" s="187"/>
      <c r="B323" s="128"/>
    </row>
    <row r="324" ht="14.25" customHeight="1">
      <c r="A324" s="187"/>
      <c r="B324" s="128"/>
    </row>
    <row r="325" ht="14.25" customHeight="1">
      <c r="A325" s="187"/>
      <c r="B325" s="128"/>
    </row>
    <row r="326" ht="14.25" customHeight="1">
      <c r="A326" s="187"/>
      <c r="B326" s="128"/>
    </row>
    <row r="327" ht="14.25" customHeight="1">
      <c r="A327" s="187"/>
      <c r="B327" s="128"/>
    </row>
    <row r="328" ht="14.25" customHeight="1">
      <c r="A328" s="187"/>
      <c r="B328" s="128"/>
    </row>
    <row r="329" ht="14.25" customHeight="1">
      <c r="A329" s="187"/>
      <c r="B329" s="128"/>
    </row>
    <row r="330" ht="14.25" customHeight="1">
      <c r="A330" s="187"/>
      <c r="B330" s="128"/>
    </row>
    <row r="331" ht="14.25" customHeight="1">
      <c r="A331" s="187"/>
      <c r="B331" s="128"/>
    </row>
    <row r="332" ht="14.25" customHeight="1">
      <c r="A332" s="187"/>
      <c r="B332" s="128"/>
    </row>
    <row r="333" ht="14.25" customHeight="1">
      <c r="A333" s="187"/>
      <c r="B333" s="128"/>
    </row>
    <row r="334" ht="14.25" customHeight="1">
      <c r="A334" s="187"/>
      <c r="B334" s="128"/>
    </row>
    <row r="335" ht="14.25" customHeight="1">
      <c r="A335" s="187"/>
      <c r="B335" s="128"/>
    </row>
    <row r="336" ht="14.25" customHeight="1">
      <c r="A336" s="187"/>
      <c r="B336" s="128"/>
    </row>
    <row r="337" ht="14.25" customHeight="1">
      <c r="A337" s="187"/>
      <c r="B337" s="128"/>
    </row>
    <row r="338" ht="14.25" customHeight="1">
      <c r="A338" s="187"/>
      <c r="B338" s="128"/>
    </row>
    <row r="339" ht="14.25" customHeight="1">
      <c r="A339" s="187"/>
      <c r="B339" s="128"/>
    </row>
    <row r="340" ht="14.25" customHeight="1">
      <c r="A340" s="187"/>
      <c r="B340" s="128"/>
    </row>
    <row r="341" ht="14.25" customHeight="1">
      <c r="A341" s="187"/>
      <c r="B341" s="128"/>
    </row>
    <row r="342" ht="14.25" customHeight="1">
      <c r="A342" s="187"/>
      <c r="B342" s="128"/>
    </row>
    <row r="343" ht="14.25" customHeight="1">
      <c r="A343" s="187"/>
      <c r="B343" s="128"/>
    </row>
    <row r="344" ht="14.25" customHeight="1">
      <c r="A344" s="187"/>
      <c r="B344" s="128"/>
    </row>
    <row r="345" ht="14.25" customHeight="1">
      <c r="A345" s="187"/>
      <c r="B345" s="128"/>
    </row>
    <row r="346" ht="14.25" customHeight="1">
      <c r="A346" s="187"/>
      <c r="B346" s="128"/>
    </row>
    <row r="347" ht="14.25" customHeight="1">
      <c r="A347" s="187"/>
      <c r="B347" s="128"/>
    </row>
    <row r="348" ht="14.25" customHeight="1">
      <c r="A348" s="187"/>
      <c r="B348" s="128"/>
    </row>
    <row r="349" ht="14.25" customHeight="1">
      <c r="A349" s="187"/>
      <c r="B349" s="128"/>
    </row>
    <row r="350" ht="14.25" customHeight="1">
      <c r="A350" s="187"/>
      <c r="B350" s="128"/>
    </row>
    <row r="351" ht="14.25" customHeight="1">
      <c r="A351" s="187"/>
      <c r="B351" s="128"/>
    </row>
    <row r="352" ht="14.25" customHeight="1">
      <c r="A352" s="187"/>
      <c r="B352" s="128"/>
    </row>
    <row r="353" ht="14.25" customHeight="1">
      <c r="A353" s="187"/>
      <c r="B353" s="128"/>
    </row>
    <row r="354" ht="14.25" customHeight="1">
      <c r="A354" s="187"/>
      <c r="B354" s="128"/>
    </row>
    <row r="355" ht="14.25" customHeight="1">
      <c r="A355" s="187"/>
      <c r="B355" s="128"/>
    </row>
    <row r="356" ht="14.25" customHeight="1">
      <c r="A356" s="187"/>
      <c r="B356" s="128"/>
    </row>
    <row r="357" ht="14.25" customHeight="1">
      <c r="A357" s="187"/>
      <c r="B357" s="128"/>
    </row>
    <row r="358" ht="14.25" customHeight="1">
      <c r="A358" s="187"/>
      <c r="B358" s="128"/>
    </row>
    <row r="359" ht="14.25" customHeight="1">
      <c r="A359" s="187"/>
      <c r="B359" s="128"/>
    </row>
    <row r="360" ht="14.25" customHeight="1">
      <c r="A360" s="187"/>
      <c r="B360" s="128"/>
    </row>
    <row r="361" ht="14.25" customHeight="1">
      <c r="A361" s="187"/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4.29"/>
    <col customWidth="1" min="2" max="2" width="21.29"/>
    <col customWidth="1" min="3" max="3" width="10.0"/>
    <col customWidth="1" min="4" max="4" width="4.29"/>
    <col customWidth="1" min="5" max="5" width="21.29"/>
    <col customWidth="1" min="6" max="6" width="10.0"/>
    <col customWidth="1" min="7" max="7" width="2.86"/>
    <col customWidth="1" min="8" max="32" width="39.14"/>
  </cols>
  <sheetData>
    <row r="1">
      <c r="A1" s="33" t="s">
        <v>162</v>
      </c>
      <c r="B1" s="34"/>
      <c r="C1" s="35"/>
      <c r="D1" s="36" t="s">
        <v>163</v>
      </c>
      <c r="E1" s="37"/>
      <c r="F1" s="38"/>
      <c r="H1" s="39" t="s">
        <v>164</v>
      </c>
      <c r="I1" s="40"/>
      <c r="J1" s="40"/>
      <c r="K1" s="41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</row>
    <row r="2">
      <c r="A2" s="43">
        <v>1.0</v>
      </c>
      <c r="B2" s="44" t="str">
        <f>'Classement Général'!B2</f>
        <v>immond</v>
      </c>
      <c r="C2" s="45">
        <f>'Classement Général'!C2</f>
        <v>19417.05954</v>
      </c>
      <c r="D2" s="46">
        <v>1.0</v>
      </c>
      <c r="E2" s="44" t="str">
        <f>'Classement S6'!B2</f>
        <v>immond</v>
      </c>
      <c r="F2" s="47">
        <f>'Classement S6'!C2</f>
        <v>9527.271752</v>
      </c>
      <c r="H2" s="39" t="s">
        <v>165</v>
      </c>
      <c r="I2" s="48"/>
      <c r="J2" s="39" t="s">
        <v>166</v>
      </c>
      <c r="K2" s="48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</row>
    <row r="3">
      <c r="A3" s="49">
        <v>2.0</v>
      </c>
      <c r="B3" s="50" t="str">
        <f>'Classement Général'!B3</f>
        <v>FridAKahlo</v>
      </c>
      <c r="C3" s="51">
        <f>'Classement Général'!C3</f>
        <v>15742.07589</v>
      </c>
      <c r="D3" s="52">
        <v>2.0</v>
      </c>
      <c r="E3" s="53" t="str">
        <f>'Classement S6'!B3</f>
        <v>JM-Chatte</v>
      </c>
      <c r="F3" s="54">
        <f>'Classement S6'!C3</f>
        <v>9486.727833</v>
      </c>
      <c r="H3" s="55">
        <f>IFERROR(__xludf.DUMMYFUNCTION("IMPORTRANGE(""https://docs.google.com/spreadsheets/d/1UQyG8rlZnvrZ4fb0TQ41OOfL22HVu1NT6f2xC71LSps/edit?gid=0#gid=0"",""Winamax!A1:B6"")"),45544.0)</f>
        <v>45544</v>
      </c>
      <c r="I3" s="56" t="str">
        <f>IFERROR(__xludf.DUMMYFUNCTION("""COMPUTED_VALUE"""),"Freeroll")</f>
        <v>Freeroll</v>
      </c>
      <c r="J3" s="57">
        <f>IFERROR(__xludf.DUMMYFUNCTION("IMPORTRANGE(""https://docs.google.com/spreadsheets/d/1UQyG8rlZnvrZ4fb0TQ41OOfL22HVu1NT6f2xC71LSps/edit?gid=0#gid=0"",""Live!A1:B6"")"),45541.0)</f>
        <v>45541</v>
      </c>
      <c r="K3" s="58" t="str">
        <f>IFERROR(__xludf.DUMMYFUNCTION("""COMPUTED_VALUE"""),"Rentrée")</f>
        <v>Rentrée</v>
      </c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</row>
    <row r="4">
      <c r="A4" s="46">
        <v>3.0</v>
      </c>
      <c r="B4" s="44" t="str">
        <f>'Classement Général'!B4</f>
        <v>Dirty Bazaar</v>
      </c>
      <c r="C4" s="45">
        <f>'Classement Général'!C4</f>
        <v>14688.20249</v>
      </c>
      <c r="D4" s="46">
        <v>3.0</v>
      </c>
      <c r="E4" s="44" t="str">
        <f>'Classement S6'!B4</f>
        <v>Kevfurious</v>
      </c>
      <c r="F4" s="47">
        <f>'Classement S6'!C4</f>
        <v>8265.690257</v>
      </c>
      <c r="H4" s="59">
        <f>IFERROR(__xludf.DUMMYFUNCTION("""COMPUTED_VALUE"""),45545.0)</f>
        <v>45545</v>
      </c>
      <c r="I4" s="60">
        <f>IFERROR(__xludf.DUMMYFUNCTION("""COMPUTED_VALUE"""),2.0)</f>
        <v>2</v>
      </c>
      <c r="J4" s="61">
        <f>IFERROR(__xludf.DUMMYFUNCTION("""COMPUTED_VALUE"""),45548.0)</f>
        <v>45548</v>
      </c>
      <c r="K4" s="62" t="str">
        <f>IFERROR(__xludf.DUMMYFUNCTION("""COMPUTED_VALUE"""),"Monster Stack 1")</f>
        <v>Monster Stack 1</v>
      </c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</row>
    <row r="5">
      <c r="A5" s="49">
        <v>4.0</v>
      </c>
      <c r="B5" s="50" t="str">
        <f>'Classement Général'!B5</f>
        <v>Mako Lemore</v>
      </c>
      <c r="C5" s="51">
        <f>'Classement Général'!C5</f>
        <v>14512.44023</v>
      </c>
      <c r="D5" s="52">
        <v>4.0</v>
      </c>
      <c r="E5" s="53" t="str">
        <f>'Classement S6'!B5</f>
        <v>LEGOLEGOTE</v>
      </c>
      <c r="F5" s="54">
        <f>'Classement S6'!C5</f>
        <v>7701.578041</v>
      </c>
      <c r="H5" s="63">
        <f>IFERROR(__xludf.DUMMYFUNCTION("""COMPUTED_VALUE"""),45553.0)</f>
        <v>45553</v>
      </c>
      <c r="I5" s="64">
        <f>IFERROR(__xludf.DUMMYFUNCTION("""COMPUTED_VALUE"""),5.0)</f>
        <v>5</v>
      </c>
      <c r="J5" s="65">
        <f>IFERROR(__xludf.DUMMYFUNCTION("""COMPUTED_VALUE"""),45555.0)</f>
        <v>45555</v>
      </c>
      <c r="K5" s="66" t="str">
        <f>IFERROR(__xludf.DUMMYFUNCTION("""COMPUTED_VALUE"""),"Kill the PPCien 1")</f>
        <v>Kill the PPCien 1</v>
      </c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>
      <c r="A6" s="46">
        <v>5.0</v>
      </c>
      <c r="B6" s="44" t="str">
        <f>'Classement Général'!B6</f>
        <v>Patgaret</v>
      </c>
      <c r="C6" s="45">
        <f>'Classement Général'!C6</f>
        <v>12997.86889</v>
      </c>
      <c r="D6" s="46">
        <v>5.0</v>
      </c>
      <c r="E6" s="44" t="str">
        <f>'Classement S6'!B6</f>
        <v>FridAKahlo</v>
      </c>
      <c r="F6" s="47">
        <f>'Classement S6'!C6</f>
        <v>7610.317642</v>
      </c>
      <c r="H6" s="59">
        <f>IFERROR(__xludf.DUMMYFUNCTION("""COMPUTED_VALUE"""),45558.0)</f>
        <v>45558</v>
      </c>
      <c r="I6" s="67" t="str">
        <f>IFERROR(__xludf.DUMMYFUNCTION("""COMPUTED_VALUE"""),"Freeroll")</f>
        <v>Freeroll</v>
      </c>
      <c r="J6" s="61">
        <f>IFERROR(__xludf.DUMMYFUNCTION("""COMPUTED_VALUE"""),45562.0)</f>
        <v>45562</v>
      </c>
      <c r="K6" s="62" t="str">
        <f>IFERROR(__xludf.DUMMYFUNCTION("""COMPUTED_VALUE"""),"Roller Coaster 1")</f>
        <v>Roller Coaster 1</v>
      </c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>
      <c r="A7" s="49">
        <v>6.0</v>
      </c>
      <c r="B7" s="50" t="str">
        <f>'Classement Général'!B7</f>
        <v>christ86000</v>
      </c>
      <c r="C7" s="51">
        <f>'Classement Général'!C7</f>
        <v>12583.24981</v>
      </c>
      <c r="D7" s="52">
        <v>6.0</v>
      </c>
      <c r="E7" s="53" t="str">
        <f>'Classement S6'!B7</f>
        <v>DonnesTchips</v>
      </c>
      <c r="F7" s="54">
        <f>'Classement S6'!C7</f>
        <v>7510.864786</v>
      </c>
      <c r="H7" s="63">
        <f>IFERROR(__xludf.DUMMYFUNCTION("""COMPUTED_VALUE"""),45559.0)</f>
        <v>45559</v>
      </c>
      <c r="I7" s="64">
        <f>IFERROR(__xludf.DUMMYFUNCTION("""COMPUTED_VALUE"""),2.0)</f>
        <v>2</v>
      </c>
      <c r="J7" s="65">
        <f>IFERROR(__xludf.DUMMYFUNCTION("""COMPUTED_VALUE"""),45569.0)</f>
        <v>45569</v>
      </c>
      <c r="K7" s="66" t="str">
        <f>IFERROR(__xludf.DUMMYFUNCTION("""COMPUTED_VALUE"""),"Monster Stack 2")</f>
        <v>Monster Stack 2</v>
      </c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</row>
    <row r="8">
      <c r="A8" s="46">
        <v>7.0</v>
      </c>
      <c r="B8" s="44" t="str">
        <f>'Classement Général'!B8</f>
        <v>Kevfurious</v>
      </c>
      <c r="C8" s="45">
        <f>'Classement Général'!C8</f>
        <v>12470.78433</v>
      </c>
      <c r="D8" s="46">
        <v>7.0</v>
      </c>
      <c r="E8" s="44" t="str">
        <f>'Classement S6'!B8</f>
        <v>Patgaret</v>
      </c>
      <c r="F8" s="47">
        <f>'Classement S6'!C8</f>
        <v>7431.078619</v>
      </c>
      <c r="H8" s="68">
        <f>IFERROR(__xludf.DUMMYFUNCTION("""COMPUTED_VALUE"""),45567.0)</f>
        <v>45567</v>
      </c>
      <c r="I8" s="69">
        <f>IFERROR(__xludf.DUMMYFUNCTION("""COMPUTED_VALUE"""),5.0)</f>
        <v>5</v>
      </c>
      <c r="J8" s="70">
        <f>IFERROR(__xludf.DUMMYFUNCTION("""COMPUTED_VALUE"""),45576.0)</f>
        <v>45576</v>
      </c>
      <c r="K8" s="71" t="str">
        <f>IFERROR(__xludf.DUMMYFUNCTION("""COMPUTED_VALUE"""),"Kill the PPCien 2")</f>
        <v>Kill the PPCien 2</v>
      </c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</row>
    <row r="9">
      <c r="A9" s="49">
        <v>8.0</v>
      </c>
      <c r="B9" s="50" t="str">
        <f>'Classement Général'!B9</f>
        <v>8kinder6</v>
      </c>
      <c r="C9" s="51">
        <f>'Classement Général'!C9</f>
        <v>12321.24549</v>
      </c>
      <c r="D9" s="52">
        <v>8.0</v>
      </c>
      <c r="E9" s="53" t="str">
        <f>'Classement S6'!B9</f>
        <v>Like_A_Fish</v>
      </c>
      <c r="F9" s="54">
        <f>'Classement S6'!C9</f>
        <v>7201.63488</v>
      </c>
      <c r="H9" s="72"/>
      <c r="I9" s="72"/>
      <c r="J9" s="73"/>
      <c r="K9" s="7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</row>
    <row r="10">
      <c r="A10" s="46">
        <v>9.0</v>
      </c>
      <c r="B10" s="44" t="str">
        <f>'Classement Général'!B10</f>
        <v>. BARBAPAPA66</v>
      </c>
      <c r="C10" s="45">
        <f>'Classement Général'!C10</f>
        <v>12128.66692</v>
      </c>
      <c r="D10" s="46">
        <v>9.0</v>
      </c>
      <c r="E10" s="44" t="str">
        <f>'Classement S6'!B10</f>
        <v>gregmoore</v>
      </c>
      <c r="F10" s="47">
        <f>'Classement S6'!C10</f>
        <v>7021.314147</v>
      </c>
      <c r="H10" s="72"/>
      <c r="I10" s="72"/>
      <c r="J10" s="73"/>
      <c r="K10" s="7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</row>
    <row r="11">
      <c r="A11" s="49">
        <v>10.0</v>
      </c>
      <c r="B11" s="50" t="str">
        <f>'Classement Général'!B11</f>
        <v>DonnesTchips</v>
      </c>
      <c r="C11" s="51">
        <f>'Classement Général'!C11</f>
        <v>11891.01839</v>
      </c>
      <c r="D11" s="52">
        <v>10.0</v>
      </c>
      <c r="E11" s="53" t="str">
        <f>'Classement S6'!B11</f>
        <v>Dirty Bazaar</v>
      </c>
      <c r="F11" s="54">
        <f>'Classement S6'!C11</f>
        <v>6848.880839</v>
      </c>
      <c r="H11" s="72"/>
      <c r="I11" s="72"/>
      <c r="J11" s="73"/>
      <c r="K11" s="7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</row>
    <row r="12">
      <c r="A12" s="74" t="s">
        <v>167</v>
      </c>
      <c r="B12" s="75"/>
      <c r="C12" s="76"/>
      <c r="D12" s="77" t="s">
        <v>6</v>
      </c>
      <c r="E12" s="78"/>
      <c r="F12" s="79"/>
      <c r="G12" s="42"/>
      <c r="H12" s="72"/>
      <c r="I12" s="72"/>
      <c r="J12" s="72"/>
      <c r="K12" s="7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</row>
    <row r="13">
      <c r="A13" s="46">
        <v>1.0</v>
      </c>
      <c r="B13" s="44" t="str">
        <f>'Classement RoC'!B2</f>
        <v>immond</v>
      </c>
      <c r="C13" s="47">
        <f>'Classement RoC'!C2</f>
        <v>7252.881965</v>
      </c>
      <c r="D13" s="46">
        <v>1.0</v>
      </c>
      <c r="E13" s="44" t="str">
        <f>'Classement Surp'!B2</f>
        <v>.choco</v>
      </c>
      <c r="F13" s="47">
        <f>'Classement Surp'!C2</f>
        <v>3745.139932</v>
      </c>
      <c r="G13" s="42"/>
      <c r="H13" s="72"/>
      <c r="I13" s="72"/>
      <c r="J13" s="72"/>
      <c r="K13" s="7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</row>
    <row r="14">
      <c r="A14" s="80">
        <v>2.0</v>
      </c>
      <c r="B14" s="81" t="str">
        <f>'Classement RoC'!B3</f>
        <v>Mako Lemore</v>
      </c>
      <c r="C14" s="82">
        <f>'Classement RoC'!C3</f>
        <v>6402.909979</v>
      </c>
      <c r="D14" s="83">
        <v>2.0</v>
      </c>
      <c r="E14" s="84" t="str">
        <f>'Classement Surp'!B3</f>
        <v>Elfy</v>
      </c>
      <c r="F14" s="85">
        <f>'Classement Surp'!C3</f>
        <v>2986.870287</v>
      </c>
      <c r="G14" s="42"/>
      <c r="H14" s="86"/>
      <c r="I14" s="86"/>
      <c r="J14" s="72"/>
      <c r="K14" s="7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</row>
    <row r="15">
      <c r="A15" s="46">
        <v>3.0</v>
      </c>
      <c r="B15" s="44" t="str">
        <f>'Classement RoC'!B4</f>
        <v>FridAKahlo</v>
      </c>
      <c r="C15" s="47">
        <f>'Classement RoC'!C4</f>
        <v>5870.255625</v>
      </c>
      <c r="D15" s="46">
        <v>3.0</v>
      </c>
      <c r="E15" s="44" t="str">
        <f>'Classement Surp'!B4</f>
        <v>Dirty Bazaar</v>
      </c>
      <c r="F15" s="47">
        <f>'Classement Surp'!C4</f>
        <v>2911.472264</v>
      </c>
      <c r="G15" s="42"/>
      <c r="H15" s="86"/>
      <c r="I15" s="86"/>
      <c r="J15" s="72"/>
      <c r="K15" s="7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</row>
    <row r="16">
      <c r="A16" s="80">
        <v>4.0</v>
      </c>
      <c r="B16" s="81" t="str">
        <f>'Classement RoC'!B5</f>
        <v>Redblood92</v>
      </c>
      <c r="C16" s="82">
        <f>'Classement RoC'!C5</f>
        <v>5220.377133</v>
      </c>
      <c r="D16" s="83">
        <v>4.0</v>
      </c>
      <c r="E16" s="84" t="str">
        <f>'Classement Surp'!B5</f>
        <v>Le_Pictavien</v>
      </c>
      <c r="F16" s="85">
        <f>'Classement Surp'!C5</f>
        <v>2637.040647</v>
      </c>
      <c r="G16" s="42"/>
      <c r="H16" s="86"/>
      <c r="I16" s="86"/>
      <c r="J16" s="72"/>
      <c r="K16" s="7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</row>
    <row r="17">
      <c r="A17" s="46">
        <v>5.0</v>
      </c>
      <c r="B17" s="44" t="str">
        <f>'Classement RoC'!B6</f>
        <v>StephBoss05</v>
      </c>
      <c r="C17" s="47">
        <f>'Classement RoC'!C6</f>
        <v>5188.644652</v>
      </c>
      <c r="D17" s="46">
        <v>5.0</v>
      </c>
      <c r="E17" s="44" t="str">
        <f>'Classement Surp'!B6</f>
        <v>immond</v>
      </c>
      <c r="F17" s="47">
        <f>'Classement Surp'!C6</f>
        <v>2636.905822</v>
      </c>
      <c r="G17" s="42"/>
      <c r="H17" s="86"/>
      <c r="I17" s="86"/>
      <c r="J17" s="72"/>
      <c r="K17" s="7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</row>
    <row r="18">
      <c r="A18" s="80">
        <v>6.0</v>
      </c>
      <c r="B18" s="81" t="str">
        <f>'Classement RoC'!B7</f>
        <v>. BARBAPAPA66</v>
      </c>
      <c r="C18" s="82">
        <f>'Classement RoC'!C7</f>
        <v>5112.683545</v>
      </c>
      <c r="D18" s="83">
        <v>6.0</v>
      </c>
      <c r="E18" s="84" t="str">
        <f>'Classement Surp'!B7</f>
        <v>christ86000</v>
      </c>
      <c r="F18" s="85">
        <f>'Classement Surp'!C7</f>
        <v>2598.86527</v>
      </c>
      <c r="G18" s="42"/>
      <c r="H18" s="86"/>
      <c r="I18" s="86"/>
      <c r="J18" s="86"/>
      <c r="K18" s="86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</row>
    <row r="19">
      <c r="A19" s="46">
        <v>7.0</v>
      </c>
      <c r="B19" s="44" t="str">
        <f>'Classement RoC'!B8</f>
        <v>Dirty Bazaar</v>
      </c>
      <c r="C19" s="47">
        <f>'Classement RoC'!C8</f>
        <v>4927.849388</v>
      </c>
      <c r="D19" s="46">
        <v>7.0</v>
      </c>
      <c r="E19" s="44" t="str">
        <f>'Classement Surp'!B8</f>
        <v>8kinder6</v>
      </c>
      <c r="F19" s="47">
        <f>'Classement Surp'!C8</f>
        <v>2584.130521</v>
      </c>
      <c r="G19" s="42"/>
      <c r="H19" s="86"/>
      <c r="I19" s="86"/>
      <c r="J19" s="86"/>
      <c r="K19" s="86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</row>
    <row r="20">
      <c r="A20" s="80">
        <v>8.0</v>
      </c>
      <c r="B20" s="81" t="str">
        <f>'Classement RoC'!B9</f>
        <v>Fistipanda</v>
      </c>
      <c r="C20" s="82">
        <f>'Classement RoC'!C9</f>
        <v>4203.85425</v>
      </c>
      <c r="D20" s="83">
        <v>8.0</v>
      </c>
      <c r="E20" s="84" t="str">
        <f>'Classement Surp'!B9</f>
        <v>FridAKahlo</v>
      </c>
      <c r="F20" s="85">
        <f>'Classement Surp'!C9</f>
        <v>2261.502627</v>
      </c>
      <c r="G20" s="42"/>
      <c r="H20" s="86"/>
      <c r="I20" s="86"/>
      <c r="J20" s="86"/>
      <c r="K20" s="86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</row>
    <row r="21">
      <c r="A21" s="46">
        <v>9.0</v>
      </c>
      <c r="B21" s="44" t="str">
        <f>'Classement RoC'!B10</f>
        <v>Patgaret</v>
      </c>
      <c r="C21" s="47">
        <f>'Classement RoC'!C10</f>
        <v>4170.125252</v>
      </c>
      <c r="D21" s="46">
        <v>9.0</v>
      </c>
      <c r="E21" s="44" t="str">
        <f>'Classement Surp'!B10</f>
        <v>PrendmAmAin</v>
      </c>
      <c r="F21" s="47">
        <f>'Classement Surp'!C10</f>
        <v>1824.324438</v>
      </c>
      <c r="G21" s="42"/>
      <c r="H21" s="86"/>
      <c r="I21" s="86"/>
      <c r="J21" s="86"/>
      <c r="K21" s="86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</row>
    <row r="22">
      <c r="A22" s="80">
        <v>10.0</v>
      </c>
      <c r="B22" s="81" t="str">
        <f>'Classement RoC'!B11</f>
        <v>8kinder6</v>
      </c>
      <c r="C22" s="82">
        <f>'Classement RoC'!C11</f>
        <v>3970.536251</v>
      </c>
      <c r="D22" s="83">
        <v>10.0</v>
      </c>
      <c r="E22" s="84" t="str">
        <f>'Classement Surp'!B11</f>
        <v>Mako Lemore</v>
      </c>
      <c r="F22" s="85">
        <f>'Classement Surp'!C11</f>
        <v>1787.035029</v>
      </c>
      <c r="G22" s="42"/>
      <c r="H22" s="86"/>
      <c r="I22" s="86"/>
      <c r="J22" s="86"/>
      <c r="K22" s="86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</row>
    <row r="23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</row>
    <row r="24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</row>
    <row r="25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</row>
    <row r="27">
      <c r="A27" s="42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</row>
    <row r="28">
      <c r="A28" s="42"/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</row>
    <row r="29">
      <c r="A29" s="42"/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</row>
    <row r="30">
      <c r="A30" s="42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</row>
    <row r="31">
      <c r="A31" s="42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</row>
    <row r="32">
      <c r="A32" s="42"/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</row>
    <row r="33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</row>
    <row r="34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</row>
    <row r="35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</row>
    <row r="36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</row>
    <row r="37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</row>
    <row r="38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</row>
    <row r="39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</row>
    <row r="40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</row>
    <row r="41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</row>
    <row r="42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</row>
    <row r="43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</row>
    <row r="44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</row>
    <row r="4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</row>
    <row r="46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</row>
    <row r="47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</row>
    <row r="48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</row>
    <row r="49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</row>
    <row r="50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</row>
    <row r="5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</row>
    <row r="52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</row>
    <row r="53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</row>
    <row r="54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</row>
    <row r="55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</row>
    <row r="56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</row>
    <row r="57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</row>
    <row r="58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</row>
    <row r="59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</row>
    <row r="60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42"/>
      <c r="AB60" s="42"/>
      <c r="AC60" s="42"/>
      <c r="AD60" s="42"/>
      <c r="AE60" s="42"/>
      <c r="AF60" s="42"/>
    </row>
    <row r="6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W61" s="42"/>
      <c r="X61" s="42"/>
      <c r="Y61" s="42"/>
      <c r="Z61" s="42"/>
      <c r="AA61" s="42"/>
      <c r="AB61" s="42"/>
      <c r="AC61" s="42"/>
      <c r="AD61" s="42"/>
      <c r="AE61" s="42"/>
      <c r="AF61" s="42"/>
    </row>
    <row r="62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</row>
    <row r="63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</row>
    <row r="64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</row>
    <row r="65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</row>
    <row r="66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  <c r="AA66" s="42"/>
      <c r="AB66" s="42"/>
      <c r="AC66" s="42"/>
      <c r="AD66" s="42"/>
      <c r="AE66" s="42"/>
      <c r="AF66" s="42"/>
    </row>
    <row r="67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  <c r="AA67" s="42"/>
      <c r="AB67" s="42"/>
      <c r="AC67" s="42"/>
      <c r="AD67" s="42"/>
      <c r="AE67" s="42"/>
      <c r="AF67" s="42"/>
    </row>
    <row r="68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</row>
    <row r="69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</row>
    <row r="70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</row>
    <row r="7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  <c r="AA71" s="42"/>
      <c r="AB71" s="42"/>
      <c r="AC71" s="42"/>
      <c r="AD71" s="42"/>
      <c r="AE71" s="42"/>
      <c r="AF71" s="42"/>
    </row>
    <row r="72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  <c r="AA72" s="42"/>
      <c r="AB72" s="42"/>
      <c r="AC72" s="42"/>
      <c r="AD72" s="42"/>
      <c r="AE72" s="42"/>
      <c r="AF72" s="42"/>
    </row>
    <row r="73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  <c r="AA73" s="42"/>
      <c r="AB73" s="42"/>
      <c r="AC73" s="42"/>
      <c r="AD73" s="42"/>
      <c r="AE73" s="42"/>
      <c r="AF73" s="42"/>
    </row>
    <row r="74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/>
      <c r="AD74" s="42"/>
      <c r="AE74" s="42"/>
      <c r="AF74" s="42"/>
    </row>
    <row r="75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</row>
    <row r="76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</row>
    <row r="77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</row>
    <row r="78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</row>
    <row r="79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</row>
    <row r="80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</row>
    <row r="8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</row>
    <row r="82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</row>
    <row r="83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</row>
    <row r="84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</row>
    <row r="85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</row>
    <row r="86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</row>
    <row r="87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</row>
    <row r="88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</row>
    <row r="89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</row>
    <row r="90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</row>
    <row r="9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</row>
    <row r="92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</row>
    <row r="93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  <c r="AA93" s="42"/>
      <c r="AB93" s="42"/>
      <c r="AC93" s="42"/>
      <c r="AD93" s="42"/>
      <c r="AE93" s="42"/>
      <c r="AF93" s="42"/>
    </row>
    <row r="94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  <c r="AA94" s="42"/>
      <c r="AB94" s="42"/>
      <c r="AC94" s="42"/>
      <c r="AD94" s="42"/>
      <c r="AE94" s="42"/>
      <c r="AF94" s="42"/>
    </row>
    <row r="95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</row>
    <row r="96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</row>
    <row r="97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</row>
    <row r="98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</row>
    <row r="99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  <c r="AA99" s="42"/>
      <c r="AB99" s="42"/>
      <c r="AC99" s="42"/>
      <c r="AD99" s="42"/>
      <c r="AE99" s="42"/>
      <c r="AF99" s="42"/>
    </row>
    <row r="100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</row>
    <row r="10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</row>
    <row r="102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</row>
    <row r="103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</row>
    <row r="104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</row>
    <row r="105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</row>
    <row r="106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</row>
    <row r="107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</row>
    <row r="108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</row>
    <row r="109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</row>
    <row r="110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</row>
    <row r="11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</row>
    <row r="112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</row>
    <row r="113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</row>
    <row r="114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</row>
    <row r="115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</row>
    <row r="116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</row>
    <row r="117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  <c r="AA117" s="42"/>
      <c r="AB117" s="42"/>
      <c r="AC117" s="42"/>
      <c r="AD117" s="42"/>
      <c r="AE117" s="42"/>
      <c r="AF117" s="42"/>
    </row>
    <row r="118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  <c r="AA118" s="42"/>
      <c r="AB118" s="42"/>
      <c r="AC118" s="42"/>
      <c r="AD118" s="42"/>
      <c r="AE118" s="42"/>
      <c r="AF118" s="42"/>
    </row>
    <row r="119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  <c r="AA119" s="42"/>
      <c r="AB119" s="42"/>
      <c r="AC119" s="42"/>
      <c r="AD119" s="42"/>
      <c r="AE119" s="42"/>
      <c r="AF119" s="42"/>
    </row>
    <row r="120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</row>
    <row r="12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</row>
    <row r="122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  <c r="AA122" s="42"/>
      <c r="AB122" s="42"/>
      <c r="AC122" s="42"/>
      <c r="AD122" s="42"/>
      <c r="AE122" s="42"/>
      <c r="AF122" s="42"/>
    </row>
    <row r="123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  <c r="AA123" s="42"/>
      <c r="AB123" s="42"/>
      <c r="AC123" s="42"/>
      <c r="AD123" s="42"/>
      <c r="AE123" s="42"/>
      <c r="AF123" s="42"/>
    </row>
    <row r="124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  <c r="AA124" s="42"/>
      <c r="AB124" s="42"/>
      <c r="AC124" s="42"/>
      <c r="AD124" s="42"/>
      <c r="AE124" s="42"/>
      <c r="AF124" s="42"/>
    </row>
    <row r="125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</row>
    <row r="126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</row>
    <row r="127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</row>
    <row r="128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</row>
    <row r="129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</row>
    <row r="130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</row>
    <row r="13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</row>
    <row r="132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</row>
    <row r="133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</row>
    <row r="134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</row>
    <row r="135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</row>
    <row r="136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  <c r="AA136" s="42"/>
      <c r="AB136" s="42"/>
      <c r="AC136" s="42"/>
      <c r="AD136" s="42"/>
      <c r="AE136" s="42"/>
      <c r="AF136" s="42"/>
    </row>
    <row r="137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  <c r="AA137" s="42"/>
      <c r="AB137" s="42"/>
      <c r="AC137" s="42"/>
      <c r="AD137" s="42"/>
      <c r="AE137" s="42"/>
      <c r="AF137" s="42"/>
    </row>
    <row r="138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  <c r="AA138" s="42"/>
      <c r="AB138" s="42"/>
      <c r="AC138" s="42"/>
      <c r="AD138" s="42"/>
      <c r="AE138" s="42"/>
      <c r="AF138" s="42"/>
    </row>
    <row r="139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  <c r="AA139" s="42"/>
      <c r="AB139" s="42"/>
      <c r="AC139" s="42"/>
      <c r="AD139" s="42"/>
      <c r="AE139" s="42"/>
      <c r="AF139" s="42"/>
    </row>
    <row r="140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  <c r="AA140" s="42"/>
      <c r="AB140" s="42"/>
      <c r="AC140" s="42"/>
      <c r="AD140" s="42"/>
      <c r="AE140" s="42"/>
      <c r="AF140" s="42"/>
    </row>
    <row r="14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  <c r="AA141" s="42"/>
      <c r="AB141" s="42"/>
      <c r="AC141" s="42"/>
      <c r="AD141" s="42"/>
      <c r="AE141" s="42"/>
      <c r="AF141" s="42"/>
    </row>
    <row r="142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  <c r="AA142" s="42"/>
      <c r="AB142" s="42"/>
      <c r="AC142" s="42"/>
      <c r="AD142" s="42"/>
      <c r="AE142" s="42"/>
      <c r="AF142" s="42"/>
    </row>
    <row r="143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  <c r="AA143" s="42"/>
      <c r="AB143" s="42"/>
      <c r="AC143" s="42"/>
      <c r="AD143" s="42"/>
      <c r="AE143" s="42"/>
      <c r="AF143" s="42"/>
    </row>
    <row r="144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  <c r="AA144" s="42"/>
      <c r="AB144" s="42"/>
      <c r="AC144" s="42"/>
      <c r="AD144" s="42"/>
      <c r="AE144" s="42"/>
      <c r="AF144" s="42"/>
    </row>
    <row r="145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  <c r="AA145" s="42"/>
      <c r="AB145" s="42"/>
      <c r="AC145" s="42"/>
      <c r="AD145" s="42"/>
      <c r="AE145" s="42"/>
      <c r="AF145" s="42"/>
    </row>
    <row r="146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</row>
    <row r="147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</row>
    <row r="148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</row>
    <row r="149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</row>
    <row r="150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  <c r="AA150" s="42"/>
      <c r="AB150" s="42"/>
      <c r="AC150" s="42"/>
      <c r="AD150" s="42"/>
      <c r="AE150" s="42"/>
      <c r="AF150" s="42"/>
    </row>
    <row r="15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</row>
    <row r="152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</row>
    <row r="153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</row>
    <row r="154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</row>
    <row r="155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</row>
    <row r="156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</row>
    <row r="157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42"/>
    </row>
    <row r="158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  <c r="AA158" s="42"/>
      <c r="AB158" s="42"/>
      <c r="AC158" s="42"/>
      <c r="AD158" s="42"/>
      <c r="AE158" s="42"/>
      <c r="AF158" s="42"/>
    </row>
    <row r="159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  <c r="AA159" s="42"/>
      <c r="AB159" s="42"/>
      <c r="AC159" s="42"/>
      <c r="AD159" s="42"/>
      <c r="AE159" s="42"/>
      <c r="AF159" s="42"/>
    </row>
    <row r="160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  <c r="AA160" s="42"/>
      <c r="AB160" s="42"/>
      <c r="AC160" s="42"/>
      <c r="AD160" s="42"/>
      <c r="AE160" s="42"/>
      <c r="AF160" s="42"/>
    </row>
    <row r="16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  <c r="AA161" s="42"/>
      <c r="AB161" s="42"/>
      <c r="AC161" s="42"/>
      <c r="AD161" s="42"/>
      <c r="AE161" s="42"/>
      <c r="AF161" s="42"/>
    </row>
    <row r="162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  <c r="AA162" s="42"/>
      <c r="AB162" s="42"/>
      <c r="AC162" s="42"/>
      <c r="AD162" s="42"/>
      <c r="AE162" s="42"/>
      <c r="AF162" s="42"/>
    </row>
    <row r="163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  <c r="AA163" s="42"/>
      <c r="AB163" s="42"/>
      <c r="AC163" s="42"/>
      <c r="AD163" s="42"/>
      <c r="AE163" s="42"/>
      <c r="AF163" s="42"/>
    </row>
    <row r="164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  <c r="AA164" s="42"/>
      <c r="AB164" s="42"/>
      <c r="AC164" s="42"/>
      <c r="AD164" s="42"/>
      <c r="AE164" s="42"/>
      <c r="AF164" s="42"/>
    </row>
    <row r="165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  <c r="AA165" s="42"/>
      <c r="AB165" s="42"/>
      <c r="AC165" s="42"/>
      <c r="AD165" s="42"/>
      <c r="AE165" s="42"/>
      <c r="AF165" s="42"/>
    </row>
    <row r="166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  <c r="AA166" s="42"/>
      <c r="AB166" s="42"/>
      <c r="AC166" s="42"/>
      <c r="AD166" s="42"/>
      <c r="AE166" s="42"/>
      <c r="AF166" s="42"/>
    </row>
    <row r="167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  <c r="AA167" s="42"/>
      <c r="AB167" s="42"/>
      <c r="AC167" s="42"/>
      <c r="AD167" s="42"/>
      <c r="AE167" s="42"/>
      <c r="AF167" s="42"/>
    </row>
    <row r="168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</row>
    <row r="169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  <c r="AA169" s="42"/>
      <c r="AB169" s="42"/>
      <c r="AC169" s="42"/>
      <c r="AD169" s="42"/>
      <c r="AE169" s="42"/>
      <c r="AF169" s="42"/>
    </row>
    <row r="170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  <c r="AA170" s="42"/>
      <c r="AB170" s="42"/>
      <c r="AC170" s="42"/>
      <c r="AD170" s="42"/>
      <c r="AE170" s="42"/>
      <c r="AF170" s="42"/>
    </row>
    <row r="17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  <c r="AA171" s="42"/>
      <c r="AB171" s="42"/>
      <c r="AC171" s="42"/>
      <c r="AD171" s="42"/>
      <c r="AE171" s="42"/>
      <c r="AF171" s="42"/>
    </row>
    <row r="172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  <c r="AA172" s="42"/>
      <c r="AB172" s="42"/>
      <c r="AC172" s="42"/>
      <c r="AD172" s="42"/>
      <c r="AE172" s="42"/>
      <c r="AF172" s="42"/>
    </row>
    <row r="173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  <c r="AA173" s="42"/>
      <c r="AB173" s="42"/>
      <c r="AC173" s="42"/>
      <c r="AD173" s="42"/>
      <c r="AE173" s="42"/>
      <c r="AF173" s="42"/>
    </row>
    <row r="174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  <c r="AA174" s="42"/>
      <c r="AB174" s="42"/>
      <c r="AC174" s="42"/>
      <c r="AD174" s="42"/>
      <c r="AE174" s="42"/>
      <c r="AF174" s="42"/>
    </row>
    <row r="175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</row>
    <row r="176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  <c r="AA176" s="42"/>
      <c r="AB176" s="42"/>
      <c r="AC176" s="42"/>
      <c r="AD176" s="42"/>
      <c r="AE176" s="42"/>
      <c r="AF176" s="42"/>
    </row>
    <row r="177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  <c r="AA177" s="42"/>
      <c r="AB177" s="42"/>
      <c r="AC177" s="42"/>
      <c r="AD177" s="42"/>
      <c r="AE177" s="42"/>
      <c r="AF177" s="42"/>
    </row>
    <row r="178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  <c r="AA178" s="42"/>
      <c r="AB178" s="42"/>
      <c r="AC178" s="42"/>
      <c r="AD178" s="42"/>
      <c r="AE178" s="42"/>
      <c r="AF178" s="42"/>
    </row>
    <row r="179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  <c r="AA179" s="42"/>
      <c r="AB179" s="42"/>
      <c r="AC179" s="42"/>
      <c r="AD179" s="42"/>
      <c r="AE179" s="42"/>
      <c r="AF179" s="42"/>
    </row>
    <row r="180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</row>
    <row r="18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</row>
    <row r="182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</row>
    <row r="183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</row>
    <row r="184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</row>
    <row r="185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</row>
    <row r="186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</row>
    <row r="187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</row>
    <row r="188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</row>
    <row r="189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</row>
    <row r="190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</row>
    <row r="19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</row>
    <row r="192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</row>
    <row r="193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</row>
    <row r="194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</row>
    <row r="195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</row>
    <row r="196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</row>
    <row r="197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</row>
    <row r="198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</row>
    <row r="199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</row>
    <row r="200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</row>
    <row r="20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</row>
    <row r="202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</row>
    <row r="203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</row>
    <row r="204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</row>
    <row r="205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</row>
    <row r="206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</row>
    <row r="207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</row>
    <row r="208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</row>
    <row r="209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</row>
    <row r="210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</row>
    <row r="21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</row>
    <row r="212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</row>
    <row r="213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</row>
    <row r="214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</row>
    <row r="215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</row>
    <row r="216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</row>
    <row r="217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</row>
    <row r="218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</row>
    <row r="219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</row>
    <row r="220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</row>
    <row r="22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</row>
    <row r="222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</row>
    <row r="223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</row>
    <row r="224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</row>
    <row r="225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</row>
    <row r="226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</row>
    <row r="227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</row>
    <row r="228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</row>
    <row r="229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</row>
    <row r="230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</row>
    <row r="23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</row>
    <row r="232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</row>
    <row r="233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</row>
    <row r="234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</row>
    <row r="235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</row>
    <row r="236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</row>
    <row r="237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</row>
    <row r="238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</row>
    <row r="239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</row>
    <row r="240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</row>
    <row r="24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</row>
    <row r="242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</row>
    <row r="243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</row>
    <row r="244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</row>
    <row r="245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</row>
    <row r="246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</row>
    <row r="247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</row>
    <row r="248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</row>
    <row r="249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</row>
    <row r="250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</row>
    <row r="25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</row>
    <row r="252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</row>
    <row r="253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</row>
    <row r="254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</row>
    <row r="255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</row>
    <row r="256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</row>
    <row r="257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</row>
    <row r="258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</row>
    <row r="259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</row>
    <row r="260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</row>
    <row r="26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</row>
    <row r="262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</row>
    <row r="263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</row>
    <row r="264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</row>
    <row r="265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</row>
    <row r="266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</row>
    <row r="267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</row>
    <row r="268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</row>
    <row r="269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</row>
    <row r="270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</row>
    <row r="27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</row>
    <row r="272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</row>
    <row r="273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</row>
    <row r="274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</row>
    <row r="275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</row>
    <row r="276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</row>
    <row r="277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</row>
    <row r="278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</row>
    <row r="279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</row>
    <row r="280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</row>
    <row r="28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</row>
    <row r="282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</row>
    <row r="283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</row>
    <row r="284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</row>
    <row r="285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</row>
    <row r="286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</row>
    <row r="287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</row>
    <row r="288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</row>
    <row r="289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</row>
    <row r="290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</row>
    <row r="29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</row>
    <row r="292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</row>
    <row r="293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</row>
    <row r="294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</row>
    <row r="295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</row>
    <row r="296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</row>
    <row r="297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</row>
    <row r="298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</row>
    <row r="299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</row>
    <row r="300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</row>
    <row r="30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</row>
    <row r="302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</row>
    <row r="303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</row>
    <row r="304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</row>
    <row r="305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</row>
    <row r="306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</row>
    <row r="307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</row>
    <row r="308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</row>
    <row r="309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</row>
    <row r="310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</row>
    <row r="31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</row>
    <row r="312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</row>
    <row r="313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</row>
    <row r="314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</row>
    <row r="315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</row>
    <row r="316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</row>
    <row r="317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</row>
    <row r="318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</row>
    <row r="319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</row>
    <row r="320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</row>
    <row r="32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</row>
    <row r="322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</row>
    <row r="323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</row>
    <row r="324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</row>
    <row r="325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</row>
    <row r="326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</row>
    <row r="327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</row>
    <row r="328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</row>
    <row r="329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</row>
    <row r="330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</row>
    <row r="33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</row>
    <row r="332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</row>
    <row r="333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</row>
    <row r="334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</row>
    <row r="335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  <c r="AA335" s="42"/>
      <c r="AB335" s="42"/>
      <c r="AC335" s="42"/>
      <c r="AD335" s="42"/>
      <c r="AE335" s="42"/>
      <c r="AF335" s="42"/>
    </row>
    <row r="336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  <c r="AA336" s="42"/>
      <c r="AB336" s="42"/>
      <c r="AC336" s="42"/>
      <c r="AD336" s="42"/>
      <c r="AE336" s="42"/>
      <c r="AF336" s="42"/>
    </row>
    <row r="337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</row>
    <row r="338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</row>
    <row r="339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</row>
    <row r="340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</row>
    <row r="34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</row>
    <row r="342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</row>
    <row r="343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</row>
    <row r="344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</row>
    <row r="345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</row>
    <row r="346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</row>
    <row r="347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</row>
    <row r="348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</row>
    <row r="349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</row>
    <row r="350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</row>
    <row r="35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</row>
    <row r="352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</row>
    <row r="353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</row>
    <row r="354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</row>
    <row r="355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</row>
    <row r="356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</row>
    <row r="357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</row>
    <row r="358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</row>
    <row r="359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</row>
    <row r="360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</row>
    <row r="36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</row>
    <row r="362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</row>
    <row r="363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</row>
    <row r="364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</row>
    <row r="365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</row>
    <row r="366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</row>
    <row r="367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</row>
    <row r="368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</row>
    <row r="369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</row>
    <row r="370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</row>
    <row r="37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</row>
    <row r="372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</row>
    <row r="373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</row>
    <row r="374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</row>
    <row r="375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</row>
    <row r="376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</row>
    <row r="377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</row>
    <row r="378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</row>
    <row r="379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</row>
    <row r="380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</row>
    <row r="38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</row>
    <row r="382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</row>
    <row r="383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</row>
    <row r="384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</row>
    <row r="385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</row>
    <row r="386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</row>
    <row r="387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42"/>
    </row>
    <row r="388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42"/>
    </row>
    <row r="389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42"/>
    </row>
    <row r="390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42"/>
    </row>
    <row r="39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42"/>
    </row>
    <row r="392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</row>
    <row r="393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</row>
    <row r="394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</row>
    <row r="395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</row>
    <row r="396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</row>
    <row r="397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</row>
    <row r="398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</row>
    <row r="399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</row>
    <row r="400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</row>
    <row r="40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</row>
    <row r="402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</row>
    <row r="403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</row>
    <row r="404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</row>
    <row r="405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</row>
    <row r="406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</row>
    <row r="407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</row>
    <row r="408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</row>
    <row r="409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</row>
    <row r="410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</row>
    <row r="41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</row>
    <row r="412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</row>
    <row r="413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</row>
    <row r="414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  <c r="AA414" s="42"/>
      <c r="AB414" s="42"/>
      <c r="AC414" s="42"/>
      <c r="AD414" s="42"/>
      <c r="AE414" s="42"/>
      <c r="AF414" s="42"/>
    </row>
    <row r="415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  <c r="AA415" s="42"/>
      <c r="AB415" s="42"/>
      <c r="AC415" s="42"/>
      <c r="AD415" s="42"/>
      <c r="AE415" s="42"/>
      <c r="AF415" s="42"/>
    </row>
    <row r="416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  <c r="AA416" s="42"/>
      <c r="AB416" s="42"/>
      <c r="AC416" s="42"/>
      <c r="AD416" s="42"/>
      <c r="AE416" s="42"/>
      <c r="AF416" s="42"/>
    </row>
    <row r="417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  <c r="AA417" s="42"/>
      <c r="AB417" s="42"/>
      <c r="AC417" s="42"/>
      <c r="AD417" s="42"/>
      <c r="AE417" s="42"/>
      <c r="AF417" s="42"/>
    </row>
    <row r="418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</row>
    <row r="419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</row>
    <row r="420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</row>
    <row r="42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</row>
    <row r="422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</row>
    <row r="423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</row>
    <row r="424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</row>
    <row r="425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</row>
    <row r="426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</row>
    <row r="427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</row>
    <row r="428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</row>
    <row r="429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</row>
    <row r="430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</row>
    <row r="43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</row>
    <row r="432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</row>
    <row r="433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</row>
    <row r="434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</row>
    <row r="435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</row>
    <row r="436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</row>
    <row r="437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</row>
    <row r="438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</row>
    <row r="439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</row>
    <row r="440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</row>
    <row r="44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</row>
    <row r="442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</row>
    <row r="443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</row>
    <row r="444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</row>
    <row r="445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</row>
    <row r="446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</row>
    <row r="447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</row>
    <row r="448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</row>
    <row r="449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</row>
    <row r="450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</row>
    <row r="45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</row>
    <row r="452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</row>
    <row r="453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</row>
    <row r="454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</row>
    <row r="455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</row>
    <row r="456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F456" s="42"/>
    </row>
    <row r="457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</row>
    <row r="458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</row>
    <row r="459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</row>
    <row r="460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</row>
    <row r="46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F461" s="42"/>
    </row>
    <row r="462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</row>
    <row r="463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</row>
    <row r="464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</row>
    <row r="465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</row>
    <row r="466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</row>
    <row r="467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42"/>
    </row>
    <row r="468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F468" s="42"/>
    </row>
    <row r="469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42"/>
    </row>
    <row r="470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F470" s="42"/>
    </row>
    <row r="47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42"/>
    </row>
    <row r="472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</row>
    <row r="473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</row>
    <row r="474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</row>
    <row r="475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</row>
    <row r="476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</row>
    <row r="477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</row>
    <row r="478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</row>
    <row r="479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</row>
    <row r="480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F480" s="42"/>
    </row>
    <row r="48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</row>
    <row r="482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</row>
    <row r="483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</row>
    <row r="484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  <c r="AE484" s="42"/>
      <c r="AF484" s="42"/>
    </row>
    <row r="485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</row>
    <row r="486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</row>
    <row r="487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</row>
    <row r="488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F488" s="42"/>
    </row>
    <row r="489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F489" s="42"/>
    </row>
    <row r="490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F490" s="42"/>
    </row>
    <row r="49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F491" s="42"/>
    </row>
    <row r="492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F492" s="42"/>
    </row>
    <row r="493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</row>
    <row r="494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F494" s="42"/>
    </row>
    <row r="495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</row>
    <row r="496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  <c r="AE496" s="42"/>
      <c r="AF496" s="42"/>
    </row>
    <row r="497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</row>
    <row r="498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F498" s="42"/>
    </row>
    <row r="499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</row>
    <row r="500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</row>
    <row r="50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</row>
    <row r="502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  <c r="AA502" s="42"/>
      <c r="AB502" s="42"/>
      <c r="AC502" s="42"/>
      <c r="AD502" s="42"/>
      <c r="AE502" s="42"/>
      <c r="AF502" s="42"/>
    </row>
    <row r="503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  <c r="AA503" s="42"/>
      <c r="AB503" s="42"/>
      <c r="AC503" s="42"/>
      <c r="AD503" s="42"/>
      <c r="AE503" s="42"/>
      <c r="AF503" s="42"/>
    </row>
    <row r="504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  <c r="AA504" s="42"/>
      <c r="AB504" s="42"/>
      <c r="AC504" s="42"/>
      <c r="AD504" s="42"/>
      <c r="AE504" s="42"/>
      <c r="AF504" s="42"/>
    </row>
    <row r="505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  <c r="AA505" s="42"/>
      <c r="AB505" s="42"/>
      <c r="AC505" s="42"/>
      <c r="AD505" s="42"/>
      <c r="AE505" s="42"/>
      <c r="AF505" s="42"/>
    </row>
    <row r="506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  <c r="AE506" s="42"/>
      <c r="AF506" s="42"/>
    </row>
    <row r="507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  <c r="AE507" s="42"/>
      <c r="AF507" s="42"/>
    </row>
    <row r="508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F508" s="42"/>
    </row>
    <row r="509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F509" s="42"/>
    </row>
    <row r="510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42"/>
      <c r="AC510" s="42"/>
      <c r="AD510" s="42"/>
      <c r="AE510" s="42"/>
      <c r="AF510" s="42"/>
    </row>
    <row r="51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  <c r="AE511" s="42"/>
      <c r="AF511" s="42"/>
    </row>
    <row r="512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  <c r="AE512" s="42"/>
      <c r="AF512" s="42"/>
    </row>
    <row r="513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  <c r="AE513" s="42"/>
      <c r="AF513" s="42"/>
    </row>
    <row r="514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  <c r="AE514" s="42"/>
      <c r="AF514" s="42"/>
    </row>
    <row r="515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F515" s="42"/>
    </row>
    <row r="516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  <c r="AA516" s="42"/>
      <c r="AB516" s="42"/>
      <c r="AC516" s="42"/>
      <c r="AD516" s="42"/>
      <c r="AE516" s="42"/>
      <c r="AF516" s="42"/>
    </row>
    <row r="517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F517" s="42"/>
    </row>
    <row r="518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  <c r="AE518" s="42"/>
      <c r="AF518" s="42"/>
    </row>
    <row r="519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  <c r="AE519" s="42"/>
      <c r="AF519" s="42"/>
    </row>
    <row r="520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  <c r="AE520" s="42"/>
      <c r="AF520" s="42"/>
    </row>
    <row r="52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  <c r="AE521" s="42"/>
      <c r="AF521" s="42"/>
    </row>
    <row r="522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D522" s="42"/>
      <c r="AE522" s="42"/>
      <c r="AF522" s="42"/>
    </row>
    <row r="523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42"/>
      <c r="AE523" s="42"/>
      <c r="AF523" s="42"/>
    </row>
    <row r="524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D524" s="42"/>
      <c r="AE524" s="42"/>
      <c r="AF524" s="42"/>
    </row>
    <row r="525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42"/>
      <c r="AE525" s="42"/>
      <c r="AF525" s="42"/>
    </row>
    <row r="526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42"/>
      <c r="AE526" s="42"/>
      <c r="AF526" s="42"/>
    </row>
    <row r="527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  <c r="AE527" s="42"/>
      <c r="AF527" s="42"/>
    </row>
    <row r="528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  <c r="AE528" s="42"/>
      <c r="AF528" s="42"/>
    </row>
    <row r="529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  <c r="AE529" s="42"/>
      <c r="AF529" s="42"/>
    </row>
    <row r="530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F530" s="42"/>
    </row>
    <row r="53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F531" s="42"/>
    </row>
    <row r="532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  <c r="AA532" s="42"/>
      <c r="AB532" s="42"/>
      <c r="AC532" s="42"/>
      <c r="AD532" s="42"/>
      <c r="AE532" s="42"/>
      <c r="AF532" s="42"/>
    </row>
    <row r="533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  <c r="AE533" s="42"/>
      <c r="AF533" s="42"/>
    </row>
    <row r="534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F534" s="42"/>
    </row>
    <row r="535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  <c r="AE535" s="42"/>
      <c r="AF535" s="42"/>
    </row>
    <row r="536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  <c r="AE536" s="42"/>
      <c r="AF536" s="42"/>
    </row>
    <row r="537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F537" s="42"/>
    </row>
    <row r="538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  <c r="AE538" s="42"/>
      <c r="AF538" s="42"/>
    </row>
    <row r="539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  <c r="AE539" s="42"/>
      <c r="AF539" s="42"/>
    </row>
    <row r="540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  <c r="AE540" s="42"/>
      <c r="AF540" s="42"/>
    </row>
    <row r="54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F541" s="42"/>
    </row>
    <row r="542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  <c r="AE542" s="42"/>
      <c r="AF542" s="42"/>
    </row>
    <row r="543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  <c r="AE543" s="42"/>
      <c r="AF543" s="42"/>
    </row>
    <row r="544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</row>
    <row r="545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  <c r="AE545" s="42"/>
      <c r="AF545" s="42"/>
    </row>
    <row r="546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  <c r="AE546" s="42"/>
      <c r="AF546" s="42"/>
    </row>
    <row r="547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</row>
    <row r="548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42"/>
      <c r="AE548" s="42"/>
      <c r="AF548" s="42"/>
    </row>
    <row r="549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F549" s="42"/>
    </row>
    <row r="550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F550" s="42"/>
    </row>
    <row r="55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  <c r="AE551" s="42"/>
      <c r="AF551" s="42"/>
    </row>
    <row r="552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F552" s="42"/>
    </row>
    <row r="553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  <c r="AE553" s="42"/>
      <c r="AF553" s="42"/>
    </row>
    <row r="554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  <c r="AA554" s="42"/>
      <c r="AB554" s="42"/>
      <c r="AC554" s="42"/>
      <c r="AD554" s="42"/>
      <c r="AE554" s="42"/>
      <c r="AF554" s="42"/>
    </row>
    <row r="555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  <c r="AA555" s="42"/>
      <c r="AB555" s="42"/>
      <c r="AC555" s="42"/>
      <c r="AD555" s="42"/>
      <c r="AE555" s="42"/>
      <c r="AF555" s="42"/>
    </row>
    <row r="556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  <c r="AA556" s="42"/>
      <c r="AB556" s="42"/>
      <c r="AC556" s="42"/>
      <c r="AD556" s="42"/>
      <c r="AE556" s="42"/>
      <c r="AF556" s="42"/>
    </row>
    <row r="557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  <c r="AA557" s="42"/>
      <c r="AB557" s="42"/>
      <c r="AC557" s="42"/>
      <c r="AD557" s="42"/>
      <c r="AE557" s="42"/>
      <c r="AF557" s="42"/>
    </row>
    <row r="558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42"/>
      <c r="AE558" s="42"/>
      <c r="AF558" s="42"/>
    </row>
    <row r="559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  <c r="AE559" s="42"/>
      <c r="AF559" s="42"/>
    </row>
    <row r="560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D560" s="42"/>
      <c r="AE560" s="42"/>
      <c r="AF560" s="42"/>
    </row>
    <row r="56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42"/>
      <c r="AE561" s="42"/>
      <c r="AF561" s="42"/>
    </row>
    <row r="562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D562" s="42"/>
      <c r="AE562" s="42"/>
      <c r="AF562" s="42"/>
    </row>
    <row r="563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42"/>
      <c r="AE563" s="42"/>
      <c r="AF563" s="42"/>
    </row>
    <row r="564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42"/>
      <c r="AE564" s="42"/>
      <c r="AF564" s="42"/>
    </row>
    <row r="565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42"/>
      <c r="AE565" s="42"/>
      <c r="AF565" s="42"/>
    </row>
    <row r="566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42"/>
      <c r="AE566" s="42"/>
      <c r="AF566" s="42"/>
    </row>
    <row r="567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42"/>
      <c r="AE567" s="42"/>
      <c r="AF567" s="42"/>
    </row>
    <row r="568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42"/>
      <c r="AE568" s="42"/>
      <c r="AF568" s="42"/>
    </row>
    <row r="569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42"/>
      <c r="AE569" s="42"/>
      <c r="AF569" s="42"/>
    </row>
    <row r="570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  <c r="AA570" s="42"/>
      <c r="AB570" s="42"/>
      <c r="AC570" s="42"/>
      <c r="AD570" s="42"/>
      <c r="AE570" s="42"/>
      <c r="AF570" s="42"/>
    </row>
    <row r="57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  <c r="AE571" s="42"/>
      <c r="AF571" s="42"/>
    </row>
    <row r="572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42"/>
      <c r="AE572" s="42"/>
      <c r="AF572" s="42"/>
    </row>
    <row r="573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  <c r="AB573" s="42"/>
      <c r="AC573" s="42"/>
      <c r="AD573" s="42"/>
      <c r="AE573" s="42"/>
      <c r="AF573" s="42"/>
    </row>
    <row r="574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  <c r="AB574" s="42"/>
      <c r="AC574" s="42"/>
      <c r="AD574" s="42"/>
      <c r="AE574" s="42"/>
      <c r="AF574" s="42"/>
    </row>
    <row r="575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  <c r="AB575" s="42"/>
      <c r="AC575" s="42"/>
      <c r="AD575" s="42"/>
      <c r="AE575" s="42"/>
      <c r="AF575" s="42"/>
    </row>
    <row r="576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  <c r="AB576" s="42"/>
      <c r="AC576" s="42"/>
      <c r="AD576" s="42"/>
      <c r="AE576" s="42"/>
      <c r="AF576" s="42"/>
    </row>
    <row r="577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  <c r="AE577" s="42"/>
      <c r="AF577" s="42"/>
    </row>
    <row r="578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  <c r="AB578" s="42"/>
      <c r="AC578" s="42"/>
      <c r="AD578" s="42"/>
      <c r="AE578" s="42"/>
      <c r="AF578" s="42"/>
    </row>
    <row r="579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</row>
    <row r="580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  <c r="AE580" s="42"/>
      <c r="AF580" s="42"/>
    </row>
    <row r="58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  <c r="AB581" s="42"/>
      <c r="AC581" s="42"/>
      <c r="AD581" s="42"/>
      <c r="AE581" s="42"/>
      <c r="AF581" s="42"/>
    </row>
    <row r="582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  <c r="AD582" s="42"/>
      <c r="AE582" s="42"/>
      <c r="AF582" s="42"/>
    </row>
    <row r="583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  <c r="AB583" s="42"/>
      <c r="AC583" s="42"/>
      <c r="AD583" s="42"/>
      <c r="AE583" s="42"/>
      <c r="AF583" s="42"/>
    </row>
    <row r="584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  <c r="AB584" s="42"/>
      <c r="AC584" s="42"/>
      <c r="AD584" s="42"/>
      <c r="AE584" s="42"/>
      <c r="AF584" s="42"/>
    </row>
    <row r="585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  <c r="AB585" s="42"/>
      <c r="AC585" s="42"/>
      <c r="AD585" s="42"/>
      <c r="AE585" s="42"/>
      <c r="AF585" s="42"/>
    </row>
    <row r="586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  <c r="AD586" s="42"/>
      <c r="AE586" s="42"/>
      <c r="AF586" s="42"/>
    </row>
    <row r="587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  <c r="AB587" s="42"/>
      <c r="AC587" s="42"/>
      <c r="AD587" s="42"/>
      <c r="AE587" s="42"/>
      <c r="AF587" s="42"/>
    </row>
    <row r="588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  <c r="AA588" s="42"/>
      <c r="AB588" s="42"/>
      <c r="AC588" s="42"/>
      <c r="AD588" s="42"/>
      <c r="AE588" s="42"/>
      <c r="AF588" s="42"/>
    </row>
    <row r="589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  <c r="AA589" s="42"/>
      <c r="AB589" s="42"/>
      <c r="AC589" s="42"/>
      <c r="AD589" s="42"/>
      <c r="AE589" s="42"/>
      <c r="AF589" s="42"/>
    </row>
    <row r="590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  <c r="AA590" s="42"/>
      <c r="AB590" s="42"/>
      <c r="AC590" s="42"/>
      <c r="AD590" s="42"/>
      <c r="AE590" s="42"/>
      <c r="AF590" s="42"/>
    </row>
    <row r="59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  <c r="AB591" s="42"/>
      <c r="AC591" s="42"/>
      <c r="AD591" s="42"/>
      <c r="AE591" s="42"/>
      <c r="AF591" s="42"/>
    </row>
    <row r="592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B592" s="42"/>
      <c r="AC592" s="42"/>
      <c r="AD592" s="42"/>
      <c r="AE592" s="42"/>
      <c r="AF592" s="42"/>
    </row>
    <row r="593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  <c r="AB593" s="42"/>
      <c r="AC593" s="42"/>
      <c r="AD593" s="42"/>
      <c r="AE593" s="42"/>
      <c r="AF593" s="42"/>
    </row>
    <row r="594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  <c r="AB594" s="42"/>
      <c r="AC594" s="42"/>
      <c r="AD594" s="42"/>
      <c r="AE594" s="42"/>
      <c r="AF594" s="42"/>
    </row>
    <row r="595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  <c r="AB595" s="42"/>
      <c r="AC595" s="42"/>
      <c r="AD595" s="42"/>
      <c r="AE595" s="42"/>
      <c r="AF595" s="42"/>
    </row>
    <row r="596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  <c r="AB596" s="42"/>
      <c r="AC596" s="42"/>
      <c r="AD596" s="42"/>
      <c r="AE596" s="42"/>
      <c r="AF596" s="42"/>
    </row>
    <row r="597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  <c r="AB597" s="42"/>
      <c r="AC597" s="42"/>
      <c r="AD597" s="42"/>
      <c r="AE597" s="42"/>
      <c r="AF597" s="42"/>
    </row>
    <row r="598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  <c r="AB598" s="42"/>
      <c r="AC598" s="42"/>
      <c r="AD598" s="42"/>
      <c r="AE598" s="42"/>
      <c r="AF598" s="42"/>
    </row>
    <row r="599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  <c r="AB599" s="42"/>
      <c r="AC599" s="42"/>
      <c r="AD599" s="42"/>
      <c r="AE599" s="42"/>
      <c r="AF599" s="42"/>
    </row>
    <row r="600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42"/>
      <c r="AC600" s="42"/>
      <c r="AD600" s="42"/>
      <c r="AE600" s="42"/>
      <c r="AF600" s="42"/>
    </row>
    <row r="60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  <c r="AD601" s="42"/>
      <c r="AE601" s="42"/>
      <c r="AF601" s="42"/>
    </row>
    <row r="602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  <c r="AD602" s="42"/>
      <c r="AE602" s="42"/>
      <c r="AF602" s="42"/>
    </row>
    <row r="603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42"/>
      <c r="AC603" s="42"/>
      <c r="AD603" s="42"/>
      <c r="AE603" s="42"/>
      <c r="AF603" s="42"/>
    </row>
    <row r="604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B604" s="42"/>
      <c r="AC604" s="42"/>
      <c r="AD604" s="42"/>
      <c r="AE604" s="42"/>
      <c r="AF604" s="42"/>
    </row>
    <row r="605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  <c r="AB605" s="42"/>
      <c r="AC605" s="42"/>
      <c r="AD605" s="42"/>
      <c r="AE605" s="42"/>
      <c r="AF605" s="42"/>
    </row>
    <row r="606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  <c r="AA606" s="42"/>
      <c r="AB606" s="42"/>
      <c r="AC606" s="42"/>
      <c r="AD606" s="42"/>
      <c r="AE606" s="42"/>
      <c r="AF606" s="42"/>
    </row>
    <row r="607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  <c r="AA607" s="42"/>
      <c r="AB607" s="42"/>
      <c r="AC607" s="42"/>
      <c r="AD607" s="42"/>
      <c r="AE607" s="42"/>
      <c r="AF607" s="42"/>
    </row>
    <row r="608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  <c r="AA608" s="42"/>
      <c r="AB608" s="42"/>
      <c r="AC608" s="42"/>
      <c r="AD608" s="42"/>
      <c r="AE608" s="42"/>
      <c r="AF608" s="42"/>
    </row>
    <row r="609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  <c r="AA609" s="42"/>
      <c r="AB609" s="42"/>
      <c r="AC609" s="42"/>
      <c r="AD609" s="42"/>
      <c r="AE609" s="42"/>
      <c r="AF609" s="42"/>
    </row>
    <row r="610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  <c r="AA610" s="42"/>
      <c r="AB610" s="42"/>
      <c r="AC610" s="42"/>
      <c r="AD610" s="42"/>
      <c r="AE610" s="42"/>
      <c r="AF610" s="42"/>
    </row>
    <row r="61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  <c r="AA611" s="42"/>
      <c r="AB611" s="42"/>
      <c r="AC611" s="42"/>
      <c r="AD611" s="42"/>
      <c r="AE611" s="42"/>
      <c r="AF611" s="42"/>
    </row>
    <row r="612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  <c r="AA612" s="42"/>
      <c r="AB612" s="42"/>
      <c r="AC612" s="42"/>
      <c r="AD612" s="42"/>
      <c r="AE612" s="42"/>
      <c r="AF612" s="42"/>
    </row>
    <row r="613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  <c r="AA613" s="42"/>
      <c r="AB613" s="42"/>
      <c r="AC613" s="42"/>
      <c r="AD613" s="42"/>
      <c r="AE613" s="42"/>
      <c r="AF613" s="42"/>
    </row>
    <row r="614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  <c r="AA614" s="42"/>
      <c r="AB614" s="42"/>
      <c r="AC614" s="42"/>
      <c r="AD614" s="42"/>
      <c r="AE614" s="42"/>
      <c r="AF614" s="42"/>
    </row>
    <row r="615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  <c r="AA615" s="42"/>
      <c r="AB615" s="42"/>
      <c r="AC615" s="42"/>
      <c r="AD615" s="42"/>
      <c r="AE615" s="42"/>
      <c r="AF615" s="42"/>
    </row>
    <row r="616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2"/>
      <c r="AC616" s="42"/>
      <c r="AD616" s="42"/>
      <c r="AE616" s="42"/>
      <c r="AF616" s="42"/>
    </row>
    <row r="617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  <c r="AB617" s="42"/>
      <c r="AC617" s="42"/>
      <c r="AD617" s="42"/>
      <c r="AE617" s="42"/>
      <c r="AF617" s="42"/>
    </row>
    <row r="618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42"/>
      <c r="AE618" s="42"/>
      <c r="AF618" s="42"/>
    </row>
    <row r="619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42"/>
      <c r="AE619" s="42"/>
      <c r="AF619" s="42"/>
    </row>
    <row r="620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42"/>
      <c r="AE620" s="42"/>
      <c r="AF620" s="42"/>
    </row>
    <row r="62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42"/>
      <c r="AE621" s="42"/>
      <c r="AF621" s="42"/>
    </row>
    <row r="622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42"/>
      <c r="AE622" s="42"/>
      <c r="AF622" s="42"/>
    </row>
    <row r="623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42"/>
      <c r="AE623" s="42"/>
      <c r="AF623" s="42"/>
    </row>
    <row r="624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42"/>
      <c r="AE624" s="42"/>
      <c r="AF624" s="42"/>
    </row>
    <row r="625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  <c r="AE625" s="42"/>
      <c r="AF625" s="42"/>
    </row>
    <row r="626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42"/>
      <c r="AE626" s="42"/>
      <c r="AF626" s="42"/>
    </row>
    <row r="627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42"/>
      <c r="AE627" s="42"/>
      <c r="AF627" s="42"/>
    </row>
    <row r="628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  <c r="AA628" s="42"/>
      <c r="AB628" s="42"/>
      <c r="AC628" s="42"/>
      <c r="AD628" s="42"/>
      <c r="AE628" s="42"/>
      <c r="AF628" s="42"/>
    </row>
    <row r="629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  <c r="AA629" s="42"/>
      <c r="AB629" s="42"/>
      <c r="AC629" s="42"/>
      <c r="AD629" s="42"/>
      <c r="AE629" s="42"/>
      <c r="AF629" s="42"/>
    </row>
    <row r="630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  <c r="AE630" s="42"/>
      <c r="AF630" s="42"/>
    </row>
    <row r="63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42"/>
      <c r="AE631" s="42"/>
      <c r="AF631" s="42"/>
    </row>
    <row r="632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42"/>
      <c r="AE632" s="42"/>
      <c r="AF632" s="42"/>
    </row>
    <row r="633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42"/>
      <c r="AE633" s="42"/>
      <c r="AF633" s="42"/>
    </row>
    <row r="634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42"/>
      <c r="AE634" s="42"/>
      <c r="AF634" s="42"/>
    </row>
    <row r="635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42"/>
      <c r="AE635" s="42"/>
      <c r="AF635" s="42"/>
    </row>
    <row r="636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42"/>
      <c r="AE636" s="42"/>
      <c r="AF636" s="42"/>
    </row>
    <row r="637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42"/>
      <c r="AE637" s="42"/>
      <c r="AF637" s="42"/>
    </row>
    <row r="638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  <c r="AA638" s="42"/>
      <c r="AB638" s="42"/>
      <c r="AC638" s="42"/>
      <c r="AD638" s="42"/>
      <c r="AE638" s="42"/>
      <c r="AF638" s="42"/>
    </row>
    <row r="639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  <c r="AA639" s="42"/>
      <c r="AB639" s="42"/>
      <c r="AC639" s="42"/>
      <c r="AD639" s="42"/>
      <c r="AE639" s="42"/>
      <c r="AF639" s="42"/>
    </row>
    <row r="640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  <c r="AA640" s="42"/>
      <c r="AB640" s="42"/>
      <c r="AC640" s="42"/>
      <c r="AD640" s="42"/>
      <c r="AE640" s="42"/>
      <c r="AF640" s="42"/>
    </row>
    <row r="64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D641" s="42"/>
      <c r="AE641" s="42"/>
      <c r="AF641" s="42"/>
    </row>
    <row r="642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D642" s="42"/>
      <c r="AE642" s="42"/>
      <c r="AF642" s="42"/>
    </row>
    <row r="643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42"/>
      <c r="AE643" s="42"/>
      <c r="AF643" s="42"/>
    </row>
    <row r="644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D644" s="42"/>
      <c r="AE644" s="42"/>
      <c r="AF644" s="42"/>
    </row>
    <row r="645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D645" s="42"/>
      <c r="AE645" s="42"/>
      <c r="AF645" s="42"/>
    </row>
    <row r="646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D646" s="42"/>
      <c r="AE646" s="42"/>
      <c r="AF646" s="42"/>
    </row>
    <row r="647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D647" s="42"/>
      <c r="AE647" s="42"/>
      <c r="AF647" s="42"/>
    </row>
    <row r="648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42"/>
      <c r="AC648" s="42"/>
      <c r="AD648" s="42"/>
      <c r="AE648" s="42"/>
      <c r="AF648" s="42"/>
    </row>
    <row r="649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42"/>
      <c r="AE649" s="42"/>
      <c r="AF649" s="42"/>
    </row>
    <row r="650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42"/>
      <c r="AE650" s="42"/>
      <c r="AF650" s="42"/>
    </row>
    <row r="65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  <c r="AD651" s="42"/>
      <c r="AE651" s="42"/>
      <c r="AF651" s="42"/>
    </row>
    <row r="652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  <c r="AB652" s="42"/>
      <c r="AC652" s="42"/>
      <c r="AD652" s="42"/>
      <c r="AE652" s="42"/>
      <c r="AF652" s="42"/>
    </row>
    <row r="653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  <c r="AD653" s="42"/>
      <c r="AE653" s="42"/>
      <c r="AF653" s="42"/>
    </row>
    <row r="654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  <c r="AB654" s="42"/>
      <c r="AC654" s="42"/>
      <c r="AD654" s="42"/>
      <c r="AE654" s="42"/>
      <c r="AF654" s="42"/>
    </row>
    <row r="655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  <c r="AB655" s="42"/>
      <c r="AC655" s="42"/>
      <c r="AD655" s="42"/>
      <c r="AE655" s="42"/>
      <c r="AF655" s="42"/>
    </row>
    <row r="656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  <c r="AB656" s="42"/>
      <c r="AC656" s="42"/>
      <c r="AD656" s="42"/>
      <c r="AE656" s="42"/>
      <c r="AF656" s="42"/>
    </row>
    <row r="657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  <c r="AB657" s="42"/>
      <c r="AC657" s="42"/>
      <c r="AD657" s="42"/>
      <c r="AE657" s="42"/>
      <c r="AF657" s="42"/>
    </row>
    <row r="658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  <c r="AB658" s="42"/>
      <c r="AC658" s="42"/>
      <c r="AD658" s="42"/>
      <c r="AE658" s="42"/>
      <c r="AF658" s="42"/>
    </row>
    <row r="659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  <c r="AD659" s="42"/>
      <c r="AE659" s="42"/>
      <c r="AF659" s="42"/>
    </row>
    <row r="660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  <c r="AB660" s="42"/>
      <c r="AC660" s="42"/>
      <c r="AD660" s="42"/>
      <c r="AE660" s="42"/>
      <c r="AF660" s="42"/>
    </row>
    <row r="66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  <c r="AA661" s="42"/>
      <c r="AB661" s="42"/>
      <c r="AC661" s="42"/>
      <c r="AD661" s="42"/>
      <c r="AE661" s="42"/>
      <c r="AF661" s="42"/>
    </row>
    <row r="662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  <c r="AA662" s="42"/>
      <c r="AB662" s="42"/>
      <c r="AC662" s="42"/>
      <c r="AD662" s="42"/>
      <c r="AE662" s="42"/>
      <c r="AF662" s="42"/>
    </row>
    <row r="663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  <c r="AA663" s="42"/>
      <c r="AB663" s="42"/>
      <c r="AC663" s="42"/>
      <c r="AD663" s="42"/>
      <c r="AE663" s="42"/>
      <c r="AF663" s="42"/>
    </row>
    <row r="664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  <c r="AA664" s="42"/>
      <c r="AB664" s="42"/>
      <c r="AC664" s="42"/>
      <c r="AD664" s="42"/>
      <c r="AE664" s="42"/>
      <c r="AF664" s="42"/>
    </row>
    <row r="665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  <c r="AA665" s="42"/>
      <c r="AB665" s="42"/>
      <c r="AC665" s="42"/>
      <c r="AD665" s="42"/>
      <c r="AE665" s="42"/>
      <c r="AF665" s="42"/>
    </row>
    <row r="666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  <c r="AA666" s="42"/>
      <c r="AB666" s="42"/>
      <c r="AC666" s="42"/>
      <c r="AD666" s="42"/>
      <c r="AE666" s="42"/>
      <c r="AF666" s="42"/>
    </row>
    <row r="667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  <c r="AA667" s="42"/>
      <c r="AB667" s="42"/>
      <c r="AC667" s="42"/>
      <c r="AD667" s="42"/>
      <c r="AE667" s="42"/>
      <c r="AF667" s="42"/>
    </row>
    <row r="668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  <c r="AB668" s="42"/>
      <c r="AC668" s="42"/>
      <c r="AD668" s="42"/>
      <c r="AE668" s="42"/>
      <c r="AF668" s="42"/>
    </row>
    <row r="669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  <c r="AD669" s="42"/>
      <c r="AE669" s="42"/>
      <c r="AF669" s="42"/>
    </row>
    <row r="670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</row>
    <row r="67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</row>
    <row r="672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</row>
    <row r="673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  <c r="AD673" s="42"/>
      <c r="AE673" s="42"/>
      <c r="AF673" s="42"/>
    </row>
    <row r="674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  <c r="AB674" s="42"/>
      <c r="AC674" s="42"/>
      <c r="AD674" s="42"/>
      <c r="AE674" s="42"/>
      <c r="AF674" s="42"/>
    </row>
    <row r="675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  <c r="AD675" s="42"/>
      <c r="AE675" s="42"/>
      <c r="AF675" s="42"/>
    </row>
    <row r="676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  <c r="AA676" s="42"/>
      <c r="AB676" s="42"/>
      <c r="AC676" s="42"/>
      <c r="AD676" s="42"/>
      <c r="AE676" s="42"/>
      <c r="AF676" s="42"/>
    </row>
    <row r="677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  <c r="AA677" s="42"/>
      <c r="AB677" s="42"/>
      <c r="AC677" s="42"/>
      <c r="AD677" s="42"/>
      <c r="AE677" s="42"/>
      <c r="AF677" s="42"/>
    </row>
    <row r="678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  <c r="AA678" s="42"/>
      <c r="AB678" s="42"/>
      <c r="AC678" s="42"/>
      <c r="AD678" s="42"/>
      <c r="AE678" s="42"/>
      <c r="AF678" s="42"/>
    </row>
    <row r="679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  <c r="AA679" s="42"/>
      <c r="AB679" s="42"/>
      <c r="AC679" s="42"/>
      <c r="AD679" s="42"/>
      <c r="AE679" s="42"/>
      <c r="AF679" s="42"/>
    </row>
    <row r="680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42"/>
      <c r="AC680" s="42"/>
      <c r="AD680" s="42"/>
      <c r="AE680" s="42"/>
      <c r="AF680" s="42"/>
    </row>
    <row r="68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  <c r="AD681" s="42"/>
      <c r="AE681" s="42"/>
      <c r="AF681" s="42"/>
    </row>
    <row r="682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  <c r="AB682" s="42"/>
      <c r="AC682" s="42"/>
      <c r="AD682" s="42"/>
      <c r="AE682" s="42"/>
      <c r="AF682" s="42"/>
    </row>
    <row r="683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  <c r="AB683" s="42"/>
      <c r="AC683" s="42"/>
      <c r="AD683" s="42"/>
      <c r="AE683" s="42"/>
      <c r="AF683" s="42"/>
    </row>
    <row r="684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  <c r="AB684" s="42"/>
      <c r="AC684" s="42"/>
      <c r="AD684" s="42"/>
      <c r="AE684" s="42"/>
      <c r="AF684" s="42"/>
    </row>
    <row r="685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B685" s="42"/>
      <c r="AC685" s="42"/>
      <c r="AD685" s="42"/>
      <c r="AE685" s="42"/>
      <c r="AF685" s="42"/>
    </row>
    <row r="686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  <c r="AA686" s="42"/>
      <c r="AB686" s="42"/>
      <c r="AC686" s="42"/>
      <c r="AD686" s="42"/>
      <c r="AE686" s="42"/>
      <c r="AF686" s="42"/>
    </row>
    <row r="687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  <c r="AA687" s="42"/>
      <c r="AB687" s="42"/>
      <c r="AC687" s="42"/>
      <c r="AD687" s="42"/>
      <c r="AE687" s="42"/>
      <c r="AF687" s="42"/>
    </row>
    <row r="688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42"/>
      <c r="AC688" s="42"/>
      <c r="AD688" s="42"/>
      <c r="AE688" s="42"/>
      <c r="AF688" s="42"/>
    </row>
    <row r="689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  <c r="AD689" s="42"/>
      <c r="AE689" s="42"/>
      <c r="AF689" s="42"/>
    </row>
    <row r="690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  <c r="AA690" s="42"/>
      <c r="AB690" s="42"/>
      <c r="AC690" s="42"/>
      <c r="AD690" s="42"/>
      <c r="AE690" s="42"/>
      <c r="AF690" s="42"/>
    </row>
    <row r="69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  <c r="AA691" s="42"/>
      <c r="AB691" s="42"/>
      <c r="AC691" s="42"/>
      <c r="AD691" s="42"/>
      <c r="AE691" s="42"/>
      <c r="AF691" s="42"/>
    </row>
    <row r="692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  <c r="AB692" s="42"/>
      <c r="AC692" s="42"/>
      <c r="AD692" s="42"/>
      <c r="AE692" s="42"/>
      <c r="AF692" s="42"/>
    </row>
    <row r="693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  <c r="AD693" s="42"/>
      <c r="AE693" s="42"/>
      <c r="AF693" s="42"/>
    </row>
    <row r="694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  <c r="AB694" s="42"/>
      <c r="AC694" s="42"/>
      <c r="AD694" s="42"/>
      <c r="AE694" s="42"/>
      <c r="AF694" s="42"/>
    </row>
    <row r="695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  <c r="AB695" s="42"/>
      <c r="AC695" s="42"/>
      <c r="AD695" s="42"/>
      <c r="AE695" s="42"/>
      <c r="AF695" s="42"/>
    </row>
    <row r="696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42"/>
      <c r="AC696" s="42"/>
      <c r="AD696" s="42"/>
      <c r="AE696" s="42"/>
      <c r="AF696" s="42"/>
    </row>
    <row r="697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  <c r="AB697" s="42"/>
      <c r="AC697" s="42"/>
      <c r="AD697" s="42"/>
      <c r="AE697" s="42"/>
      <c r="AF697" s="42"/>
    </row>
    <row r="698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  <c r="AB698" s="42"/>
      <c r="AC698" s="42"/>
      <c r="AD698" s="42"/>
      <c r="AE698" s="42"/>
      <c r="AF698" s="42"/>
    </row>
    <row r="699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  <c r="AB699" s="42"/>
      <c r="AC699" s="42"/>
      <c r="AD699" s="42"/>
      <c r="AE699" s="42"/>
      <c r="AF699" s="42"/>
    </row>
    <row r="700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B700" s="42"/>
      <c r="AC700" s="42"/>
      <c r="AD700" s="42"/>
      <c r="AE700" s="42"/>
      <c r="AF700" s="42"/>
    </row>
    <row r="70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  <c r="AB701" s="42"/>
      <c r="AC701" s="42"/>
      <c r="AD701" s="42"/>
      <c r="AE701" s="42"/>
      <c r="AF701" s="42"/>
    </row>
    <row r="702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  <c r="AB702" s="42"/>
      <c r="AC702" s="42"/>
      <c r="AD702" s="42"/>
      <c r="AE702" s="42"/>
      <c r="AF702" s="42"/>
    </row>
    <row r="703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  <c r="AB703" s="42"/>
      <c r="AC703" s="42"/>
      <c r="AD703" s="42"/>
      <c r="AE703" s="42"/>
      <c r="AF703" s="42"/>
    </row>
    <row r="704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B704" s="42"/>
      <c r="AC704" s="42"/>
      <c r="AD704" s="42"/>
      <c r="AE704" s="42"/>
      <c r="AF704" s="42"/>
    </row>
    <row r="705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  <c r="AB705" s="42"/>
      <c r="AC705" s="42"/>
      <c r="AD705" s="42"/>
      <c r="AE705" s="42"/>
      <c r="AF705" s="42"/>
    </row>
    <row r="706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  <c r="AB706" s="42"/>
      <c r="AC706" s="42"/>
      <c r="AD706" s="42"/>
      <c r="AE706" s="42"/>
      <c r="AF706" s="42"/>
    </row>
    <row r="707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  <c r="AB707" s="42"/>
      <c r="AC707" s="42"/>
      <c r="AD707" s="42"/>
      <c r="AE707" s="42"/>
      <c r="AF707" s="42"/>
    </row>
    <row r="708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  <c r="AB708" s="42"/>
      <c r="AC708" s="42"/>
      <c r="AD708" s="42"/>
      <c r="AE708" s="42"/>
      <c r="AF708" s="42"/>
    </row>
    <row r="709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  <c r="AB709" s="42"/>
      <c r="AC709" s="42"/>
      <c r="AD709" s="42"/>
      <c r="AE709" s="42"/>
      <c r="AF709" s="42"/>
    </row>
    <row r="710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  <c r="AA710" s="42"/>
      <c r="AB710" s="42"/>
      <c r="AC710" s="42"/>
      <c r="AD710" s="42"/>
      <c r="AE710" s="42"/>
      <c r="AF710" s="42"/>
    </row>
    <row r="71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  <c r="AA711" s="42"/>
      <c r="AB711" s="42"/>
      <c r="AC711" s="42"/>
      <c r="AD711" s="42"/>
      <c r="AE711" s="42"/>
      <c r="AF711" s="42"/>
    </row>
    <row r="712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  <c r="AA712" s="42"/>
      <c r="AB712" s="42"/>
      <c r="AC712" s="42"/>
      <c r="AD712" s="42"/>
      <c r="AE712" s="42"/>
      <c r="AF712" s="42"/>
    </row>
    <row r="713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  <c r="AA713" s="42"/>
      <c r="AB713" s="42"/>
      <c r="AC713" s="42"/>
      <c r="AD713" s="42"/>
      <c r="AE713" s="42"/>
      <c r="AF713" s="42"/>
    </row>
    <row r="714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  <c r="AA714" s="42"/>
      <c r="AB714" s="42"/>
      <c r="AC714" s="42"/>
      <c r="AD714" s="42"/>
      <c r="AE714" s="42"/>
      <c r="AF714" s="42"/>
    </row>
    <row r="715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  <c r="AA715" s="42"/>
      <c r="AB715" s="42"/>
      <c r="AC715" s="42"/>
      <c r="AD715" s="42"/>
      <c r="AE715" s="42"/>
      <c r="AF715" s="42"/>
    </row>
    <row r="716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  <c r="AA716" s="42"/>
      <c r="AB716" s="42"/>
      <c r="AC716" s="42"/>
      <c r="AD716" s="42"/>
      <c r="AE716" s="42"/>
      <c r="AF716" s="42"/>
    </row>
    <row r="717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  <c r="AA717" s="42"/>
      <c r="AB717" s="42"/>
      <c r="AC717" s="42"/>
      <c r="AD717" s="42"/>
      <c r="AE717" s="42"/>
      <c r="AF717" s="42"/>
    </row>
    <row r="718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  <c r="AA718" s="42"/>
      <c r="AB718" s="42"/>
      <c r="AC718" s="42"/>
      <c r="AD718" s="42"/>
      <c r="AE718" s="42"/>
      <c r="AF718" s="42"/>
    </row>
    <row r="719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  <c r="AA719" s="42"/>
      <c r="AB719" s="42"/>
      <c r="AC719" s="42"/>
      <c r="AD719" s="42"/>
      <c r="AE719" s="42"/>
      <c r="AF719" s="42"/>
    </row>
    <row r="720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  <c r="AA720" s="42"/>
      <c r="AB720" s="42"/>
      <c r="AC720" s="42"/>
      <c r="AD720" s="42"/>
      <c r="AE720" s="42"/>
      <c r="AF720" s="42"/>
    </row>
    <row r="72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  <c r="AA721" s="42"/>
      <c r="AB721" s="42"/>
      <c r="AC721" s="42"/>
      <c r="AD721" s="42"/>
      <c r="AE721" s="42"/>
      <c r="AF721" s="42"/>
    </row>
    <row r="722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  <c r="AA722" s="42"/>
      <c r="AB722" s="42"/>
      <c r="AC722" s="42"/>
      <c r="AD722" s="42"/>
      <c r="AE722" s="42"/>
      <c r="AF722" s="42"/>
    </row>
    <row r="723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  <c r="AA723" s="42"/>
      <c r="AB723" s="42"/>
      <c r="AC723" s="42"/>
      <c r="AD723" s="42"/>
      <c r="AE723" s="42"/>
      <c r="AF723" s="42"/>
    </row>
    <row r="724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  <c r="AA724" s="42"/>
      <c r="AB724" s="42"/>
      <c r="AC724" s="42"/>
      <c r="AD724" s="42"/>
      <c r="AE724" s="42"/>
      <c r="AF724" s="42"/>
    </row>
    <row r="725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  <c r="AA725" s="42"/>
      <c r="AB725" s="42"/>
      <c r="AC725" s="42"/>
      <c r="AD725" s="42"/>
      <c r="AE725" s="42"/>
      <c r="AF725" s="42"/>
    </row>
    <row r="726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  <c r="AA726" s="42"/>
      <c r="AB726" s="42"/>
      <c r="AC726" s="42"/>
      <c r="AD726" s="42"/>
      <c r="AE726" s="42"/>
      <c r="AF726" s="42"/>
    </row>
    <row r="727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  <c r="AA727" s="42"/>
      <c r="AB727" s="42"/>
      <c r="AC727" s="42"/>
      <c r="AD727" s="42"/>
      <c r="AE727" s="42"/>
      <c r="AF727" s="42"/>
    </row>
    <row r="728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  <c r="AA728" s="42"/>
      <c r="AB728" s="42"/>
      <c r="AC728" s="42"/>
      <c r="AD728" s="42"/>
      <c r="AE728" s="42"/>
      <c r="AF728" s="42"/>
    </row>
    <row r="729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  <c r="AA729" s="42"/>
      <c r="AB729" s="42"/>
      <c r="AC729" s="42"/>
      <c r="AD729" s="42"/>
      <c r="AE729" s="42"/>
      <c r="AF729" s="42"/>
    </row>
    <row r="730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  <c r="AA730" s="42"/>
      <c r="AB730" s="42"/>
      <c r="AC730" s="42"/>
      <c r="AD730" s="42"/>
      <c r="AE730" s="42"/>
      <c r="AF730" s="42"/>
    </row>
    <row r="73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  <c r="AA731" s="42"/>
      <c r="AB731" s="42"/>
      <c r="AC731" s="42"/>
      <c r="AD731" s="42"/>
      <c r="AE731" s="42"/>
      <c r="AF731" s="42"/>
    </row>
    <row r="732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  <c r="AA732" s="42"/>
      <c r="AB732" s="42"/>
      <c r="AC732" s="42"/>
      <c r="AD732" s="42"/>
      <c r="AE732" s="42"/>
      <c r="AF732" s="42"/>
    </row>
    <row r="733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  <c r="AA733" s="42"/>
      <c r="AB733" s="42"/>
      <c r="AC733" s="42"/>
      <c r="AD733" s="42"/>
      <c r="AE733" s="42"/>
      <c r="AF733" s="42"/>
    </row>
    <row r="734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  <c r="AA734" s="42"/>
      <c r="AB734" s="42"/>
      <c r="AC734" s="42"/>
      <c r="AD734" s="42"/>
      <c r="AE734" s="42"/>
      <c r="AF734" s="42"/>
    </row>
    <row r="735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  <c r="AA735" s="42"/>
      <c r="AB735" s="42"/>
      <c r="AC735" s="42"/>
      <c r="AD735" s="42"/>
      <c r="AE735" s="42"/>
      <c r="AF735" s="42"/>
    </row>
    <row r="736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  <c r="AA736" s="42"/>
      <c r="AB736" s="42"/>
      <c r="AC736" s="42"/>
      <c r="AD736" s="42"/>
      <c r="AE736" s="42"/>
      <c r="AF736" s="42"/>
    </row>
    <row r="737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  <c r="AA737" s="42"/>
      <c r="AB737" s="42"/>
      <c r="AC737" s="42"/>
      <c r="AD737" s="42"/>
      <c r="AE737" s="42"/>
      <c r="AF737" s="42"/>
    </row>
    <row r="738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  <c r="AA738" s="42"/>
      <c r="AB738" s="42"/>
      <c r="AC738" s="42"/>
      <c r="AD738" s="42"/>
      <c r="AE738" s="42"/>
      <c r="AF738" s="42"/>
    </row>
    <row r="739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  <c r="AA739" s="42"/>
      <c r="AB739" s="42"/>
      <c r="AC739" s="42"/>
      <c r="AD739" s="42"/>
      <c r="AE739" s="42"/>
      <c r="AF739" s="42"/>
    </row>
    <row r="740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  <c r="AA740" s="42"/>
      <c r="AB740" s="42"/>
      <c r="AC740" s="42"/>
      <c r="AD740" s="42"/>
      <c r="AE740" s="42"/>
      <c r="AF740" s="42"/>
    </row>
    <row r="74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  <c r="AA741" s="42"/>
      <c r="AB741" s="42"/>
      <c r="AC741" s="42"/>
      <c r="AD741" s="42"/>
      <c r="AE741" s="42"/>
      <c r="AF741" s="42"/>
    </row>
    <row r="742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  <c r="AA742" s="42"/>
      <c r="AB742" s="42"/>
      <c r="AC742" s="42"/>
      <c r="AD742" s="42"/>
      <c r="AE742" s="42"/>
      <c r="AF742" s="42"/>
    </row>
    <row r="743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  <c r="AA743" s="42"/>
      <c r="AB743" s="42"/>
      <c r="AC743" s="42"/>
      <c r="AD743" s="42"/>
      <c r="AE743" s="42"/>
      <c r="AF743" s="42"/>
    </row>
    <row r="744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  <c r="AA744" s="42"/>
      <c r="AB744" s="42"/>
      <c r="AC744" s="42"/>
      <c r="AD744" s="42"/>
      <c r="AE744" s="42"/>
      <c r="AF744" s="42"/>
    </row>
    <row r="745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  <c r="AA745" s="42"/>
      <c r="AB745" s="42"/>
      <c r="AC745" s="42"/>
      <c r="AD745" s="42"/>
      <c r="AE745" s="42"/>
      <c r="AF745" s="42"/>
    </row>
    <row r="746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  <c r="AA746" s="42"/>
      <c r="AB746" s="42"/>
      <c r="AC746" s="42"/>
      <c r="AD746" s="42"/>
      <c r="AE746" s="42"/>
      <c r="AF746" s="42"/>
    </row>
    <row r="747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  <c r="AA747" s="42"/>
      <c r="AB747" s="42"/>
      <c r="AC747" s="42"/>
      <c r="AD747" s="42"/>
      <c r="AE747" s="42"/>
      <c r="AF747" s="42"/>
    </row>
    <row r="748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  <c r="AA748" s="42"/>
      <c r="AB748" s="42"/>
      <c r="AC748" s="42"/>
      <c r="AD748" s="42"/>
      <c r="AE748" s="42"/>
      <c r="AF748" s="42"/>
    </row>
    <row r="749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  <c r="AA749" s="42"/>
      <c r="AB749" s="42"/>
      <c r="AC749" s="42"/>
      <c r="AD749" s="42"/>
      <c r="AE749" s="42"/>
      <c r="AF749" s="42"/>
    </row>
    <row r="750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  <c r="AA750" s="42"/>
      <c r="AB750" s="42"/>
      <c r="AC750" s="42"/>
      <c r="AD750" s="42"/>
      <c r="AE750" s="42"/>
      <c r="AF750" s="42"/>
    </row>
    <row r="75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  <c r="AA751" s="42"/>
      <c r="AB751" s="42"/>
      <c r="AC751" s="42"/>
      <c r="AD751" s="42"/>
      <c r="AE751" s="42"/>
      <c r="AF751" s="42"/>
    </row>
    <row r="752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  <c r="AA752" s="42"/>
      <c r="AB752" s="42"/>
      <c r="AC752" s="42"/>
      <c r="AD752" s="42"/>
      <c r="AE752" s="42"/>
      <c r="AF752" s="42"/>
    </row>
    <row r="753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  <c r="AA753" s="42"/>
      <c r="AB753" s="42"/>
      <c r="AC753" s="42"/>
      <c r="AD753" s="42"/>
      <c r="AE753" s="42"/>
      <c r="AF753" s="42"/>
    </row>
    <row r="754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  <c r="AA754" s="42"/>
      <c r="AB754" s="42"/>
      <c r="AC754" s="42"/>
      <c r="AD754" s="42"/>
      <c r="AE754" s="42"/>
      <c r="AF754" s="42"/>
    </row>
    <row r="755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  <c r="AA755" s="42"/>
      <c r="AB755" s="42"/>
      <c r="AC755" s="42"/>
      <c r="AD755" s="42"/>
      <c r="AE755" s="42"/>
      <c r="AF755" s="42"/>
    </row>
    <row r="756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  <c r="AA756" s="42"/>
      <c r="AB756" s="42"/>
      <c r="AC756" s="42"/>
      <c r="AD756" s="42"/>
      <c r="AE756" s="42"/>
      <c r="AF756" s="42"/>
    </row>
    <row r="757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  <c r="AA757" s="42"/>
      <c r="AB757" s="42"/>
      <c r="AC757" s="42"/>
      <c r="AD757" s="42"/>
      <c r="AE757" s="42"/>
      <c r="AF757" s="42"/>
    </row>
    <row r="758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  <c r="AA758" s="42"/>
      <c r="AB758" s="42"/>
      <c r="AC758" s="42"/>
      <c r="AD758" s="42"/>
      <c r="AE758" s="42"/>
      <c r="AF758" s="42"/>
    </row>
    <row r="759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  <c r="AA759" s="42"/>
      <c r="AB759" s="42"/>
      <c r="AC759" s="42"/>
      <c r="AD759" s="42"/>
      <c r="AE759" s="42"/>
      <c r="AF759" s="42"/>
    </row>
    <row r="760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  <c r="AA760" s="42"/>
      <c r="AB760" s="42"/>
      <c r="AC760" s="42"/>
      <c r="AD760" s="42"/>
      <c r="AE760" s="42"/>
      <c r="AF760" s="42"/>
    </row>
    <row r="76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  <c r="AA761" s="42"/>
      <c r="AB761" s="42"/>
      <c r="AC761" s="42"/>
      <c r="AD761" s="42"/>
      <c r="AE761" s="42"/>
      <c r="AF761" s="42"/>
    </row>
    <row r="762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  <c r="AA762" s="42"/>
      <c r="AB762" s="42"/>
      <c r="AC762" s="42"/>
      <c r="AD762" s="42"/>
      <c r="AE762" s="42"/>
      <c r="AF762" s="42"/>
    </row>
    <row r="763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  <c r="AA763" s="42"/>
      <c r="AB763" s="42"/>
      <c r="AC763" s="42"/>
      <c r="AD763" s="42"/>
      <c r="AE763" s="42"/>
      <c r="AF763" s="42"/>
    </row>
    <row r="764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  <c r="AA764" s="42"/>
      <c r="AB764" s="42"/>
      <c r="AC764" s="42"/>
      <c r="AD764" s="42"/>
      <c r="AE764" s="42"/>
      <c r="AF764" s="42"/>
    </row>
    <row r="765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  <c r="AA765" s="42"/>
      <c r="AB765" s="42"/>
      <c r="AC765" s="42"/>
      <c r="AD765" s="42"/>
      <c r="AE765" s="42"/>
      <c r="AF765" s="42"/>
    </row>
    <row r="766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  <c r="AA766" s="42"/>
      <c r="AB766" s="42"/>
      <c r="AC766" s="42"/>
      <c r="AD766" s="42"/>
      <c r="AE766" s="42"/>
      <c r="AF766" s="42"/>
    </row>
    <row r="767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  <c r="AA767" s="42"/>
      <c r="AB767" s="42"/>
      <c r="AC767" s="42"/>
      <c r="AD767" s="42"/>
      <c r="AE767" s="42"/>
      <c r="AF767" s="42"/>
    </row>
    <row r="768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  <c r="AA768" s="42"/>
      <c r="AB768" s="42"/>
      <c r="AC768" s="42"/>
      <c r="AD768" s="42"/>
      <c r="AE768" s="42"/>
      <c r="AF768" s="42"/>
    </row>
    <row r="769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  <c r="AA769" s="42"/>
      <c r="AB769" s="42"/>
      <c r="AC769" s="42"/>
      <c r="AD769" s="42"/>
      <c r="AE769" s="42"/>
      <c r="AF769" s="42"/>
    </row>
    <row r="770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  <c r="AA770" s="42"/>
      <c r="AB770" s="42"/>
      <c r="AC770" s="42"/>
      <c r="AD770" s="42"/>
      <c r="AE770" s="42"/>
      <c r="AF770" s="42"/>
    </row>
    <row r="77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  <c r="AA771" s="42"/>
      <c r="AB771" s="42"/>
      <c r="AC771" s="42"/>
      <c r="AD771" s="42"/>
      <c r="AE771" s="42"/>
      <c r="AF771" s="42"/>
    </row>
    <row r="772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  <c r="AA772" s="42"/>
      <c r="AB772" s="42"/>
      <c r="AC772" s="42"/>
      <c r="AD772" s="42"/>
      <c r="AE772" s="42"/>
      <c r="AF772" s="42"/>
    </row>
    <row r="773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  <c r="AA773" s="42"/>
      <c r="AB773" s="42"/>
      <c r="AC773" s="42"/>
      <c r="AD773" s="42"/>
      <c r="AE773" s="42"/>
      <c r="AF773" s="42"/>
    </row>
    <row r="774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  <c r="AA774" s="42"/>
      <c r="AB774" s="42"/>
      <c r="AC774" s="42"/>
      <c r="AD774" s="42"/>
      <c r="AE774" s="42"/>
      <c r="AF774" s="42"/>
    </row>
    <row r="775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  <c r="AA775" s="42"/>
      <c r="AB775" s="42"/>
      <c r="AC775" s="42"/>
      <c r="AD775" s="42"/>
      <c r="AE775" s="42"/>
      <c r="AF775" s="42"/>
    </row>
    <row r="776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  <c r="AA776" s="42"/>
      <c r="AB776" s="42"/>
      <c r="AC776" s="42"/>
      <c r="AD776" s="42"/>
      <c r="AE776" s="42"/>
      <c r="AF776" s="42"/>
    </row>
    <row r="777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  <c r="AA777" s="42"/>
      <c r="AB777" s="42"/>
      <c r="AC777" s="42"/>
      <c r="AD777" s="42"/>
      <c r="AE777" s="42"/>
      <c r="AF777" s="42"/>
    </row>
    <row r="778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  <c r="AA778" s="42"/>
      <c r="AB778" s="42"/>
      <c r="AC778" s="42"/>
      <c r="AD778" s="42"/>
      <c r="AE778" s="42"/>
      <c r="AF778" s="42"/>
    </row>
    <row r="779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  <c r="AA779" s="42"/>
      <c r="AB779" s="42"/>
      <c r="AC779" s="42"/>
      <c r="AD779" s="42"/>
      <c r="AE779" s="42"/>
      <c r="AF779" s="42"/>
    </row>
    <row r="780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  <c r="AA780" s="42"/>
      <c r="AB780" s="42"/>
      <c r="AC780" s="42"/>
      <c r="AD780" s="42"/>
      <c r="AE780" s="42"/>
      <c r="AF780" s="42"/>
    </row>
    <row r="78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  <c r="AA781" s="42"/>
      <c r="AB781" s="42"/>
      <c r="AC781" s="42"/>
      <c r="AD781" s="42"/>
      <c r="AE781" s="42"/>
      <c r="AF781" s="42"/>
    </row>
    <row r="782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  <c r="AA782" s="42"/>
      <c r="AB782" s="42"/>
      <c r="AC782" s="42"/>
      <c r="AD782" s="42"/>
      <c r="AE782" s="42"/>
      <c r="AF782" s="42"/>
    </row>
    <row r="783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  <c r="AA783" s="42"/>
      <c r="AB783" s="42"/>
      <c r="AC783" s="42"/>
      <c r="AD783" s="42"/>
      <c r="AE783" s="42"/>
      <c r="AF783" s="42"/>
    </row>
    <row r="784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  <c r="AA784" s="42"/>
      <c r="AB784" s="42"/>
      <c r="AC784" s="42"/>
      <c r="AD784" s="42"/>
      <c r="AE784" s="42"/>
      <c r="AF784" s="42"/>
    </row>
    <row r="785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  <c r="AA785" s="42"/>
      <c r="AB785" s="42"/>
      <c r="AC785" s="42"/>
      <c r="AD785" s="42"/>
      <c r="AE785" s="42"/>
      <c r="AF785" s="42"/>
    </row>
    <row r="786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  <c r="AA786" s="42"/>
      <c r="AB786" s="42"/>
      <c r="AC786" s="42"/>
      <c r="AD786" s="42"/>
      <c r="AE786" s="42"/>
      <c r="AF786" s="42"/>
    </row>
    <row r="787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  <c r="AA787" s="42"/>
      <c r="AB787" s="42"/>
      <c r="AC787" s="42"/>
      <c r="AD787" s="42"/>
      <c r="AE787" s="42"/>
      <c r="AF787" s="42"/>
    </row>
    <row r="788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  <c r="AA788" s="42"/>
      <c r="AB788" s="42"/>
      <c r="AC788" s="42"/>
      <c r="AD788" s="42"/>
      <c r="AE788" s="42"/>
      <c r="AF788" s="42"/>
    </row>
    <row r="789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  <c r="AA789" s="42"/>
      <c r="AB789" s="42"/>
      <c r="AC789" s="42"/>
      <c r="AD789" s="42"/>
      <c r="AE789" s="42"/>
      <c r="AF789" s="42"/>
    </row>
    <row r="790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  <c r="AA790" s="42"/>
      <c r="AB790" s="42"/>
      <c r="AC790" s="42"/>
      <c r="AD790" s="42"/>
      <c r="AE790" s="42"/>
      <c r="AF790" s="42"/>
    </row>
    <row r="79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  <c r="AA791" s="42"/>
      <c r="AB791" s="42"/>
      <c r="AC791" s="42"/>
      <c r="AD791" s="42"/>
      <c r="AE791" s="42"/>
      <c r="AF791" s="42"/>
    </row>
    <row r="792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  <c r="AA792" s="42"/>
      <c r="AB792" s="42"/>
      <c r="AC792" s="42"/>
      <c r="AD792" s="42"/>
      <c r="AE792" s="42"/>
      <c r="AF792" s="42"/>
    </row>
    <row r="793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  <c r="AA793" s="42"/>
      <c r="AB793" s="42"/>
      <c r="AC793" s="42"/>
      <c r="AD793" s="42"/>
      <c r="AE793" s="42"/>
      <c r="AF793" s="42"/>
    </row>
    <row r="794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  <c r="AA794" s="42"/>
      <c r="AB794" s="42"/>
      <c r="AC794" s="42"/>
      <c r="AD794" s="42"/>
      <c r="AE794" s="42"/>
      <c r="AF794" s="42"/>
    </row>
    <row r="795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  <c r="AA795" s="42"/>
      <c r="AB795" s="42"/>
      <c r="AC795" s="42"/>
      <c r="AD795" s="42"/>
      <c r="AE795" s="42"/>
      <c r="AF795" s="42"/>
    </row>
    <row r="796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  <c r="AA796" s="42"/>
      <c r="AB796" s="42"/>
      <c r="AC796" s="42"/>
      <c r="AD796" s="42"/>
      <c r="AE796" s="42"/>
      <c r="AF796" s="42"/>
    </row>
    <row r="797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  <c r="AA797" s="42"/>
      <c r="AB797" s="42"/>
      <c r="AC797" s="42"/>
      <c r="AD797" s="42"/>
      <c r="AE797" s="42"/>
      <c r="AF797" s="42"/>
    </row>
    <row r="798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  <c r="AA798" s="42"/>
      <c r="AB798" s="42"/>
      <c r="AC798" s="42"/>
      <c r="AD798" s="42"/>
      <c r="AE798" s="42"/>
      <c r="AF798" s="42"/>
    </row>
    <row r="799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  <c r="AA799" s="42"/>
      <c r="AB799" s="42"/>
      <c r="AC799" s="42"/>
      <c r="AD799" s="42"/>
      <c r="AE799" s="42"/>
      <c r="AF799" s="42"/>
    </row>
    <row r="800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  <c r="AA800" s="42"/>
      <c r="AB800" s="42"/>
      <c r="AC800" s="42"/>
      <c r="AD800" s="42"/>
      <c r="AE800" s="42"/>
      <c r="AF800" s="42"/>
    </row>
    <row r="80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  <c r="AA801" s="42"/>
      <c r="AB801" s="42"/>
      <c r="AC801" s="42"/>
      <c r="AD801" s="42"/>
      <c r="AE801" s="42"/>
      <c r="AF801" s="42"/>
    </row>
    <row r="802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  <c r="AA802" s="42"/>
      <c r="AB802" s="42"/>
      <c r="AC802" s="42"/>
      <c r="AD802" s="42"/>
      <c r="AE802" s="42"/>
      <c r="AF802" s="42"/>
    </row>
    <row r="803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  <c r="AA803" s="42"/>
      <c r="AB803" s="42"/>
      <c r="AC803" s="42"/>
      <c r="AD803" s="42"/>
      <c r="AE803" s="42"/>
      <c r="AF803" s="42"/>
    </row>
    <row r="804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  <c r="AA804" s="42"/>
      <c r="AB804" s="42"/>
      <c r="AC804" s="42"/>
      <c r="AD804" s="42"/>
      <c r="AE804" s="42"/>
      <c r="AF804" s="42"/>
    </row>
    <row r="805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  <c r="AA805" s="42"/>
      <c r="AB805" s="42"/>
      <c r="AC805" s="42"/>
      <c r="AD805" s="42"/>
      <c r="AE805" s="42"/>
      <c r="AF805" s="42"/>
    </row>
    <row r="806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  <c r="AA806" s="42"/>
      <c r="AB806" s="42"/>
      <c r="AC806" s="42"/>
      <c r="AD806" s="42"/>
      <c r="AE806" s="42"/>
      <c r="AF806" s="42"/>
    </row>
    <row r="807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  <c r="AA807" s="42"/>
      <c r="AB807" s="42"/>
      <c r="AC807" s="42"/>
      <c r="AD807" s="42"/>
      <c r="AE807" s="42"/>
      <c r="AF807" s="42"/>
    </row>
    <row r="808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  <c r="AA808" s="42"/>
      <c r="AB808" s="42"/>
      <c r="AC808" s="42"/>
      <c r="AD808" s="42"/>
      <c r="AE808" s="42"/>
      <c r="AF808" s="42"/>
    </row>
    <row r="809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  <c r="AA809" s="42"/>
      <c r="AB809" s="42"/>
      <c r="AC809" s="42"/>
      <c r="AD809" s="42"/>
      <c r="AE809" s="42"/>
      <c r="AF809" s="42"/>
    </row>
    <row r="810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  <c r="AA810" s="42"/>
      <c r="AB810" s="42"/>
      <c r="AC810" s="42"/>
      <c r="AD810" s="42"/>
      <c r="AE810" s="42"/>
      <c r="AF810" s="42"/>
    </row>
    <row r="81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  <c r="AA811" s="42"/>
      <c r="AB811" s="42"/>
      <c r="AC811" s="42"/>
      <c r="AD811" s="42"/>
      <c r="AE811" s="42"/>
      <c r="AF811" s="42"/>
    </row>
    <row r="812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  <c r="AA812" s="42"/>
      <c r="AB812" s="42"/>
      <c r="AC812" s="42"/>
      <c r="AD812" s="42"/>
      <c r="AE812" s="42"/>
      <c r="AF812" s="42"/>
    </row>
    <row r="813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  <c r="AA813" s="42"/>
      <c r="AB813" s="42"/>
      <c r="AC813" s="42"/>
      <c r="AD813" s="42"/>
      <c r="AE813" s="42"/>
      <c r="AF813" s="42"/>
    </row>
    <row r="814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  <c r="AA814" s="42"/>
      <c r="AB814" s="42"/>
      <c r="AC814" s="42"/>
      <c r="AD814" s="42"/>
      <c r="AE814" s="42"/>
      <c r="AF814" s="42"/>
    </row>
    <row r="815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  <c r="AA815" s="42"/>
      <c r="AB815" s="42"/>
      <c r="AC815" s="42"/>
      <c r="AD815" s="42"/>
      <c r="AE815" s="42"/>
      <c r="AF815" s="42"/>
    </row>
    <row r="816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  <c r="AA816" s="42"/>
      <c r="AB816" s="42"/>
      <c r="AC816" s="42"/>
      <c r="AD816" s="42"/>
      <c r="AE816" s="42"/>
      <c r="AF816" s="42"/>
    </row>
    <row r="817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  <c r="AA817" s="42"/>
      <c r="AB817" s="42"/>
      <c r="AC817" s="42"/>
      <c r="AD817" s="42"/>
      <c r="AE817" s="42"/>
      <c r="AF817" s="42"/>
    </row>
    <row r="818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  <c r="AA818" s="42"/>
      <c r="AB818" s="42"/>
      <c r="AC818" s="42"/>
      <c r="AD818" s="42"/>
      <c r="AE818" s="42"/>
      <c r="AF818" s="42"/>
    </row>
    <row r="819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  <c r="AA819" s="42"/>
      <c r="AB819" s="42"/>
      <c r="AC819" s="42"/>
      <c r="AD819" s="42"/>
      <c r="AE819" s="42"/>
      <c r="AF819" s="42"/>
    </row>
    <row r="820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  <c r="AA820" s="42"/>
      <c r="AB820" s="42"/>
      <c r="AC820" s="42"/>
      <c r="AD820" s="42"/>
      <c r="AE820" s="42"/>
      <c r="AF820" s="42"/>
    </row>
    <row r="82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  <c r="AA821" s="42"/>
      <c r="AB821" s="42"/>
      <c r="AC821" s="42"/>
      <c r="AD821" s="42"/>
      <c r="AE821" s="42"/>
      <c r="AF821" s="42"/>
    </row>
    <row r="822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  <c r="AA822" s="42"/>
      <c r="AB822" s="42"/>
      <c r="AC822" s="42"/>
      <c r="AD822" s="42"/>
      <c r="AE822" s="42"/>
      <c r="AF822" s="42"/>
    </row>
    <row r="823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  <c r="AA823" s="42"/>
      <c r="AB823" s="42"/>
      <c r="AC823" s="42"/>
      <c r="AD823" s="42"/>
      <c r="AE823" s="42"/>
      <c r="AF823" s="42"/>
    </row>
    <row r="824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  <c r="AA824" s="42"/>
      <c r="AB824" s="42"/>
      <c r="AC824" s="42"/>
      <c r="AD824" s="42"/>
      <c r="AE824" s="42"/>
      <c r="AF824" s="42"/>
    </row>
    <row r="825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  <c r="AA825" s="42"/>
      <c r="AB825" s="42"/>
      <c r="AC825" s="42"/>
      <c r="AD825" s="42"/>
      <c r="AE825" s="42"/>
      <c r="AF825" s="42"/>
    </row>
    <row r="826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  <c r="AA826" s="42"/>
      <c r="AB826" s="42"/>
      <c r="AC826" s="42"/>
      <c r="AD826" s="42"/>
      <c r="AE826" s="42"/>
      <c r="AF826" s="42"/>
    </row>
    <row r="827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  <c r="AA827" s="42"/>
      <c r="AB827" s="42"/>
      <c r="AC827" s="42"/>
      <c r="AD827" s="42"/>
      <c r="AE827" s="42"/>
      <c r="AF827" s="42"/>
    </row>
    <row r="828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  <c r="AA828" s="42"/>
      <c r="AB828" s="42"/>
      <c r="AC828" s="42"/>
      <c r="AD828" s="42"/>
      <c r="AE828" s="42"/>
      <c r="AF828" s="42"/>
    </row>
    <row r="829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  <c r="AA829" s="42"/>
      <c r="AB829" s="42"/>
      <c r="AC829" s="42"/>
      <c r="AD829" s="42"/>
      <c r="AE829" s="42"/>
      <c r="AF829" s="42"/>
    </row>
    <row r="830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  <c r="AA830" s="42"/>
      <c r="AB830" s="42"/>
      <c r="AC830" s="42"/>
      <c r="AD830" s="42"/>
      <c r="AE830" s="42"/>
      <c r="AF830" s="42"/>
    </row>
    <row r="83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  <c r="AA831" s="42"/>
      <c r="AB831" s="42"/>
      <c r="AC831" s="42"/>
      <c r="AD831" s="42"/>
      <c r="AE831" s="42"/>
      <c r="AF831" s="42"/>
    </row>
    <row r="832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  <c r="AA832" s="42"/>
      <c r="AB832" s="42"/>
      <c r="AC832" s="42"/>
      <c r="AD832" s="42"/>
      <c r="AE832" s="42"/>
      <c r="AF832" s="42"/>
    </row>
    <row r="833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  <c r="AA833" s="42"/>
      <c r="AB833" s="42"/>
      <c r="AC833" s="42"/>
      <c r="AD833" s="42"/>
      <c r="AE833" s="42"/>
      <c r="AF833" s="42"/>
    </row>
    <row r="834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  <c r="AA834" s="42"/>
      <c r="AB834" s="42"/>
      <c r="AC834" s="42"/>
      <c r="AD834" s="42"/>
      <c r="AE834" s="42"/>
      <c r="AF834" s="42"/>
    </row>
    <row r="835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  <c r="AA835" s="42"/>
      <c r="AB835" s="42"/>
      <c r="AC835" s="42"/>
      <c r="AD835" s="42"/>
      <c r="AE835" s="42"/>
      <c r="AF835" s="42"/>
    </row>
    <row r="836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  <c r="AA836" s="42"/>
      <c r="AB836" s="42"/>
      <c r="AC836" s="42"/>
      <c r="AD836" s="42"/>
      <c r="AE836" s="42"/>
      <c r="AF836" s="42"/>
    </row>
    <row r="837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  <c r="AA837" s="42"/>
      <c r="AB837" s="42"/>
      <c r="AC837" s="42"/>
      <c r="AD837" s="42"/>
      <c r="AE837" s="42"/>
      <c r="AF837" s="42"/>
    </row>
    <row r="838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  <c r="AA838" s="42"/>
      <c r="AB838" s="42"/>
      <c r="AC838" s="42"/>
      <c r="AD838" s="42"/>
      <c r="AE838" s="42"/>
      <c r="AF838" s="42"/>
    </row>
    <row r="839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  <c r="AA839" s="42"/>
      <c r="AB839" s="42"/>
      <c r="AC839" s="42"/>
      <c r="AD839" s="42"/>
      <c r="AE839" s="42"/>
      <c r="AF839" s="42"/>
    </row>
    <row r="840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  <c r="AA840" s="42"/>
      <c r="AB840" s="42"/>
      <c r="AC840" s="42"/>
      <c r="AD840" s="42"/>
      <c r="AE840" s="42"/>
      <c r="AF840" s="42"/>
    </row>
    <row r="84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  <c r="AA841" s="42"/>
      <c r="AB841" s="42"/>
      <c r="AC841" s="42"/>
      <c r="AD841" s="42"/>
      <c r="AE841" s="42"/>
      <c r="AF841" s="42"/>
    </row>
    <row r="842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  <c r="AA842" s="42"/>
      <c r="AB842" s="42"/>
      <c r="AC842" s="42"/>
      <c r="AD842" s="42"/>
      <c r="AE842" s="42"/>
      <c r="AF842" s="42"/>
    </row>
    <row r="843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  <c r="AA843" s="42"/>
      <c r="AB843" s="42"/>
      <c r="AC843" s="42"/>
      <c r="AD843" s="42"/>
      <c r="AE843" s="42"/>
      <c r="AF843" s="42"/>
    </row>
    <row r="844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  <c r="AA844" s="42"/>
      <c r="AB844" s="42"/>
      <c r="AC844" s="42"/>
      <c r="AD844" s="42"/>
      <c r="AE844" s="42"/>
      <c r="AF844" s="42"/>
    </row>
    <row r="845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  <c r="AA845" s="42"/>
      <c r="AB845" s="42"/>
      <c r="AC845" s="42"/>
      <c r="AD845" s="42"/>
      <c r="AE845" s="42"/>
      <c r="AF845" s="42"/>
    </row>
    <row r="846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  <c r="AA846" s="42"/>
      <c r="AB846" s="42"/>
      <c r="AC846" s="42"/>
      <c r="AD846" s="42"/>
      <c r="AE846" s="42"/>
      <c r="AF846" s="42"/>
    </row>
    <row r="847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  <c r="AA847" s="42"/>
      <c r="AB847" s="42"/>
      <c r="AC847" s="42"/>
      <c r="AD847" s="42"/>
      <c r="AE847" s="42"/>
      <c r="AF847" s="42"/>
    </row>
    <row r="848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  <c r="AA848" s="42"/>
      <c r="AB848" s="42"/>
      <c r="AC848" s="42"/>
      <c r="AD848" s="42"/>
      <c r="AE848" s="42"/>
      <c r="AF848" s="42"/>
    </row>
    <row r="849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  <c r="AA849" s="42"/>
      <c r="AB849" s="42"/>
      <c r="AC849" s="42"/>
      <c r="AD849" s="42"/>
      <c r="AE849" s="42"/>
      <c r="AF849" s="42"/>
    </row>
    <row r="850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  <c r="AA850" s="42"/>
      <c r="AB850" s="42"/>
      <c r="AC850" s="42"/>
      <c r="AD850" s="42"/>
      <c r="AE850" s="42"/>
      <c r="AF850" s="42"/>
    </row>
    <row r="85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  <c r="AA851" s="42"/>
      <c r="AB851" s="42"/>
      <c r="AC851" s="42"/>
      <c r="AD851" s="42"/>
      <c r="AE851" s="42"/>
      <c r="AF851" s="42"/>
    </row>
    <row r="852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  <c r="AA852" s="42"/>
      <c r="AB852" s="42"/>
      <c r="AC852" s="42"/>
      <c r="AD852" s="42"/>
      <c r="AE852" s="42"/>
      <c r="AF852" s="42"/>
    </row>
    <row r="853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  <c r="AA853" s="42"/>
      <c r="AB853" s="42"/>
      <c r="AC853" s="42"/>
      <c r="AD853" s="42"/>
      <c r="AE853" s="42"/>
      <c r="AF853" s="42"/>
    </row>
    <row r="854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  <c r="AA854" s="42"/>
      <c r="AB854" s="42"/>
      <c r="AC854" s="42"/>
      <c r="AD854" s="42"/>
      <c r="AE854" s="42"/>
      <c r="AF854" s="42"/>
    </row>
    <row r="855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  <c r="AA855" s="42"/>
      <c r="AB855" s="42"/>
      <c r="AC855" s="42"/>
      <c r="AD855" s="42"/>
      <c r="AE855" s="42"/>
      <c r="AF855" s="42"/>
    </row>
    <row r="856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  <c r="AA856" s="42"/>
      <c r="AB856" s="42"/>
      <c r="AC856" s="42"/>
      <c r="AD856" s="42"/>
      <c r="AE856" s="42"/>
      <c r="AF856" s="42"/>
    </row>
    <row r="857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  <c r="AA857" s="42"/>
      <c r="AB857" s="42"/>
      <c r="AC857" s="42"/>
      <c r="AD857" s="42"/>
      <c r="AE857" s="42"/>
      <c r="AF857" s="42"/>
    </row>
    <row r="858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  <c r="AA858" s="42"/>
      <c r="AB858" s="42"/>
      <c r="AC858" s="42"/>
      <c r="AD858" s="42"/>
      <c r="AE858" s="42"/>
      <c r="AF858" s="42"/>
    </row>
    <row r="859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  <c r="AA859" s="42"/>
      <c r="AB859" s="42"/>
      <c r="AC859" s="42"/>
      <c r="AD859" s="42"/>
      <c r="AE859" s="42"/>
      <c r="AF859" s="42"/>
    </row>
    <row r="860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  <c r="AA860" s="42"/>
      <c r="AB860" s="42"/>
      <c r="AC860" s="42"/>
      <c r="AD860" s="42"/>
      <c r="AE860" s="42"/>
      <c r="AF860" s="42"/>
    </row>
    <row r="86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  <c r="AA861" s="42"/>
      <c r="AB861" s="42"/>
      <c r="AC861" s="42"/>
      <c r="AD861" s="42"/>
      <c r="AE861" s="42"/>
      <c r="AF861" s="42"/>
    </row>
    <row r="862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  <c r="AA862" s="42"/>
      <c r="AB862" s="42"/>
      <c r="AC862" s="42"/>
      <c r="AD862" s="42"/>
      <c r="AE862" s="42"/>
      <c r="AF862" s="42"/>
    </row>
    <row r="863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  <c r="AA863" s="42"/>
      <c r="AB863" s="42"/>
      <c r="AC863" s="42"/>
      <c r="AD863" s="42"/>
      <c r="AE863" s="42"/>
      <c r="AF863" s="42"/>
    </row>
    <row r="864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  <c r="AA864" s="42"/>
      <c r="AB864" s="42"/>
      <c r="AC864" s="42"/>
      <c r="AD864" s="42"/>
      <c r="AE864" s="42"/>
      <c r="AF864" s="42"/>
    </row>
    <row r="865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  <c r="AA865" s="42"/>
      <c r="AB865" s="42"/>
      <c r="AC865" s="42"/>
      <c r="AD865" s="42"/>
      <c r="AE865" s="42"/>
      <c r="AF865" s="42"/>
    </row>
    <row r="866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  <c r="AA866" s="42"/>
      <c r="AB866" s="42"/>
      <c r="AC866" s="42"/>
      <c r="AD866" s="42"/>
      <c r="AE866" s="42"/>
      <c r="AF866" s="42"/>
    </row>
    <row r="867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  <c r="AA867" s="42"/>
      <c r="AB867" s="42"/>
      <c r="AC867" s="42"/>
      <c r="AD867" s="42"/>
      <c r="AE867" s="42"/>
      <c r="AF867" s="42"/>
    </row>
    <row r="868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  <c r="AA868" s="42"/>
      <c r="AB868" s="42"/>
      <c r="AC868" s="42"/>
      <c r="AD868" s="42"/>
      <c r="AE868" s="42"/>
      <c r="AF868" s="42"/>
    </row>
    <row r="869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  <c r="AA869" s="42"/>
      <c r="AB869" s="42"/>
      <c r="AC869" s="42"/>
      <c r="AD869" s="42"/>
      <c r="AE869" s="42"/>
      <c r="AF869" s="42"/>
    </row>
    <row r="870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  <c r="AA870" s="42"/>
      <c r="AB870" s="42"/>
      <c r="AC870" s="42"/>
      <c r="AD870" s="42"/>
      <c r="AE870" s="42"/>
      <c r="AF870" s="42"/>
    </row>
    <row r="87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  <c r="AA871" s="42"/>
      <c r="AB871" s="42"/>
      <c r="AC871" s="42"/>
      <c r="AD871" s="42"/>
      <c r="AE871" s="42"/>
      <c r="AF871" s="42"/>
    </row>
    <row r="872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  <c r="AA872" s="42"/>
      <c r="AB872" s="42"/>
      <c r="AC872" s="42"/>
      <c r="AD872" s="42"/>
      <c r="AE872" s="42"/>
      <c r="AF872" s="42"/>
    </row>
    <row r="873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  <c r="AA873" s="42"/>
      <c r="AB873" s="42"/>
      <c r="AC873" s="42"/>
      <c r="AD873" s="42"/>
      <c r="AE873" s="42"/>
      <c r="AF873" s="42"/>
    </row>
    <row r="874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  <c r="AA874" s="42"/>
      <c r="AB874" s="42"/>
      <c r="AC874" s="42"/>
      <c r="AD874" s="42"/>
      <c r="AE874" s="42"/>
      <c r="AF874" s="42"/>
    </row>
    <row r="875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  <c r="AA875" s="42"/>
      <c r="AB875" s="42"/>
      <c r="AC875" s="42"/>
      <c r="AD875" s="42"/>
      <c r="AE875" s="42"/>
      <c r="AF875" s="42"/>
    </row>
    <row r="876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  <c r="AA876" s="42"/>
      <c r="AB876" s="42"/>
      <c r="AC876" s="42"/>
      <c r="AD876" s="42"/>
      <c r="AE876" s="42"/>
      <c r="AF876" s="42"/>
    </row>
    <row r="877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  <c r="AA877" s="42"/>
      <c r="AB877" s="42"/>
      <c r="AC877" s="42"/>
      <c r="AD877" s="42"/>
      <c r="AE877" s="42"/>
      <c r="AF877" s="42"/>
    </row>
    <row r="878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  <c r="AA878" s="42"/>
      <c r="AB878" s="42"/>
      <c r="AC878" s="42"/>
      <c r="AD878" s="42"/>
      <c r="AE878" s="42"/>
      <c r="AF878" s="42"/>
    </row>
    <row r="879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  <c r="AA879" s="42"/>
      <c r="AB879" s="42"/>
      <c r="AC879" s="42"/>
      <c r="AD879" s="42"/>
      <c r="AE879" s="42"/>
      <c r="AF879" s="42"/>
    </row>
    <row r="880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  <c r="AA880" s="42"/>
      <c r="AB880" s="42"/>
      <c r="AC880" s="42"/>
      <c r="AD880" s="42"/>
      <c r="AE880" s="42"/>
      <c r="AF880" s="42"/>
    </row>
    <row r="88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  <c r="AA881" s="42"/>
      <c r="AB881" s="42"/>
      <c r="AC881" s="42"/>
      <c r="AD881" s="42"/>
      <c r="AE881" s="42"/>
      <c r="AF881" s="42"/>
    </row>
    <row r="882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  <c r="AA882" s="42"/>
      <c r="AB882" s="42"/>
      <c r="AC882" s="42"/>
      <c r="AD882" s="42"/>
      <c r="AE882" s="42"/>
      <c r="AF882" s="42"/>
    </row>
    <row r="883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  <c r="AA883" s="42"/>
      <c r="AB883" s="42"/>
      <c r="AC883" s="42"/>
      <c r="AD883" s="42"/>
      <c r="AE883" s="42"/>
      <c r="AF883" s="42"/>
    </row>
    <row r="884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  <c r="AA884" s="42"/>
      <c r="AB884" s="42"/>
      <c r="AC884" s="42"/>
      <c r="AD884" s="42"/>
      <c r="AE884" s="42"/>
      <c r="AF884" s="42"/>
    </row>
    <row r="885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  <c r="AA885" s="42"/>
      <c r="AB885" s="42"/>
      <c r="AC885" s="42"/>
      <c r="AD885" s="42"/>
      <c r="AE885" s="42"/>
      <c r="AF885" s="42"/>
    </row>
    <row r="886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  <c r="AA886" s="42"/>
      <c r="AB886" s="42"/>
      <c r="AC886" s="42"/>
      <c r="AD886" s="42"/>
      <c r="AE886" s="42"/>
      <c r="AF886" s="42"/>
    </row>
    <row r="887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  <c r="AA887" s="42"/>
      <c r="AB887" s="42"/>
      <c r="AC887" s="42"/>
      <c r="AD887" s="42"/>
      <c r="AE887" s="42"/>
      <c r="AF887" s="42"/>
    </row>
    <row r="888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  <c r="AA888" s="42"/>
      <c r="AB888" s="42"/>
      <c r="AC888" s="42"/>
      <c r="AD888" s="42"/>
      <c r="AE888" s="42"/>
      <c r="AF888" s="42"/>
    </row>
    <row r="889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  <c r="AA889" s="42"/>
      <c r="AB889" s="42"/>
      <c r="AC889" s="42"/>
      <c r="AD889" s="42"/>
      <c r="AE889" s="42"/>
      <c r="AF889" s="42"/>
    </row>
    <row r="890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  <c r="AA890" s="42"/>
      <c r="AB890" s="42"/>
      <c r="AC890" s="42"/>
      <c r="AD890" s="42"/>
      <c r="AE890" s="42"/>
      <c r="AF890" s="42"/>
    </row>
    <row r="89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  <c r="AA891" s="42"/>
      <c r="AB891" s="42"/>
      <c r="AC891" s="42"/>
      <c r="AD891" s="42"/>
      <c r="AE891" s="42"/>
      <c r="AF891" s="42"/>
    </row>
    <row r="892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  <c r="AA892" s="42"/>
      <c r="AB892" s="42"/>
      <c r="AC892" s="42"/>
      <c r="AD892" s="42"/>
      <c r="AE892" s="42"/>
      <c r="AF892" s="42"/>
    </row>
    <row r="893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  <c r="AA893" s="42"/>
      <c r="AB893" s="42"/>
      <c r="AC893" s="42"/>
      <c r="AD893" s="42"/>
      <c r="AE893" s="42"/>
      <c r="AF893" s="42"/>
    </row>
    <row r="894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  <c r="AA894" s="42"/>
      <c r="AB894" s="42"/>
      <c r="AC894" s="42"/>
      <c r="AD894" s="42"/>
      <c r="AE894" s="42"/>
      <c r="AF894" s="42"/>
    </row>
    <row r="895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  <c r="AA895" s="42"/>
      <c r="AB895" s="42"/>
      <c r="AC895" s="42"/>
      <c r="AD895" s="42"/>
      <c r="AE895" s="42"/>
      <c r="AF895" s="42"/>
    </row>
    <row r="896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  <c r="AA896" s="42"/>
      <c r="AB896" s="42"/>
      <c r="AC896" s="42"/>
      <c r="AD896" s="42"/>
      <c r="AE896" s="42"/>
      <c r="AF896" s="42"/>
    </row>
    <row r="897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  <c r="AA897" s="42"/>
      <c r="AB897" s="42"/>
      <c r="AC897" s="42"/>
      <c r="AD897" s="42"/>
      <c r="AE897" s="42"/>
      <c r="AF897" s="42"/>
    </row>
    <row r="898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  <c r="AA898" s="42"/>
      <c r="AB898" s="42"/>
      <c r="AC898" s="42"/>
      <c r="AD898" s="42"/>
      <c r="AE898" s="42"/>
      <c r="AF898" s="42"/>
    </row>
    <row r="899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  <c r="AA899" s="42"/>
      <c r="AB899" s="42"/>
      <c r="AC899" s="42"/>
      <c r="AD899" s="42"/>
      <c r="AE899" s="42"/>
      <c r="AF899" s="42"/>
    </row>
    <row r="900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  <c r="AA900" s="42"/>
      <c r="AB900" s="42"/>
      <c r="AC900" s="42"/>
      <c r="AD900" s="42"/>
      <c r="AE900" s="42"/>
      <c r="AF900" s="42"/>
    </row>
    <row r="90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  <c r="AA901" s="42"/>
      <c r="AB901" s="42"/>
      <c r="AC901" s="42"/>
      <c r="AD901" s="42"/>
      <c r="AE901" s="42"/>
      <c r="AF901" s="42"/>
    </row>
    <row r="902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  <c r="AA902" s="42"/>
      <c r="AB902" s="42"/>
      <c r="AC902" s="42"/>
      <c r="AD902" s="42"/>
      <c r="AE902" s="42"/>
      <c r="AF902" s="42"/>
    </row>
    <row r="903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  <c r="AA903" s="42"/>
      <c r="AB903" s="42"/>
      <c r="AC903" s="42"/>
      <c r="AD903" s="42"/>
      <c r="AE903" s="42"/>
      <c r="AF903" s="42"/>
    </row>
    <row r="904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  <c r="AA904" s="42"/>
      <c r="AB904" s="42"/>
      <c r="AC904" s="42"/>
      <c r="AD904" s="42"/>
      <c r="AE904" s="42"/>
      <c r="AF904" s="42"/>
    </row>
    <row r="905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  <c r="AA905" s="42"/>
      <c r="AB905" s="42"/>
      <c r="AC905" s="42"/>
      <c r="AD905" s="42"/>
      <c r="AE905" s="42"/>
      <c r="AF905" s="42"/>
    </row>
    <row r="906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  <c r="AA906" s="42"/>
      <c r="AB906" s="42"/>
      <c r="AC906" s="42"/>
      <c r="AD906" s="42"/>
      <c r="AE906" s="42"/>
      <c r="AF906" s="42"/>
    </row>
    <row r="907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  <c r="AA907" s="42"/>
      <c r="AB907" s="42"/>
      <c r="AC907" s="42"/>
      <c r="AD907" s="42"/>
      <c r="AE907" s="42"/>
      <c r="AF907" s="42"/>
    </row>
    <row r="908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  <c r="AA908" s="42"/>
      <c r="AB908" s="42"/>
      <c r="AC908" s="42"/>
      <c r="AD908" s="42"/>
      <c r="AE908" s="42"/>
      <c r="AF908" s="42"/>
    </row>
    <row r="909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  <c r="AA909" s="42"/>
      <c r="AB909" s="42"/>
      <c r="AC909" s="42"/>
      <c r="AD909" s="42"/>
      <c r="AE909" s="42"/>
      <c r="AF909" s="42"/>
    </row>
    <row r="910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  <c r="AA910" s="42"/>
      <c r="AB910" s="42"/>
      <c r="AC910" s="42"/>
      <c r="AD910" s="42"/>
      <c r="AE910" s="42"/>
      <c r="AF910" s="42"/>
    </row>
    <row r="91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  <c r="AA911" s="42"/>
      <c r="AB911" s="42"/>
      <c r="AC911" s="42"/>
      <c r="AD911" s="42"/>
      <c r="AE911" s="42"/>
      <c r="AF911" s="42"/>
    </row>
    <row r="912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  <c r="AA912" s="42"/>
      <c r="AB912" s="42"/>
      <c r="AC912" s="42"/>
      <c r="AD912" s="42"/>
      <c r="AE912" s="42"/>
      <c r="AF912" s="42"/>
    </row>
    <row r="913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  <c r="AA913" s="42"/>
      <c r="AB913" s="42"/>
      <c r="AC913" s="42"/>
      <c r="AD913" s="42"/>
      <c r="AE913" s="42"/>
      <c r="AF913" s="42"/>
    </row>
    <row r="914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  <c r="AA914" s="42"/>
      <c r="AB914" s="42"/>
      <c r="AC914" s="42"/>
      <c r="AD914" s="42"/>
      <c r="AE914" s="42"/>
      <c r="AF914" s="42"/>
    </row>
    <row r="915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  <c r="AA915" s="42"/>
      <c r="AB915" s="42"/>
      <c r="AC915" s="42"/>
      <c r="AD915" s="42"/>
      <c r="AE915" s="42"/>
      <c r="AF915" s="42"/>
    </row>
    <row r="916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  <c r="AA916" s="42"/>
      <c r="AB916" s="42"/>
      <c r="AC916" s="42"/>
      <c r="AD916" s="42"/>
      <c r="AE916" s="42"/>
      <c r="AF916" s="42"/>
    </row>
    <row r="917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  <c r="AA917" s="42"/>
      <c r="AB917" s="42"/>
      <c r="AC917" s="42"/>
      <c r="AD917" s="42"/>
      <c r="AE917" s="42"/>
      <c r="AF917" s="42"/>
    </row>
    <row r="918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  <c r="AA918" s="42"/>
      <c r="AB918" s="42"/>
      <c r="AC918" s="42"/>
      <c r="AD918" s="42"/>
      <c r="AE918" s="42"/>
      <c r="AF918" s="42"/>
    </row>
    <row r="919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  <c r="AA919" s="42"/>
      <c r="AB919" s="42"/>
      <c r="AC919" s="42"/>
      <c r="AD919" s="42"/>
      <c r="AE919" s="42"/>
      <c r="AF919" s="42"/>
    </row>
    <row r="920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  <c r="AA920" s="42"/>
      <c r="AB920" s="42"/>
      <c r="AC920" s="42"/>
      <c r="AD920" s="42"/>
      <c r="AE920" s="42"/>
      <c r="AF920" s="42"/>
    </row>
    <row r="92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  <c r="AA921" s="42"/>
      <c r="AB921" s="42"/>
      <c r="AC921" s="42"/>
      <c r="AD921" s="42"/>
      <c r="AE921" s="42"/>
      <c r="AF921" s="42"/>
    </row>
    <row r="922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  <c r="AA922" s="42"/>
      <c r="AB922" s="42"/>
      <c r="AC922" s="42"/>
      <c r="AD922" s="42"/>
      <c r="AE922" s="42"/>
      <c r="AF922" s="42"/>
    </row>
    <row r="923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  <c r="AA923" s="42"/>
      <c r="AB923" s="42"/>
      <c r="AC923" s="42"/>
      <c r="AD923" s="42"/>
      <c r="AE923" s="42"/>
      <c r="AF923" s="42"/>
    </row>
    <row r="924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  <c r="AA924" s="42"/>
      <c r="AB924" s="42"/>
      <c r="AC924" s="42"/>
      <c r="AD924" s="42"/>
      <c r="AE924" s="42"/>
      <c r="AF924" s="42"/>
    </row>
    <row r="925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  <c r="AA925" s="42"/>
      <c r="AB925" s="42"/>
      <c r="AC925" s="42"/>
      <c r="AD925" s="42"/>
      <c r="AE925" s="42"/>
      <c r="AF925" s="42"/>
    </row>
    <row r="926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  <c r="AA926" s="42"/>
      <c r="AB926" s="42"/>
      <c r="AC926" s="42"/>
      <c r="AD926" s="42"/>
      <c r="AE926" s="42"/>
      <c r="AF926" s="42"/>
    </row>
    <row r="927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  <c r="AA927" s="42"/>
      <c r="AB927" s="42"/>
      <c r="AC927" s="42"/>
      <c r="AD927" s="42"/>
      <c r="AE927" s="42"/>
      <c r="AF927" s="42"/>
    </row>
    <row r="928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  <c r="AA928" s="42"/>
      <c r="AB928" s="42"/>
      <c r="AC928" s="42"/>
      <c r="AD928" s="42"/>
      <c r="AE928" s="42"/>
      <c r="AF928" s="42"/>
    </row>
    <row r="929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  <c r="AA929" s="42"/>
      <c r="AB929" s="42"/>
      <c r="AC929" s="42"/>
      <c r="AD929" s="42"/>
      <c r="AE929" s="42"/>
      <c r="AF929" s="42"/>
    </row>
    <row r="930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  <c r="AA930" s="42"/>
      <c r="AB930" s="42"/>
      <c r="AC930" s="42"/>
      <c r="AD930" s="42"/>
      <c r="AE930" s="42"/>
      <c r="AF930" s="42"/>
    </row>
    <row r="93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  <c r="AA931" s="42"/>
      <c r="AB931" s="42"/>
      <c r="AC931" s="42"/>
      <c r="AD931" s="42"/>
      <c r="AE931" s="42"/>
      <c r="AF931" s="42"/>
    </row>
    <row r="932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  <c r="AA932" s="42"/>
      <c r="AB932" s="42"/>
      <c r="AC932" s="42"/>
      <c r="AD932" s="42"/>
      <c r="AE932" s="42"/>
      <c r="AF932" s="42"/>
    </row>
    <row r="933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  <c r="AA933" s="42"/>
      <c r="AB933" s="42"/>
      <c r="AC933" s="42"/>
      <c r="AD933" s="42"/>
      <c r="AE933" s="42"/>
      <c r="AF933" s="42"/>
    </row>
    <row r="934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  <c r="AA934" s="42"/>
      <c r="AB934" s="42"/>
      <c r="AC934" s="42"/>
      <c r="AD934" s="42"/>
      <c r="AE934" s="42"/>
      <c r="AF934" s="42"/>
    </row>
    <row r="935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  <c r="AA935" s="42"/>
      <c r="AB935" s="42"/>
      <c r="AC935" s="42"/>
      <c r="AD935" s="42"/>
      <c r="AE935" s="42"/>
      <c r="AF935" s="42"/>
    </row>
    <row r="936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  <c r="AA936" s="42"/>
      <c r="AB936" s="42"/>
      <c r="AC936" s="42"/>
      <c r="AD936" s="42"/>
      <c r="AE936" s="42"/>
      <c r="AF936" s="42"/>
    </row>
    <row r="937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  <c r="AA937" s="42"/>
      <c r="AB937" s="42"/>
      <c r="AC937" s="42"/>
      <c r="AD937" s="42"/>
      <c r="AE937" s="42"/>
      <c r="AF937" s="42"/>
    </row>
    <row r="938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  <c r="AA938" s="42"/>
      <c r="AB938" s="42"/>
      <c r="AC938" s="42"/>
      <c r="AD938" s="42"/>
      <c r="AE938" s="42"/>
      <c r="AF938" s="42"/>
    </row>
    <row r="939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  <c r="AA939" s="42"/>
      <c r="AB939" s="42"/>
      <c r="AC939" s="42"/>
      <c r="AD939" s="42"/>
      <c r="AE939" s="42"/>
      <c r="AF939" s="42"/>
    </row>
    <row r="940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  <c r="AA940" s="42"/>
      <c r="AB940" s="42"/>
      <c r="AC940" s="42"/>
      <c r="AD940" s="42"/>
      <c r="AE940" s="42"/>
      <c r="AF940" s="42"/>
    </row>
    <row r="94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  <c r="AA941" s="42"/>
      <c r="AB941" s="42"/>
      <c r="AC941" s="42"/>
      <c r="AD941" s="42"/>
      <c r="AE941" s="42"/>
      <c r="AF941" s="42"/>
    </row>
    <row r="942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  <c r="AA942" s="42"/>
      <c r="AB942" s="42"/>
      <c r="AC942" s="42"/>
      <c r="AD942" s="42"/>
      <c r="AE942" s="42"/>
      <c r="AF942" s="42"/>
    </row>
    <row r="943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  <c r="AA943" s="42"/>
      <c r="AB943" s="42"/>
      <c r="AC943" s="42"/>
      <c r="AD943" s="42"/>
      <c r="AE943" s="42"/>
      <c r="AF943" s="42"/>
    </row>
    <row r="944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  <c r="AA944" s="42"/>
      <c r="AB944" s="42"/>
      <c r="AC944" s="42"/>
      <c r="AD944" s="42"/>
      <c r="AE944" s="42"/>
      <c r="AF944" s="42"/>
    </row>
    <row r="945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  <c r="AA945" s="42"/>
      <c r="AB945" s="42"/>
      <c r="AC945" s="42"/>
      <c r="AD945" s="42"/>
      <c r="AE945" s="42"/>
      <c r="AF945" s="42"/>
    </row>
    <row r="946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  <c r="AA946" s="42"/>
      <c r="AB946" s="42"/>
      <c r="AC946" s="42"/>
      <c r="AD946" s="42"/>
      <c r="AE946" s="42"/>
      <c r="AF946" s="42"/>
    </row>
    <row r="947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  <c r="AA947" s="42"/>
      <c r="AB947" s="42"/>
      <c r="AC947" s="42"/>
      <c r="AD947" s="42"/>
      <c r="AE947" s="42"/>
      <c r="AF947" s="42"/>
    </row>
    <row r="948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  <c r="AA948" s="42"/>
      <c r="AB948" s="42"/>
      <c r="AC948" s="42"/>
      <c r="AD948" s="42"/>
      <c r="AE948" s="42"/>
      <c r="AF948" s="42"/>
    </row>
    <row r="949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  <c r="AA949" s="42"/>
      <c r="AB949" s="42"/>
      <c r="AC949" s="42"/>
      <c r="AD949" s="42"/>
      <c r="AE949" s="42"/>
      <c r="AF949" s="42"/>
    </row>
    <row r="950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  <c r="AA950" s="42"/>
      <c r="AB950" s="42"/>
      <c r="AC950" s="42"/>
      <c r="AD950" s="42"/>
      <c r="AE950" s="42"/>
      <c r="AF950" s="42"/>
    </row>
    <row r="95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  <c r="AA951" s="42"/>
      <c r="AB951" s="42"/>
      <c r="AC951" s="42"/>
      <c r="AD951" s="42"/>
      <c r="AE951" s="42"/>
      <c r="AF951" s="42"/>
    </row>
    <row r="952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  <c r="AA952" s="42"/>
      <c r="AB952" s="42"/>
      <c r="AC952" s="42"/>
      <c r="AD952" s="42"/>
      <c r="AE952" s="42"/>
      <c r="AF952" s="42"/>
    </row>
    <row r="953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  <c r="AA953" s="42"/>
      <c r="AB953" s="42"/>
      <c r="AC953" s="42"/>
      <c r="AD953" s="42"/>
      <c r="AE953" s="42"/>
      <c r="AF953" s="42"/>
    </row>
    <row r="954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  <c r="AA954" s="42"/>
      <c r="AB954" s="42"/>
      <c r="AC954" s="42"/>
      <c r="AD954" s="42"/>
      <c r="AE954" s="42"/>
      <c r="AF954" s="42"/>
    </row>
    <row r="955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  <c r="AA955" s="42"/>
      <c r="AB955" s="42"/>
      <c r="AC955" s="42"/>
      <c r="AD955" s="42"/>
      <c r="AE955" s="42"/>
      <c r="AF955" s="42"/>
    </row>
    <row r="956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  <c r="AA956" s="42"/>
      <c r="AB956" s="42"/>
      <c r="AC956" s="42"/>
      <c r="AD956" s="42"/>
      <c r="AE956" s="42"/>
      <c r="AF956" s="42"/>
    </row>
    <row r="957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  <c r="AA957" s="42"/>
      <c r="AB957" s="42"/>
      <c r="AC957" s="42"/>
      <c r="AD957" s="42"/>
      <c r="AE957" s="42"/>
      <c r="AF957" s="42"/>
    </row>
    <row r="958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  <c r="AA958" s="42"/>
      <c r="AB958" s="42"/>
      <c r="AC958" s="42"/>
      <c r="AD958" s="42"/>
      <c r="AE958" s="42"/>
      <c r="AF958" s="42"/>
    </row>
    <row r="959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  <c r="AA959" s="42"/>
      <c r="AB959" s="42"/>
      <c r="AC959" s="42"/>
      <c r="AD959" s="42"/>
      <c r="AE959" s="42"/>
      <c r="AF959" s="42"/>
    </row>
    <row r="960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  <c r="AA960" s="42"/>
      <c r="AB960" s="42"/>
      <c r="AC960" s="42"/>
      <c r="AD960" s="42"/>
      <c r="AE960" s="42"/>
      <c r="AF960" s="42"/>
    </row>
    <row r="96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  <c r="AA961" s="42"/>
      <c r="AB961" s="42"/>
      <c r="AC961" s="42"/>
      <c r="AD961" s="42"/>
      <c r="AE961" s="42"/>
      <c r="AF961" s="42"/>
    </row>
    <row r="962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  <c r="AA962" s="42"/>
      <c r="AB962" s="42"/>
      <c r="AC962" s="42"/>
      <c r="AD962" s="42"/>
      <c r="AE962" s="42"/>
      <c r="AF962" s="42"/>
    </row>
    <row r="963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  <c r="AA963" s="42"/>
      <c r="AB963" s="42"/>
      <c r="AC963" s="42"/>
      <c r="AD963" s="42"/>
      <c r="AE963" s="42"/>
      <c r="AF963" s="42"/>
    </row>
    <row r="964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  <c r="AA964" s="42"/>
      <c r="AB964" s="42"/>
      <c r="AC964" s="42"/>
      <c r="AD964" s="42"/>
      <c r="AE964" s="42"/>
      <c r="AF964" s="42"/>
    </row>
    <row r="965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  <c r="AA965" s="42"/>
      <c r="AB965" s="42"/>
      <c r="AC965" s="42"/>
      <c r="AD965" s="42"/>
      <c r="AE965" s="42"/>
      <c r="AF965" s="42"/>
    </row>
    <row r="966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  <c r="AA966" s="42"/>
      <c r="AB966" s="42"/>
      <c r="AC966" s="42"/>
      <c r="AD966" s="42"/>
      <c r="AE966" s="42"/>
      <c r="AF966" s="42"/>
    </row>
    <row r="967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  <c r="AA967" s="42"/>
      <c r="AB967" s="42"/>
      <c r="AC967" s="42"/>
      <c r="AD967" s="42"/>
      <c r="AE967" s="42"/>
      <c r="AF967" s="42"/>
    </row>
    <row r="968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  <c r="AA968" s="42"/>
      <c r="AB968" s="42"/>
      <c r="AC968" s="42"/>
      <c r="AD968" s="42"/>
      <c r="AE968" s="42"/>
      <c r="AF968" s="42"/>
    </row>
    <row r="969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  <c r="AA969" s="42"/>
      <c r="AB969" s="42"/>
      <c r="AC969" s="42"/>
      <c r="AD969" s="42"/>
      <c r="AE969" s="42"/>
      <c r="AF969" s="42"/>
    </row>
    <row r="970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  <c r="AA970" s="42"/>
      <c r="AB970" s="42"/>
      <c r="AC970" s="42"/>
      <c r="AD970" s="42"/>
      <c r="AE970" s="42"/>
      <c r="AF970" s="42"/>
    </row>
    <row r="97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  <c r="AA971" s="42"/>
      <c r="AB971" s="42"/>
      <c r="AC971" s="42"/>
      <c r="AD971" s="42"/>
      <c r="AE971" s="42"/>
      <c r="AF971" s="42"/>
    </row>
    <row r="972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  <c r="AA972" s="42"/>
      <c r="AB972" s="42"/>
      <c r="AC972" s="42"/>
      <c r="AD972" s="42"/>
      <c r="AE972" s="42"/>
      <c r="AF972" s="42"/>
    </row>
    <row r="973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  <c r="AA973" s="42"/>
      <c r="AB973" s="42"/>
      <c r="AC973" s="42"/>
      <c r="AD973" s="42"/>
      <c r="AE973" s="42"/>
      <c r="AF973" s="42"/>
    </row>
    <row r="974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  <c r="AA974" s="42"/>
      <c r="AB974" s="42"/>
      <c r="AC974" s="42"/>
      <c r="AD974" s="42"/>
      <c r="AE974" s="42"/>
      <c r="AF974" s="42"/>
    </row>
    <row r="975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  <c r="AA975" s="42"/>
      <c r="AB975" s="42"/>
      <c r="AC975" s="42"/>
      <c r="AD975" s="42"/>
      <c r="AE975" s="42"/>
      <c r="AF975" s="42"/>
    </row>
    <row r="976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  <c r="AA976" s="42"/>
      <c r="AB976" s="42"/>
      <c r="AC976" s="42"/>
      <c r="AD976" s="42"/>
      <c r="AE976" s="42"/>
      <c r="AF976" s="42"/>
    </row>
    <row r="977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  <c r="AA977" s="42"/>
      <c r="AB977" s="42"/>
      <c r="AC977" s="42"/>
      <c r="AD977" s="42"/>
      <c r="AE977" s="42"/>
      <c r="AF977" s="42"/>
    </row>
    <row r="978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  <c r="AA978" s="42"/>
      <c r="AB978" s="42"/>
      <c r="AC978" s="42"/>
      <c r="AD978" s="42"/>
      <c r="AE978" s="42"/>
      <c r="AF978" s="42"/>
    </row>
    <row r="979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  <c r="AA979" s="42"/>
      <c r="AB979" s="42"/>
      <c r="AC979" s="42"/>
      <c r="AD979" s="42"/>
      <c r="AE979" s="42"/>
      <c r="AF979" s="42"/>
    </row>
    <row r="980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  <c r="AA980" s="42"/>
      <c r="AB980" s="42"/>
      <c r="AC980" s="42"/>
      <c r="AD980" s="42"/>
      <c r="AE980" s="42"/>
      <c r="AF980" s="42"/>
    </row>
    <row r="98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  <c r="AA981" s="42"/>
      <c r="AB981" s="42"/>
      <c r="AC981" s="42"/>
      <c r="AD981" s="42"/>
      <c r="AE981" s="42"/>
      <c r="AF981" s="42"/>
    </row>
    <row r="982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  <c r="AA982" s="42"/>
      <c r="AB982" s="42"/>
      <c r="AC982" s="42"/>
      <c r="AD982" s="42"/>
      <c r="AE982" s="42"/>
      <c r="AF982" s="42"/>
    </row>
    <row r="983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  <c r="AA983" s="42"/>
      <c r="AB983" s="42"/>
      <c r="AC983" s="42"/>
      <c r="AD983" s="42"/>
      <c r="AE983" s="42"/>
      <c r="AF983" s="42"/>
    </row>
    <row r="984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  <c r="AA984" s="42"/>
      <c r="AB984" s="42"/>
      <c r="AC984" s="42"/>
      <c r="AD984" s="42"/>
      <c r="AE984" s="42"/>
      <c r="AF984" s="42"/>
    </row>
    <row r="985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  <c r="AA985" s="42"/>
      <c r="AB985" s="42"/>
      <c r="AC985" s="42"/>
      <c r="AD985" s="42"/>
      <c r="AE985" s="42"/>
      <c r="AF985" s="42"/>
    </row>
    <row r="986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  <c r="AA986" s="42"/>
      <c r="AB986" s="42"/>
      <c r="AC986" s="42"/>
      <c r="AD986" s="42"/>
      <c r="AE986" s="42"/>
      <c r="AF986" s="42"/>
    </row>
    <row r="987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  <c r="AA987" s="42"/>
      <c r="AB987" s="42"/>
      <c r="AC987" s="42"/>
      <c r="AD987" s="42"/>
      <c r="AE987" s="42"/>
      <c r="AF987" s="42"/>
    </row>
    <row r="988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  <c r="AA988" s="42"/>
      <c r="AB988" s="42"/>
      <c r="AC988" s="42"/>
      <c r="AD988" s="42"/>
      <c r="AE988" s="42"/>
      <c r="AF988" s="42"/>
    </row>
    <row r="989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  <c r="AA989" s="42"/>
      <c r="AB989" s="42"/>
      <c r="AC989" s="42"/>
      <c r="AD989" s="42"/>
      <c r="AE989" s="42"/>
      <c r="AF989" s="42"/>
    </row>
    <row r="990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  <c r="AA990" s="42"/>
      <c r="AB990" s="42"/>
      <c r="AC990" s="42"/>
      <c r="AD990" s="42"/>
      <c r="AE990" s="42"/>
      <c r="AF990" s="42"/>
    </row>
    <row r="99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  <c r="AA991" s="42"/>
      <c r="AB991" s="42"/>
      <c r="AC991" s="42"/>
      <c r="AD991" s="42"/>
      <c r="AE991" s="42"/>
      <c r="AF991" s="42"/>
    </row>
    <row r="992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  <c r="AA992" s="42"/>
      <c r="AB992" s="42"/>
      <c r="AC992" s="42"/>
      <c r="AD992" s="42"/>
      <c r="AE992" s="42"/>
      <c r="AF992" s="42"/>
    </row>
    <row r="993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  <c r="AA993" s="42"/>
      <c r="AB993" s="42"/>
      <c r="AC993" s="42"/>
      <c r="AD993" s="42"/>
      <c r="AE993" s="42"/>
      <c r="AF993" s="42"/>
    </row>
    <row r="994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  <c r="AA994" s="42"/>
      <c r="AB994" s="42"/>
      <c r="AC994" s="42"/>
      <c r="AD994" s="42"/>
      <c r="AE994" s="42"/>
      <c r="AF994" s="42"/>
    </row>
    <row r="995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  <c r="AA995" s="42"/>
      <c r="AB995" s="42"/>
      <c r="AC995" s="42"/>
      <c r="AD995" s="42"/>
      <c r="AE995" s="42"/>
      <c r="AF995" s="42"/>
    </row>
    <row r="996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  <c r="AA996" s="42"/>
      <c r="AB996" s="42"/>
      <c r="AC996" s="42"/>
      <c r="AD996" s="42"/>
      <c r="AE996" s="42"/>
      <c r="AF996" s="42"/>
    </row>
    <row r="997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  <c r="AA997" s="42"/>
      <c r="AB997" s="42"/>
      <c r="AC997" s="42"/>
      <c r="AD997" s="42"/>
      <c r="AE997" s="42"/>
      <c r="AF997" s="42"/>
    </row>
    <row r="998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  <c r="AA998" s="42"/>
      <c r="AB998" s="42"/>
      <c r="AC998" s="42"/>
      <c r="AD998" s="42"/>
      <c r="AE998" s="42"/>
      <c r="AF998" s="42"/>
    </row>
    <row r="999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  <c r="AA999" s="42"/>
      <c r="AB999" s="42"/>
      <c r="AC999" s="42"/>
      <c r="AD999" s="42"/>
      <c r="AE999" s="42"/>
      <c r="AF999" s="42"/>
    </row>
    <row r="1000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  <c r="AA1000" s="42"/>
      <c r="AB1000" s="42"/>
      <c r="AC1000" s="42"/>
      <c r="AD1000" s="42"/>
      <c r="AE1000" s="42"/>
      <c r="AF1000" s="42"/>
    </row>
  </sheetData>
  <mergeCells count="7">
    <mergeCell ref="A1:C1"/>
    <mergeCell ref="D1:F1"/>
    <mergeCell ref="H1:K1"/>
    <mergeCell ref="H2:I2"/>
    <mergeCell ref="J2:K2"/>
    <mergeCell ref="A12:C12"/>
    <mergeCell ref="D12:F12"/>
  </mergeCells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59</v>
      </c>
    </row>
    <row r="2" ht="14.25" customHeight="1">
      <c r="A2" s="118" t="str">
        <f>IFERROR(__xludf.DUMMYFUNCTION(" IMPORTRANGE(""https://docs.google.com/spreadsheets/d/1wH_8nEplyQ7spg3z-5e1I5iQItyzniXlLQuHAEEYEsc/edit#gid=1444344404"",""Surprise!A2:A161"")"),"hmnyocleaver")</f>
        <v>hmnyocleaver</v>
      </c>
      <c r="B2" s="103">
        <v>1.0</v>
      </c>
      <c r="C2" s="183">
        <f t="shared" ref="C2:C161" si="1">260*(1-(B2/($H$1+1)))*POWER((SQRT(($H$1+1)/B2)),1/2)</f>
        <v>711.5606478</v>
      </c>
      <c r="D2" s="124" t="str">
        <f>VLOOKUP(A2,'Classement Surp'!$B$2:$B$149,1,0)</f>
        <v>hmnyocleaver</v>
      </c>
      <c r="E2" s="125" t="str">
        <f t="shared" ref="E2:E161" si="2">IF(D2=A2,"","erreur")</f>
        <v/>
      </c>
      <c r="F2" s="120" t="str">
        <f>VLOOKUP(A2,'Classement Général'!$B$2:$B$146,1,0)</f>
        <v>hmnyocleaver</v>
      </c>
    </row>
    <row r="3" ht="14.25" customHeight="1">
      <c r="A3" s="118" t="str">
        <f>IFERROR(__xludf.DUMMYFUNCTION("""COMPUTED_VALUE"""),"-Feline")</f>
        <v>-Feline</v>
      </c>
      <c r="B3" s="103">
        <v>2.0</v>
      </c>
      <c r="C3" s="183">
        <f t="shared" si="1"/>
        <v>588.2072929</v>
      </c>
      <c r="D3" s="124" t="str">
        <f>VLOOKUP(A3,'Classement Surp'!$B$2:$B$149,1,0)</f>
        <v>-Feline</v>
      </c>
      <c r="E3" s="125" t="str">
        <f t="shared" si="2"/>
        <v/>
      </c>
      <c r="F3" s="120" t="str">
        <f>VLOOKUP(A3,'Classement Général'!$B$2:$B$146,1,0)</f>
        <v>-Feline</v>
      </c>
    </row>
    <row r="4" ht="14.25" customHeight="1">
      <c r="A4" s="118" t="str">
        <f>IFERROR(__xludf.DUMMYFUNCTION("""COMPUTED_VALUE"""),"Redblood92")</f>
        <v>Redblood92</v>
      </c>
      <c r="B4" s="103">
        <v>3.0</v>
      </c>
      <c r="C4" s="183">
        <f t="shared" si="1"/>
        <v>522.3414041</v>
      </c>
      <c r="D4" s="124" t="str">
        <f>VLOOKUP(A4,'Classement Surp'!$B$2:$B$149,1,0)</f>
        <v>Redblood92</v>
      </c>
      <c r="E4" s="125" t="str">
        <f t="shared" si="2"/>
        <v/>
      </c>
      <c r="F4" s="120" t="str">
        <f>VLOOKUP(A4,'Classement Général'!$B$2:$B$146,1,0)</f>
        <v>Redblood92</v>
      </c>
    </row>
    <row r="5" ht="14.25" customHeight="1">
      <c r="A5" s="118" t="str">
        <f>IFERROR(__xludf.DUMMYFUNCTION("""COMPUTED_VALUE"""),".choco")</f>
        <v>.choco</v>
      </c>
      <c r="B5" s="103">
        <v>4.0</v>
      </c>
      <c r="C5" s="183">
        <f t="shared" si="1"/>
        <v>477.5654936</v>
      </c>
      <c r="D5" s="124" t="str">
        <f>VLOOKUP(A5,'Classement Surp'!$B$2:$B$149,1,0)</f>
        <v>.choco</v>
      </c>
      <c r="E5" s="125" t="str">
        <f t="shared" si="2"/>
        <v/>
      </c>
      <c r="F5" s="120" t="str">
        <f>VLOOKUP(A5,'Classement Général'!$B$2:$B$146,1,0)</f>
        <v>.choco</v>
      </c>
    </row>
    <row r="6" ht="14.25" customHeight="1">
      <c r="A6" s="118" t="str">
        <f>IFERROR(__xludf.DUMMYFUNCTION("""COMPUTED_VALUE"""),"COMBERS")</f>
        <v>COMBERS</v>
      </c>
      <c r="B6" s="103">
        <v>5.0</v>
      </c>
      <c r="C6" s="183">
        <f t="shared" si="1"/>
        <v>443.5883162</v>
      </c>
      <c r="D6" s="124" t="str">
        <f>VLOOKUP(A6,'Classement Surp'!$B$2:$B$149,1,0)</f>
        <v>COMBERS</v>
      </c>
      <c r="E6" s="125" t="str">
        <f t="shared" si="2"/>
        <v/>
      </c>
      <c r="F6" s="120" t="str">
        <f>VLOOKUP(A6,'Classement Général'!$B$2:$B$146,1,0)</f>
        <v>COMBERS</v>
      </c>
    </row>
    <row r="7" ht="14.25" customHeight="1">
      <c r="A7" s="118" t="str">
        <f>IFERROR(__xludf.DUMMYFUNCTION("""COMPUTED_VALUE"""),"cassius-86")</f>
        <v>cassius-86</v>
      </c>
      <c r="B7" s="103">
        <v>6.0</v>
      </c>
      <c r="C7" s="183">
        <f t="shared" si="1"/>
        <v>416.1173819</v>
      </c>
      <c r="D7" s="124" t="str">
        <f>VLOOKUP(A7,'Classement Surp'!$B$2:$B$149,1,0)</f>
        <v>cassius-86</v>
      </c>
      <c r="E7" s="125" t="str">
        <f t="shared" si="2"/>
        <v/>
      </c>
      <c r="F7" s="120" t="str">
        <f>VLOOKUP(A7,'Classement Général'!$B$2:$B$146,1,0)</f>
        <v>cassius-86</v>
      </c>
    </row>
    <row r="8" ht="14.25" customHeight="1">
      <c r="A8" s="118" t="str">
        <f>IFERROR(__xludf.DUMMYFUNCTION("""COMPUTED_VALUE"""),"Bratake")</f>
        <v>Bratake</v>
      </c>
      <c r="B8" s="103">
        <v>7.0</v>
      </c>
      <c r="C8" s="183">
        <f t="shared" si="1"/>
        <v>392.9716947</v>
      </c>
      <c r="D8" s="124" t="str">
        <f>VLOOKUP(A8,'Classement Surp'!$B$2:$B$149,1,0)</f>
        <v>Bratake</v>
      </c>
      <c r="E8" s="125" t="str">
        <f t="shared" si="2"/>
        <v/>
      </c>
      <c r="F8" s="120" t="str">
        <f>VLOOKUP(A8,'Classement Général'!$B$2:$B$146,1,0)</f>
        <v>Bratake</v>
      </c>
    </row>
    <row r="9" ht="14.25" customHeight="1">
      <c r="A9" s="118" t="str">
        <f>IFERROR(__xludf.DUMMYFUNCTION("""COMPUTED_VALUE"""),"Butterfly-as")</f>
        <v>Butterfly-as</v>
      </c>
      <c r="B9" s="103">
        <v>8.0</v>
      </c>
      <c r="C9" s="183">
        <f t="shared" si="1"/>
        <v>372.8986036</v>
      </c>
      <c r="D9" s="124" t="str">
        <f>VLOOKUP(A9,'Classement Surp'!$B$2:$B$149,1,0)</f>
        <v>Butterfly-as</v>
      </c>
      <c r="E9" s="125" t="str">
        <f t="shared" si="2"/>
        <v/>
      </c>
      <c r="F9" s="120" t="str">
        <f>VLOOKUP(A9,'Classement Général'!$B$2:$B$146,1,0)</f>
        <v>Butterfly-as</v>
      </c>
    </row>
    <row r="10" ht="14.25" customHeight="1">
      <c r="A10" s="118" t="str">
        <f>IFERROR(__xludf.DUMMYFUNCTION("""COMPUTED_VALUE"""),"Elfy")</f>
        <v>Elfy</v>
      </c>
      <c r="B10" s="103">
        <v>9.0</v>
      </c>
      <c r="C10" s="183">
        <f t="shared" si="1"/>
        <v>355.1153612</v>
      </c>
      <c r="D10" s="124" t="str">
        <f>VLOOKUP(A10,'Classement Surp'!$B$2:$B$149,1,0)</f>
        <v>Elfy</v>
      </c>
      <c r="E10" s="125" t="str">
        <f t="shared" si="2"/>
        <v/>
      </c>
      <c r="F10" s="120" t="str">
        <f>VLOOKUP(A10,'Classement Général'!$B$2:$B$146,1,0)</f>
        <v>Elfy</v>
      </c>
    </row>
    <row r="11" ht="14.25" customHeight="1">
      <c r="A11" s="118" t="str">
        <f>IFERROR(__xludf.DUMMYFUNCTION("""COMPUTED_VALUE"""),"8kinder6")</f>
        <v>8kinder6</v>
      </c>
      <c r="B11" s="103">
        <v>10.0</v>
      </c>
      <c r="C11" s="183">
        <f t="shared" si="1"/>
        <v>339.101659</v>
      </c>
      <c r="D11" s="124" t="str">
        <f>VLOOKUP(A11,'Classement Surp'!$B$2:$B$149,1,0)</f>
        <v>8kinder6</v>
      </c>
      <c r="E11" s="125" t="str">
        <f t="shared" si="2"/>
        <v/>
      </c>
      <c r="F11" s="120" t="str">
        <f>VLOOKUP(A11,'Classement Général'!$B$2:$B$146,1,0)</f>
        <v>8kinder6</v>
      </c>
    </row>
    <row r="12" ht="14.25" customHeight="1">
      <c r="A12" s="118" t="str">
        <f>IFERROR(__xludf.DUMMYFUNCTION("""COMPUTED_VALUE"""),"Jennyyy8")</f>
        <v>Jennyyy8</v>
      </c>
      <c r="B12" s="103">
        <v>11.0</v>
      </c>
      <c r="C12" s="183">
        <f t="shared" si="1"/>
        <v>324.4948577</v>
      </c>
      <c r="D12" s="124" t="str">
        <f>VLOOKUP(A12,'Classement Surp'!$B$2:$B$149,1,0)</f>
        <v>Jennyyy8</v>
      </c>
      <c r="E12" s="125" t="str">
        <f t="shared" si="2"/>
        <v/>
      </c>
      <c r="F12" s="120" t="str">
        <f>VLOOKUP(A12,'Classement Général'!$B$2:$B$146,1,0)</f>
        <v>Jennyyy8</v>
      </c>
    </row>
    <row r="13" ht="14.25" customHeight="1">
      <c r="A13" s="118" t="str">
        <f>IFERROR(__xludf.DUMMYFUNCTION("""COMPUTED_VALUE"""),"LEGOLEGOTE")</f>
        <v>LEGOLEGOTE</v>
      </c>
      <c r="B13" s="103">
        <v>12.0</v>
      </c>
      <c r="C13" s="183">
        <f t="shared" si="1"/>
        <v>311.0325465</v>
      </c>
      <c r="D13" s="124" t="str">
        <f>VLOOKUP(A13,'Classement Surp'!$B$2:$B$149,1,0)</f>
        <v>LEGOLEGOTE</v>
      </c>
      <c r="E13" s="125" t="str">
        <f t="shared" si="2"/>
        <v/>
      </c>
      <c r="F13" s="120" t="str">
        <f>VLOOKUP(A13,'Classement Général'!$B$2:$B$146,1,0)</f>
        <v>LEGOLEGOTE</v>
      </c>
    </row>
    <row r="14" ht="14.25" customHeight="1">
      <c r="A14" s="118" t="str">
        <f>IFERROR(__xludf.DUMMYFUNCTION("""COMPUTED_VALUE"""),"Patgaret")</f>
        <v>Patgaret</v>
      </c>
      <c r="B14" s="103">
        <v>13.0</v>
      </c>
      <c r="C14" s="183">
        <f t="shared" si="1"/>
        <v>298.518967</v>
      </c>
      <c r="D14" s="124" t="str">
        <f>VLOOKUP(A14,'Classement Surp'!$B$2:$B$149,1,0)</f>
        <v>Patgaret</v>
      </c>
      <c r="E14" s="125" t="str">
        <f t="shared" si="2"/>
        <v/>
      </c>
      <c r="F14" s="120" t="str">
        <f>VLOOKUP(A14,'Classement Général'!$B$2:$B$146,1,0)</f>
        <v>Patgaret</v>
      </c>
    </row>
    <row r="15" ht="14.25" customHeight="1">
      <c r="A15" s="118" t="str">
        <f>IFERROR(__xludf.DUMMYFUNCTION("""COMPUTED_VALUE"""),"KamehamehAS")</f>
        <v>KamehamehAS</v>
      </c>
      <c r="B15" s="103">
        <v>14.0</v>
      </c>
      <c r="C15" s="183">
        <f t="shared" si="1"/>
        <v>286.8043493</v>
      </c>
      <c r="D15" s="124" t="str">
        <f>VLOOKUP(A15,'Classement Surp'!$B$2:$B$149,1,0)</f>
        <v>KamehamehAS</v>
      </c>
      <c r="E15" s="125" t="str">
        <f t="shared" si="2"/>
        <v/>
      </c>
      <c r="F15" s="120" t="str">
        <f>VLOOKUP(A15,'Classement Général'!$B$2:$B$146,1,0)</f>
        <v>KamehamehAS</v>
      </c>
    </row>
    <row r="16" ht="14.25" customHeight="1">
      <c r="A16" s="118" t="str">
        <f>IFERROR(__xludf.DUMMYFUNCTION("""COMPUTED_VALUE"""),"karibette86")</f>
        <v>karibette86</v>
      </c>
      <c r="B16" s="103">
        <v>15.0</v>
      </c>
      <c r="C16" s="183">
        <f t="shared" si="1"/>
        <v>275.7716447</v>
      </c>
      <c r="D16" s="124" t="str">
        <f>VLOOKUP(A16,'Classement Surp'!$B$2:$B$149,1,0)</f>
        <v>karibette86</v>
      </c>
      <c r="E16" s="125" t="str">
        <f t="shared" si="2"/>
        <v/>
      </c>
      <c r="F16" s="120" t="str">
        <f>VLOOKUP(A16,'Classement Général'!$B$2:$B$146,1,0)</f>
        <v>karibette86</v>
      </c>
    </row>
    <row r="17" ht="14.25" customHeight="1">
      <c r="A17" s="118" t="str">
        <f>IFERROR(__xludf.DUMMYFUNCTION("""COMPUTED_VALUE"""),"PrendmAmAin")</f>
        <v>PrendmAmAin</v>
      </c>
      <c r="B17" s="103">
        <v>16.0</v>
      </c>
      <c r="C17" s="183">
        <f t="shared" si="1"/>
        <v>265.3276992</v>
      </c>
      <c r="D17" s="124" t="str">
        <f>VLOOKUP(A17,'Classement Surp'!$B$2:$B$149,1,0)</f>
        <v>PrendmAmAin</v>
      </c>
      <c r="E17" s="125" t="str">
        <f t="shared" si="2"/>
        <v/>
      </c>
      <c r="F17" s="120" t="str">
        <f>VLOOKUP(A17,'Classement Général'!$B$2:$B$146,1,0)</f>
        <v>PrendmAmAin</v>
      </c>
    </row>
    <row r="18" ht="14.25" customHeight="1">
      <c r="A18" s="118" t="str">
        <f>IFERROR(__xludf.DUMMYFUNCTION("""COMPUTED_VALUE"""),"ariba")</f>
        <v>ariba</v>
      </c>
      <c r="B18" s="103">
        <v>17.0</v>
      </c>
      <c r="C18" s="183">
        <f t="shared" si="1"/>
        <v>255.3972022</v>
      </c>
      <c r="D18" s="124" t="str">
        <f>VLOOKUP(A18,'Classement Surp'!$B$2:$B$149,1,0)</f>
        <v>ariba</v>
      </c>
      <c r="E18" s="125" t="str">
        <f t="shared" si="2"/>
        <v/>
      </c>
      <c r="F18" s="120" t="str">
        <f>VLOOKUP(A18,'Classement Général'!$B$2:$B$146,1,0)</f>
        <v>ariba</v>
      </c>
    </row>
    <row r="19" ht="14.25" customHeight="1">
      <c r="A19" s="118" t="str">
        <f>IFERROR(__xludf.DUMMYFUNCTION("""COMPUTED_VALUE"""),"FridAKahlo")</f>
        <v>FridAKahlo</v>
      </c>
      <c r="B19" s="103">
        <v>18.0</v>
      </c>
      <c r="C19" s="183">
        <f t="shared" si="1"/>
        <v>245.9184282</v>
      </c>
      <c r="D19" s="124" t="str">
        <f>VLOOKUP(A19,'Classement Surp'!$B$2:$B$149,1,0)</f>
        <v>FridAKahlo</v>
      </c>
      <c r="E19" s="125" t="str">
        <f t="shared" si="2"/>
        <v/>
      </c>
      <c r="F19" s="120" t="str">
        <f>VLOOKUP(A19,'Classement Général'!$B$2:$B$146,1,0)</f>
        <v>FridAKahlo</v>
      </c>
    </row>
    <row r="20" ht="14.25" customHeight="1">
      <c r="A20" s="118" t="str">
        <f>IFERROR(__xludf.DUMMYFUNCTION("""COMPUTED_VALUE"""),"kiki86 x")</f>
        <v>kiki86 x</v>
      </c>
      <c r="B20" s="103">
        <v>19.0</v>
      </c>
      <c r="C20" s="183">
        <f t="shared" si="1"/>
        <v>236.8401714</v>
      </c>
      <c r="D20" s="124" t="str">
        <f>VLOOKUP(A20,'Classement Surp'!$B$2:$B$149,1,0)</f>
        <v>kiki86 x</v>
      </c>
      <c r="E20" s="125" t="str">
        <f t="shared" si="2"/>
        <v/>
      </c>
      <c r="F20" s="120" t="str">
        <f>VLOOKUP(A20,'Classement Général'!$B$2:$B$146,1,0)</f>
        <v>kiki86 x</v>
      </c>
    </row>
    <row r="21" ht="14.25" customHeight="1">
      <c r="A21" s="118" t="str">
        <f>IFERROR(__xludf.DUMMYFUNCTION("""COMPUTED_VALUE"""),"Dirty Bazaar")</f>
        <v>Dirty Bazaar</v>
      </c>
      <c r="B21" s="103">
        <v>20.0</v>
      </c>
      <c r="C21" s="183">
        <f t="shared" si="1"/>
        <v>228.1194956</v>
      </c>
      <c r="D21" s="124" t="str">
        <f>VLOOKUP(A21,'Classement Surp'!$B$2:$B$149,1,0)</f>
        <v>Dirty Bazaar</v>
      </c>
      <c r="E21" s="125" t="str">
        <f t="shared" si="2"/>
        <v/>
      </c>
      <c r="F21" s="120" t="str">
        <f>VLOOKUP(A21,'Classement Général'!$B$2:$B$146,1,0)</f>
        <v>Dirty Bazaar</v>
      </c>
    </row>
    <row r="22" ht="14.25" customHeight="1">
      <c r="A22" s="118" t="str">
        <f>IFERROR(__xludf.DUMMYFUNCTION("""COMPUTED_VALUE"""),"UnPetitJaune")</f>
        <v>UnPetitJaune</v>
      </c>
      <c r="B22" s="103">
        <v>21.0</v>
      </c>
      <c r="C22" s="183">
        <f t="shared" si="1"/>
        <v>219.7200522</v>
      </c>
      <c r="D22" s="124" t="str">
        <f>VLOOKUP(A22,'Classement Surp'!$B$2:$B$149,1,0)</f>
        <v>UnPetitJaune</v>
      </c>
      <c r="E22" s="125" t="str">
        <f t="shared" si="2"/>
        <v/>
      </c>
      <c r="F22" s="120" t="str">
        <f>VLOOKUP(A22,'Classement Général'!$B$2:$B$146,1,0)</f>
        <v>UnPetitJaune</v>
      </c>
    </row>
    <row r="23" ht="14.25" customHeight="1">
      <c r="A23" s="118" t="str">
        <f>IFERROR(__xludf.DUMMYFUNCTION("""COMPUTED_VALUE"""),"AKlibur")</f>
        <v>AKlibur</v>
      </c>
      <c r="B23" s="103">
        <v>22.0</v>
      </c>
      <c r="C23" s="183">
        <f t="shared" si="1"/>
        <v>211.6108037</v>
      </c>
      <c r="D23" s="124" t="str">
        <f>VLOOKUP(A23,'Classement Surp'!$B$2:$B$149,1,0)</f>
        <v>AKlibur</v>
      </c>
      <c r="E23" s="125" t="str">
        <f t="shared" si="2"/>
        <v/>
      </c>
      <c r="F23" s="120" t="str">
        <f>VLOOKUP(A23,'Classement Général'!$B$2:$B$146,1,0)</f>
        <v>AKlibur</v>
      </c>
    </row>
    <row r="24" ht="14.25" customHeight="1">
      <c r="A24" s="118" t="str">
        <f>IFERROR(__xludf.DUMMYFUNCTION("""COMPUTED_VALUE"""),"amsteroide ")</f>
        <v>amsteroide </v>
      </c>
      <c r="B24" s="103">
        <v>23.0</v>
      </c>
      <c r="C24" s="183">
        <f t="shared" si="1"/>
        <v>203.7650405</v>
      </c>
      <c r="D24" s="124" t="str">
        <f>VLOOKUP(A24,'Classement Surp'!$B$2:$B$149,1,0)</f>
        <v>amsteroide </v>
      </c>
      <c r="E24" s="125" t="str">
        <f t="shared" si="2"/>
        <v/>
      </c>
      <c r="F24" s="120" t="str">
        <f>VLOOKUP(A24,'Classement Général'!$B$2:$B$146,1,0)</f>
        <v>amsteroide </v>
      </c>
    </row>
    <row r="25" ht="14.25" customHeight="1">
      <c r="A25" s="118" t="str">
        <f>IFERROR(__xludf.DUMMYFUNCTION("""COMPUTED_VALUE"""),"GooodJooob")</f>
        <v>GooodJooob</v>
      </c>
      <c r="B25" s="103">
        <v>24.0</v>
      </c>
      <c r="C25" s="183">
        <f t="shared" si="1"/>
        <v>196.159615</v>
      </c>
      <c r="D25" s="124" t="str">
        <f>VLOOKUP(A25,'Classement Surp'!$B$2:$B$149,1,0)</f>
        <v>GooodJooob</v>
      </c>
      <c r="E25" s="125" t="str">
        <f t="shared" si="2"/>
        <v/>
      </c>
      <c r="F25" s="120" t="str">
        <f>VLOOKUP(A25,'Classement Général'!$B$2:$B$146,1,0)</f>
        <v>GooodJooob</v>
      </c>
    </row>
    <row r="26" ht="14.25" customHeight="1">
      <c r="A26" s="118" t="str">
        <f>IFERROR(__xludf.DUMMYFUNCTION("""COMPUTED_VALUE"""),"immond")</f>
        <v>immond</v>
      </c>
      <c r="B26" s="103">
        <v>25.0</v>
      </c>
      <c r="C26" s="183">
        <f t="shared" si="1"/>
        <v>188.7743364</v>
      </c>
      <c r="D26" s="124" t="str">
        <f>VLOOKUP(A26,'Classement Surp'!$B$2:$B$149,1,0)</f>
        <v>immond</v>
      </c>
      <c r="E26" s="125" t="str">
        <f t="shared" si="2"/>
        <v/>
      </c>
      <c r="F26" s="120" t="str">
        <f>VLOOKUP(A26,'Classement Général'!$B$2:$B$146,1,0)</f>
        <v>immond</v>
      </c>
    </row>
    <row r="27" ht="14.25" customHeight="1">
      <c r="A27" s="118" t="str">
        <f>IFERROR(__xludf.DUMMYFUNCTION("""COMPUTED_VALUE"""),"_VisMaVie_")</f>
        <v>_VisMaVie_</v>
      </c>
      <c r="B27" s="103">
        <v>26.0</v>
      </c>
      <c r="C27" s="183">
        <f t="shared" si="1"/>
        <v>181.5914892</v>
      </c>
      <c r="D27" s="124" t="str">
        <f>VLOOKUP(A27,'Classement Surp'!$B$2:$B$149,1,0)</f>
        <v>_VisMaVie_</v>
      </c>
      <c r="E27" s="125" t="str">
        <f t="shared" si="2"/>
        <v/>
      </c>
      <c r="F27" s="120" t="str">
        <f>VLOOKUP(A27,'Classement Général'!$B$2:$B$146,1,0)</f>
        <v>_VisMaVie_</v>
      </c>
    </row>
    <row r="28" ht="14.25" customHeight="1">
      <c r="A28" s="118" t="str">
        <f>IFERROR(__xludf.DUMMYFUNCTION("""COMPUTED_VALUE"""),"lifeofpark")</f>
        <v>lifeofpark</v>
      </c>
      <c r="B28" s="103">
        <v>27.0</v>
      </c>
      <c r="C28" s="183">
        <f t="shared" si="1"/>
        <v>174.5954449</v>
      </c>
      <c r="D28" s="124" t="str">
        <f>VLOOKUP(A28,'Classement Surp'!$B$2:$B$149,1,0)</f>
        <v>lifeofpark</v>
      </c>
      <c r="E28" s="125" t="str">
        <f t="shared" si="2"/>
        <v/>
      </c>
      <c r="F28" s="120" t="str">
        <f>VLOOKUP(A28,'Classement Général'!$B$2:$B$146,1,0)</f>
        <v>lifeofpark</v>
      </c>
    </row>
    <row r="29" ht="14.25" customHeight="1">
      <c r="A29" s="118" t="str">
        <f>IFERROR(__xludf.DUMMYFUNCTION("""COMPUTED_VALUE"""),"Rod_John_VI")</f>
        <v>Rod_John_VI</v>
      </c>
      <c r="B29" s="103">
        <v>28.0</v>
      </c>
      <c r="C29" s="183">
        <f t="shared" si="1"/>
        <v>167.7723473</v>
      </c>
      <c r="D29" s="124" t="str">
        <f>VLOOKUP(A29,'Classement Surp'!$B$2:$B$149,1,0)</f>
        <v>Rod_John_VI</v>
      </c>
      <c r="E29" s="125" t="str">
        <f t="shared" si="2"/>
        <v/>
      </c>
      <c r="F29" s="120" t="str">
        <f>VLOOKUP(A29,'Classement Général'!$B$2:$B$146,1,0)</f>
        <v>Rod_John_VI</v>
      </c>
    </row>
    <row r="30" ht="14.25" customHeight="1">
      <c r="A30" s="118" t="str">
        <f>IFERROR(__xludf.DUMMYFUNCTION("""COMPUTED_VALUE"""),"christ86000")</f>
        <v>christ86000</v>
      </c>
      <c r="B30" s="103">
        <v>29.0</v>
      </c>
      <c r="C30" s="183">
        <f t="shared" si="1"/>
        <v>161.1098542</v>
      </c>
      <c r="D30" s="124" t="str">
        <f>VLOOKUP(A30,'Classement Surp'!$B$2:$B$149,1,0)</f>
        <v>christ86000</v>
      </c>
      <c r="E30" s="125" t="str">
        <f t="shared" si="2"/>
        <v/>
      </c>
      <c r="F30" s="120" t="str">
        <f>VLOOKUP(A30,'Classement Général'!$B$2:$B$146,1,0)</f>
        <v>christ86000</v>
      </c>
    </row>
    <row r="31" ht="14.25" customHeight="1">
      <c r="A31" s="118" t="str">
        <f>IFERROR(__xludf.DUMMYFUNCTION("""COMPUTED_VALUE"""),"Fistipanda")</f>
        <v>Fistipanda</v>
      </c>
      <c r="B31" s="103">
        <v>30.0</v>
      </c>
      <c r="C31" s="183">
        <f t="shared" si="1"/>
        <v>154.596925</v>
      </c>
      <c r="D31" s="124" t="str">
        <f>VLOOKUP(A31,'Classement Surp'!$B$2:$B$149,1,0)</f>
        <v>Fistipanda</v>
      </c>
      <c r="E31" s="125" t="str">
        <f t="shared" si="2"/>
        <v/>
      </c>
      <c r="F31" s="120" t="str">
        <f>VLOOKUP(A31,'Classement Général'!$B$2:$B$146,1,0)</f>
        <v>Fistipanda</v>
      </c>
    </row>
    <row r="32" ht="14.25" customHeight="1">
      <c r="A32" s="118" t="str">
        <f>IFERROR(__xludf.DUMMYFUNCTION("""COMPUTED_VALUE"""),"Anais ")</f>
        <v>Anais </v>
      </c>
      <c r="B32" s="103">
        <v>31.0</v>
      </c>
      <c r="C32" s="183">
        <f t="shared" si="1"/>
        <v>148.2236435</v>
      </c>
      <c r="D32" s="124" t="str">
        <f>VLOOKUP(A32,'Classement Surp'!$B$2:$B$149,1,0)</f>
        <v>Anais </v>
      </c>
      <c r="E32" s="125" t="str">
        <f t="shared" si="2"/>
        <v/>
      </c>
      <c r="F32" s="120" t="str">
        <f>VLOOKUP(A32,'Classement Général'!$B$2:$B$146,1,0)</f>
        <v>Anais </v>
      </c>
    </row>
    <row r="33" ht="14.25" customHeight="1">
      <c r="A33" s="118" t="str">
        <f>IFERROR(__xludf.DUMMYFUNCTION("""COMPUTED_VALUE"""),"DonnesTchips")</f>
        <v>DonnesTchips</v>
      </c>
      <c r="B33" s="103">
        <v>32.0</v>
      </c>
      <c r="C33" s="183">
        <f t="shared" si="1"/>
        <v>141.9810707</v>
      </c>
      <c r="D33" s="124" t="str">
        <f>VLOOKUP(A33,'Classement Surp'!$B$2:$B$149,1,0)</f>
        <v>DonnesTchips</v>
      </c>
      <c r="E33" s="125" t="str">
        <f t="shared" si="2"/>
        <v/>
      </c>
      <c r="F33" s="120" t="str">
        <f>VLOOKUP(A33,'Classement Général'!$B$2:$B$146,1,0)</f>
        <v>DonnesTchips</v>
      </c>
    </row>
    <row r="34" ht="14.25" customHeight="1">
      <c r="A34" s="118" t="str">
        <f>IFERROR(__xludf.DUMMYFUNCTION("""COMPUTED_VALUE"""),"Marco ")</f>
        <v>Marco </v>
      </c>
      <c r="B34" s="103">
        <v>33.0</v>
      </c>
      <c r="C34" s="183">
        <f t="shared" si="1"/>
        <v>135.8611197</v>
      </c>
      <c r="D34" s="124" t="str">
        <f>VLOOKUP(A34,'Classement Surp'!$B$2:$B$149,1,0)</f>
        <v>Marco </v>
      </c>
      <c r="E34" s="125" t="str">
        <f t="shared" si="2"/>
        <v/>
      </c>
      <c r="F34" s="120" t="str">
        <f>VLOOKUP(A34,'Classement Général'!$B$2:$B$146,1,0)</f>
        <v>Marco </v>
      </c>
    </row>
    <row r="35" ht="14.25" customHeight="1">
      <c r="A35" s="118" t="str">
        <f>IFERROR(__xludf.DUMMYFUNCTION("""COMPUTED_VALUE"""),"PSGJM")</f>
        <v>PSGJM</v>
      </c>
      <c r="B35" s="103">
        <v>34.0</v>
      </c>
      <c r="C35" s="183">
        <f t="shared" si="1"/>
        <v>129.8564509</v>
      </c>
      <c r="D35" s="124" t="str">
        <f>VLOOKUP(A35,'Classement Surp'!$B$2:$B$149,1,0)</f>
        <v>PSGJM</v>
      </c>
      <c r="E35" s="125" t="str">
        <f t="shared" si="2"/>
        <v/>
      </c>
      <c r="F35" s="120" t="str">
        <f>VLOOKUP(A35,'Classement Général'!$B$2:$B$146,1,0)</f>
        <v>PSGJM</v>
      </c>
    </row>
    <row r="36" ht="14.25" customHeight="1">
      <c r="A36" s="118" t="str">
        <f>IFERROR(__xludf.DUMMYFUNCTION("""COMPUTED_VALUE"""),"vicmackey86")</f>
        <v>vicmackey86</v>
      </c>
      <c r="B36" s="103">
        <v>35.0</v>
      </c>
      <c r="C36" s="183">
        <f t="shared" si="1"/>
        <v>123.9603825</v>
      </c>
      <c r="D36" s="124" t="str">
        <f>VLOOKUP(A36,'Classement Surp'!$B$2:$B$149,1,0)</f>
        <v>vicmackey86</v>
      </c>
      <c r="E36" s="125" t="str">
        <f t="shared" si="2"/>
        <v/>
      </c>
      <c r="F36" s="120" t="str">
        <f>VLOOKUP(A36,'Classement Général'!$B$2:$B$146,1,0)</f>
        <v>vicmackey86</v>
      </c>
    </row>
    <row r="37" ht="14.25" customHeight="1">
      <c r="A37" s="118" t="str">
        <f>IFERROR(__xludf.DUMMYFUNCTION("""COMPUTED_VALUE"""),"Tontonzgueg")</f>
        <v>Tontonzgueg</v>
      </c>
      <c r="B37" s="103">
        <v>36.0</v>
      </c>
      <c r="C37" s="183">
        <f t="shared" si="1"/>
        <v>118.1668141</v>
      </c>
      <c r="D37" s="124" t="str">
        <f>VLOOKUP(A37,'Classement Surp'!$B$2:$B$149,1,0)</f>
        <v>TontonZgueg</v>
      </c>
      <c r="E37" s="125" t="str">
        <f t="shared" si="2"/>
        <v/>
      </c>
      <c r="F37" s="120" t="str">
        <f>VLOOKUP(A37,'Classement Général'!$B$2:$B$146,1,0)</f>
        <v>Tontonzgueg</v>
      </c>
    </row>
    <row r="38" ht="14.25" customHeight="1">
      <c r="A38" s="118" t="str">
        <f>IFERROR(__xludf.DUMMYFUNCTION("""COMPUTED_VALUE"""),"fiodor86")</f>
        <v>fiodor86</v>
      </c>
      <c r="B38" s="103">
        <v>37.0</v>
      </c>
      <c r="C38" s="183">
        <f t="shared" si="1"/>
        <v>112.4701606</v>
      </c>
      <c r="D38" s="124" t="str">
        <f>VLOOKUP(A38,'Classement Surp'!$B$2:$B$149,1,0)</f>
        <v>fiodor86</v>
      </c>
      <c r="E38" s="125" t="str">
        <f t="shared" si="2"/>
        <v/>
      </c>
      <c r="F38" s="120" t="str">
        <f>VLOOKUP(A38,'Classement Général'!$B$2:$B$146,1,0)</f>
        <v>fiodor86</v>
      </c>
    </row>
    <row r="39" ht="14.25" customHeight="1">
      <c r="A39" s="118" t="str">
        <f>IFERROR(__xludf.DUMMYFUNCTION("""COMPUTED_VALUE"""),"Manon")</f>
        <v>Manon</v>
      </c>
      <c r="B39" s="103">
        <v>38.0</v>
      </c>
      <c r="C39" s="183">
        <f t="shared" si="1"/>
        <v>106.8652957</v>
      </c>
      <c r="D39" s="124" t="str">
        <f>VLOOKUP(A39,'Classement Surp'!$B$2:$B$149,1,0)</f>
        <v>Manon</v>
      </c>
      <c r="E39" s="125" t="str">
        <f t="shared" si="2"/>
        <v/>
      </c>
      <c r="F39" s="120" t="str">
        <f>VLOOKUP(A39,'Classement Général'!$B$2:$B$146,1,0)</f>
        <v>Manon</v>
      </c>
    </row>
    <row r="40" ht="14.25" customHeight="1">
      <c r="A40" s="118" t="str">
        <f>IFERROR(__xludf.DUMMYFUNCTION("""COMPUTED_VALUE"""),"NOVICEMYSTIC")</f>
        <v>NOVICEMYSTIC</v>
      </c>
      <c r="B40" s="103">
        <v>39.0</v>
      </c>
      <c r="C40" s="183">
        <f t="shared" si="1"/>
        <v>101.347503</v>
      </c>
      <c r="D40" s="124" t="str">
        <f>VLOOKUP(A40,'Classement Surp'!$B$2:$B$149,1,0)</f>
        <v>NOVICEMYSTIC</v>
      </c>
      <c r="E40" s="125" t="str">
        <f t="shared" si="2"/>
        <v/>
      </c>
      <c r="F40" s="120" t="str">
        <f>VLOOKUP(A40,'Classement Général'!$B$2:$B$146,1,0)</f>
        <v>NOVICEMYSTIC</v>
      </c>
    </row>
    <row r="41" ht="14.25" customHeight="1">
      <c r="A41" s="118" t="str">
        <f>IFERROR(__xludf.DUMMYFUNCTION("""COMPUTED_VALUE"""),"Manu8671")</f>
        <v>Manu8671</v>
      </c>
      <c r="B41" s="103">
        <v>40.0</v>
      </c>
      <c r="C41" s="183">
        <f t="shared" si="1"/>
        <v>95.91243304</v>
      </c>
      <c r="D41" s="124" t="str">
        <f>VLOOKUP(A41,'Classement Surp'!$B$2:$B$149,1,0)</f>
        <v>Manu8671</v>
      </c>
      <c r="E41" s="125" t="str">
        <f t="shared" si="2"/>
        <v/>
      </c>
      <c r="F41" s="120" t="str">
        <f>VLOOKUP(A41,'Classement Général'!$B$2:$B$146,1,0)</f>
        <v>Manu8671</v>
      </c>
    </row>
    <row r="42" ht="14.25" customHeight="1">
      <c r="A42" s="118" t="str">
        <f>IFERROR(__xludf.DUMMYFUNCTION("""COMPUTED_VALUE"""),"rastamokett")</f>
        <v>rastamokett</v>
      </c>
      <c r="B42" s="103">
        <v>41.0</v>
      </c>
      <c r="C42" s="183">
        <f t="shared" si="1"/>
        <v>90.55606592</v>
      </c>
      <c r="D42" s="124" t="str">
        <f>VLOOKUP(A42,'Classement Surp'!$B$2:$B$149,1,0)</f>
        <v>rastamokett</v>
      </c>
      <c r="E42" s="125" t="str">
        <f t="shared" si="2"/>
        <v/>
      </c>
      <c r="F42" s="120" t="str">
        <f>VLOOKUP(A42,'Classement Général'!$B$2:$B$146,1,0)</f>
        <v>rastamokett</v>
      </c>
    </row>
    <row r="43" ht="14.25" customHeight="1">
      <c r="A43" s="118" t="str">
        <f>IFERROR(__xludf.DUMMYFUNCTION("""COMPUTED_VALUE"""),"Titounio")</f>
        <v>Titounio</v>
      </c>
      <c r="B43" s="103">
        <v>42.0</v>
      </c>
      <c r="C43" s="183">
        <f t="shared" si="1"/>
        <v>85.27467889</v>
      </c>
      <c r="D43" s="124" t="str">
        <f>VLOOKUP(A43,'Classement Surp'!$B$2:$B$149,1,0)</f>
        <v>titounio</v>
      </c>
      <c r="E43" s="125" t="str">
        <f t="shared" si="2"/>
        <v/>
      </c>
      <c r="F43" s="120" t="str">
        <f>VLOOKUP(A43,'Classement Général'!$B$2:$B$146,1,0)</f>
        <v>Titounio</v>
      </c>
    </row>
    <row r="44" ht="14.25" customHeight="1">
      <c r="A44" s="118" t="str">
        <f>IFERROR(__xludf.DUMMYFUNCTION("""COMPUTED_VALUE"""),"Belussac")</f>
        <v>Belussac</v>
      </c>
      <c r="B44" s="103">
        <v>43.0</v>
      </c>
      <c r="C44" s="183">
        <f t="shared" si="1"/>
        <v>80.06481743</v>
      </c>
      <c r="D44" s="124" t="str">
        <f>VLOOKUP(A44,'Classement Surp'!$B$2:$B$149,1,0)</f>
        <v>belussac</v>
      </c>
      <c r="E44" s="125" t="str">
        <f t="shared" si="2"/>
        <v/>
      </c>
      <c r="F44" s="120" t="str">
        <f>VLOOKUP(A44,'Classement Général'!$B$2:$B$146,1,0)</f>
        <v>belussac</v>
      </c>
    </row>
    <row r="45" ht="14.25" customHeight="1">
      <c r="A45" s="118" t="str">
        <f>IFERROR(__xludf.DUMMYFUNCTION("""COMPUTED_VALUE"""),"Marypops64")</f>
        <v>Marypops64</v>
      </c>
      <c r="B45" s="103">
        <v>44.0</v>
      </c>
      <c r="C45" s="183">
        <f t="shared" si="1"/>
        <v>74.92326999</v>
      </c>
      <c r="D45" s="124" t="str">
        <f>VLOOKUP(A45,'Classement Surp'!$B$2:$B$149,1,0)</f>
        <v>marypops64</v>
      </c>
      <c r="E45" s="125" t="str">
        <f t="shared" si="2"/>
        <v/>
      </c>
      <c r="F45" s="120" t="str">
        <f>VLOOKUP(A45,'Classement Général'!$B$2:$B$146,1,0)</f>
        <v>marypops64</v>
      </c>
    </row>
    <row r="46" ht="14.25" customHeight="1">
      <c r="A46" s="118" t="str">
        <f>IFERROR(__xludf.DUMMYFUNCTION("""COMPUTED_VALUE"""),"BBH 75")</f>
        <v>BBH 75</v>
      </c>
      <c r="B46" s="103">
        <v>45.0</v>
      </c>
      <c r="C46" s="183">
        <f t="shared" si="1"/>
        <v>69.84704557</v>
      </c>
      <c r="D46" s="124" t="str">
        <f>VLOOKUP(A46,'Classement Surp'!$B$2:$B$149,1,0)</f>
        <v>BBH 75</v>
      </c>
      <c r="E46" s="125" t="str">
        <f t="shared" si="2"/>
        <v/>
      </c>
      <c r="F46" s="120" t="str">
        <f>VLOOKUP(A46,'Classement Général'!$B$2:$B$146,1,0)</f>
        <v>BBH 75</v>
      </c>
    </row>
    <row r="47" ht="14.25" customHeight="1">
      <c r="A47" s="118" t="str">
        <f>IFERROR(__xludf.DUMMYFUNCTION("""COMPUTED_VALUE"""),"Gabus ")</f>
        <v>Gabus </v>
      </c>
      <c r="B47" s="103">
        <v>46.0</v>
      </c>
      <c r="C47" s="183">
        <f t="shared" si="1"/>
        <v>64.83335379</v>
      </c>
      <c r="D47" s="124" t="str">
        <f>VLOOKUP(A47,'Classement Surp'!$B$2:$B$149,1,0)</f>
        <v>Gabus </v>
      </c>
      <c r="E47" s="125" t="str">
        <f t="shared" si="2"/>
        <v/>
      </c>
      <c r="F47" s="120" t="str">
        <f>VLOOKUP(A47,'Classement Général'!$B$2:$B$146,1,0)</f>
        <v>#N/A</v>
      </c>
    </row>
    <row r="48" ht="14.25" customHeight="1">
      <c r="A48" s="118" t="str">
        <f>IFERROR(__xludf.DUMMYFUNCTION("""COMPUTED_VALUE"""),"Sab86360")</f>
        <v>Sab86360</v>
      </c>
      <c r="B48" s="103">
        <v>47.0</v>
      </c>
      <c r="C48" s="183">
        <f t="shared" si="1"/>
        <v>59.87958724</v>
      </c>
      <c r="D48" s="124" t="str">
        <f>VLOOKUP(A48,'Classement Surp'!$B$2:$B$149,1,0)</f>
        <v>Sab86360</v>
      </c>
      <c r="E48" s="125" t="str">
        <f t="shared" si="2"/>
        <v/>
      </c>
      <c r="F48" s="120" t="str">
        <f>VLOOKUP(A48,'Classement Général'!$B$2:$B$146,1,0)</f>
        <v>Sab86360</v>
      </c>
    </row>
    <row r="49" ht="14.25" customHeight="1">
      <c r="A49" s="118" t="str">
        <f>IFERROR(__xludf.DUMMYFUNCTION("""COMPUTED_VALUE"""),"Vaillant 86")</f>
        <v>Vaillant 86</v>
      </c>
      <c r="B49" s="103">
        <v>48.0</v>
      </c>
      <c r="C49" s="183">
        <f t="shared" si="1"/>
        <v>54.9833057</v>
      </c>
      <c r="D49" s="124" t="str">
        <f>VLOOKUP(A49,'Classement Surp'!$B$2:$B$149,1,0)</f>
        <v>Vaillant 86</v>
      </c>
      <c r="E49" s="125" t="str">
        <f t="shared" si="2"/>
        <v/>
      </c>
      <c r="F49" s="120" t="str">
        <f>VLOOKUP(A49,'Classement Général'!$B$2:$B$146,1,0)</f>
        <v>Vaillant 86</v>
      </c>
    </row>
    <row r="50" ht="14.25" customHeight="1">
      <c r="A50" s="118" t="str">
        <f>IFERROR(__xludf.DUMMYFUNCTION("""COMPUTED_VALUE"""),"Mako Lemore")</f>
        <v>Mako Lemore</v>
      </c>
      <c r="B50" s="103">
        <v>49.0</v>
      </c>
      <c r="C50" s="183">
        <f t="shared" si="1"/>
        <v>50.142222</v>
      </c>
      <c r="D50" s="124" t="str">
        <f>VLOOKUP(A50,'Classement Surp'!$B$2:$B$149,1,0)</f>
        <v>Mako Lemore</v>
      </c>
      <c r="E50" s="125" t="str">
        <f t="shared" si="2"/>
        <v/>
      </c>
      <c r="F50" s="120" t="str">
        <f>VLOOKUP(A50,'Classement Général'!$B$2:$B$146,1,0)</f>
        <v>Mako Lemore</v>
      </c>
    </row>
    <row r="51" ht="14.25" customHeight="1">
      <c r="A51" s="118" t="str">
        <f>IFERROR(__xludf.DUMMYFUNCTION("""COMPUTED_VALUE"""),"Kevfurious")</f>
        <v>Kevfurious</v>
      </c>
      <c r="B51" s="103">
        <v>50.0</v>
      </c>
      <c r="C51" s="183">
        <f t="shared" si="1"/>
        <v>45.35418937</v>
      </c>
      <c r="D51" s="124" t="str">
        <f>VLOOKUP(A51,'Classement Surp'!$B$2:$B$149,1,0)</f>
        <v>Kevfurious</v>
      </c>
      <c r="E51" s="125" t="str">
        <f t="shared" si="2"/>
        <v/>
      </c>
      <c r="F51" s="120" t="str">
        <f>VLOOKUP(A51,'Classement Général'!$B$2:$B$146,1,0)</f>
        <v>Kevfurious</v>
      </c>
    </row>
    <row r="52" ht="14.25" customHeight="1">
      <c r="A52" s="118" t="str">
        <f>IFERROR(__xludf.DUMMYFUNCTION("""COMPUTED_VALUE"""),"m86600b")</f>
        <v>m86600b</v>
      </c>
      <c r="B52" s="103">
        <v>51.0</v>
      </c>
      <c r="C52" s="183">
        <f t="shared" si="1"/>
        <v>40.6171901</v>
      </c>
      <c r="D52" s="124" t="str">
        <f>VLOOKUP(A52,'Classement Surp'!$B$2:$B$149,1,0)</f>
        <v>m86600b</v>
      </c>
      <c r="E52" s="125" t="str">
        <f t="shared" si="2"/>
        <v/>
      </c>
      <c r="F52" s="120" t="str">
        <f>VLOOKUP(A52,'Classement Général'!$B$2:$B$146,1,0)</f>
        <v>m86600b</v>
      </c>
    </row>
    <row r="53" ht="14.25" customHeight="1">
      <c r="A53" s="118" t="str">
        <f>IFERROR(__xludf.DUMMYFUNCTION("""COMPUTED_VALUE"""),"gregmoore")</f>
        <v>gregmoore</v>
      </c>
      <c r="B53" s="103">
        <v>52.0</v>
      </c>
      <c r="C53" s="183">
        <f t="shared" si="1"/>
        <v>35.92932525</v>
      </c>
      <c r="D53" s="124" t="str">
        <f>VLOOKUP(A53,'Classement Surp'!$B$2:$B$149,1,0)</f>
        <v>gregmoore</v>
      </c>
      <c r="E53" s="125" t="str">
        <f t="shared" si="2"/>
        <v/>
      </c>
      <c r="F53" s="120" t="str">
        <f>VLOOKUP(A53,'Classement Général'!$B$2:$B$146,1,0)</f>
        <v>gregmoore</v>
      </c>
    </row>
    <row r="54" ht="14.25" customHeight="1">
      <c r="A54" s="118" t="str">
        <f>IFERROR(__xludf.DUMMYFUNCTION("""COMPUTED_VALUE"""),"NezuKO-demon")</f>
        <v>NezuKO-demon</v>
      </c>
      <c r="B54" s="103">
        <v>53.0</v>
      </c>
      <c r="C54" s="183">
        <f t="shared" si="1"/>
        <v>31.28880544</v>
      </c>
      <c r="D54" s="124" t="str">
        <f>VLOOKUP(A54,'Classement Surp'!$B$2:$B$149,1,0)</f>
        <v>NezuKO-demon</v>
      </c>
      <c r="E54" s="125" t="str">
        <f t="shared" si="2"/>
        <v/>
      </c>
      <c r="F54" s="120" t="str">
        <f>VLOOKUP(A54,'Classement Général'!$B$2:$B$146,1,0)</f>
        <v>NezuKO-demon</v>
      </c>
    </row>
    <row r="55" ht="14.25" customHeight="1">
      <c r="A55" s="118" t="str">
        <f>IFERROR(__xludf.DUMMYFUNCTION("""COMPUTED_VALUE"""),"A_iniesta")</f>
        <v>A_iniesta</v>
      </c>
      <c r="B55" s="103">
        <v>54.0</v>
      </c>
      <c r="C55" s="183">
        <f t="shared" si="1"/>
        <v>26.6939425</v>
      </c>
      <c r="D55" s="124" t="str">
        <f>VLOOKUP(A55,'Classement Surp'!$B$2:$B$149,1,0)</f>
        <v>A_Iniesta</v>
      </c>
      <c r="E55" s="125" t="str">
        <f t="shared" si="2"/>
        <v/>
      </c>
      <c r="F55" s="120" t="str">
        <f>VLOOKUP(A55,'Classement Général'!$B$2:$B$146,1,0)</f>
        <v>A_iniesta</v>
      </c>
    </row>
    <row r="56" ht="14.25" customHeight="1">
      <c r="A56" s="118" t="str">
        <f>IFERROR(__xludf.DUMMYFUNCTION("""COMPUTED_VALUE"""),"SINGE7")</f>
        <v>SINGE7</v>
      </c>
      <c r="B56" s="103">
        <v>55.0</v>
      </c>
      <c r="C56" s="183">
        <f t="shared" si="1"/>
        <v>22.14314185</v>
      </c>
      <c r="D56" s="124" t="str">
        <f>VLOOKUP(A56,'Classement Surp'!$B$2:$B$149,1,0)</f>
        <v>SINGE7</v>
      </c>
      <c r="E56" s="125" t="str">
        <f t="shared" si="2"/>
        <v/>
      </c>
      <c r="F56" s="120" t="str">
        <f>VLOOKUP(A56,'Classement Général'!$B$2:$B$146,1,0)</f>
        <v>SINGE7</v>
      </c>
    </row>
    <row r="57" ht="14.25" customHeight="1">
      <c r="A57" s="118" t="str">
        <f>IFERROR(__xludf.DUMMYFUNCTION("""COMPUTED_VALUE"""),"Like_A_Fish")</f>
        <v>Like_A_Fish</v>
      </c>
      <c r="B57" s="103">
        <v>56.0</v>
      </c>
      <c r="C57" s="183">
        <f t="shared" si="1"/>
        <v>17.63489567</v>
      </c>
      <c r="D57" s="124" t="str">
        <f>VLOOKUP(A57,'Classement Surp'!$B$2:$B$149,1,0)</f>
        <v>Like_A_Fish</v>
      </c>
      <c r="E57" s="125" t="str">
        <f t="shared" si="2"/>
        <v/>
      </c>
      <c r="F57" s="120" t="str">
        <f>VLOOKUP(A57,'Classement Général'!$B$2:$B$146,1,0)</f>
        <v>Like_A_Fish</v>
      </c>
    </row>
    <row r="58" ht="14.25" customHeight="1">
      <c r="A58" s="118" t="str">
        <f>IFERROR(__xludf.DUMMYFUNCTION("""COMPUTED_VALUE"""),"Pachavi")</f>
        <v>Pachavi</v>
      </c>
      <c r="B58" s="103">
        <v>57.0</v>
      </c>
      <c r="C58" s="183">
        <f t="shared" si="1"/>
        <v>13.16777663</v>
      </c>
      <c r="D58" s="124" t="str">
        <f>VLOOKUP(A58,'Classement Surp'!$B$2:$B$149,1,0)</f>
        <v>Pachavi</v>
      </c>
      <c r="E58" s="125" t="str">
        <f t="shared" si="2"/>
        <v/>
      </c>
      <c r="F58" s="120" t="str">
        <f>VLOOKUP(A58,'Classement Général'!$B$2:$B$146,1,0)</f>
        <v>Pachavi</v>
      </c>
    </row>
    <row r="59" ht="14.25" customHeight="1">
      <c r="A59" s="118" t="str">
        <f>IFERROR(__xludf.DUMMYFUNCTION("""COMPUTED_VALUE"""),"chatouill86")</f>
        <v>chatouill86</v>
      </c>
      <c r="B59" s="103">
        <v>58.0</v>
      </c>
      <c r="C59" s="183">
        <f t="shared" si="1"/>
        <v>8.740432183</v>
      </c>
      <c r="D59" s="124" t="str">
        <f>VLOOKUP(A59,'Classement Surp'!$B$2:$B$149,1,0)</f>
        <v>chatouill86</v>
      </c>
      <c r="E59" s="125" t="str">
        <f t="shared" si="2"/>
        <v/>
      </c>
      <c r="F59" s="120" t="str">
        <f>VLOOKUP(A59,'Classement Général'!$B$2:$B$146,1,0)</f>
        <v>chatouill86</v>
      </c>
    </row>
    <row r="60" ht="14.25" customHeight="1">
      <c r="A60" s="118" t="str">
        <f>IFERROR(__xludf.DUMMYFUNCTION("""COMPUTED_VALUE"""),"Sylvain ")</f>
        <v>Sylvain </v>
      </c>
      <c r="B60" s="103">
        <v>59.0</v>
      </c>
      <c r="C60" s="183">
        <f t="shared" si="1"/>
        <v>4.351579351</v>
      </c>
      <c r="D60" s="124" t="str">
        <f>VLOOKUP(A60,'Classement Surp'!$B$2:$B$149,1,0)</f>
        <v>Sylvain </v>
      </c>
      <c r="E60" s="125" t="str">
        <f t="shared" si="2"/>
        <v/>
      </c>
      <c r="F60" s="120" t="str">
        <f>VLOOKUP(A60,'Classement Général'!$B$2:$B$146,1,0)</f>
        <v>#N/A</v>
      </c>
    </row>
    <row r="61" ht="14.25" customHeight="1">
      <c r="A61" s="118"/>
      <c r="B61" s="103">
        <v>60.0</v>
      </c>
      <c r="C61" s="183">
        <f t="shared" si="1"/>
        <v>0</v>
      </c>
      <c r="D61" s="124" t="str">
        <f>VLOOKUP(A61,'Classement Surp'!$B$2:$B$149,1,0)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18"/>
      <c r="B62" s="103">
        <v>61.0</v>
      </c>
      <c r="C62" s="183">
        <f t="shared" si="1"/>
        <v>-4.315463537</v>
      </c>
      <c r="D62" s="124" t="str">
        <f>VLOOKUP(A62,'Classement Surp'!$B$2:$B$149,1,0)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18"/>
      <c r="B63" s="103">
        <v>62.0</v>
      </c>
      <c r="C63" s="183">
        <f t="shared" si="1"/>
        <v>-8.595912449</v>
      </c>
      <c r="D63" s="124" t="str">
        <f>VLOOKUP(A63,'Classement Surp'!$B$2:$B$149,1,0)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18"/>
      <c r="B64" s="103">
        <v>63.0</v>
      </c>
      <c r="C64" s="183">
        <f t="shared" si="1"/>
        <v>-12.84239512</v>
      </c>
      <c r="D64" s="124" t="str">
        <f>VLOOKUP(A64,'Classement Surp'!$B$2:$B$149,1,0)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18"/>
      <c r="B65" s="103">
        <v>64.0</v>
      </c>
      <c r="C65" s="183">
        <f t="shared" si="1"/>
        <v>-17.05591048</v>
      </c>
      <c r="D65" s="124" t="str">
        <f>VLOOKUP(A65,'Classement Surp'!$B$2:$B$149,1,0)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18"/>
      <c r="B66" s="103">
        <v>65.0</v>
      </c>
      <c r="C66" s="183">
        <f t="shared" si="1"/>
        <v>-21.23741117</v>
      </c>
      <c r="D66" s="124" t="str">
        <f>VLOOKUP(A66,'Classement Surp'!$B$2:$B$149,1,0)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18"/>
      <c r="B67" s="103">
        <v>66.0</v>
      </c>
      <c r="C67" s="183">
        <f t="shared" si="1"/>
        <v>-25.38780633</v>
      </c>
      <c r="D67" s="124" t="str">
        <f>VLOOKUP(A67,'Classement Surp'!$B$2:$B$149,1,0)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18"/>
      <c r="B68" s="103">
        <v>67.0</v>
      </c>
      <c r="C68" s="183">
        <f t="shared" si="1"/>
        <v>-29.50796431</v>
      </c>
      <c r="D68" s="124" t="str">
        <f>VLOOKUP(A68,'Classement Surp'!$B$2:$B$149,1,0)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18"/>
      <c r="B69" s="103">
        <v>68.0</v>
      </c>
      <c r="C69" s="183">
        <f t="shared" si="1"/>
        <v>-33.59871509</v>
      </c>
      <c r="D69" s="124" t="str">
        <f>VLOOKUP(A69,'Classement Surp'!$B$2:$B$149,1,0)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18"/>
      <c r="B70" s="103">
        <v>69.0</v>
      </c>
      <c r="C70" s="183">
        <f t="shared" si="1"/>
        <v>-37.66085253</v>
      </c>
      <c r="D70" s="124" t="str">
        <f>VLOOKUP(A70,'Classement Surp'!$B$2:$B$149,1,0)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18"/>
      <c r="B71" s="103">
        <v>70.0</v>
      </c>
      <c r="C71" s="183">
        <f t="shared" si="1"/>
        <v>-41.69513652</v>
      </c>
      <c r="D71" s="124" t="str">
        <f>VLOOKUP(A71,'Classement Surp'!$B$2:$B$149,1,0)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18"/>
      <c r="B72" s="103">
        <v>71.0</v>
      </c>
      <c r="C72" s="183">
        <f t="shared" si="1"/>
        <v>-45.70229488</v>
      </c>
      <c r="D72" s="124" t="str">
        <f>VLOOKUP(A72,'Classement Surp'!$B$2:$B$149,1,0)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18"/>
      <c r="B73" s="103">
        <v>72.0</v>
      </c>
      <c r="C73" s="183">
        <f t="shared" si="1"/>
        <v>-49.68302519</v>
      </c>
      <c r="D73" s="124" t="str">
        <f>VLOOKUP(A73,'Classement Surp'!$B$2:$B$149,1,0)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18"/>
      <c r="B74" s="103">
        <v>73.0</v>
      </c>
      <c r="C74" s="183">
        <f t="shared" si="1"/>
        <v>-53.63799648</v>
      </c>
      <c r="D74" s="124" t="str">
        <f>VLOOKUP(A74,'Classement Surp'!$B$2:$B$149,1,0)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18"/>
      <c r="B75" s="103">
        <v>74.0</v>
      </c>
      <c r="C75" s="183">
        <f t="shared" si="1"/>
        <v>-57.56785078</v>
      </c>
      <c r="D75" s="124" t="str">
        <f>VLOOKUP(A75,'Classement Surp'!$B$2:$B$149,1,0)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18"/>
      <c r="B76" s="103">
        <v>75.0</v>
      </c>
      <c r="C76" s="183">
        <f t="shared" si="1"/>
        <v>-61.47320459</v>
      </c>
      <c r="D76" s="124" t="str">
        <f>VLOOKUP(A76,'Classement Surp'!$B$2:$B$149,1,0)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18"/>
      <c r="B77" s="103">
        <v>76.0</v>
      </c>
      <c r="C77" s="183">
        <f t="shared" si="1"/>
        <v>-65.35465024</v>
      </c>
      <c r="D77" s="124" t="str">
        <f>VLOOKUP(A77,'Classement Surp'!$B$2:$B$149,1,0)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18"/>
      <c r="B78" s="103">
        <v>77.0</v>
      </c>
      <c r="C78" s="183">
        <f t="shared" si="1"/>
        <v>-69.21275718</v>
      </c>
      <c r="D78" s="124" t="str">
        <f>VLOOKUP(A78,'Classement Surp'!$B$2:$B$149,1,0)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18"/>
      <c r="B79" s="103">
        <v>78.0</v>
      </c>
      <c r="C79" s="183">
        <f t="shared" si="1"/>
        <v>-73.04807314</v>
      </c>
      <c r="D79" s="124" t="str">
        <f>VLOOKUP(A79,'Classement Surp'!$B$2:$B$149,1,0)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18"/>
      <c r="B80" s="103">
        <v>79.0</v>
      </c>
      <c r="C80" s="183">
        <f t="shared" si="1"/>
        <v>-76.86112526</v>
      </c>
      <c r="D80" s="124" t="str">
        <f>VLOOKUP(A80,'Classement Surp'!$B$2:$B$149,1,0)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18"/>
      <c r="B81" s="103">
        <v>80.0</v>
      </c>
      <c r="C81" s="183">
        <f t="shared" si="1"/>
        <v>-80.65242112</v>
      </c>
      <c r="D81" s="124" t="str">
        <f>VLOOKUP(A81,'Classement Surp'!$B$2:$B$149,1,0)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18"/>
      <c r="B82" s="103">
        <v>81.0</v>
      </c>
      <c r="C82" s="183">
        <f t="shared" si="1"/>
        <v>-84.42244974</v>
      </c>
      <c r="D82" s="124" t="str">
        <f>VLOOKUP(A82,'Classement Surp'!$B$2:$B$149,1,0)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18"/>
      <c r="B83" s="103">
        <v>82.0</v>
      </c>
      <c r="C83" s="183">
        <f t="shared" si="1"/>
        <v>-88.17168246</v>
      </c>
      <c r="D83" s="124" t="str">
        <f>VLOOKUP(A83,'Classement Surp'!$B$2:$B$149,1,0)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18"/>
      <c r="B84" s="103">
        <v>83.0</v>
      </c>
      <c r="C84" s="183">
        <f t="shared" si="1"/>
        <v>-91.90057382</v>
      </c>
      <c r="D84" s="124" t="str">
        <f>VLOOKUP(A84,'Classement Surp'!$B$2:$B$149,1,0)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18"/>
      <c r="B85" s="103">
        <v>84.0</v>
      </c>
      <c r="C85" s="183">
        <f t="shared" si="1"/>
        <v>-95.60956238</v>
      </c>
      <c r="D85" s="124" t="str">
        <f>VLOOKUP(A85,'Classement Surp'!$B$2:$B$149,1,0)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18"/>
      <c r="B86" s="103">
        <v>85.0</v>
      </c>
      <c r="C86" s="183">
        <f t="shared" si="1"/>
        <v>-99.29907145</v>
      </c>
      <c r="D86" s="124" t="str">
        <f>VLOOKUP(A86,'Classement Surp'!$B$2:$B$149,1,0)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18"/>
      <c r="B87" s="103">
        <v>86.0</v>
      </c>
      <c r="C87" s="183">
        <f t="shared" si="1"/>
        <v>-102.9695098</v>
      </c>
      <c r="D87" s="124" t="str">
        <f>VLOOKUP(A87,'Classement Surp'!$B$2:$B$149,1,0)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18"/>
      <c r="B88" s="103">
        <v>87.0</v>
      </c>
      <c r="C88" s="183">
        <f t="shared" si="1"/>
        <v>-106.6212724</v>
      </c>
      <c r="D88" s="124" t="str">
        <f>VLOOKUP(A88,'Classement Surp'!$B$2:$B$149,1,0)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18"/>
      <c r="B89" s="103">
        <v>88.0</v>
      </c>
      <c r="C89" s="183">
        <f t="shared" si="1"/>
        <v>-110.254741</v>
      </c>
      <c r="D89" s="124" t="str">
        <f>VLOOKUP(A89,'Classement Surp'!$B$2:$B$149,1,0)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18"/>
      <c r="B90" s="103">
        <v>89.0</v>
      </c>
      <c r="C90" s="183">
        <f t="shared" si="1"/>
        <v>-113.8702847</v>
      </c>
      <c r="D90" s="124" t="str">
        <f>VLOOKUP(A90,'Classement Surp'!$B$2:$B$149,1,0)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18"/>
      <c r="B91" s="103">
        <v>90.0</v>
      </c>
      <c r="C91" s="183">
        <f t="shared" si="1"/>
        <v>-117.4682605</v>
      </c>
      <c r="D91" s="124" t="str">
        <f>VLOOKUP(A91,'Classement Surp'!$B$2:$B$149,1,0)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18"/>
      <c r="B92" s="103">
        <v>91.0</v>
      </c>
      <c r="C92" s="183">
        <f t="shared" si="1"/>
        <v>-121.0490139</v>
      </c>
      <c r="D92" s="124" t="str">
        <f>VLOOKUP(A92,'Classement Surp'!$B$2:$B$149,1,0)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18"/>
      <c r="B93" s="103">
        <v>92.0</v>
      </c>
      <c r="C93" s="183">
        <f t="shared" si="1"/>
        <v>-124.6128795</v>
      </c>
      <c r="D93" s="124" t="str">
        <f>VLOOKUP(A93,'Classement Surp'!$B$2:$B$149,1,0)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18"/>
      <c r="B94" s="103">
        <v>93.0</v>
      </c>
      <c r="C94" s="183">
        <f t="shared" si="1"/>
        <v>-128.1601812</v>
      </c>
      <c r="D94" s="124" t="str">
        <f>VLOOKUP(A94,'Classement Surp'!$B$2:$B$149,1,0)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18"/>
      <c r="B95" s="103">
        <v>94.0</v>
      </c>
      <c r="C95" s="183">
        <f t="shared" si="1"/>
        <v>-131.691233</v>
      </c>
      <c r="D95" s="124" t="str">
        <f>VLOOKUP(A95,'Classement Surp'!$B$2:$B$149,1,0)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18"/>
      <c r="B96" s="103">
        <v>95.0</v>
      </c>
      <c r="C96" s="183">
        <f t="shared" si="1"/>
        <v>-135.2063389</v>
      </c>
      <c r="D96" s="124" t="str">
        <f>VLOOKUP(A96,'Classement Surp'!$B$2:$B$149,1,0)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18"/>
      <c r="B97" s="103">
        <v>96.0</v>
      </c>
      <c r="C97" s="183">
        <f t="shared" si="1"/>
        <v>-138.705794</v>
      </c>
      <c r="D97" s="124" t="str">
        <f>VLOOKUP(A97,'Classement Surp'!$B$2:$B$149,1,0)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18"/>
      <c r="B98" s="103">
        <v>97.0</v>
      </c>
      <c r="C98" s="183">
        <f t="shared" si="1"/>
        <v>-142.1898843</v>
      </c>
      <c r="D98" s="124" t="str">
        <f>VLOOKUP(A98,'Classement Surp'!$B$2:$B$149,1,0)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18"/>
      <c r="B99" s="103">
        <v>98.0</v>
      </c>
      <c r="C99" s="183">
        <f t="shared" si="1"/>
        <v>-145.6588873</v>
      </c>
      <c r="D99" s="124" t="str">
        <f>VLOOKUP(A99,'Classement Surp'!$B$2:$B$149,1,0)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18"/>
      <c r="B100" s="103">
        <v>99.0</v>
      </c>
      <c r="C100" s="183">
        <f t="shared" si="1"/>
        <v>-149.1130723</v>
      </c>
      <c r="D100" s="124" t="str">
        <f>VLOOKUP(A100,'Classement Surp'!$B$2:$B$149,1,0)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18"/>
      <c r="B101" s="103">
        <v>100.0</v>
      </c>
      <c r="C101" s="183">
        <f t="shared" si="1"/>
        <v>-152.552701</v>
      </c>
      <c r="D101" s="124" t="str">
        <f>VLOOKUP(A101,'Classement Surp'!$B$2:$B$149,1,0)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18"/>
      <c r="B102" s="103">
        <v>101.0</v>
      </c>
      <c r="C102" s="183">
        <f t="shared" si="1"/>
        <v>-155.9780273</v>
      </c>
      <c r="D102" s="124" t="str">
        <f>VLOOKUP(A102,'Classement Surp'!$B$2:$B$149,1,0)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18"/>
      <c r="B103" s="103">
        <v>102.0</v>
      </c>
      <c r="C103" s="183">
        <f t="shared" si="1"/>
        <v>-159.3892979</v>
      </c>
      <c r="D103" s="124" t="str">
        <f>VLOOKUP(A103,'Classement Surp'!$B$2:$B$149,1,0)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18"/>
      <c r="B104" s="103">
        <v>103.0</v>
      </c>
      <c r="C104" s="183">
        <f t="shared" si="1"/>
        <v>-162.7867526</v>
      </c>
      <c r="D104" s="124" t="str">
        <f>VLOOKUP(A104,'Classement Surp'!$B$2:$B$149,1,0)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18"/>
      <c r="B105" s="103">
        <v>104.0</v>
      </c>
      <c r="C105" s="183">
        <f t="shared" si="1"/>
        <v>-166.1706244</v>
      </c>
      <c r="D105" s="124" t="str">
        <f>VLOOKUP(A105,'Classement Surp'!$B$2:$B$149,1,0)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18"/>
      <c r="B106" s="103">
        <v>105.0</v>
      </c>
      <c r="C106" s="183">
        <f t="shared" si="1"/>
        <v>-169.5411401</v>
      </c>
      <c r="D106" s="124" t="str">
        <f>VLOOKUP(A106,'Classement Surp'!$B$2:$B$149,1,0)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18"/>
      <c r="B107" s="103">
        <v>106.0</v>
      </c>
      <c r="C107" s="183">
        <f t="shared" si="1"/>
        <v>-172.8985199</v>
      </c>
      <c r="D107" s="124" t="str">
        <f>VLOOKUP(A107,'Classement Surp'!$B$2:$B$149,1,0)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18"/>
      <c r="B108" s="103">
        <v>107.0</v>
      </c>
      <c r="C108" s="183">
        <f t="shared" si="1"/>
        <v>-176.2429785</v>
      </c>
      <c r="D108" s="124" t="str">
        <f>VLOOKUP(A108,'Classement Surp'!$B$2:$B$149,1,0)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18"/>
      <c r="B109" s="103">
        <v>108.0</v>
      </c>
      <c r="C109" s="183">
        <f t="shared" si="1"/>
        <v>-179.5747244</v>
      </c>
      <c r="D109" s="124" t="str">
        <f>VLOOKUP(A109,'Classement Surp'!$B$2:$B$149,1,0)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18"/>
      <c r="B110" s="103">
        <v>109.0</v>
      </c>
      <c r="C110" s="183">
        <f t="shared" si="1"/>
        <v>-182.893961</v>
      </c>
      <c r="D110" s="124" t="str">
        <f>VLOOKUP(A110,'Classement Surp'!$B$2:$B$149,1,0)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18"/>
      <c r="B111" s="103">
        <v>110.0</v>
      </c>
      <c r="C111" s="183">
        <f t="shared" si="1"/>
        <v>-186.200886</v>
      </c>
      <c r="D111" s="124" t="str">
        <f>VLOOKUP(A111,'Classement Surp'!$B$2:$B$149,1,0)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18"/>
      <c r="B112" s="103">
        <v>111.0</v>
      </c>
      <c r="C112" s="183">
        <f t="shared" si="1"/>
        <v>-189.4956922</v>
      </c>
      <c r="D112" s="124" t="str">
        <f>VLOOKUP(A112,'Classement Surp'!$B$2:$B$149,1,0)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18"/>
      <c r="B113" s="103">
        <v>112.0</v>
      </c>
      <c r="C113" s="183">
        <f t="shared" si="1"/>
        <v>-192.7785672</v>
      </c>
      <c r="D113" s="124" t="str">
        <f>VLOOKUP(A113,'Classement Surp'!$B$2:$B$149,1,0)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18"/>
      <c r="B114" s="103">
        <v>113.0</v>
      </c>
      <c r="C114" s="183">
        <f t="shared" si="1"/>
        <v>-196.0496941</v>
      </c>
      <c r="D114" s="124" t="str">
        <f>VLOOKUP(A114,'Classement Surp'!$B$2:$B$149,1,0)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18"/>
      <c r="B115" s="103">
        <v>114.0</v>
      </c>
      <c r="C115" s="183">
        <f t="shared" si="1"/>
        <v>-199.309251</v>
      </c>
      <c r="D115" s="124" t="str">
        <f>VLOOKUP(A115,'Classement Surp'!$B$2:$B$149,1,0)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18"/>
      <c r="B116" s="103">
        <v>115.0</v>
      </c>
      <c r="C116" s="183">
        <f t="shared" si="1"/>
        <v>-202.557412</v>
      </c>
      <c r="D116" s="124" t="str">
        <f>VLOOKUP(A116,'Classement Surp'!$B$2:$B$149,1,0)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18"/>
      <c r="B117" s="103">
        <v>116.0</v>
      </c>
      <c r="C117" s="183">
        <f t="shared" si="1"/>
        <v>-205.7943465</v>
      </c>
      <c r="D117" s="124" t="str">
        <f>VLOOKUP(A117,'Classement Surp'!$B$2:$B$149,1,0)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18"/>
      <c r="B118" s="103">
        <v>117.0</v>
      </c>
      <c r="C118" s="183">
        <f t="shared" si="1"/>
        <v>-209.02022</v>
      </c>
      <c r="D118" s="124" t="str">
        <f>VLOOKUP(A118,'Classement Surp'!$B$2:$B$149,1,0)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18"/>
      <c r="B119" s="103">
        <v>118.0</v>
      </c>
      <c r="C119" s="183">
        <f t="shared" si="1"/>
        <v>-212.2351937</v>
      </c>
      <c r="D119" s="124" t="str">
        <f>VLOOKUP(A119,'Classement Surp'!$B$2:$B$149,1,0)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18"/>
      <c r="B120" s="103">
        <v>119.0</v>
      </c>
      <c r="C120" s="183">
        <f t="shared" si="1"/>
        <v>-215.4394251</v>
      </c>
      <c r="D120" s="124" t="str">
        <f>VLOOKUP(A120,'Classement Surp'!$B$2:$B$149,1,0)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18"/>
      <c r="B121" s="103">
        <v>120.0</v>
      </c>
      <c r="C121" s="183">
        <f t="shared" si="1"/>
        <v>-218.633068</v>
      </c>
      <c r="D121" s="124" t="str">
        <f>VLOOKUP(A121,'Classement Surp'!$B$2:$B$149,1,0)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18"/>
      <c r="B122" s="103">
        <v>121.0</v>
      </c>
      <c r="C122" s="183">
        <f t="shared" si="1"/>
        <v>-221.8162723</v>
      </c>
      <c r="D122" s="124" t="str">
        <f>VLOOKUP(A122,'Classement Surp'!$B$2:$B$149,1,0)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18"/>
      <c r="B123" s="103">
        <v>122.0</v>
      </c>
      <c r="C123" s="183">
        <f t="shared" si="1"/>
        <v>-224.9891847</v>
      </c>
      <c r="D123" s="124" t="str">
        <f>VLOOKUP(A123,'Classement Surp'!$B$2:$B$149,1,0)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18"/>
      <c r="B124" s="103">
        <v>123.0</v>
      </c>
      <c r="C124" s="183">
        <f t="shared" si="1"/>
        <v>-228.1519483</v>
      </c>
      <c r="D124" s="124" t="str">
        <f>VLOOKUP(A124,'Classement Surp'!$B$2:$B$149,1,0)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18"/>
      <c r="B125" s="103">
        <v>124.0</v>
      </c>
      <c r="C125" s="183">
        <f t="shared" si="1"/>
        <v>-231.3047029</v>
      </c>
      <c r="D125" s="124" t="str">
        <f>VLOOKUP(A125,'Classement Surp'!$B$2:$B$149,1,0)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18"/>
      <c r="B126" s="103">
        <v>125.0</v>
      </c>
      <c r="C126" s="183">
        <f t="shared" si="1"/>
        <v>-234.447585</v>
      </c>
      <c r="D126" s="124" t="str">
        <f>VLOOKUP(A126,'Classement Surp'!$B$2:$B$149,1,0)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18"/>
      <c r="B127" s="103">
        <v>126.0</v>
      </c>
      <c r="C127" s="183">
        <f t="shared" si="1"/>
        <v>-237.5807284</v>
      </c>
      <c r="D127" s="124" t="str">
        <f>VLOOKUP(A127,'Classement Surp'!$B$2:$B$149,1,0)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18"/>
      <c r="B128" s="103">
        <v>127.0</v>
      </c>
      <c r="C128" s="183">
        <f t="shared" si="1"/>
        <v>-240.7042634</v>
      </c>
      <c r="D128" s="124" t="str">
        <f>VLOOKUP(A128,'Classement Surp'!$B$2:$B$149,1,0)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18"/>
      <c r="B129" s="103">
        <v>128.0</v>
      </c>
      <c r="C129" s="183">
        <f t="shared" si="1"/>
        <v>-243.8183177</v>
      </c>
      <c r="D129" s="124" t="str">
        <f>VLOOKUP(A129,'Classement Surp'!$B$2:$B$149,1,0)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18"/>
      <c r="B130" s="103">
        <v>129.0</v>
      </c>
      <c r="C130" s="183">
        <f t="shared" si="1"/>
        <v>-246.9230162</v>
      </c>
      <c r="D130" s="124" t="str">
        <f>VLOOKUP(A130,'Classement Surp'!$B$2:$B$149,1,0)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18"/>
      <c r="B131" s="103">
        <v>130.0</v>
      </c>
      <c r="C131" s="183">
        <f t="shared" si="1"/>
        <v>-250.0184809</v>
      </c>
      <c r="D131" s="124" t="str">
        <f>VLOOKUP(A131,'Classement Surp'!$B$2:$B$149,1,0)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18"/>
      <c r="B132" s="103">
        <v>131.0</v>
      </c>
      <c r="C132" s="183">
        <f t="shared" si="1"/>
        <v>-253.1048312</v>
      </c>
      <c r="D132" s="124" t="str">
        <f>VLOOKUP(A132,'Classement Surp'!$B$2:$B$149,1,0)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18"/>
      <c r="B133" s="103">
        <v>132.0</v>
      </c>
      <c r="C133" s="183">
        <f t="shared" si="1"/>
        <v>-256.182184</v>
      </c>
      <c r="D133" s="124" t="str">
        <f>VLOOKUP(A133,'Classement Surp'!$B$2:$B$149,1,0)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18"/>
      <c r="B134" s="103">
        <v>133.0</v>
      </c>
      <c r="C134" s="183">
        <f t="shared" si="1"/>
        <v>-259.2506537</v>
      </c>
      <c r="D134" s="124" t="str">
        <f>VLOOKUP(A134,'Classement Surp'!$B$2:$B$149,1,0)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18"/>
      <c r="B135" s="103">
        <v>134.0</v>
      </c>
      <c r="C135" s="183">
        <f t="shared" si="1"/>
        <v>-262.3103521</v>
      </c>
      <c r="D135" s="124" t="str">
        <f>VLOOKUP(A135,'Classement Surp'!$B$2:$B$149,1,0)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18"/>
      <c r="B136" s="103">
        <v>135.0</v>
      </c>
      <c r="C136" s="183">
        <f t="shared" si="1"/>
        <v>-265.3613888</v>
      </c>
      <c r="D136" s="124" t="str">
        <f>VLOOKUP(A136,'Classement Surp'!$B$2:$B$149,1,0)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18"/>
      <c r="B137" s="103">
        <v>136.0</v>
      </c>
      <c r="C137" s="183">
        <f t="shared" si="1"/>
        <v>-268.4038712</v>
      </c>
      <c r="D137" s="124" t="str">
        <f>VLOOKUP(A137,'Classement Surp'!$B$2:$B$149,1,0)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18"/>
      <c r="B138" s="103">
        <v>137.0</v>
      </c>
      <c r="C138" s="183">
        <f t="shared" si="1"/>
        <v>-271.4379043</v>
      </c>
      <c r="D138" s="124" t="str">
        <f>VLOOKUP(A138,'Classement Surp'!$B$2:$B$149,1,0)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18"/>
      <c r="B139" s="103">
        <v>138.0</v>
      </c>
      <c r="C139" s="183">
        <f t="shared" si="1"/>
        <v>-274.463591</v>
      </c>
      <c r="D139" s="124" t="str">
        <f>VLOOKUP(A139,'Classement Surp'!$B$2:$B$149,1,0)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18"/>
      <c r="B140" s="103">
        <v>139.0</v>
      </c>
      <c r="C140" s="183">
        <f t="shared" si="1"/>
        <v>-277.4810322</v>
      </c>
      <c r="D140" s="124" t="str">
        <f>VLOOKUP(A140,'Classement Surp'!$B$2:$B$149,1,0)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18"/>
      <c r="B141" s="103">
        <v>140.0</v>
      </c>
      <c r="C141" s="183">
        <f t="shared" si="1"/>
        <v>-280.4903267</v>
      </c>
      <c r="D141" s="124" t="str">
        <f>VLOOKUP(A141,'Classement Surp'!$B$2:$B$149,1,0)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18"/>
      <c r="B142" s="103">
        <v>141.0</v>
      </c>
      <c r="C142" s="183">
        <f t="shared" si="1"/>
        <v>-283.4915712</v>
      </c>
      <c r="D142" s="124" t="str">
        <f>VLOOKUP(A142,'Classement Surp'!$B$2:$B$149,1,0)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18"/>
      <c r="B143" s="103">
        <v>142.0</v>
      </c>
      <c r="C143" s="183">
        <f t="shared" si="1"/>
        <v>-286.4848606</v>
      </c>
      <c r="D143" s="124" t="str">
        <f>VLOOKUP(A143,'Classement Surp'!$B$2:$B$149,1,0)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18"/>
      <c r="B144" s="103">
        <v>143.0</v>
      </c>
      <c r="C144" s="183">
        <f t="shared" si="1"/>
        <v>-289.470288</v>
      </c>
      <c r="D144" s="124" t="str">
        <f>VLOOKUP(A144,'Classement Surp'!$B$2:$B$149,1,0)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18"/>
      <c r="B145" s="103">
        <v>144.0</v>
      </c>
      <c r="C145" s="183">
        <f t="shared" si="1"/>
        <v>-292.4479445</v>
      </c>
      <c r="D145" s="124" t="str">
        <f>VLOOKUP(A145,'Classement Surp'!$B$2:$B$149,1,0)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18"/>
      <c r="B146" s="103">
        <v>145.0</v>
      </c>
      <c r="C146" s="183">
        <f t="shared" si="1"/>
        <v>-295.4179195</v>
      </c>
      <c r="D146" s="124" t="str">
        <f>VLOOKUP(A146,'Classement Surp'!$B$2:$B$149,1,0)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18"/>
      <c r="B147" s="103">
        <v>146.0</v>
      </c>
      <c r="C147" s="183">
        <f t="shared" si="1"/>
        <v>-298.3803008</v>
      </c>
      <c r="D147" s="124" t="str">
        <f>VLOOKUP(A147,'Classement Surp'!$B$2:$B$149,1,0)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18"/>
      <c r="B148" s="103">
        <v>147.0</v>
      </c>
      <c r="C148" s="183">
        <f t="shared" si="1"/>
        <v>-301.3351744</v>
      </c>
      <c r="D148" s="124" t="str">
        <f>VLOOKUP(A148,'Classement Surp'!$B$2:$B$149,1,0)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18"/>
      <c r="B149" s="103">
        <v>148.0</v>
      </c>
      <c r="C149" s="183">
        <f t="shared" si="1"/>
        <v>-304.2826245</v>
      </c>
      <c r="D149" s="124" t="str">
        <f>VLOOKUP(A149,'Classement Surp'!$B$2:$B$149,1,0)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18"/>
      <c r="B150" s="103">
        <v>149.0</v>
      </c>
      <c r="C150" s="183">
        <f t="shared" si="1"/>
        <v>-307.222734</v>
      </c>
      <c r="D150" s="124" t="str">
        <f>VLOOKUP(A150,'Classement Surp'!$B$2:$B$149,1,0)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18"/>
      <c r="B151" s="103">
        <v>150.0</v>
      </c>
      <c r="C151" s="183">
        <f t="shared" si="1"/>
        <v>-310.1555842</v>
      </c>
      <c r="D151" s="124" t="str">
        <f>VLOOKUP(A151,'Classement Surp'!$B$2:$B$149,1,0)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18"/>
      <c r="B152" s="103">
        <v>151.0</v>
      </c>
      <c r="C152" s="183">
        <f t="shared" si="1"/>
        <v>-313.0812547</v>
      </c>
      <c r="D152" s="124" t="str">
        <f>VLOOKUP(A152,'Classement Surp'!$B$2:$B$149,1,0)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18"/>
      <c r="B153" s="103">
        <v>152.0</v>
      </c>
      <c r="C153" s="183">
        <f t="shared" si="1"/>
        <v>-315.9998239</v>
      </c>
      <c r="D153" s="124" t="str">
        <f>VLOOKUP(A153,'Classement Surp'!$B$2:$B$149,1,0)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18"/>
      <c r="B154" s="103">
        <v>153.0</v>
      </c>
      <c r="C154" s="183">
        <f t="shared" si="1"/>
        <v>-318.9113684</v>
      </c>
      <c r="D154" s="124" t="str">
        <f>VLOOKUP(A154,'Classement Surp'!$B$2:$B$149,1,0)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18"/>
      <c r="B155" s="103">
        <v>154.0</v>
      </c>
      <c r="C155" s="183">
        <f t="shared" si="1"/>
        <v>-321.8159638</v>
      </c>
      <c r="D155" s="124" t="str">
        <f>VLOOKUP(A155,'Classement Surp'!$B$2:$B$149,1,0)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18"/>
      <c r="B156" s="103">
        <v>155.0</v>
      </c>
      <c r="C156" s="183">
        <f t="shared" si="1"/>
        <v>-324.713684</v>
      </c>
      <c r="D156" s="124" t="str">
        <f>VLOOKUP(A156,'Classement Surp'!$B$2:$B$149,1,0)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18"/>
      <c r="B157" s="103">
        <v>156.0</v>
      </c>
      <c r="C157" s="183">
        <f t="shared" si="1"/>
        <v>-327.6046018</v>
      </c>
      <c r="D157" s="124" t="str">
        <f>VLOOKUP(A157,'Classement Surp'!$B$2:$B$149,1,0)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18"/>
      <c r="B158" s="103">
        <v>157.0</v>
      </c>
      <c r="C158" s="183">
        <f t="shared" si="1"/>
        <v>-330.4887887</v>
      </c>
      <c r="D158" s="124" t="str">
        <f>VLOOKUP(A158,'Classement Surp'!$B$2:$B$149,1,0)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18"/>
      <c r="B159" s="103">
        <v>158.0</v>
      </c>
      <c r="C159" s="183">
        <f t="shared" si="1"/>
        <v>-333.3663148</v>
      </c>
      <c r="D159" s="124" t="str">
        <f>VLOOKUP(A159,'Classement Surp'!$B$2:$B$149,1,0)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18"/>
      <c r="B160" s="103">
        <v>159.0</v>
      </c>
      <c r="C160" s="183">
        <f t="shared" si="1"/>
        <v>-336.237249</v>
      </c>
      <c r="D160" s="124" t="str">
        <f>VLOOKUP(A160,'Classement Surp'!$B$2:$B$149,1,0)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84"/>
      <c r="B161" s="185">
        <v>160.0</v>
      </c>
      <c r="C161" s="186">
        <f t="shared" si="1"/>
        <v>-339.101659</v>
      </c>
      <c r="D161" s="124" t="str">
        <f>VLOOKUP(A161,'Classement Surp'!$B$2:$B$149,1,0)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A162" s="187"/>
      <c r="B162" s="128"/>
    </row>
    <row r="163" ht="14.25" customHeight="1">
      <c r="A163" s="187"/>
      <c r="B163" s="128"/>
    </row>
    <row r="164" ht="14.25" customHeight="1">
      <c r="A164" s="187"/>
      <c r="B164" s="128"/>
    </row>
    <row r="165" ht="14.25" customHeight="1">
      <c r="A165" s="187"/>
      <c r="B165" s="128"/>
    </row>
    <row r="166" ht="14.25" customHeight="1">
      <c r="A166" s="187"/>
      <c r="B166" s="128"/>
    </row>
    <row r="167" ht="14.25" customHeight="1">
      <c r="A167" s="187"/>
      <c r="B167" s="128"/>
    </row>
    <row r="168" ht="14.25" customHeight="1">
      <c r="A168" s="187"/>
      <c r="B168" s="128"/>
    </row>
    <row r="169" ht="14.25" customHeight="1">
      <c r="A169" s="187"/>
      <c r="B169" s="128"/>
    </row>
    <row r="170" ht="14.25" customHeight="1">
      <c r="A170" s="187"/>
      <c r="B170" s="128"/>
    </row>
    <row r="171" ht="14.25" customHeight="1">
      <c r="A171" s="187"/>
      <c r="B171" s="128"/>
    </row>
    <row r="172" ht="14.25" customHeight="1">
      <c r="A172" s="187"/>
      <c r="B172" s="128"/>
    </row>
    <row r="173" ht="14.25" customHeight="1">
      <c r="A173" s="187"/>
      <c r="B173" s="128"/>
    </row>
    <row r="174" ht="14.25" customHeight="1">
      <c r="A174" s="187"/>
      <c r="B174" s="128"/>
    </row>
    <row r="175" ht="14.25" customHeight="1">
      <c r="A175" s="187"/>
      <c r="B175" s="128"/>
    </row>
    <row r="176" ht="14.25" customHeight="1">
      <c r="A176" s="187"/>
      <c r="B176" s="128"/>
    </row>
    <row r="177" ht="14.25" customHeight="1">
      <c r="A177" s="187"/>
      <c r="B177" s="128"/>
    </row>
    <row r="178" ht="14.25" customHeight="1">
      <c r="A178" s="187"/>
      <c r="B178" s="128"/>
    </row>
    <row r="179" ht="14.25" customHeight="1">
      <c r="A179" s="187"/>
      <c r="B179" s="128"/>
    </row>
    <row r="180" ht="14.25" customHeight="1">
      <c r="A180" s="187"/>
      <c r="B180" s="128"/>
    </row>
    <row r="181" ht="14.25" customHeight="1">
      <c r="A181" s="187"/>
      <c r="B181" s="128"/>
    </row>
    <row r="182" ht="14.25" customHeight="1">
      <c r="A182" s="187"/>
      <c r="B182" s="128"/>
    </row>
    <row r="183" ht="14.25" customHeight="1">
      <c r="A183" s="187"/>
      <c r="B183" s="128"/>
    </row>
    <row r="184" ht="14.25" customHeight="1">
      <c r="A184" s="187"/>
      <c r="B184" s="128"/>
    </row>
    <row r="185" ht="14.25" customHeight="1">
      <c r="A185" s="187"/>
      <c r="B185" s="128"/>
    </row>
    <row r="186" ht="14.25" customHeight="1">
      <c r="A186" s="187"/>
      <c r="B186" s="128"/>
    </row>
    <row r="187" ht="14.25" customHeight="1">
      <c r="A187" s="187"/>
      <c r="B187" s="128"/>
    </row>
    <row r="188" ht="14.25" customHeight="1">
      <c r="A188" s="187"/>
      <c r="B188" s="128"/>
    </row>
    <row r="189" ht="14.25" customHeight="1">
      <c r="A189" s="187"/>
      <c r="B189" s="128"/>
    </row>
    <row r="190" ht="14.25" customHeight="1">
      <c r="A190" s="187"/>
      <c r="B190" s="128"/>
    </row>
    <row r="191" ht="14.25" customHeight="1">
      <c r="A191" s="187"/>
      <c r="B191" s="128"/>
    </row>
    <row r="192" ht="14.25" customHeight="1">
      <c r="A192" s="187"/>
      <c r="B192" s="128"/>
    </row>
    <row r="193" ht="14.25" customHeight="1">
      <c r="A193" s="187"/>
      <c r="B193" s="128"/>
    </row>
    <row r="194" ht="14.25" customHeight="1">
      <c r="A194" s="187"/>
      <c r="B194" s="128"/>
    </row>
    <row r="195" ht="14.25" customHeight="1">
      <c r="A195" s="187"/>
      <c r="B195" s="128"/>
    </row>
    <row r="196" ht="14.25" customHeight="1">
      <c r="A196" s="187"/>
      <c r="B196" s="128"/>
    </row>
    <row r="197" ht="14.25" customHeight="1">
      <c r="A197" s="187"/>
      <c r="B197" s="128"/>
    </row>
    <row r="198" ht="14.25" customHeight="1">
      <c r="A198" s="187"/>
      <c r="B198" s="128"/>
    </row>
    <row r="199" ht="14.25" customHeight="1">
      <c r="A199" s="187"/>
      <c r="B199" s="128"/>
    </row>
    <row r="200" ht="14.25" customHeight="1">
      <c r="A200" s="187"/>
      <c r="B200" s="128"/>
    </row>
    <row r="201" ht="14.25" customHeight="1">
      <c r="A201" s="187"/>
      <c r="B201" s="128"/>
    </row>
    <row r="202" ht="14.25" customHeight="1">
      <c r="A202" s="187"/>
      <c r="B202" s="128"/>
    </row>
    <row r="203" ht="14.25" customHeight="1">
      <c r="A203" s="187"/>
      <c r="B203" s="128"/>
    </row>
    <row r="204" ht="14.25" customHeight="1">
      <c r="A204" s="187"/>
      <c r="B204" s="128"/>
    </row>
    <row r="205" ht="14.25" customHeight="1">
      <c r="A205" s="187"/>
      <c r="B205" s="128"/>
    </row>
    <row r="206" ht="14.25" customHeight="1">
      <c r="A206" s="187"/>
      <c r="B206" s="128"/>
    </row>
    <row r="207" ht="14.25" customHeight="1">
      <c r="A207" s="187"/>
      <c r="B207" s="128"/>
    </row>
    <row r="208" ht="14.25" customHeight="1">
      <c r="A208" s="187"/>
      <c r="B208" s="128"/>
    </row>
    <row r="209" ht="14.25" customHeight="1">
      <c r="A209" s="187"/>
      <c r="B209" s="128"/>
    </row>
    <row r="210" ht="14.25" customHeight="1">
      <c r="A210" s="187"/>
      <c r="B210" s="128"/>
    </row>
    <row r="211" ht="14.25" customHeight="1">
      <c r="A211" s="187"/>
      <c r="B211" s="128"/>
    </row>
    <row r="212" ht="14.25" customHeight="1">
      <c r="A212" s="187"/>
      <c r="B212" s="128"/>
    </row>
    <row r="213" ht="14.25" customHeight="1">
      <c r="A213" s="187"/>
      <c r="B213" s="128"/>
    </row>
    <row r="214" ht="14.25" customHeight="1">
      <c r="A214" s="187"/>
      <c r="B214" s="128"/>
    </row>
    <row r="215" ht="14.25" customHeight="1">
      <c r="A215" s="187"/>
      <c r="B215" s="128"/>
    </row>
    <row r="216" ht="14.25" customHeight="1">
      <c r="A216" s="187"/>
      <c r="B216" s="128"/>
    </row>
    <row r="217" ht="14.25" customHeight="1">
      <c r="A217" s="187"/>
      <c r="B217" s="128"/>
    </row>
    <row r="218" ht="14.25" customHeight="1">
      <c r="A218" s="187"/>
      <c r="B218" s="128"/>
    </row>
    <row r="219" ht="14.25" customHeight="1">
      <c r="A219" s="187"/>
      <c r="B219" s="128"/>
    </row>
    <row r="220" ht="14.25" customHeight="1">
      <c r="A220" s="187"/>
      <c r="B220" s="128"/>
    </row>
    <row r="221" ht="14.25" customHeight="1">
      <c r="A221" s="187"/>
      <c r="B221" s="128"/>
    </row>
    <row r="222" ht="14.25" customHeight="1">
      <c r="A222" s="187"/>
      <c r="B222" s="128"/>
    </row>
    <row r="223" ht="14.25" customHeight="1">
      <c r="A223" s="187"/>
      <c r="B223" s="128"/>
    </row>
    <row r="224" ht="14.25" customHeight="1">
      <c r="A224" s="187"/>
      <c r="B224" s="128"/>
    </row>
    <row r="225" ht="14.25" customHeight="1">
      <c r="A225" s="187"/>
      <c r="B225" s="128"/>
    </row>
    <row r="226" ht="14.25" customHeight="1">
      <c r="A226" s="187"/>
      <c r="B226" s="128"/>
    </row>
    <row r="227" ht="14.25" customHeight="1">
      <c r="A227" s="187"/>
      <c r="B227" s="128"/>
    </row>
    <row r="228" ht="14.25" customHeight="1">
      <c r="A228" s="187"/>
      <c r="B228" s="128"/>
    </row>
    <row r="229" ht="14.25" customHeight="1">
      <c r="A229" s="187"/>
      <c r="B229" s="128"/>
    </row>
    <row r="230" ht="14.25" customHeight="1">
      <c r="A230" s="187"/>
      <c r="B230" s="128"/>
    </row>
    <row r="231" ht="14.25" customHeight="1">
      <c r="A231" s="187"/>
      <c r="B231" s="128"/>
    </row>
    <row r="232" ht="14.25" customHeight="1">
      <c r="A232" s="187"/>
      <c r="B232" s="128"/>
    </row>
    <row r="233" ht="14.25" customHeight="1">
      <c r="A233" s="187"/>
      <c r="B233" s="128"/>
    </row>
    <row r="234" ht="14.25" customHeight="1">
      <c r="A234" s="187"/>
      <c r="B234" s="128"/>
    </row>
    <row r="235" ht="14.25" customHeight="1">
      <c r="A235" s="187"/>
      <c r="B235" s="128"/>
    </row>
    <row r="236" ht="14.25" customHeight="1">
      <c r="A236" s="187"/>
      <c r="B236" s="128"/>
    </row>
    <row r="237" ht="14.25" customHeight="1">
      <c r="A237" s="187"/>
      <c r="B237" s="128"/>
    </row>
    <row r="238" ht="14.25" customHeight="1">
      <c r="A238" s="187"/>
      <c r="B238" s="128"/>
    </row>
    <row r="239" ht="14.25" customHeight="1">
      <c r="A239" s="187"/>
      <c r="B239" s="128"/>
    </row>
    <row r="240" ht="14.25" customHeight="1">
      <c r="A240" s="187"/>
      <c r="B240" s="128"/>
    </row>
    <row r="241" ht="14.25" customHeight="1">
      <c r="A241" s="187"/>
      <c r="B241" s="128"/>
    </row>
    <row r="242" ht="14.25" customHeight="1">
      <c r="A242" s="187"/>
      <c r="B242" s="128"/>
    </row>
    <row r="243" ht="14.25" customHeight="1">
      <c r="A243" s="187"/>
      <c r="B243" s="128"/>
    </row>
    <row r="244" ht="14.25" customHeight="1">
      <c r="A244" s="187"/>
      <c r="B244" s="128"/>
    </row>
    <row r="245" ht="14.25" customHeight="1">
      <c r="A245" s="187"/>
      <c r="B245" s="128"/>
    </row>
    <row r="246" ht="14.25" customHeight="1">
      <c r="A246" s="187"/>
      <c r="B246" s="128"/>
    </row>
    <row r="247" ht="14.25" customHeight="1">
      <c r="A247" s="187"/>
      <c r="B247" s="128"/>
    </row>
    <row r="248" ht="14.25" customHeight="1">
      <c r="A248" s="187"/>
      <c r="B248" s="128"/>
    </row>
    <row r="249" ht="14.25" customHeight="1">
      <c r="A249" s="187"/>
      <c r="B249" s="128"/>
    </row>
    <row r="250" ht="14.25" customHeight="1">
      <c r="A250" s="187"/>
      <c r="B250" s="128"/>
    </row>
    <row r="251" ht="14.25" customHeight="1">
      <c r="A251" s="187"/>
      <c r="B251" s="128"/>
    </row>
    <row r="252" ht="14.25" customHeight="1">
      <c r="A252" s="187"/>
      <c r="B252" s="128"/>
    </row>
    <row r="253" ht="14.25" customHeight="1">
      <c r="A253" s="187"/>
      <c r="B253" s="128"/>
    </row>
    <row r="254" ht="14.25" customHeight="1">
      <c r="A254" s="187"/>
      <c r="B254" s="128"/>
    </row>
    <row r="255" ht="14.25" customHeight="1">
      <c r="A255" s="187"/>
      <c r="B255" s="128"/>
    </row>
    <row r="256" ht="14.25" customHeight="1">
      <c r="A256" s="187"/>
      <c r="B256" s="128"/>
    </row>
    <row r="257" ht="14.25" customHeight="1">
      <c r="A257" s="187"/>
      <c r="B257" s="128"/>
    </row>
    <row r="258" ht="14.25" customHeight="1">
      <c r="A258" s="187"/>
      <c r="B258" s="128"/>
    </row>
    <row r="259" ht="14.25" customHeight="1">
      <c r="A259" s="187"/>
      <c r="B259" s="128"/>
    </row>
    <row r="260" ht="14.25" customHeight="1">
      <c r="A260" s="187"/>
      <c r="B260" s="128"/>
    </row>
    <row r="261" ht="14.25" customHeight="1">
      <c r="A261" s="187"/>
      <c r="B261" s="128"/>
    </row>
    <row r="262" ht="14.25" customHeight="1">
      <c r="A262" s="187"/>
      <c r="B262" s="128"/>
    </row>
    <row r="263" ht="14.25" customHeight="1">
      <c r="A263" s="187"/>
      <c r="B263" s="128"/>
    </row>
    <row r="264" ht="14.25" customHeight="1">
      <c r="A264" s="187"/>
      <c r="B264" s="128"/>
    </row>
    <row r="265" ht="14.25" customHeight="1">
      <c r="A265" s="187"/>
      <c r="B265" s="128"/>
    </row>
    <row r="266" ht="14.25" customHeight="1">
      <c r="A266" s="187"/>
      <c r="B266" s="128"/>
    </row>
    <row r="267" ht="14.25" customHeight="1">
      <c r="A267" s="187"/>
      <c r="B267" s="128"/>
    </row>
    <row r="268" ht="14.25" customHeight="1">
      <c r="A268" s="187"/>
      <c r="B268" s="128"/>
    </row>
    <row r="269" ht="14.25" customHeight="1">
      <c r="A269" s="187"/>
      <c r="B269" s="128"/>
    </row>
    <row r="270" ht="14.25" customHeight="1">
      <c r="A270" s="187"/>
      <c r="B270" s="128"/>
    </row>
    <row r="271" ht="14.25" customHeight="1">
      <c r="A271" s="187"/>
      <c r="B271" s="128"/>
    </row>
    <row r="272" ht="14.25" customHeight="1">
      <c r="A272" s="187"/>
      <c r="B272" s="128"/>
    </row>
    <row r="273" ht="14.25" customHeight="1">
      <c r="A273" s="187"/>
      <c r="B273" s="128"/>
    </row>
    <row r="274" ht="14.25" customHeight="1">
      <c r="A274" s="187"/>
      <c r="B274" s="128"/>
    </row>
    <row r="275" ht="14.25" customHeight="1">
      <c r="A275" s="187"/>
      <c r="B275" s="128"/>
    </row>
    <row r="276" ht="14.25" customHeight="1">
      <c r="A276" s="187"/>
      <c r="B276" s="128"/>
    </row>
    <row r="277" ht="14.25" customHeight="1">
      <c r="A277" s="187"/>
      <c r="B277" s="128"/>
    </row>
    <row r="278" ht="14.25" customHeight="1">
      <c r="A278" s="187"/>
      <c r="B278" s="128"/>
    </row>
    <row r="279" ht="14.25" customHeight="1">
      <c r="A279" s="187"/>
      <c r="B279" s="128"/>
    </row>
    <row r="280" ht="14.25" customHeight="1">
      <c r="A280" s="187"/>
      <c r="B280" s="128"/>
    </row>
    <row r="281" ht="14.25" customHeight="1">
      <c r="A281" s="187"/>
      <c r="B281" s="128"/>
    </row>
    <row r="282" ht="14.25" customHeight="1">
      <c r="A282" s="187"/>
      <c r="B282" s="128"/>
    </row>
    <row r="283" ht="14.25" customHeight="1">
      <c r="A283" s="187"/>
      <c r="B283" s="128"/>
    </row>
    <row r="284" ht="14.25" customHeight="1">
      <c r="A284" s="187"/>
      <c r="B284" s="128"/>
    </row>
    <row r="285" ht="14.25" customHeight="1">
      <c r="A285" s="187"/>
      <c r="B285" s="128"/>
    </row>
    <row r="286" ht="14.25" customHeight="1">
      <c r="A286" s="187"/>
      <c r="B286" s="128"/>
    </row>
    <row r="287" ht="14.25" customHeight="1">
      <c r="A287" s="187"/>
      <c r="B287" s="128"/>
    </row>
    <row r="288" ht="14.25" customHeight="1">
      <c r="A288" s="187"/>
      <c r="B288" s="128"/>
    </row>
    <row r="289" ht="14.25" customHeight="1">
      <c r="A289" s="187"/>
      <c r="B289" s="128"/>
    </row>
    <row r="290" ht="14.25" customHeight="1">
      <c r="A290" s="187"/>
      <c r="B290" s="128"/>
    </row>
    <row r="291" ht="14.25" customHeight="1">
      <c r="A291" s="187"/>
      <c r="B291" s="128"/>
    </row>
    <row r="292" ht="14.25" customHeight="1">
      <c r="A292" s="187"/>
      <c r="B292" s="128"/>
    </row>
    <row r="293" ht="14.25" customHeight="1">
      <c r="A293" s="187"/>
      <c r="B293" s="128"/>
    </row>
    <row r="294" ht="14.25" customHeight="1">
      <c r="A294" s="187"/>
      <c r="B294" s="128"/>
    </row>
    <row r="295" ht="14.25" customHeight="1">
      <c r="A295" s="187"/>
      <c r="B295" s="128"/>
    </row>
    <row r="296" ht="14.25" customHeight="1">
      <c r="A296" s="187"/>
      <c r="B296" s="128"/>
    </row>
    <row r="297" ht="14.25" customHeight="1">
      <c r="A297" s="187"/>
      <c r="B297" s="128"/>
    </row>
    <row r="298" ht="14.25" customHeight="1">
      <c r="A298" s="187"/>
      <c r="B298" s="128"/>
    </row>
    <row r="299" ht="14.25" customHeight="1">
      <c r="A299" s="187"/>
      <c r="B299" s="128"/>
    </row>
    <row r="300" ht="14.25" customHeight="1">
      <c r="A300" s="187"/>
      <c r="B300" s="128"/>
    </row>
    <row r="301" ht="14.25" customHeight="1">
      <c r="A301" s="187"/>
      <c r="B301" s="128"/>
    </row>
    <row r="302" ht="14.25" customHeight="1">
      <c r="A302" s="187"/>
      <c r="B302" s="128"/>
    </row>
    <row r="303" ht="14.25" customHeight="1">
      <c r="A303" s="187"/>
      <c r="B303" s="128"/>
    </row>
    <row r="304" ht="14.25" customHeight="1">
      <c r="A304" s="187"/>
      <c r="B304" s="128"/>
    </row>
    <row r="305" ht="14.25" customHeight="1">
      <c r="A305" s="187"/>
      <c r="B305" s="128"/>
    </row>
    <row r="306" ht="14.25" customHeight="1">
      <c r="A306" s="187"/>
      <c r="B306" s="128"/>
    </row>
    <row r="307" ht="14.25" customHeight="1">
      <c r="A307" s="187"/>
      <c r="B307" s="128"/>
    </row>
    <row r="308" ht="14.25" customHeight="1">
      <c r="A308" s="187"/>
      <c r="B308" s="128"/>
    </row>
    <row r="309" ht="14.25" customHeight="1">
      <c r="A309" s="187"/>
      <c r="B309" s="128"/>
    </row>
    <row r="310" ht="14.25" customHeight="1">
      <c r="A310" s="187"/>
      <c r="B310" s="128"/>
    </row>
    <row r="311" ht="14.25" customHeight="1">
      <c r="A311" s="187"/>
      <c r="B311" s="128"/>
    </row>
    <row r="312" ht="14.25" customHeight="1">
      <c r="A312" s="187"/>
      <c r="B312" s="128"/>
    </row>
    <row r="313" ht="14.25" customHeight="1">
      <c r="A313" s="187"/>
      <c r="B313" s="128"/>
    </row>
    <row r="314" ht="14.25" customHeight="1">
      <c r="A314" s="187"/>
      <c r="B314" s="128"/>
    </row>
    <row r="315" ht="14.25" customHeight="1">
      <c r="A315" s="187"/>
      <c r="B315" s="128"/>
    </row>
    <row r="316" ht="14.25" customHeight="1">
      <c r="A316" s="187"/>
      <c r="B316" s="128"/>
    </row>
    <row r="317" ht="14.25" customHeight="1">
      <c r="A317" s="187"/>
      <c r="B317" s="128"/>
    </row>
    <row r="318" ht="14.25" customHeight="1">
      <c r="A318" s="187"/>
      <c r="B318" s="128"/>
    </row>
    <row r="319" ht="14.25" customHeight="1">
      <c r="A319" s="187"/>
      <c r="B319" s="128"/>
    </row>
    <row r="320" ht="14.25" customHeight="1">
      <c r="A320" s="187"/>
      <c r="B320" s="128"/>
    </row>
    <row r="321" ht="14.25" customHeight="1">
      <c r="A321" s="187"/>
      <c r="B321" s="128"/>
    </row>
    <row r="322" ht="14.25" customHeight="1">
      <c r="A322" s="187"/>
      <c r="B322" s="128"/>
    </row>
    <row r="323" ht="14.25" customHeight="1">
      <c r="A323" s="187"/>
      <c r="B323" s="128"/>
    </row>
    <row r="324" ht="14.25" customHeight="1">
      <c r="A324" s="187"/>
      <c r="B324" s="128"/>
    </row>
    <row r="325" ht="14.25" customHeight="1">
      <c r="A325" s="187"/>
      <c r="B325" s="128"/>
    </row>
    <row r="326" ht="14.25" customHeight="1">
      <c r="A326" s="187"/>
      <c r="B326" s="128"/>
    </row>
    <row r="327" ht="14.25" customHeight="1">
      <c r="A327" s="187"/>
      <c r="B327" s="128"/>
    </row>
    <row r="328" ht="14.25" customHeight="1">
      <c r="A328" s="187"/>
      <c r="B328" s="128"/>
    </row>
    <row r="329" ht="14.25" customHeight="1">
      <c r="A329" s="187"/>
      <c r="B329" s="128"/>
    </row>
    <row r="330" ht="14.25" customHeight="1">
      <c r="A330" s="187"/>
      <c r="B330" s="128"/>
    </row>
    <row r="331" ht="14.25" customHeight="1">
      <c r="A331" s="187"/>
      <c r="B331" s="128"/>
    </row>
    <row r="332" ht="14.25" customHeight="1">
      <c r="A332" s="187"/>
      <c r="B332" s="128"/>
    </row>
    <row r="333" ht="14.25" customHeight="1">
      <c r="A333" s="187"/>
      <c r="B333" s="128"/>
    </row>
    <row r="334" ht="14.25" customHeight="1">
      <c r="A334" s="187"/>
      <c r="B334" s="128"/>
    </row>
    <row r="335" ht="14.25" customHeight="1">
      <c r="A335" s="187"/>
      <c r="B335" s="128"/>
    </row>
    <row r="336" ht="14.25" customHeight="1">
      <c r="A336" s="187"/>
      <c r="B336" s="128"/>
    </row>
    <row r="337" ht="14.25" customHeight="1">
      <c r="A337" s="187"/>
      <c r="B337" s="128"/>
    </row>
    <row r="338" ht="14.25" customHeight="1">
      <c r="A338" s="187"/>
      <c r="B338" s="128"/>
    </row>
    <row r="339" ht="14.25" customHeight="1">
      <c r="A339" s="187"/>
      <c r="B339" s="128"/>
    </row>
    <row r="340" ht="14.25" customHeight="1">
      <c r="A340" s="187"/>
      <c r="B340" s="128"/>
    </row>
    <row r="341" ht="14.25" customHeight="1">
      <c r="A341" s="187"/>
      <c r="B341" s="128"/>
    </row>
    <row r="342" ht="14.25" customHeight="1">
      <c r="A342" s="187"/>
      <c r="B342" s="128"/>
    </row>
    <row r="343" ht="14.25" customHeight="1">
      <c r="A343" s="187"/>
      <c r="B343" s="128"/>
    </row>
    <row r="344" ht="14.25" customHeight="1">
      <c r="A344" s="187"/>
      <c r="B344" s="128"/>
    </row>
    <row r="345" ht="14.25" customHeight="1">
      <c r="A345" s="187"/>
      <c r="B345" s="128"/>
    </row>
    <row r="346" ht="14.25" customHeight="1">
      <c r="A346" s="187"/>
      <c r="B346" s="128"/>
    </row>
    <row r="347" ht="14.25" customHeight="1">
      <c r="A347" s="187"/>
      <c r="B347" s="128"/>
    </row>
    <row r="348" ht="14.25" customHeight="1">
      <c r="A348" s="187"/>
      <c r="B348" s="128"/>
    </row>
    <row r="349" ht="14.25" customHeight="1">
      <c r="A349" s="187"/>
      <c r="B349" s="128"/>
    </row>
    <row r="350" ht="14.25" customHeight="1">
      <c r="A350" s="187"/>
      <c r="B350" s="128"/>
    </row>
    <row r="351" ht="14.25" customHeight="1">
      <c r="A351" s="187"/>
      <c r="B351" s="128"/>
    </row>
    <row r="352" ht="14.25" customHeight="1">
      <c r="A352" s="187"/>
      <c r="B352" s="128"/>
    </row>
    <row r="353" ht="14.25" customHeight="1">
      <c r="A353" s="187"/>
      <c r="B353" s="128"/>
    </row>
    <row r="354" ht="14.25" customHeight="1">
      <c r="A354" s="187"/>
      <c r="B354" s="128"/>
    </row>
    <row r="355" ht="14.25" customHeight="1">
      <c r="A355" s="187"/>
      <c r="B355" s="128"/>
    </row>
    <row r="356" ht="14.25" customHeight="1">
      <c r="A356" s="187"/>
      <c r="B356" s="128"/>
    </row>
    <row r="357" ht="14.25" customHeight="1">
      <c r="A357" s="187"/>
      <c r="B357" s="128"/>
    </row>
    <row r="358" ht="14.25" customHeight="1">
      <c r="A358" s="187"/>
      <c r="B358" s="128"/>
    </row>
    <row r="359" ht="14.25" customHeight="1">
      <c r="A359" s="187"/>
      <c r="B359" s="128"/>
    </row>
    <row r="360" ht="14.25" customHeight="1">
      <c r="A360" s="187"/>
      <c r="B360" s="128"/>
    </row>
    <row r="361" ht="14.25" customHeight="1">
      <c r="A361" s="187"/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10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47</v>
      </c>
    </row>
    <row r="2" ht="14.25" customHeight="1">
      <c r="A2" s="118" t="str">
        <f>IFERROR(__xludf.DUMMYFUNCTION(" IMPORTRANGE(""https://docs.google.com/spreadsheets/d/1Ezu6URFPEJIuYq9ayTIHicfMQfDSjyVHRsUpnOAXRko/edit#gid=1444344404"",""Surprise!A2:A161"")"),"vicdolu86")</f>
        <v>vicdolu86</v>
      </c>
      <c r="B2" s="103">
        <v>1.0</v>
      </c>
      <c r="C2" s="183">
        <f t="shared" ref="C2:C161" si="1">260*(1-(B2/($H$1+1)))*POWER((SQRT(($H$1+1)/B2)),1/2)</f>
        <v>670.1010183</v>
      </c>
      <c r="D2" s="124" t="str">
        <f>VLOOKUP(A2,'Classement Surp'!$B$2:$B$149,1,0)</f>
        <v>vicdolu86</v>
      </c>
      <c r="E2" s="125" t="str">
        <f t="shared" ref="E2:E161" si="2">IF(D2=A2,"","erreur")</f>
        <v/>
      </c>
      <c r="F2" s="120" t="str">
        <f>VLOOKUP(A2,'Classement Général'!$B$2:$B$146,1,0)</f>
        <v>#N/A</v>
      </c>
    </row>
    <row r="3" ht="14.25" customHeight="1">
      <c r="A3" s="118" t="str">
        <f>IFERROR(__xludf.DUMMYFUNCTION("""COMPUTED_VALUE"""),"fiodor86")</f>
        <v>fiodor86</v>
      </c>
      <c r="B3" s="103">
        <v>2.0</v>
      </c>
      <c r="C3" s="183">
        <f t="shared" si="1"/>
        <v>551.49649</v>
      </c>
      <c r="D3" s="124" t="str">
        <f>VLOOKUP(A3,'Classement Surp'!$B$2:$B$149,1,0)</f>
        <v>fiodor86</v>
      </c>
      <c r="E3" s="125" t="str">
        <f t="shared" si="2"/>
        <v/>
      </c>
      <c r="F3" s="120" t="str">
        <f>VLOOKUP(A3,'Classement Général'!$B$2:$B$146,1,0)</f>
        <v>fiodor86</v>
      </c>
    </row>
    <row r="4" ht="14.25" customHeight="1">
      <c r="A4" s="118" t="str">
        <f>IFERROR(__xludf.DUMMYFUNCTION("""COMPUTED_VALUE"""),"PrendmAmAin")</f>
        <v>PrendmAmAin</v>
      </c>
      <c r="B4" s="103">
        <v>3.0</v>
      </c>
      <c r="C4" s="183">
        <f t="shared" si="1"/>
        <v>487.5</v>
      </c>
      <c r="D4" s="124" t="str">
        <f>VLOOKUP(A4,'Classement Surp'!$B$2:$B$149,1,0)</f>
        <v>PrendmAmAin</v>
      </c>
      <c r="E4" s="125" t="str">
        <f t="shared" si="2"/>
        <v/>
      </c>
      <c r="F4" s="120" t="str">
        <f>VLOOKUP(A4,'Classement Général'!$B$2:$B$146,1,0)</f>
        <v>PrendmAmAin</v>
      </c>
    </row>
    <row r="5" ht="14.25" customHeight="1">
      <c r="A5" s="118" t="str">
        <f>IFERROR(__xludf.DUMMYFUNCTION("""COMPUTED_VALUE"""),"POMB1664")</f>
        <v>POMB1664</v>
      </c>
      <c r="B5" s="103">
        <v>4.0</v>
      </c>
      <c r="C5" s="183">
        <f t="shared" si="1"/>
        <v>443.5883162</v>
      </c>
      <c r="D5" s="124" t="str">
        <f>VLOOKUP(A5,'Classement Surp'!$B$2:$B$149,1,0)</f>
        <v>POMB1664</v>
      </c>
      <c r="E5" s="125" t="str">
        <f t="shared" si="2"/>
        <v/>
      </c>
      <c r="F5" s="120" t="str">
        <f>VLOOKUP(A5,'Classement Général'!$B$2:$B$146,1,0)</f>
        <v>POMB1664</v>
      </c>
    </row>
    <row r="6" ht="14.25" customHeight="1">
      <c r="A6" s="118" t="str">
        <f>IFERROR(__xludf.DUMMYFUNCTION("""COMPUTED_VALUE"""),". BARBAPAPA66")</f>
        <v>. BARBAPAPA66</v>
      </c>
      <c r="B6" s="103">
        <v>5.0</v>
      </c>
      <c r="C6" s="183">
        <f t="shared" si="1"/>
        <v>409.9853841</v>
      </c>
      <c r="D6" s="124" t="str">
        <f>VLOOKUP(A6,'Classement Surp'!$B$2:$B$149,1,0)</f>
        <v>. BARBAPAPA66</v>
      </c>
      <c r="E6" s="125" t="str">
        <f t="shared" si="2"/>
        <v/>
      </c>
      <c r="F6" s="120" t="str">
        <f>VLOOKUP(A6,'Classement Général'!$B$2:$B$146,1,0)</f>
        <v>. BARBAPAPA66</v>
      </c>
    </row>
    <row r="7" ht="14.25" customHeight="1">
      <c r="A7" s="118" t="str">
        <f>IFERROR(__xludf.DUMMYFUNCTION("""COMPUTED_VALUE"""),"Mako Lemore")</f>
        <v>Mako Lemore</v>
      </c>
      <c r="B7" s="103">
        <v>6.0</v>
      </c>
      <c r="C7" s="183">
        <f t="shared" si="1"/>
        <v>382.6078689</v>
      </c>
      <c r="D7" s="124" t="str">
        <f>VLOOKUP(A7,'Classement Surp'!$B$2:$B$149,1,0)</f>
        <v>Mako Lemore</v>
      </c>
      <c r="E7" s="125" t="str">
        <f t="shared" si="2"/>
        <v/>
      </c>
      <c r="F7" s="120" t="str">
        <f>VLOOKUP(A7,'Classement Général'!$B$2:$B$146,1,0)</f>
        <v>Mako Lemore</v>
      </c>
    </row>
    <row r="8" ht="14.25" customHeight="1">
      <c r="A8" s="118" t="str">
        <f>IFERROR(__xludf.DUMMYFUNCTION("""COMPUTED_VALUE"""),"Fistipanda")</f>
        <v>Fistipanda</v>
      </c>
      <c r="B8" s="103">
        <v>7.0</v>
      </c>
      <c r="C8" s="183">
        <f t="shared" si="1"/>
        <v>359.3782311</v>
      </c>
      <c r="D8" s="124" t="str">
        <f>VLOOKUP(A8,'Classement Surp'!$B$2:$B$149,1,0)</f>
        <v>Fistipanda</v>
      </c>
      <c r="E8" s="125" t="str">
        <f t="shared" si="2"/>
        <v/>
      </c>
      <c r="F8" s="120" t="str">
        <f>VLOOKUP(A8,'Classement Général'!$B$2:$B$146,1,0)</f>
        <v>Fistipanda</v>
      </c>
    </row>
    <row r="9" ht="14.25" customHeight="1">
      <c r="A9" s="118" t="str">
        <f>IFERROR(__xludf.DUMMYFUNCTION("""COMPUTED_VALUE"""),".choco")</f>
        <v>.choco</v>
      </c>
      <c r="B9" s="103">
        <v>8.0</v>
      </c>
      <c r="C9" s="183">
        <f t="shared" si="1"/>
        <v>339.101659</v>
      </c>
      <c r="D9" s="124" t="str">
        <f>VLOOKUP(A9,'Classement Surp'!$B$2:$B$149,1,0)</f>
        <v>.choco</v>
      </c>
      <c r="E9" s="125" t="str">
        <f t="shared" si="2"/>
        <v/>
      </c>
      <c r="F9" s="120" t="str">
        <f>VLOOKUP(A9,'Classement Général'!$B$2:$B$146,1,0)</f>
        <v>.choco</v>
      </c>
    </row>
    <row r="10" ht="14.25" customHeight="1">
      <c r="A10" s="118" t="str">
        <f>IFERROR(__xludf.DUMMYFUNCTION("""COMPUTED_VALUE"""),"8kinder6")</f>
        <v>8kinder6</v>
      </c>
      <c r="B10" s="103">
        <v>9.0</v>
      </c>
      <c r="C10" s="183">
        <f t="shared" si="1"/>
        <v>321.0305772</v>
      </c>
      <c r="D10" s="124" t="str">
        <f>VLOOKUP(A10,'Classement Surp'!$B$2:$B$149,1,0)</f>
        <v>8kinder6</v>
      </c>
      <c r="E10" s="125" t="str">
        <f t="shared" si="2"/>
        <v/>
      </c>
      <c r="F10" s="120" t="str">
        <f>VLOOKUP(A10,'Classement Général'!$B$2:$B$146,1,0)</f>
        <v>8kinder6</v>
      </c>
    </row>
    <row r="11" ht="14.25" customHeight="1">
      <c r="A11" s="118" t="str">
        <f>IFERROR(__xludf.DUMMYFUNCTION("""COMPUTED_VALUE"""),"immond")</f>
        <v>immond</v>
      </c>
      <c r="B11" s="103">
        <v>10.0</v>
      </c>
      <c r="C11" s="183">
        <f t="shared" si="1"/>
        <v>304.6674212</v>
      </c>
      <c r="D11" s="124" t="str">
        <f>VLOOKUP(A11,'Classement Surp'!$B$2:$B$149,1,0)</f>
        <v>immond</v>
      </c>
      <c r="E11" s="125" t="str">
        <f t="shared" si="2"/>
        <v/>
      </c>
      <c r="F11" s="120" t="str">
        <f>VLOOKUP(A11,'Classement Général'!$B$2:$B$146,1,0)</f>
        <v>immond</v>
      </c>
    </row>
    <row r="12" ht="14.25" customHeight="1">
      <c r="A12" s="118" t="str">
        <f>IFERROR(__xludf.DUMMYFUNCTION("""COMPUTED_VALUE"""),"gregmoore")</f>
        <v>gregmoore</v>
      </c>
      <c r="B12" s="103">
        <v>11.0</v>
      </c>
      <c r="C12" s="183">
        <f t="shared" si="1"/>
        <v>289.6649665</v>
      </c>
      <c r="D12" s="124" t="str">
        <f>VLOOKUP(A12,'Classement Surp'!$B$2:$B$149,1,0)</f>
        <v>gregmoore</v>
      </c>
      <c r="E12" s="125" t="str">
        <f t="shared" si="2"/>
        <v/>
      </c>
      <c r="F12" s="120" t="str">
        <f>VLOOKUP(A12,'Classement Général'!$B$2:$B$146,1,0)</f>
        <v>gregmoore</v>
      </c>
    </row>
    <row r="13" ht="14.25" customHeight="1">
      <c r="A13" s="118" t="str">
        <f>IFERROR(__xludf.DUMMYFUNCTION("""COMPUTED_VALUE"""),"cassius-86")</f>
        <v>cassius-86</v>
      </c>
      <c r="B13" s="103">
        <v>12.0</v>
      </c>
      <c r="C13" s="183">
        <f t="shared" si="1"/>
        <v>275.7716447</v>
      </c>
      <c r="D13" s="124" t="str">
        <f>VLOOKUP(A13,'Classement Surp'!$B$2:$B$149,1,0)</f>
        <v>cassius-86</v>
      </c>
      <c r="E13" s="125" t="str">
        <f t="shared" si="2"/>
        <v/>
      </c>
      <c r="F13" s="120" t="str">
        <f>VLOOKUP(A13,'Classement Général'!$B$2:$B$146,1,0)</f>
        <v>cassius-86</v>
      </c>
    </row>
    <row r="14" ht="14.25" customHeight="1">
      <c r="A14" s="118" t="str">
        <f>IFERROR(__xludf.DUMMYFUNCTION("""COMPUTED_VALUE"""),"Pachavi")</f>
        <v>Pachavi</v>
      </c>
      <c r="B14" s="103">
        <v>13.0</v>
      </c>
      <c r="C14" s="183">
        <f t="shared" si="1"/>
        <v>262.7995554</v>
      </c>
      <c r="D14" s="124" t="str">
        <f>VLOOKUP(A14,'Classement Surp'!$B$2:$B$149,1,0)</f>
        <v>Pachavi</v>
      </c>
      <c r="E14" s="125" t="str">
        <f t="shared" si="2"/>
        <v/>
      </c>
      <c r="F14" s="120" t="str">
        <f>VLOOKUP(A14,'Classement Général'!$B$2:$B$146,1,0)</f>
        <v>Pachavi</v>
      </c>
    </row>
    <row r="15" ht="14.25" customHeight="1">
      <c r="A15" s="118" t="str">
        <f>IFERROR(__xludf.DUMMYFUNCTION("""COMPUTED_VALUE"""),"kiki86 x")</f>
        <v>kiki86 x</v>
      </c>
      <c r="B15" s="103">
        <v>14.0</v>
      </c>
      <c r="C15" s="183">
        <f t="shared" si="1"/>
        <v>250.6047671</v>
      </c>
      <c r="D15" s="124" t="str">
        <f>VLOOKUP(A15,'Classement Surp'!$B$2:$B$149,1,0)</f>
        <v>kiki86 x</v>
      </c>
      <c r="E15" s="125" t="str">
        <f t="shared" si="2"/>
        <v/>
      </c>
      <c r="F15" s="120" t="str">
        <f>VLOOKUP(A15,'Classement Général'!$B$2:$B$146,1,0)</f>
        <v>kiki86 x</v>
      </c>
    </row>
    <row r="16" ht="14.25" customHeight="1">
      <c r="A16" s="118" t="str">
        <f>IFERROR(__xludf.DUMMYFUNCTION("""COMPUTED_VALUE"""),"Dirty Bazaar")</f>
        <v>Dirty Bazaar</v>
      </c>
      <c r="B16" s="103">
        <v>15.0</v>
      </c>
      <c r="C16" s="183">
        <f t="shared" si="1"/>
        <v>239.074659</v>
      </c>
      <c r="D16" s="124" t="str">
        <f>VLOOKUP(A16,'Classement Surp'!$B$2:$B$149,1,0)</f>
        <v>Dirty Bazaar</v>
      </c>
      <c r="E16" s="125" t="str">
        <f t="shared" si="2"/>
        <v/>
      </c>
      <c r="F16" s="120" t="str">
        <f>VLOOKUP(A16,'Classement Général'!$B$2:$B$146,1,0)</f>
        <v>Dirty Bazaar</v>
      </c>
    </row>
    <row r="17" ht="14.25" customHeight="1">
      <c r="A17" s="118" t="str">
        <f>IFERROR(__xludf.DUMMYFUNCTION("""COMPUTED_VALUE"""),"rastamokett")</f>
        <v>rastamokett</v>
      </c>
      <c r="B17" s="103">
        <v>16.0</v>
      </c>
      <c r="C17" s="183">
        <f t="shared" si="1"/>
        <v>228.1194956</v>
      </c>
      <c r="D17" s="124" t="str">
        <f>VLOOKUP(A17,'Classement Surp'!$B$2:$B$149,1,0)</f>
        <v>rastamokett</v>
      </c>
      <c r="E17" s="125" t="str">
        <f t="shared" si="2"/>
        <v/>
      </c>
      <c r="F17" s="120" t="str">
        <f>VLOOKUP(A17,'Classement Général'!$B$2:$B$146,1,0)</f>
        <v>rastamokett</v>
      </c>
    </row>
    <row r="18" ht="14.25" customHeight="1">
      <c r="A18" s="118" t="str">
        <f>IFERROR(__xludf.DUMMYFUNCTION("""COMPUTED_VALUE"""),"Sab86360")</f>
        <v>Sab86360</v>
      </c>
      <c r="B18" s="103">
        <v>17.0</v>
      </c>
      <c r="C18" s="183">
        <f t="shared" si="1"/>
        <v>217.6666451</v>
      </c>
      <c r="D18" s="124" t="str">
        <f>VLOOKUP(A18,'Classement Surp'!$B$2:$B$149,1,0)</f>
        <v>Sab86360</v>
      </c>
      <c r="E18" s="125" t="str">
        <f t="shared" si="2"/>
        <v/>
      </c>
      <c r="F18" s="120" t="str">
        <f>VLOOKUP(A18,'Classement Général'!$B$2:$B$146,1,0)</f>
        <v>Sab86360</v>
      </c>
    </row>
    <row r="19" ht="14.25" customHeight="1">
      <c r="A19" s="118" t="str">
        <f>IFERROR(__xludf.DUMMYFUNCTION("""COMPUTED_VALUE"""),"Or&amp;l1")</f>
        <v>Or&amp;l1</v>
      </c>
      <c r="B19" s="103">
        <v>18.0</v>
      </c>
      <c r="C19" s="183">
        <f t="shared" si="1"/>
        <v>207.6565089</v>
      </c>
      <c r="D19" s="124" t="str">
        <f>VLOOKUP(A19,'Classement Surp'!$B$2:$B$149,1,0)</f>
        <v>Or&amp;l1</v>
      </c>
      <c r="E19" s="125" t="str">
        <f t="shared" si="2"/>
        <v/>
      </c>
      <c r="F19" s="120" t="str">
        <f>VLOOKUP(A19,'Classement Général'!$B$2:$B$146,1,0)</f>
        <v>Or&amp;l1</v>
      </c>
    </row>
    <row r="20" ht="14.25" customHeight="1">
      <c r="A20" s="118" t="str">
        <f>IFERROR(__xludf.DUMMYFUNCTION("""COMPUTED_VALUE"""),"GooodJooob")</f>
        <v>GooodJooob</v>
      </c>
      <c r="B20" s="103">
        <v>19.0</v>
      </c>
      <c r="C20" s="183">
        <f t="shared" si="1"/>
        <v>198.0395896</v>
      </c>
      <c r="D20" s="124" t="str">
        <f>VLOOKUP(A20,'Classement Surp'!$B$2:$B$149,1,0)</f>
        <v>GooodJooob</v>
      </c>
      <c r="E20" s="125" t="str">
        <f t="shared" si="2"/>
        <v/>
      </c>
      <c r="F20" s="120" t="str">
        <f>VLOOKUP(A20,'Classement Général'!$B$2:$B$146,1,0)</f>
        <v>GooodJooob</v>
      </c>
    </row>
    <row r="21" ht="14.25" customHeight="1">
      <c r="A21" s="118" t="str">
        <f>IFERROR(__xludf.DUMMYFUNCTION("""COMPUTED_VALUE"""),"UnPetitJaune")</f>
        <v>UnPetitJaune</v>
      </c>
      <c r="B21" s="103">
        <v>20.0</v>
      </c>
      <c r="C21" s="183">
        <f t="shared" si="1"/>
        <v>188.7743364</v>
      </c>
      <c r="D21" s="124" t="str">
        <f>VLOOKUP(A21,'Classement Surp'!$B$2:$B$149,1,0)</f>
        <v>UnPetitJaune</v>
      </c>
      <c r="E21" s="125" t="str">
        <f t="shared" si="2"/>
        <v/>
      </c>
      <c r="F21" s="120" t="str">
        <f>VLOOKUP(A21,'Classement Général'!$B$2:$B$146,1,0)</f>
        <v>UnPetitJaune</v>
      </c>
    </row>
    <row r="22" ht="14.25" customHeight="1">
      <c r="A22" s="118" t="str">
        <f>IFERROR(__xludf.DUMMYFUNCTION("""COMPUTED_VALUE"""),"Le_Pictavien")</f>
        <v>Le_Pictavien</v>
      </c>
      <c r="B22" s="103">
        <v>21.0</v>
      </c>
      <c r="C22" s="183">
        <f t="shared" si="1"/>
        <v>179.8255347</v>
      </c>
      <c r="D22" s="124" t="str">
        <f>VLOOKUP(A22,'Classement Surp'!$B$2:$B$149,1,0)</f>
        <v>Le_Pictavien</v>
      </c>
      <c r="E22" s="125" t="str">
        <f t="shared" si="2"/>
        <v/>
      </c>
      <c r="F22" s="120" t="str">
        <f>VLOOKUP(A22,'Classement Général'!$B$2:$B$146,1,0)</f>
        <v>Le_Pictavien</v>
      </c>
    </row>
    <row r="23" ht="14.25" customHeight="1">
      <c r="A23" s="118" t="str">
        <f>IFERROR(__xludf.DUMMYFUNCTION("""COMPUTED_VALUE"""),"Rod_John_VI")</f>
        <v>Rod_John_VI</v>
      </c>
      <c r="B23" s="103">
        <v>22.0</v>
      </c>
      <c r="C23" s="183">
        <f t="shared" si="1"/>
        <v>171.1630819</v>
      </c>
      <c r="D23" s="124" t="str">
        <f>VLOOKUP(A23,'Classement Surp'!$B$2:$B$149,1,0)</f>
        <v>Rod_John_VI</v>
      </c>
      <c r="E23" s="125" t="str">
        <f t="shared" si="2"/>
        <v/>
      </c>
      <c r="F23" s="120" t="str">
        <f>VLOOKUP(A23,'Classement Général'!$B$2:$B$146,1,0)</f>
        <v>Rod_John_VI</v>
      </c>
    </row>
    <row r="24" ht="14.25" customHeight="1">
      <c r="A24" s="118" t="str">
        <f>IFERROR(__xludf.DUMMYFUNCTION("""COMPUTED_VALUE"""),"NezuKO-demon")</f>
        <v>NezuKO-demon</v>
      </c>
      <c r="B24" s="103">
        <v>23.0</v>
      </c>
      <c r="C24" s="183">
        <f t="shared" si="1"/>
        <v>162.761045</v>
      </c>
      <c r="D24" s="124" t="str">
        <f>VLOOKUP(A24,'Classement Surp'!$B$2:$B$149,1,0)</f>
        <v>NezuKO-demon</v>
      </c>
      <c r="E24" s="125" t="str">
        <f t="shared" si="2"/>
        <v/>
      </c>
      <c r="F24" s="120" t="str">
        <f>VLOOKUP(A24,'Classement Général'!$B$2:$B$146,1,0)</f>
        <v>NezuKO-demon</v>
      </c>
    </row>
    <row r="25" ht="14.25" customHeight="1">
      <c r="A25" s="118" t="str">
        <f>IFERROR(__xludf.DUMMYFUNCTION("""COMPUTED_VALUE"""),"Kevfurious")</f>
        <v>Kevfurious</v>
      </c>
      <c r="B25" s="103">
        <v>24.0</v>
      </c>
      <c r="C25" s="183">
        <f t="shared" si="1"/>
        <v>154.596925</v>
      </c>
      <c r="D25" s="124" t="str">
        <f>VLOOKUP(A25,'Classement Surp'!$B$2:$B$149,1,0)</f>
        <v>Kevfurious</v>
      </c>
      <c r="E25" s="125" t="str">
        <f t="shared" si="2"/>
        <v/>
      </c>
      <c r="F25" s="120" t="str">
        <f>VLOOKUP(A25,'Classement Général'!$B$2:$B$146,1,0)</f>
        <v>Kevfurious</v>
      </c>
    </row>
    <row r="26" ht="14.25" customHeight="1">
      <c r="A26" s="118" t="str">
        <f>IFERROR(__xludf.DUMMYFUNCTION("""COMPUTED_VALUE"""),"Mikalack")</f>
        <v>Mikalack</v>
      </c>
      <c r="B26" s="103">
        <v>25.0</v>
      </c>
      <c r="C26" s="183">
        <f t="shared" si="1"/>
        <v>146.651076</v>
      </c>
      <c r="D26" s="124" t="str">
        <f>VLOOKUP(A26,'Classement Surp'!$B$2:$B$149,1,0)</f>
        <v>Mikalack</v>
      </c>
      <c r="E26" s="125" t="str">
        <f t="shared" si="2"/>
        <v/>
      </c>
      <c r="F26" s="120" t="str">
        <f>VLOOKUP(A26,'Classement Général'!$B$2:$B$146,1,0)</f>
        <v>Mikalack</v>
      </c>
    </row>
    <row r="27" ht="14.25" customHeight="1">
      <c r="A27" s="118" t="str">
        <f>IFERROR(__xludf.DUMMYFUNCTION("""COMPUTED_VALUE"""),"Sylvain ")</f>
        <v>Sylvain </v>
      </c>
      <c r="B27" s="103">
        <v>26.0</v>
      </c>
      <c r="C27" s="183">
        <f t="shared" si="1"/>
        <v>138.9062426</v>
      </c>
      <c r="D27" s="124" t="str">
        <f>VLOOKUP(A27,'Classement Surp'!$B$2:$B$149,1,0)</f>
        <v>Sylvain </v>
      </c>
      <c r="E27" s="125" t="str">
        <f t="shared" si="2"/>
        <v/>
      </c>
      <c r="F27" s="120" t="str">
        <f>VLOOKUP(A27,'Classement Général'!$B$2:$B$146,1,0)</f>
        <v>#N/A</v>
      </c>
    </row>
    <row r="28" ht="14.25" customHeight="1">
      <c r="A28" s="118" t="str">
        <f>IFERROR(__xludf.DUMMYFUNCTION("""COMPUTED_VALUE"""),"Anais ")</f>
        <v>Anais </v>
      </c>
      <c r="B28" s="103">
        <v>27.0</v>
      </c>
      <c r="C28" s="183">
        <f t="shared" si="1"/>
        <v>131.3471862</v>
      </c>
      <c r="D28" s="124" t="str">
        <f>VLOOKUP(A28,'Classement Surp'!$B$2:$B$149,1,0)</f>
        <v>Anais </v>
      </c>
      <c r="E28" s="125" t="str">
        <f t="shared" si="2"/>
        <v/>
      </c>
      <c r="F28" s="120" t="str">
        <f>VLOOKUP(A28,'Classement Général'!$B$2:$B$146,1,0)</f>
        <v>Anais </v>
      </c>
    </row>
    <row r="29" ht="14.25" customHeight="1">
      <c r="A29" s="118" t="str">
        <f>IFERROR(__xludf.DUMMYFUNCTION("""COMPUTED_VALUE"""),"-Feline")</f>
        <v>-Feline</v>
      </c>
      <c r="B29" s="103">
        <v>28.0</v>
      </c>
      <c r="C29" s="183">
        <f t="shared" si="1"/>
        <v>123.9603825</v>
      </c>
      <c r="D29" s="124" t="str">
        <f>VLOOKUP(A29,'Classement Surp'!$B$2:$B$149,1,0)</f>
        <v>-Feline</v>
      </c>
      <c r="E29" s="125" t="str">
        <f t="shared" si="2"/>
        <v/>
      </c>
      <c r="F29" s="120" t="str">
        <f>VLOOKUP(A29,'Classement Général'!$B$2:$B$146,1,0)</f>
        <v>-Feline</v>
      </c>
    </row>
    <row r="30" ht="14.25" customHeight="1">
      <c r="A30" s="118" t="str">
        <f>IFERROR(__xludf.DUMMYFUNCTION("""COMPUTED_VALUE"""),"m86600b")</f>
        <v>m86600b</v>
      </c>
      <c r="B30" s="103">
        <v>29.0</v>
      </c>
      <c r="C30" s="183">
        <f t="shared" si="1"/>
        <v>116.7337726</v>
      </c>
      <c r="D30" s="124" t="str">
        <f>VLOOKUP(A30,'Classement Surp'!$B$2:$B$149,1,0)</f>
        <v>m86600b</v>
      </c>
      <c r="E30" s="125" t="str">
        <f t="shared" si="2"/>
        <v/>
      </c>
      <c r="F30" s="120" t="str">
        <f>VLOOKUP(A30,'Classement Général'!$B$2:$B$146,1,0)</f>
        <v>m86600b</v>
      </c>
    </row>
    <row r="31" ht="14.25" customHeight="1">
      <c r="A31" s="118" t="str">
        <f>IFERROR(__xludf.DUMMYFUNCTION("""COMPUTED_VALUE"""),"AKlibur")</f>
        <v>AKlibur</v>
      </c>
      <c r="B31" s="103">
        <v>30.0</v>
      </c>
      <c r="C31" s="183">
        <f t="shared" si="1"/>
        <v>109.6565584</v>
      </c>
      <c r="D31" s="124" t="str">
        <f>VLOOKUP(A31,'Classement Surp'!$B$2:$B$149,1,0)</f>
        <v>AKlibur</v>
      </c>
      <c r="E31" s="125" t="str">
        <f t="shared" si="2"/>
        <v/>
      </c>
      <c r="F31" s="120" t="str">
        <f>VLOOKUP(A31,'Classement Général'!$B$2:$B$146,1,0)</f>
        <v>AKlibur</v>
      </c>
    </row>
    <row r="32" ht="14.25" customHeight="1">
      <c r="A32" s="118" t="str">
        <f>IFERROR(__xludf.DUMMYFUNCTION("""COMPUTED_VALUE"""),"Crocet")</f>
        <v>Crocet</v>
      </c>
      <c r="B32" s="103">
        <v>31.0</v>
      </c>
      <c r="C32" s="183">
        <f t="shared" si="1"/>
        <v>102.719032</v>
      </c>
      <c r="D32" s="124" t="str">
        <f>VLOOKUP(A32,'Classement Surp'!$B$2:$B$149,1,0)</f>
        <v>Crocet</v>
      </c>
      <c r="E32" s="125" t="str">
        <f t="shared" si="2"/>
        <v/>
      </c>
      <c r="F32" s="120" t="str">
        <f>VLOOKUP(A32,'Classement Général'!$B$2:$B$146,1,0)</f>
        <v>Crocet</v>
      </c>
    </row>
    <row r="33" ht="14.25" customHeight="1">
      <c r="A33" s="118" t="str">
        <f>IFERROR(__xludf.DUMMYFUNCTION("""COMPUTED_VALUE"""),"Kiki Bazaar")</f>
        <v>Kiki Bazaar</v>
      </c>
      <c r="B33" s="103">
        <v>32.0</v>
      </c>
      <c r="C33" s="183">
        <f t="shared" si="1"/>
        <v>95.91243304</v>
      </c>
      <c r="D33" s="124" t="str">
        <f>VLOOKUP(A33,'Classement Surp'!$B$2:$B$149,1,0)</f>
        <v>Kiki Bazaar</v>
      </c>
      <c r="E33" s="125" t="str">
        <f t="shared" si="2"/>
        <v/>
      </c>
      <c r="F33" s="120" t="str">
        <f>VLOOKUP(A33,'Classement Général'!$B$2:$B$146,1,0)</f>
        <v>Kiki Bazaar</v>
      </c>
    </row>
    <row r="34" ht="14.25" customHeight="1">
      <c r="A34" s="118" t="str">
        <f>IFERROR(__xludf.DUMMYFUNCTION("""COMPUTED_VALUE"""),"Elfy")</f>
        <v>Elfy</v>
      </c>
      <c r="B34" s="103">
        <v>33.0</v>
      </c>
      <c r="C34" s="183">
        <f t="shared" si="1"/>
        <v>89.2288291</v>
      </c>
      <c r="D34" s="124" t="str">
        <f>VLOOKUP(A34,'Classement Surp'!$B$2:$B$149,1,0)</f>
        <v>Elfy</v>
      </c>
      <c r="E34" s="125" t="str">
        <f t="shared" si="2"/>
        <v/>
      </c>
      <c r="F34" s="120" t="str">
        <f>VLOOKUP(A34,'Classement Général'!$B$2:$B$146,1,0)</f>
        <v>Elfy</v>
      </c>
    </row>
    <row r="35" ht="14.25" customHeight="1">
      <c r="A35" s="118" t="str">
        <f>IFERROR(__xludf.DUMMYFUNCTION("""COMPUTED_VALUE"""),"KKPTETYO")</f>
        <v>KKPTETYO</v>
      </c>
      <c r="B35" s="103">
        <v>34.0</v>
      </c>
      <c r="C35" s="183">
        <f t="shared" si="1"/>
        <v>82.6610136</v>
      </c>
      <c r="D35" s="124" t="str">
        <f>VLOOKUP(A35,'Classement Surp'!$B$2:$B$149,1,0)</f>
        <v>KKPTETYO</v>
      </c>
      <c r="E35" s="125" t="str">
        <f t="shared" si="2"/>
        <v/>
      </c>
      <c r="F35" s="120" t="str">
        <f>VLOOKUP(A35,'Classement Général'!$B$2:$B$146,1,0)</f>
        <v>KKPTETYO</v>
      </c>
    </row>
    <row r="36" ht="14.25" customHeight="1">
      <c r="A36" s="118" t="str">
        <f>IFERROR(__xludf.DUMMYFUNCTION("""COMPUTED_VALUE"""),"Bratake")</f>
        <v>Bratake</v>
      </c>
      <c r="B36" s="103">
        <v>35.0</v>
      </c>
      <c r="C36" s="183">
        <f t="shared" si="1"/>
        <v>76.20241956</v>
      </c>
      <c r="D36" s="124" t="str">
        <f>VLOOKUP(A36,'Classement Surp'!$B$2:$B$149,1,0)</f>
        <v>Bratake</v>
      </c>
      <c r="E36" s="125" t="str">
        <f t="shared" si="2"/>
        <v/>
      </c>
      <c r="F36" s="120" t="str">
        <f>VLOOKUP(A36,'Classement Général'!$B$2:$B$146,1,0)</f>
        <v>Bratake</v>
      </c>
    </row>
    <row r="37" ht="14.25" customHeight="1">
      <c r="A37" s="118" t="str">
        <f>IFERROR(__xludf.DUMMYFUNCTION("""COMPUTED_VALUE"""),"christ86000")</f>
        <v>christ86000</v>
      </c>
      <c r="B37" s="103">
        <v>36.0</v>
      </c>
      <c r="C37" s="183">
        <f t="shared" si="1"/>
        <v>69.84704557</v>
      </c>
      <c r="D37" s="124" t="str">
        <f>VLOOKUP(A37,'Classement Surp'!$B$2:$B$149,1,0)</f>
        <v>christ86000</v>
      </c>
      <c r="E37" s="125" t="str">
        <f t="shared" si="2"/>
        <v/>
      </c>
      <c r="F37" s="120" t="str">
        <f>VLOOKUP(A37,'Classement Général'!$B$2:$B$146,1,0)</f>
        <v>christ86000</v>
      </c>
    </row>
    <row r="38" ht="14.25" customHeight="1">
      <c r="A38" s="118" t="str">
        <f>IFERROR(__xludf.DUMMYFUNCTION("""COMPUTED_VALUE"""),"imberbe")</f>
        <v>imberbe</v>
      </c>
      <c r="B38" s="103">
        <v>37.0</v>
      </c>
      <c r="C38" s="183">
        <f t="shared" si="1"/>
        <v>63.58939222</v>
      </c>
      <c r="D38" s="124" t="str">
        <f>VLOOKUP(A38,'Classement Surp'!$B$2:$B$149,1,0)</f>
        <v>imberbe</v>
      </c>
      <c r="E38" s="125" t="str">
        <f t="shared" si="2"/>
        <v/>
      </c>
      <c r="F38" s="120" t="str">
        <f>VLOOKUP(A38,'Classement Général'!$B$2:$B$146,1,0)</f>
        <v>imberbe</v>
      </c>
    </row>
    <row r="39" ht="14.25" customHeight="1">
      <c r="A39" s="118" t="str">
        <f>IFERROR(__xludf.DUMMYFUNCTION("""COMPUTED_VALUE"""),"Redblood92")</f>
        <v>Redblood92</v>
      </c>
      <c r="B39" s="103">
        <v>38.0</v>
      </c>
      <c r="C39" s="183">
        <f t="shared" si="1"/>
        <v>57.42440722</v>
      </c>
      <c r="D39" s="124" t="str">
        <f>VLOOKUP(A39,'Classement Surp'!$B$2:$B$149,1,0)</f>
        <v>Redblood92</v>
      </c>
      <c r="E39" s="125" t="str">
        <f t="shared" si="2"/>
        <v/>
      </c>
      <c r="F39" s="120" t="str">
        <f>VLOOKUP(A39,'Classement Général'!$B$2:$B$146,1,0)</f>
        <v>Redblood92</v>
      </c>
    </row>
    <row r="40" ht="14.25" customHeight="1">
      <c r="A40" s="118" t="str">
        <f>IFERROR(__xludf.DUMMYFUNCTION("""COMPUTED_VALUE"""),"Phil1308")</f>
        <v>Phil1308</v>
      </c>
      <c r="B40" s="103">
        <v>39.0</v>
      </c>
      <c r="C40" s="183">
        <f t="shared" si="1"/>
        <v>51.34743782</v>
      </c>
      <c r="D40" s="124" t="str">
        <f>VLOOKUP(A40,'Classement Surp'!$B$2:$B$149,1,0)</f>
        <v>Phil1308</v>
      </c>
      <c r="E40" s="125" t="str">
        <f t="shared" si="2"/>
        <v/>
      </c>
      <c r="F40" s="120" t="str">
        <f>VLOOKUP(A40,'Classement Général'!$B$2:$B$146,1,0)</f>
        <v>Phil1308</v>
      </c>
    </row>
    <row r="41" ht="14.25" customHeight="1">
      <c r="A41" s="118" t="str">
        <f>IFERROR(__xludf.DUMMYFUNCTION("""COMPUTED_VALUE"""),"Patgaret")</f>
        <v>Patgaret</v>
      </c>
      <c r="B41" s="103">
        <v>40.0</v>
      </c>
      <c r="C41" s="183">
        <f t="shared" si="1"/>
        <v>45.35418937</v>
      </c>
      <c r="D41" s="124" t="str">
        <f>VLOOKUP(A41,'Classement Surp'!$B$2:$B$149,1,0)</f>
        <v>Patgaret</v>
      </c>
      <c r="E41" s="125" t="str">
        <f t="shared" si="2"/>
        <v/>
      </c>
      <c r="F41" s="120" t="str">
        <f>VLOOKUP(A41,'Classement Général'!$B$2:$B$146,1,0)</f>
        <v>Patgaret</v>
      </c>
    </row>
    <row r="42" ht="14.25" customHeight="1">
      <c r="A42" s="118" t="str">
        <f>IFERROR(__xludf.DUMMYFUNCTION("""COMPUTED_VALUE"""),"StephBoss05")</f>
        <v>StephBoss05</v>
      </c>
      <c r="B42" s="103">
        <v>41.0</v>
      </c>
      <c r="C42" s="183">
        <f t="shared" si="1"/>
        <v>39.44068924</v>
      </c>
      <c r="D42" s="124" t="str">
        <f>VLOOKUP(A42,'Classement Surp'!$B$2:$B$149,1,0)</f>
        <v>StephBoss05</v>
      </c>
      <c r="E42" s="125" t="str">
        <f t="shared" si="2"/>
        <v/>
      </c>
      <c r="F42" s="120" t="str">
        <f>VLOOKUP(A42,'Classement Général'!$B$2:$B$146,1,0)</f>
        <v>StephBoss05</v>
      </c>
    </row>
    <row r="43" ht="14.25" customHeight="1">
      <c r="A43" s="118" t="str">
        <f>IFERROR(__xludf.DUMMYFUNCTION("""COMPUTED_VALUE"""),"Gabus ")</f>
        <v>Gabus </v>
      </c>
      <c r="B43" s="103">
        <v>42.0</v>
      </c>
      <c r="C43" s="183">
        <f t="shared" si="1"/>
        <v>33.60325501</v>
      </c>
      <c r="D43" s="124" t="str">
        <f>VLOOKUP(A43,'Classement Surp'!$B$2:$B$149,1,0)</f>
        <v>Gabus </v>
      </c>
      <c r="E43" s="125" t="str">
        <f t="shared" si="2"/>
        <v/>
      </c>
      <c r="F43" s="120" t="str">
        <f>VLOOKUP(A43,'Classement Général'!$B$2:$B$146,1,0)</f>
        <v>#N/A</v>
      </c>
    </row>
    <row r="44" ht="14.25" customHeight="1">
      <c r="A44" s="118" t="str">
        <f>IFERROR(__xludf.DUMMYFUNCTION("""COMPUTED_VALUE"""),"QQkicall")</f>
        <v>QQkicall</v>
      </c>
      <c r="B44" s="103">
        <v>43.0</v>
      </c>
      <c r="C44" s="183">
        <f t="shared" si="1"/>
        <v>27.83846664</v>
      </c>
      <c r="D44" s="124" t="str">
        <f>VLOOKUP(A44,'Classement Surp'!$B$2:$B$149,1,0)</f>
        <v>QQKicall</v>
      </c>
      <c r="E44" s="125" t="str">
        <f t="shared" si="2"/>
        <v/>
      </c>
      <c r="F44" s="120" t="str">
        <f>VLOOKUP(A44,'Classement Général'!$B$2:$B$146,1,0)</f>
        <v>QQKicall</v>
      </c>
    </row>
    <row r="45" ht="14.25" customHeight="1">
      <c r="A45" s="118" t="str">
        <f>IFERROR(__xludf.DUMMYFUNCTION("""COMPUTED_VALUE"""),"Legabodu86")</f>
        <v>Legabodu86</v>
      </c>
      <c r="B45" s="103">
        <v>44.0</v>
      </c>
      <c r="C45" s="183">
        <f t="shared" si="1"/>
        <v>22.14314185</v>
      </c>
      <c r="D45" s="124" t="str">
        <f>VLOOKUP(A45,'Classement Surp'!$B$2:$B$149,1,0)</f>
        <v>Legabodu86</v>
      </c>
      <c r="E45" s="125" t="str">
        <f t="shared" si="2"/>
        <v/>
      </c>
      <c r="F45" s="120" t="str">
        <f>VLOOKUP(A45,'Classement Général'!$B$2:$B$146,1,0)</f>
        <v>Legabodu86</v>
      </c>
    </row>
    <row r="46" ht="14.25" customHeight="1">
      <c r="A46" s="118" t="str">
        <f>IFERROR(__xludf.DUMMYFUNCTION("""COMPUTED_VALUE"""),"LEGOLEGOTE")</f>
        <v>LEGOLEGOTE</v>
      </c>
      <c r="B46" s="103">
        <v>45.0</v>
      </c>
      <c r="C46" s="183">
        <f t="shared" si="1"/>
        <v>16.51431432</v>
      </c>
      <c r="D46" s="124" t="str">
        <f>VLOOKUP(A46,'Classement Surp'!$B$2:$B$149,1,0)</f>
        <v>LEGOLEGOTE</v>
      </c>
      <c r="E46" s="125" t="str">
        <f t="shared" si="2"/>
        <v/>
      </c>
      <c r="F46" s="120" t="str">
        <f>VLOOKUP(A46,'Classement Général'!$B$2:$B$146,1,0)</f>
        <v>LEGOLEGOTE</v>
      </c>
    </row>
    <row r="47" ht="14.25" customHeight="1">
      <c r="A47" s="118" t="str">
        <f>IFERROR(__xludf.DUMMYFUNCTION("""COMPUTED_VALUE"""),"PSGJM")</f>
        <v>PSGJM</v>
      </c>
      <c r="B47" s="103">
        <v>46.0</v>
      </c>
      <c r="C47" s="183">
        <f t="shared" si="1"/>
        <v>10.94921434</v>
      </c>
      <c r="D47" s="124" t="str">
        <f>VLOOKUP(A47,'Classement Surp'!$B$2:$B$149,1,0)</f>
        <v>PSGJM</v>
      </c>
      <c r="E47" s="125" t="str">
        <f t="shared" si="2"/>
        <v/>
      </c>
      <c r="F47" s="120" t="str">
        <f>VLOOKUP(A47,'Classement Général'!$B$2:$B$146,1,0)</f>
        <v>PSGJM</v>
      </c>
    </row>
    <row r="48" ht="14.25" customHeight="1">
      <c r="A48" s="118" t="str">
        <f>IFERROR(__xludf.DUMMYFUNCTION("""COMPUTED_VALUE"""),"_Sale-Bet_")</f>
        <v>_Sale-Bet_</v>
      </c>
      <c r="B48" s="103">
        <v>47.0</v>
      </c>
      <c r="C48" s="183">
        <f t="shared" si="1"/>
        <v>5.445251652</v>
      </c>
      <c r="D48" s="124" t="str">
        <f>VLOOKUP(A48,'Classement Surp'!$B$2:$B$149,1,0)</f>
        <v>_Sale-Bet_</v>
      </c>
      <c r="E48" s="125" t="str">
        <f t="shared" si="2"/>
        <v/>
      </c>
      <c r="F48" s="120" t="str">
        <f>VLOOKUP(A48,'Classement Général'!$B$2:$B$146,1,0)</f>
        <v>_Sale-Bet_</v>
      </c>
    </row>
    <row r="49" ht="14.25" customHeight="1">
      <c r="A49" s="118"/>
      <c r="B49" s="103">
        <v>48.0</v>
      </c>
      <c r="C49" s="183">
        <f t="shared" si="1"/>
        <v>0</v>
      </c>
      <c r="D49" s="124" t="str">
        <f>VLOOKUP(A49,'Classement Surp'!$B$2:$B$149,1,0)</f>
        <v>#N/A</v>
      </c>
      <c r="E49" s="125" t="str">
        <f t="shared" si="2"/>
        <v>#N/A</v>
      </c>
      <c r="F49" s="120" t="str">
        <f>VLOOKUP(A49,'Classement Général'!$B$2:$B$146,1,0)</f>
        <v>#N/A</v>
      </c>
    </row>
    <row r="50" ht="14.25" customHeight="1">
      <c r="A50" s="118"/>
      <c r="B50" s="103">
        <v>49.0</v>
      </c>
      <c r="C50" s="183">
        <f t="shared" si="1"/>
        <v>-5.388816558</v>
      </c>
      <c r="D50" s="124" t="str">
        <f>VLOOKUP(A50,'Classement Surp'!$B$2:$B$149,1,0)</f>
        <v>#N/A</v>
      </c>
      <c r="E50" s="125" t="str">
        <f t="shared" si="2"/>
        <v>#N/A</v>
      </c>
      <c r="F50" s="120" t="str">
        <f>VLOOKUP(A50,'Classement Général'!$B$2:$B$146,1,0)</f>
        <v>#N/A</v>
      </c>
    </row>
    <row r="51" ht="14.25" customHeight="1">
      <c r="A51" s="118"/>
      <c r="B51" s="103">
        <v>50.0</v>
      </c>
      <c r="C51" s="183">
        <f t="shared" si="1"/>
        <v>-10.72333601</v>
      </c>
      <c r="D51" s="124" t="str">
        <f>VLOOKUP(A51,'Classement Surp'!$B$2:$B$149,1,0)</f>
        <v>#N/A</v>
      </c>
      <c r="E51" s="125" t="str">
        <f t="shared" si="2"/>
        <v>#N/A</v>
      </c>
      <c r="F51" s="120" t="str">
        <f>VLOOKUP(A51,'Classement Général'!$B$2:$B$146,1,0)</f>
        <v>#N/A</v>
      </c>
    </row>
    <row r="52" ht="14.25" customHeight="1">
      <c r="A52" s="118"/>
      <c r="B52" s="103">
        <v>51.0</v>
      </c>
      <c r="C52" s="183">
        <f t="shared" si="1"/>
        <v>-16.00556947</v>
      </c>
      <c r="D52" s="124" t="str">
        <f>VLOOKUP(A52,'Classement Surp'!$B$2:$B$149,1,0)</f>
        <v>#N/A</v>
      </c>
      <c r="E52" s="125" t="str">
        <f t="shared" si="2"/>
        <v>#N/A</v>
      </c>
      <c r="F52" s="120" t="str">
        <f>VLOOKUP(A52,'Classement Général'!$B$2:$B$146,1,0)</f>
        <v>#N/A</v>
      </c>
    </row>
    <row r="53" ht="14.25" customHeight="1">
      <c r="A53" s="118"/>
      <c r="B53" s="103">
        <v>52.0</v>
      </c>
      <c r="C53" s="183">
        <f t="shared" si="1"/>
        <v>-21.23741117</v>
      </c>
      <c r="D53" s="124" t="str">
        <f>VLOOKUP(A53,'Classement Surp'!$B$2:$B$149,1,0)</f>
        <v>#N/A</v>
      </c>
      <c r="E53" s="125" t="str">
        <f t="shared" si="2"/>
        <v>#N/A</v>
      </c>
      <c r="F53" s="120" t="str">
        <f>VLOOKUP(A53,'Classement Général'!$B$2:$B$146,1,0)</f>
        <v>#N/A</v>
      </c>
    </row>
    <row r="54" ht="14.25" customHeight="1">
      <c r="A54" s="118"/>
      <c r="B54" s="103">
        <v>53.0</v>
      </c>
      <c r="C54" s="183">
        <f t="shared" si="1"/>
        <v>-26.4206475</v>
      </c>
      <c r="D54" s="124" t="str">
        <f>VLOOKUP(A54,'Classement Surp'!$B$2:$B$149,1,0)</f>
        <v>#N/A</v>
      </c>
      <c r="E54" s="125" t="str">
        <f t="shared" si="2"/>
        <v>#N/A</v>
      </c>
      <c r="F54" s="120" t="str">
        <f>VLOOKUP(A54,'Classement Général'!$B$2:$B$146,1,0)</f>
        <v>#N/A</v>
      </c>
    </row>
    <row r="55" ht="14.25" customHeight="1">
      <c r="A55" s="118"/>
      <c r="B55" s="103">
        <v>54.0</v>
      </c>
      <c r="C55" s="183">
        <f t="shared" si="1"/>
        <v>-31.55696516</v>
      </c>
      <c r="D55" s="124" t="str">
        <f>VLOOKUP(A55,'Classement Surp'!$B$2:$B$149,1,0)</f>
        <v>#N/A</v>
      </c>
      <c r="E55" s="125" t="str">
        <f t="shared" si="2"/>
        <v>#N/A</v>
      </c>
      <c r="F55" s="120" t="str">
        <f>VLOOKUP(A55,'Classement Général'!$B$2:$B$146,1,0)</f>
        <v>#N/A</v>
      </c>
    </row>
    <row r="56" ht="14.25" customHeight="1">
      <c r="A56" s="118"/>
      <c r="B56" s="103">
        <v>55.0</v>
      </c>
      <c r="C56" s="183">
        <f t="shared" si="1"/>
        <v>-36.64795855</v>
      </c>
      <c r="D56" s="124" t="str">
        <f>VLOOKUP(A56,'Classement Surp'!$B$2:$B$149,1,0)</f>
        <v>#N/A</v>
      </c>
      <c r="E56" s="125" t="str">
        <f t="shared" si="2"/>
        <v>#N/A</v>
      </c>
      <c r="F56" s="120" t="str">
        <f>VLOOKUP(A56,'Classement Général'!$B$2:$B$146,1,0)</f>
        <v>#N/A</v>
      </c>
    </row>
    <row r="57" ht="14.25" customHeight="1">
      <c r="A57" s="118"/>
      <c r="B57" s="103">
        <v>56.0</v>
      </c>
      <c r="C57" s="183">
        <f t="shared" si="1"/>
        <v>-41.69513652</v>
      </c>
      <c r="D57" s="124" t="str">
        <f>VLOOKUP(A57,'Classement Surp'!$B$2:$B$149,1,0)</f>
        <v>#N/A</v>
      </c>
      <c r="E57" s="125" t="str">
        <f t="shared" si="2"/>
        <v>#N/A</v>
      </c>
      <c r="F57" s="120" t="str">
        <f>VLOOKUP(A57,'Classement Général'!$B$2:$B$146,1,0)</f>
        <v>#N/A</v>
      </c>
    </row>
    <row r="58" ht="14.25" customHeight="1">
      <c r="A58" s="118"/>
      <c r="B58" s="103">
        <v>57.0</v>
      </c>
      <c r="C58" s="183">
        <f t="shared" si="1"/>
        <v>-46.69992848</v>
      </c>
      <c r="D58" s="124" t="str">
        <f>VLOOKUP(A58,'Classement Surp'!$B$2:$B$149,1,0)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18"/>
      <c r="B59" s="103">
        <v>58.0</v>
      </c>
      <c r="C59" s="183">
        <f t="shared" si="1"/>
        <v>-51.66368997</v>
      </c>
      <c r="D59" s="124" t="str">
        <f>VLOOKUP(A59,'Classement Surp'!$B$2:$B$149,1,0)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18"/>
      <c r="B60" s="103">
        <v>59.0</v>
      </c>
      <c r="C60" s="183">
        <f t="shared" si="1"/>
        <v>-56.58770778</v>
      </c>
      <c r="D60" s="124" t="str">
        <f>VLOOKUP(A60,'Classement Surp'!$B$2:$B$149,1,0)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18"/>
      <c r="B61" s="103">
        <v>60.0</v>
      </c>
      <c r="C61" s="183">
        <f t="shared" si="1"/>
        <v>-61.47320459</v>
      </c>
      <c r="D61" s="124" t="str">
        <f>VLOOKUP(A61,'Classement Surp'!$B$2:$B$149,1,0)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18"/>
      <c r="B62" s="103">
        <v>61.0</v>
      </c>
      <c r="C62" s="183">
        <f t="shared" si="1"/>
        <v>-66.32134322</v>
      </c>
      <c r="D62" s="124" t="str">
        <f>VLOOKUP(A62,'Classement Surp'!$B$2:$B$149,1,0)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18"/>
      <c r="B63" s="103">
        <v>62.0</v>
      </c>
      <c r="C63" s="183">
        <f t="shared" si="1"/>
        <v>-71.13323062</v>
      </c>
      <c r="D63" s="124" t="str">
        <f>VLOOKUP(A63,'Classement Surp'!$B$2:$B$149,1,0)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18"/>
      <c r="B64" s="103">
        <v>63.0</v>
      </c>
      <c r="C64" s="183">
        <f t="shared" si="1"/>
        <v>-75.90992138</v>
      </c>
      <c r="D64" s="124" t="str">
        <f>VLOOKUP(A64,'Classement Surp'!$B$2:$B$149,1,0)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18"/>
      <c r="B65" s="103">
        <v>64.0</v>
      </c>
      <c r="C65" s="183">
        <f t="shared" si="1"/>
        <v>-80.65242112</v>
      </c>
      <c r="D65" s="124" t="str">
        <f>VLOOKUP(A65,'Classement Surp'!$B$2:$B$149,1,0)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18"/>
      <c r="B66" s="103">
        <v>65.0</v>
      </c>
      <c r="C66" s="183">
        <f t="shared" si="1"/>
        <v>-85.3616895</v>
      </c>
      <c r="D66" s="124" t="str">
        <f>VLOOKUP(A66,'Classement Surp'!$B$2:$B$149,1,0)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18"/>
      <c r="B67" s="103">
        <v>66.0</v>
      </c>
      <c r="C67" s="183">
        <f t="shared" si="1"/>
        <v>-90.03864303</v>
      </c>
      <c r="D67" s="124" t="str">
        <f>VLOOKUP(A67,'Classement Surp'!$B$2:$B$149,1,0)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18"/>
      <c r="B68" s="103">
        <v>67.0</v>
      </c>
      <c r="C68" s="183">
        <f t="shared" si="1"/>
        <v>-94.68415773</v>
      </c>
      <c r="D68" s="124" t="str">
        <f>VLOOKUP(A68,'Classement Surp'!$B$2:$B$149,1,0)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18"/>
      <c r="B69" s="103">
        <v>68.0</v>
      </c>
      <c r="C69" s="183">
        <f t="shared" si="1"/>
        <v>-99.29907145</v>
      </c>
      <c r="D69" s="124" t="str">
        <f>VLOOKUP(A69,'Classement Surp'!$B$2:$B$149,1,0)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18"/>
      <c r="B70" s="103">
        <v>69.0</v>
      </c>
      <c r="C70" s="183">
        <f t="shared" si="1"/>
        <v>-103.8841862</v>
      </c>
      <c r="D70" s="124" t="str">
        <f>VLOOKUP(A70,'Classement Surp'!$B$2:$B$149,1,0)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18"/>
      <c r="B71" s="103">
        <v>70.0</v>
      </c>
      <c r="C71" s="183">
        <f t="shared" si="1"/>
        <v>-108.4402701</v>
      </c>
      <c r="D71" s="124" t="str">
        <f>VLOOKUP(A71,'Classement Surp'!$B$2:$B$149,1,0)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18"/>
      <c r="B72" s="103">
        <v>71.0</v>
      </c>
      <c r="C72" s="183">
        <f t="shared" si="1"/>
        <v>-112.9680595</v>
      </c>
      <c r="D72" s="124" t="str">
        <f>VLOOKUP(A72,'Classement Surp'!$B$2:$B$149,1,0)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18"/>
      <c r="B73" s="103">
        <v>72.0</v>
      </c>
      <c r="C73" s="183">
        <f t="shared" si="1"/>
        <v>-117.4682605</v>
      </c>
      <c r="D73" s="124" t="str">
        <f>VLOOKUP(A73,'Classement Surp'!$B$2:$B$149,1,0)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18"/>
      <c r="B74" s="103">
        <v>73.0</v>
      </c>
      <c r="C74" s="183">
        <f t="shared" si="1"/>
        <v>-121.9415507</v>
      </c>
      <c r="D74" s="124" t="str">
        <f>VLOOKUP(A74,'Classement Surp'!$B$2:$B$149,1,0)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18"/>
      <c r="B75" s="103">
        <v>74.0</v>
      </c>
      <c r="C75" s="183">
        <f t="shared" si="1"/>
        <v>-126.388581</v>
      </c>
      <c r="D75" s="124" t="str">
        <f>VLOOKUP(A75,'Classement Surp'!$B$2:$B$149,1,0)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18"/>
      <c r="B76" s="103">
        <v>75.0</v>
      </c>
      <c r="C76" s="183">
        <f t="shared" si="1"/>
        <v>-130.8099767</v>
      </c>
      <c r="D76" s="124" t="str">
        <f>VLOOKUP(A76,'Classement Surp'!$B$2:$B$149,1,0)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18"/>
      <c r="B77" s="103">
        <v>76.0</v>
      </c>
      <c r="C77" s="183">
        <f t="shared" si="1"/>
        <v>-135.2063389</v>
      </c>
      <c r="D77" s="124" t="str">
        <f>VLOOKUP(A77,'Classement Surp'!$B$2:$B$149,1,0)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18"/>
      <c r="B78" s="103">
        <v>77.0</v>
      </c>
      <c r="C78" s="183">
        <f t="shared" si="1"/>
        <v>-139.578246</v>
      </c>
      <c r="D78" s="124" t="str">
        <f>VLOOKUP(A78,'Classement Surp'!$B$2:$B$149,1,0)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18"/>
      <c r="B79" s="103">
        <v>78.0</v>
      </c>
      <c r="C79" s="183">
        <f t="shared" si="1"/>
        <v>-143.9262546</v>
      </c>
      <c r="D79" s="124" t="str">
        <f>VLOOKUP(A79,'Classement Surp'!$B$2:$B$149,1,0)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18"/>
      <c r="B80" s="103">
        <v>79.0</v>
      </c>
      <c r="C80" s="183">
        <f t="shared" si="1"/>
        <v>-148.2509008</v>
      </c>
      <c r="D80" s="124" t="str">
        <f>VLOOKUP(A80,'Classement Surp'!$B$2:$B$149,1,0)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18"/>
      <c r="B81" s="103">
        <v>80.0</v>
      </c>
      <c r="C81" s="183">
        <f t="shared" si="1"/>
        <v>-152.552701</v>
      </c>
      <c r="D81" s="124" t="str">
        <f>VLOOKUP(A81,'Classement Surp'!$B$2:$B$149,1,0)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18"/>
      <c r="B82" s="103">
        <v>81.0</v>
      </c>
      <c r="C82" s="183">
        <f t="shared" si="1"/>
        <v>-156.8321532</v>
      </c>
      <c r="D82" s="124" t="str">
        <f>VLOOKUP(A82,'Classement Surp'!$B$2:$B$149,1,0)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18"/>
      <c r="B83" s="103">
        <v>82.0</v>
      </c>
      <c r="C83" s="183">
        <f t="shared" si="1"/>
        <v>-161.0897375</v>
      </c>
      <c r="D83" s="124" t="str">
        <f>VLOOKUP(A83,'Classement Surp'!$B$2:$B$149,1,0)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18"/>
      <c r="B84" s="103">
        <v>83.0</v>
      </c>
      <c r="C84" s="183">
        <f t="shared" si="1"/>
        <v>-165.3259174</v>
      </c>
      <c r="D84" s="124" t="str">
        <f>VLOOKUP(A84,'Classement Surp'!$B$2:$B$149,1,0)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18"/>
      <c r="B85" s="103">
        <v>84.0</v>
      </c>
      <c r="C85" s="183">
        <f t="shared" si="1"/>
        <v>-169.5411401</v>
      </c>
      <c r="D85" s="124" t="str">
        <f>VLOOKUP(A85,'Classement Surp'!$B$2:$B$149,1,0)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18"/>
      <c r="B86" s="103">
        <v>85.0</v>
      </c>
      <c r="C86" s="183">
        <f t="shared" si="1"/>
        <v>-173.7358377</v>
      </c>
      <c r="D86" s="124" t="str">
        <f>VLOOKUP(A86,'Classement Surp'!$B$2:$B$149,1,0)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18"/>
      <c r="B87" s="103">
        <v>86.0</v>
      </c>
      <c r="C87" s="183">
        <f t="shared" si="1"/>
        <v>-177.9104277</v>
      </c>
      <c r="D87" s="124" t="str">
        <f>VLOOKUP(A87,'Classement Surp'!$B$2:$B$149,1,0)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18"/>
      <c r="B88" s="103">
        <v>87.0</v>
      </c>
      <c r="C88" s="183">
        <f t="shared" si="1"/>
        <v>-182.0653137</v>
      </c>
      <c r="D88" s="124" t="str">
        <f>VLOOKUP(A88,'Classement Surp'!$B$2:$B$149,1,0)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18"/>
      <c r="B89" s="103">
        <v>88.0</v>
      </c>
      <c r="C89" s="183">
        <f t="shared" si="1"/>
        <v>-186.200886</v>
      </c>
      <c r="D89" s="124" t="str">
        <f>VLOOKUP(A89,'Classement Surp'!$B$2:$B$149,1,0)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18"/>
      <c r="B90" s="103">
        <v>89.0</v>
      </c>
      <c r="C90" s="183">
        <f t="shared" si="1"/>
        <v>-190.3175223</v>
      </c>
      <c r="D90" s="124" t="str">
        <f>VLOOKUP(A90,'Classement Surp'!$B$2:$B$149,1,0)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18"/>
      <c r="B91" s="103">
        <v>90.0</v>
      </c>
      <c r="C91" s="183">
        <f t="shared" si="1"/>
        <v>-194.4155879</v>
      </c>
      <c r="D91" s="124" t="str">
        <f>VLOOKUP(A91,'Classement Surp'!$B$2:$B$149,1,0)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18"/>
      <c r="B92" s="103">
        <v>91.0</v>
      </c>
      <c r="C92" s="183">
        <f t="shared" si="1"/>
        <v>-198.4954369</v>
      </c>
      <c r="D92" s="124" t="str">
        <f>VLOOKUP(A92,'Classement Surp'!$B$2:$B$149,1,0)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18"/>
      <c r="B93" s="103">
        <v>92.0</v>
      </c>
      <c r="C93" s="183">
        <f t="shared" si="1"/>
        <v>-202.557412</v>
      </c>
      <c r="D93" s="124" t="str">
        <f>VLOOKUP(A93,'Classement Surp'!$B$2:$B$149,1,0)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18"/>
      <c r="B94" s="103">
        <v>93.0</v>
      </c>
      <c r="C94" s="183">
        <f t="shared" si="1"/>
        <v>-206.6018455</v>
      </c>
      <c r="D94" s="124" t="str">
        <f>VLOOKUP(A94,'Classement Surp'!$B$2:$B$149,1,0)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18"/>
      <c r="B95" s="103">
        <v>94.0</v>
      </c>
      <c r="C95" s="183">
        <f t="shared" si="1"/>
        <v>-210.6290593</v>
      </c>
      <c r="D95" s="124" t="str">
        <f>VLOOKUP(A95,'Classement Surp'!$B$2:$B$149,1,0)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18"/>
      <c r="B96" s="103">
        <v>95.0</v>
      </c>
      <c r="C96" s="183">
        <f t="shared" si="1"/>
        <v>-214.6393659</v>
      </c>
      <c r="D96" s="124" t="str">
        <f>VLOOKUP(A96,'Classement Surp'!$B$2:$B$149,1,0)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18"/>
      <c r="B97" s="103">
        <v>96.0</v>
      </c>
      <c r="C97" s="183">
        <f t="shared" si="1"/>
        <v>-218.633068</v>
      </c>
      <c r="D97" s="124" t="str">
        <f>VLOOKUP(A97,'Classement Surp'!$B$2:$B$149,1,0)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18"/>
      <c r="B98" s="103">
        <v>97.0</v>
      </c>
      <c r="C98" s="183">
        <f t="shared" si="1"/>
        <v>-222.6104597</v>
      </c>
      <c r="D98" s="124" t="str">
        <f>VLOOKUP(A98,'Classement Surp'!$B$2:$B$149,1,0)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18"/>
      <c r="B99" s="103">
        <v>98.0</v>
      </c>
      <c r="C99" s="183">
        <f t="shared" si="1"/>
        <v>-226.5718263</v>
      </c>
      <c r="D99" s="124" t="str">
        <f>VLOOKUP(A99,'Classement Surp'!$B$2:$B$149,1,0)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18"/>
      <c r="B100" s="103">
        <v>99.0</v>
      </c>
      <c r="C100" s="183">
        <f t="shared" si="1"/>
        <v>-230.517445</v>
      </c>
      <c r="D100" s="124" t="str">
        <f>VLOOKUP(A100,'Classement Surp'!$B$2:$B$149,1,0)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18"/>
      <c r="B101" s="103">
        <v>100.0</v>
      </c>
      <c r="C101" s="183">
        <f t="shared" si="1"/>
        <v>-234.447585</v>
      </c>
      <c r="D101" s="124" t="str">
        <f>VLOOKUP(A101,'Classement Surp'!$B$2:$B$149,1,0)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18"/>
      <c r="B102" s="103">
        <v>101.0</v>
      </c>
      <c r="C102" s="183">
        <f t="shared" si="1"/>
        <v>-238.3625079</v>
      </c>
      <c r="D102" s="124" t="str">
        <f>VLOOKUP(A102,'Classement Surp'!$B$2:$B$149,1,0)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18"/>
      <c r="B103" s="103">
        <v>102.0</v>
      </c>
      <c r="C103" s="183">
        <f t="shared" si="1"/>
        <v>-242.2624678</v>
      </c>
      <c r="D103" s="124" t="str">
        <f>VLOOKUP(A103,'Classement Surp'!$B$2:$B$149,1,0)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18"/>
      <c r="B104" s="103">
        <v>103.0</v>
      </c>
      <c r="C104" s="183">
        <f t="shared" si="1"/>
        <v>-246.147712</v>
      </c>
      <c r="D104" s="124" t="str">
        <f>VLOOKUP(A104,'Classement Surp'!$B$2:$B$149,1,0)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18"/>
      <c r="B105" s="103">
        <v>104.0</v>
      </c>
      <c r="C105" s="183">
        <f t="shared" si="1"/>
        <v>-250.0184809</v>
      </c>
      <c r="D105" s="124" t="str">
        <f>VLOOKUP(A105,'Classement Surp'!$B$2:$B$149,1,0)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18"/>
      <c r="B106" s="103">
        <v>105.0</v>
      </c>
      <c r="C106" s="183">
        <f t="shared" si="1"/>
        <v>-253.8750084</v>
      </c>
      <c r="D106" s="124" t="str">
        <f>VLOOKUP(A106,'Classement Surp'!$B$2:$B$149,1,0)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18"/>
      <c r="B107" s="103">
        <v>106.0</v>
      </c>
      <c r="C107" s="183">
        <f t="shared" si="1"/>
        <v>-257.7175222</v>
      </c>
      <c r="D107" s="124" t="str">
        <f>VLOOKUP(A107,'Classement Surp'!$B$2:$B$149,1,0)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18"/>
      <c r="B108" s="103">
        <v>107.0</v>
      </c>
      <c r="C108" s="183">
        <f t="shared" si="1"/>
        <v>-261.5462437</v>
      </c>
      <c r="D108" s="124" t="str">
        <f>VLOOKUP(A108,'Classement Surp'!$B$2:$B$149,1,0)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18"/>
      <c r="B109" s="103">
        <v>108.0</v>
      </c>
      <c r="C109" s="183">
        <f t="shared" si="1"/>
        <v>-265.3613888</v>
      </c>
      <c r="D109" s="124" t="str">
        <f>VLOOKUP(A109,'Classement Surp'!$B$2:$B$149,1,0)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18"/>
      <c r="B110" s="103">
        <v>109.0</v>
      </c>
      <c r="C110" s="183">
        <f t="shared" si="1"/>
        <v>-269.1631675</v>
      </c>
      <c r="D110" s="124" t="str">
        <f>VLOOKUP(A110,'Classement Surp'!$B$2:$B$149,1,0)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18"/>
      <c r="B111" s="103">
        <v>110.0</v>
      </c>
      <c r="C111" s="183">
        <f t="shared" si="1"/>
        <v>-272.9517846</v>
      </c>
      <c r="D111" s="124" t="str">
        <f>VLOOKUP(A111,'Classement Surp'!$B$2:$B$149,1,0)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18"/>
      <c r="B112" s="103">
        <v>111.0</v>
      </c>
      <c r="C112" s="183">
        <f t="shared" si="1"/>
        <v>-276.7274395</v>
      </c>
      <c r="D112" s="124" t="str">
        <f>VLOOKUP(A112,'Classement Surp'!$B$2:$B$149,1,0)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18"/>
      <c r="B113" s="103">
        <v>112.0</v>
      </c>
      <c r="C113" s="183">
        <f t="shared" si="1"/>
        <v>-280.4903267</v>
      </c>
      <c r="D113" s="124" t="str">
        <f>VLOOKUP(A113,'Classement Surp'!$B$2:$B$149,1,0)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18"/>
      <c r="B114" s="103">
        <v>113.0</v>
      </c>
      <c r="C114" s="183">
        <f t="shared" si="1"/>
        <v>-284.2406357</v>
      </c>
      <c r="D114" s="124" t="str">
        <f>VLOOKUP(A114,'Classement Surp'!$B$2:$B$149,1,0)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18"/>
      <c r="B115" s="103">
        <v>114.0</v>
      </c>
      <c r="C115" s="183">
        <f t="shared" si="1"/>
        <v>-287.9785513</v>
      </c>
      <c r="D115" s="124" t="str">
        <f>VLOOKUP(A115,'Classement Surp'!$B$2:$B$149,1,0)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18"/>
      <c r="B116" s="103">
        <v>115.0</v>
      </c>
      <c r="C116" s="183">
        <f t="shared" si="1"/>
        <v>-291.704254</v>
      </c>
      <c r="D116" s="124" t="str">
        <f>VLOOKUP(A116,'Classement Surp'!$B$2:$B$149,1,0)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18"/>
      <c r="B117" s="103">
        <v>116.0</v>
      </c>
      <c r="C117" s="183">
        <f t="shared" si="1"/>
        <v>-295.4179195</v>
      </c>
      <c r="D117" s="124" t="str">
        <f>VLOOKUP(A117,'Classement Surp'!$B$2:$B$149,1,0)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18"/>
      <c r="B118" s="103">
        <v>117.0</v>
      </c>
      <c r="C118" s="183">
        <f t="shared" si="1"/>
        <v>-299.1197197</v>
      </c>
      <c r="D118" s="124" t="str">
        <f>VLOOKUP(A118,'Classement Surp'!$B$2:$B$149,1,0)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18"/>
      <c r="B119" s="103">
        <v>118.0</v>
      </c>
      <c r="C119" s="183">
        <f t="shared" si="1"/>
        <v>-302.8098221</v>
      </c>
      <c r="D119" s="124" t="str">
        <f>VLOOKUP(A119,'Classement Surp'!$B$2:$B$149,1,0)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18"/>
      <c r="B120" s="103">
        <v>119.0</v>
      </c>
      <c r="C120" s="183">
        <f t="shared" si="1"/>
        <v>-306.4883904</v>
      </c>
      <c r="D120" s="124" t="str">
        <f>VLOOKUP(A120,'Classement Surp'!$B$2:$B$149,1,0)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18"/>
      <c r="B121" s="103">
        <v>120.0</v>
      </c>
      <c r="C121" s="183">
        <f t="shared" si="1"/>
        <v>-310.1555842</v>
      </c>
      <c r="D121" s="124" t="str">
        <f>VLOOKUP(A121,'Classement Surp'!$B$2:$B$149,1,0)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18"/>
      <c r="B122" s="103">
        <v>121.0</v>
      </c>
      <c r="C122" s="183">
        <f t="shared" si="1"/>
        <v>-313.8115598</v>
      </c>
      <c r="D122" s="124" t="str">
        <f>VLOOKUP(A122,'Classement Surp'!$B$2:$B$149,1,0)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18"/>
      <c r="B123" s="103">
        <v>122.0</v>
      </c>
      <c r="C123" s="183">
        <f t="shared" si="1"/>
        <v>-317.4564695</v>
      </c>
      <c r="D123" s="124" t="str">
        <f>VLOOKUP(A123,'Classement Surp'!$B$2:$B$149,1,0)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18"/>
      <c r="B124" s="103">
        <v>123.0</v>
      </c>
      <c r="C124" s="183">
        <f t="shared" si="1"/>
        <v>-321.0904623</v>
      </c>
      <c r="D124" s="124" t="str">
        <f>VLOOKUP(A124,'Classement Surp'!$B$2:$B$149,1,0)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18"/>
      <c r="B125" s="103">
        <v>124.0</v>
      </c>
      <c r="C125" s="183">
        <f t="shared" si="1"/>
        <v>-324.713684</v>
      </c>
      <c r="D125" s="124" t="str">
        <f>VLOOKUP(A125,'Classement Surp'!$B$2:$B$149,1,0)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18"/>
      <c r="B126" s="103">
        <v>125.0</v>
      </c>
      <c r="C126" s="183">
        <f t="shared" si="1"/>
        <v>-328.3262768</v>
      </c>
      <c r="D126" s="124" t="str">
        <f>VLOOKUP(A126,'Classement Surp'!$B$2:$B$149,1,0)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18"/>
      <c r="B127" s="103">
        <v>126.0</v>
      </c>
      <c r="C127" s="183">
        <f t="shared" si="1"/>
        <v>-331.92838</v>
      </c>
      <c r="D127" s="124" t="str">
        <f>VLOOKUP(A127,'Classement Surp'!$B$2:$B$149,1,0)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18"/>
      <c r="B128" s="103">
        <v>127.0</v>
      </c>
      <c r="C128" s="183">
        <f t="shared" si="1"/>
        <v>-335.5201297</v>
      </c>
      <c r="D128" s="124" t="str">
        <f>VLOOKUP(A128,'Classement Surp'!$B$2:$B$149,1,0)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18"/>
      <c r="B129" s="103">
        <v>128.0</v>
      </c>
      <c r="C129" s="183">
        <f t="shared" si="1"/>
        <v>-339.101659</v>
      </c>
      <c r="D129" s="124" t="str">
        <f>VLOOKUP(A129,'Classement Surp'!$B$2:$B$149,1,0)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18"/>
      <c r="B130" s="103">
        <v>129.0</v>
      </c>
      <c r="C130" s="183">
        <f t="shared" si="1"/>
        <v>-342.6730983</v>
      </c>
      <c r="D130" s="124" t="str">
        <f>VLOOKUP(A130,'Classement Surp'!$B$2:$B$149,1,0)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18"/>
      <c r="B131" s="103">
        <v>130.0</v>
      </c>
      <c r="C131" s="183">
        <f t="shared" si="1"/>
        <v>-346.2345749</v>
      </c>
      <c r="D131" s="124" t="str">
        <f>VLOOKUP(A131,'Classement Surp'!$B$2:$B$149,1,0)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18"/>
      <c r="B132" s="103">
        <v>131.0</v>
      </c>
      <c r="C132" s="183">
        <f t="shared" si="1"/>
        <v>-349.7862137</v>
      </c>
      <c r="D132" s="124" t="str">
        <f>VLOOKUP(A132,'Classement Surp'!$B$2:$B$149,1,0)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18"/>
      <c r="B133" s="103">
        <v>132.0</v>
      </c>
      <c r="C133" s="183">
        <f t="shared" si="1"/>
        <v>-353.3281368</v>
      </c>
      <c r="D133" s="124" t="str">
        <f>VLOOKUP(A133,'Classement Surp'!$B$2:$B$149,1,0)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18"/>
      <c r="B134" s="103">
        <v>133.0</v>
      </c>
      <c r="C134" s="183">
        <f t="shared" si="1"/>
        <v>-356.8604637</v>
      </c>
      <c r="D134" s="124" t="str">
        <f>VLOOKUP(A134,'Classement Surp'!$B$2:$B$149,1,0)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18"/>
      <c r="B135" s="103">
        <v>134.0</v>
      </c>
      <c r="C135" s="183">
        <f t="shared" si="1"/>
        <v>-360.3833115</v>
      </c>
      <c r="D135" s="124" t="str">
        <f>VLOOKUP(A135,'Classement Surp'!$B$2:$B$149,1,0)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18"/>
      <c r="B136" s="103">
        <v>135.0</v>
      </c>
      <c r="C136" s="183">
        <f t="shared" si="1"/>
        <v>-363.8967949</v>
      </c>
      <c r="D136" s="124" t="str">
        <f>VLOOKUP(A136,'Classement Surp'!$B$2:$B$149,1,0)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18"/>
      <c r="B137" s="103">
        <v>136.0</v>
      </c>
      <c r="C137" s="183">
        <f t="shared" si="1"/>
        <v>-367.4010262</v>
      </c>
      <c r="D137" s="124" t="str">
        <f>VLOOKUP(A137,'Classement Surp'!$B$2:$B$149,1,0)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18"/>
      <c r="B138" s="103">
        <v>137.0</v>
      </c>
      <c r="C138" s="183">
        <f t="shared" si="1"/>
        <v>-370.8961154</v>
      </c>
      <c r="D138" s="124" t="str">
        <f>VLOOKUP(A138,'Classement Surp'!$B$2:$B$149,1,0)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18"/>
      <c r="B139" s="103">
        <v>138.0</v>
      </c>
      <c r="C139" s="183">
        <f t="shared" si="1"/>
        <v>-374.3821705</v>
      </c>
      <c r="D139" s="124" t="str">
        <f>VLOOKUP(A139,'Classement Surp'!$B$2:$B$149,1,0)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18"/>
      <c r="B140" s="103">
        <v>139.0</v>
      </c>
      <c r="C140" s="183">
        <f t="shared" si="1"/>
        <v>-377.859297</v>
      </c>
      <c r="D140" s="124" t="str">
        <f>VLOOKUP(A140,'Classement Surp'!$B$2:$B$149,1,0)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18"/>
      <c r="B141" s="103">
        <v>140.0</v>
      </c>
      <c r="C141" s="183">
        <f t="shared" si="1"/>
        <v>-381.3275985</v>
      </c>
      <c r="D141" s="124" t="str">
        <f>VLOOKUP(A141,'Classement Surp'!$B$2:$B$149,1,0)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18"/>
      <c r="B142" s="103">
        <v>141.0</v>
      </c>
      <c r="C142" s="183">
        <f t="shared" si="1"/>
        <v>-384.7871766</v>
      </c>
      <c r="D142" s="124" t="str">
        <f>VLOOKUP(A142,'Classement Surp'!$B$2:$B$149,1,0)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18"/>
      <c r="B143" s="103">
        <v>142.0</v>
      </c>
      <c r="C143" s="183">
        <f t="shared" si="1"/>
        <v>-388.2381309</v>
      </c>
      <c r="D143" s="124" t="str">
        <f>VLOOKUP(A143,'Classement Surp'!$B$2:$B$149,1,0)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18"/>
      <c r="B144" s="103">
        <v>143.0</v>
      </c>
      <c r="C144" s="183">
        <f t="shared" si="1"/>
        <v>-391.6805589</v>
      </c>
      <c r="D144" s="124" t="str">
        <f>VLOOKUP(A144,'Classement Surp'!$B$2:$B$149,1,0)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18"/>
      <c r="B145" s="103">
        <v>144.0</v>
      </c>
      <c r="C145" s="183">
        <f t="shared" si="1"/>
        <v>-395.1145565</v>
      </c>
      <c r="D145" s="124" t="str">
        <f>VLOOKUP(A145,'Classement Surp'!$B$2:$B$149,1,0)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18"/>
      <c r="B146" s="103">
        <v>145.0</v>
      </c>
      <c r="C146" s="183">
        <f t="shared" si="1"/>
        <v>-398.5402177</v>
      </c>
      <c r="D146" s="124" t="str">
        <f>VLOOKUP(A146,'Classement Surp'!$B$2:$B$149,1,0)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18"/>
      <c r="B147" s="103">
        <v>146.0</v>
      </c>
      <c r="C147" s="183">
        <f t="shared" si="1"/>
        <v>-401.9576344</v>
      </c>
      <c r="D147" s="124" t="str">
        <f>VLOOKUP(A147,'Classement Surp'!$B$2:$B$149,1,0)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18"/>
      <c r="B148" s="103">
        <v>147.0</v>
      </c>
      <c r="C148" s="183">
        <f t="shared" si="1"/>
        <v>-405.3668973</v>
      </c>
      <c r="D148" s="124" t="str">
        <f>VLOOKUP(A148,'Classement Surp'!$B$2:$B$149,1,0)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18"/>
      <c r="B149" s="103">
        <v>148.0</v>
      </c>
      <c r="C149" s="183">
        <f t="shared" si="1"/>
        <v>-408.768095</v>
      </c>
      <c r="D149" s="124" t="str">
        <f>VLOOKUP(A149,'Classement Surp'!$B$2:$B$149,1,0)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18"/>
      <c r="B150" s="103">
        <v>149.0</v>
      </c>
      <c r="C150" s="183">
        <f t="shared" si="1"/>
        <v>-412.1613147</v>
      </c>
      <c r="D150" s="124" t="str">
        <f>VLOOKUP(A150,'Classement Surp'!$B$2:$B$149,1,0)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18"/>
      <c r="B151" s="103">
        <v>150.0</v>
      </c>
      <c r="C151" s="183">
        <f t="shared" si="1"/>
        <v>-415.5466418</v>
      </c>
      <c r="D151" s="124" t="str">
        <f>VLOOKUP(A151,'Classement Surp'!$B$2:$B$149,1,0)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18"/>
      <c r="B152" s="103">
        <v>151.0</v>
      </c>
      <c r="C152" s="183">
        <f t="shared" si="1"/>
        <v>-418.9241603</v>
      </c>
      <c r="D152" s="124" t="str">
        <f>VLOOKUP(A152,'Classement Surp'!$B$2:$B$149,1,0)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18"/>
      <c r="B153" s="103">
        <v>152.0</v>
      </c>
      <c r="C153" s="183">
        <f t="shared" si="1"/>
        <v>-422.2939526</v>
      </c>
      <c r="D153" s="124" t="str">
        <f>VLOOKUP(A153,'Classement Surp'!$B$2:$B$149,1,0)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18"/>
      <c r="B154" s="103">
        <v>153.0</v>
      </c>
      <c r="C154" s="183">
        <f t="shared" si="1"/>
        <v>-425.6560997</v>
      </c>
      <c r="D154" s="124" t="str">
        <f>VLOOKUP(A154,'Classement Surp'!$B$2:$B$149,1,0)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18"/>
      <c r="B155" s="103">
        <v>154.0</v>
      </c>
      <c r="C155" s="183">
        <f t="shared" si="1"/>
        <v>-429.0106811</v>
      </c>
      <c r="D155" s="124" t="str">
        <f>VLOOKUP(A155,'Classement Surp'!$B$2:$B$149,1,0)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18"/>
      <c r="B156" s="103">
        <v>155.0</v>
      </c>
      <c r="C156" s="183">
        <f t="shared" si="1"/>
        <v>-432.3577749</v>
      </c>
      <c r="D156" s="124" t="str">
        <f>VLOOKUP(A156,'Classement Surp'!$B$2:$B$149,1,0)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18"/>
      <c r="B157" s="103">
        <v>156.0</v>
      </c>
      <c r="C157" s="183">
        <f t="shared" si="1"/>
        <v>-435.6974577</v>
      </c>
      <c r="D157" s="124" t="str">
        <f>VLOOKUP(A157,'Classement Surp'!$B$2:$B$149,1,0)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18"/>
      <c r="B158" s="103">
        <v>157.0</v>
      </c>
      <c r="C158" s="183">
        <f t="shared" si="1"/>
        <v>-439.029805</v>
      </c>
      <c r="D158" s="124" t="str">
        <f>VLOOKUP(A158,'Classement Surp'!$B$2:$B$149,1,0)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18"/>
      <c r="B159" s="103">
        <v>158.0</v>
      </c>
      <c r="C159" s="183">
        <f t="shared" si="1"/>
        <v>-442.3548908</v>
      </c>
      <c r="D159" s="124" t="str">
        <f>VLOOKUP(A159,'Classement Surp'!$B$2:$B$149,1,0)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18"/>
      <c r="B160" s="103">
        <v>159.0</v>
      </c>
      <c r="C160" s="183">
        <f t="shared" si="1"/>
        <v>-445.672788</v>
      </c>
      <c r="D160" s="124" t="str">
        <f>VLOOKUP(A160,'Classement Surp'!$B$2:$B$149,1,0)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84"/>
      <c r="B161" s="185">
        <v>160.0</v>
      </c>
      <c r="C161" s="186">
        <f t="shared" si="1"/>
        <v>-448.9835681</v>
      </c>
      <c r="D161" s="124" t="str">
        <f>VLOOKUP(A161,'Classement Surp'!$B$2:$B$149,1,0)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A162" s="187"/>
      <c r="B162" s="128"/>
    </row>
    <row r="163" ht="14.25" customHeight="1">
      <c r="A163" s="187"/>
      <c r="B163" s="128"/>
    </row>
    <row r="164" ht="14.25" customHeight="1">
      <c r="A164" s="187"/>
      <c r="B164" s="128"/>
    </row>
    <row r="165" ht="14.25" customHeight="1">
      <c r="A165" s="187"/>
      <c r="B165" s="128"/>
    </row>
    <row r="166" ht="14.25" customHeight="1">
      <c r="A166" s="187"/>
      <c r="B166" s="128"/>
    </row>
    <row r="167" ht="14.25" customHeight="1">
      <c r="A167" s="187"/>
      <c r="B167" s="128"/>
    </row>
    <row r="168" ht="14.25" customHeight="1">
      <c r="A168" s="187"/>
      <c r="B168" s="128"/>
    </row>
    <row r="169" ht="14.25" customHeight="1">
      <c r="A169" s="187"/>
      <c r="B169" s="128"/>
    </row>
    <row r="170" ht="14.25" customHeight="1">
      <c r="A170" s="187"/>
      <c r="B170" s="128"/>
    </row>
    <row r="171" ht="14.25" customHeight="1">
      <c r="A171" s="187"/>
      <c r="B171" s="128"/>
    </row>
    <row r="172" ht="14.25" customHeight="1">
      <c r="A172" s="187"/>
      <c r="B172" s="128"/>
    </row>
    <row r="173" ht="14.25" customHeight="1">
      <c r="A173" s="187"/>
      <c r="B173" s="128"/>
    </row>
    <row r="174" ht="14.25" customHeight="1">
      <c r="A174" s="187"/>
      <c r="B174" s="128"/>
    </row>
    <row r="175" ht="14.25" customHeight="1">
      <c r="A175" s="187"/>
      <c r="B175" s="128"/>
    </row>
    <row r="176" ht="14.25" customHeight="1">
      <c r="A176" s="187"/>
      <c r="B176" s="128"/>
    </row>
    <row r="177" ht="14.25" customHeight="1">
      <c r="A177" s="187"/>
      <c r="B177" s="128"/>
    </row>
    <row r="178" ht="14.25" customHeight="1">
      <c r="A178" s="187"/>
      <c r="B178" s="128"/>
    </row>
    <row r="179" ht="14.25" customHeight="1">
      <c r="A179" s="187"/>
      <c r="B179" s="128"/>
    </row>
    <row r="180" ht="14.25" customHeight="1">
      <c r="A180" s="187"/>
      <c r="B180" s="128"/>
    </row>
    <row r="181" ht="14.25" customHeight="1">
      <c r="A181" s="187"/>
      <c r="B181" s="128"/>
    </row>
    <row r="182" ht="14.25" customHeight="1">
      <c r="A182" s="187"/>
      <c r="B182" s="128"/>
    </row>
    <row r="183" ht="14.25" customHeight="1">
      <c r="A183" s="187"/>
      <c r="B183" s="128"/>
    </row>
    <row r="184" ht="14.25" customHeight="1">
      <c r="A184" s="187"/>
      <c r="B184" s="128"/>
    </row>
    <row r="185" ht="14.25" customHeight="1">
      <c r="A185" s="187"/>
      <c r="B185" s="128"/>
    </row>
    <row r="186" ht="14.25" customHeight="1">
      <c r="A186" s="187"/>
      <c r="B186" s="128"/>
    </row>
    <row r="187" ht="14.25" customHeight="1">
      <c r="A187" s="187"/>
      <c r="B187" s="128"/>
    </row>
    <row r="188" ht="14.25" customHeight="1">
      <c r="A188" s="187"/>
      <c r="B188" s="128"/>
    </row>
    <row r="189" ht="14.25" customHeight="1">
      <c r="A189" s="187"/>
      <c r="B189" s="128"/>
    </row>
    <row r="190" ht="14.25" customHeight="1">
      <c r="A190" s="187"/>
      <c r="B190" s="128"/>
    </row>
    <row r="191" ht="14.25" customHeight="1">
      <c r="A191" s="187"/>
      <c r="B191" s="128"/>
    </row>
    <row r="192" ht="14.25" customHeight="1">
      <c r="A192" s="187"/>
      <c r="B192" s="128"/>
    </row>
    <row r="193" ht="14.25" customHeight="1">
      <c r="A193" s="187"/>
      <c r="B193" s="128"/>
    </row>
    <row r="194" ht="14.25" customHeight="1">
      <c r="A194" s="187"/>
      <c r="B194" s="128"/>
    </row>
    <row r="195" ht="14.25" customHeight="1">
      <c r="A195" s="187"/>
      <c r="B195" s="128"/>
    </row>
    <row r="196" ht="14.25" customHeight="1">
      <c r="A196" s="187"/>
      <c r="B196" s="128"/>
    </row>
    <row r="197" ht="14.25" customHeight="1">
      <c r="A197" s="187"/>
      <c r="B197" s="128"/>
    </row>
    <row r="198" ht="14.25" customHeight="1">
      <c r="A198" s="187"/>
      <c r="B198" s="128"/>
    </row>
    <row r="199" ht="14.25" customHeight="1">
      <c r="A199" s="187"/>
      <c r="B199" s="128"/>
    </row>
    <row r="200" ht="14.25" customHeight="1">
      <c r="A200" s="187"/>
      <c r="B200" s="128"/>
    </row>
    <row r="201" ht="14.25" customHeight="1">
      <c r="A201" s="187"/>
      <c r="B201" s="128"/>
    </row>
    <row r="202" ht="14.25" customHeight="1">
      <c r="A202" s="187"/>
      <c r="B202" s="128"/>
    </row>
    <row r="203" ht="14.25" customHeight="1">
      <c r="A203" s="187"/>
      <c r="B203" s="128"/>
    </row>
    <row r="204" ht="14.25" customHeight="1">
      <c r="A204" s="187"/>
      <c r="B204" s="128"/>
    </row>
    <row r="205" ht="14.25" customHeight="1">
      <c r="A205" s="187"/>
      <c r="B205" s="128"/>
    </row>
    <row r="206" ht="14.25" customHeight="1">
      <c r="A206" s="187"/>
      <c r="B206" s="128"/>
    </row>
    <row r="207" ht="14.25" customHeight="1">
      <c r="A207" s="187"/>
      <c r="B207" s="128"/>
    </row>
    <row r="208" ht="14.25" customHeight="1">
      <c r="A208" s="187"/>
      <c r="B208" s="128"/>
    </row>
    <row r="209" ht="14.25" customHeight="1">
      <c r="A209" s="187"/>
      <c r="B209" s="128"/>
    </row>
    <row r="210" ht="14.25" customHeight="1">
      <c r="A210" s="187"/>
      <c r="B210" s="128"/>
    </row>
    <row r="211" ht="14.25" customHeight="1">
      <c r="A211" s="187"/>
      <c r="B211" s="128"/>
    </row>
    <row r="212" ht="14.25" customHeight="1">
      <c r="A212" s="187"/>
      <c r="B212" s="128"/>
    </row>
    <row r="213" ht="14.25" customHeight="1">
      <c r="A213" s="187"/>
      <c r="B213" s="128"/>
    </row>
    <row r="214" ht="14.25" customHeight="1">
      <c r="A214" s="187"/>
      <c r="B214" s="128"/>
    </row>
    <row r="215" ht="14.25" customHeight="1">
      <c r="A215" s="187"/>
      <c r="B215" s="128"/>
    </row>
    <row r="216" ht="14.25" customHeight="1">
      <c r="A216" s="187"/>
      <c r="B216" s="128"/>
    </row>
    <row r="217" ht="14.25" customHeight="1">
      <c r="A217" s="187"/>
      <c r="B217" s="128"/>
    </row>
    <row r="218" ht="14.25" customHeight="1">
      <c r="A218" s="187"/>
      <c r="B218" s="128"/>
    </row>
    <row r="219" ht="14.25" customHeight="1">
      <c r="A219" s="187"/>
      <c r="B219" s="128"/>
    </row>
    <row r="220" ht="14.25" customHeight="1">
      <c r="A220" s="187"/>
      <c r="B220" s="128"/>
    </row>
    <row r="221" ht="14.25" customHeight="1">
      <c r="A221" s="187"/>
      <c r="B221" s="128"/>
    </row>
    <row r="222" ht="14.25" customHeight="1">
      <c r="A222" s="187"/>
      <c r="B222" s="128"/>
    </row>
    <row r="223" ht="14.25" customHeight="1">
      <c r="A223" s="187"/>
      <c r="B223" s="128"/>
    </row>
    <row r="224" ht="14.25" customHeight="1">
      <c r="A224" s="187"/>
      <c r="B224" s="128"/>
    </row>
    <row r="225" ht="14.25" customHeight="1">
      <c r="A225" s="187"/>
      <c r="B225" s="128"/>
    </row>
    <row r="226" ht="14.25" customHeight="1">
      <c r="A226" s="187"/>
      <c r="B226" s="128"/>
    </row>
    <row r="227" ht="14.25" customHeight="1">
      <c r="A227" s="187"/>
      <c r="B227" s="128"/>
    </row>
    <row r="228" ht="14.25" customHeight="1">
      <c r="A228" s="187"/>
      <c r="B228" s="128"/>
    </row>
    <row r="229" ht="14.25" customHeight="1">
      <c r="A229" s="187"/>
      <c r="B229" s="128"/>
    </row>
    <row r="230" ht="14.25" customHeight="1">
      <c r="A230" s="187"/>
      <c r="B230" s="128"/>
    </row>
    <row r="231" ht="14.25" customHeight="1">
      <c r="A231" s="187"/>
      <c r="B231" s="128"/>
    </row>
    <row r="232" ht="14.25" customHeight="1">
      <c r="A232" s="187"/>
      <c r="B232" s="128"/>
    </row>
    <row r="233" ht="14.25" customHeight="1">
      <c r="A233" s="187"/>
      <c r="B233" s="128"/>
    </row>
    <row r="234" ht="14.25" customHeight="1">
      <c r="A234" s="187"/>
      <c r="B234" s="128"/>
    </row>
    <row r="235" ht="14.25" customHeight="1">
      <c r="A235" s="187"/>
      <c r="B235" s="128"/>
    </row>
    <row r="236" ht="14.25" customHeight="1">
      <c r="A236" s="187"/>
      <c r="B236" s="128"/>
    </row>
    <row r="237" ht="14.25" customHeight="1">
      <c r="A237" s="187"/>
      <c r="B237" s="128"/>
    </row>
    <row r="238" ht="14.25" customHeight="1">
      <c r="A238" s="187"/>
      <c r="B238" s="128"/>
    </row>
    <row r="239" ht="14.25" customHeight="1">
      <c r="A239" s="187"/>
      <c r="B239" s="128"/>
    </row>
    <row r="240" ht="14.25" customHeight="1">
      <c r="A240" s="187"/>
      <c r="B240" s="128"/>
    </row>
    <row r="241" ht="14.25" customHeight="1">
      <c r="A241" s="187"/>
      <c r="B241" s="128"/>
    </row>
    <row r="242" ht="14.25" customHeight="1">
      <c r="A242" s="187"/>
      <c r="B242" s="128"/>
    </row>
    <row r="243" ht="14.25" customHeight="1">
      <c r="A243" s="187"/>
      <c r="B243" s="128"/>
    </row>
    <row r="244" ht="14.25" customHeight="1">
      <c r="A244" s="187"/>
      <c r="B244" s="128"/>
    </row>
    <row r="245" ht="14.25" customHeight="1">
      <c r="A245" s="187"/>
      <c r="B245" s="128"/>
    </row>
    <row r="246" ht="14.25" customHeight="1">
      <c r="A246" s="187"/>
      <c r="B246" s="128"/>
    </row>
    <row r="247" ht="14.25" customHeight="1">
      <c r="A247" s="187"/>
      <c r="B247" s="128"/>
    </row>
    <row r="248" ht="14.25" customHeight="1">
      <c r="A248" s="187"/>
      <c r="B248" s="128"/>
    </row>
    <row r="249" ht="14.25" customHeight="1">
      <c r="A249" s="187"/>
      <c r="B249" s="128"/>
    </row>
    <row r="250" ht="14.25" customHeight="1">
      <c r="A250" s="187"/>
      <c r="B250" s="128"/>
    </row>
    <row r="251" ht="14.25" customHeight="1">
      <c r="A251" s="187"/>
      <c r="B251" s="128"/>
    </row>
    <row r="252" ht="14.25" customHeight="1">
      <c r="A252" s="187"/>
      <c r="B252" s="128"/>
    </row>
    <row r="253" ht="14.25" customHeight="1">
      <c r="A253" s="187"/>
      <c r="B253" s="128"/>
    </row>
    <row r="254" ht="14.25" customHeight="1">
      <c r="A254" s="187"/>
      <c r="B254" s="128"/>
    </row>
    <row r="255" ht="14.25" customHeight="1">
      <c r="A255" s="187"/>
      <c r="B255" s="128"/>
    </row>
    <row r="256" ht="14.25" customHeight="1">
      <c r="A256" s="187"/>
      <c r="B256" s="128"/>
    </row>
    <row r="257" ht="14.25" customHeight="1">
      <c r="A257" s="187"/>
      <c r="B257" s="128"/>
    </row>
    <row r="258" ht="14.25" customHeight="1">
      <c r="A258" s="187"/>
      <c r="B258" s="128"/>
    </row>
    <row r="259" ht="14.25" customHeight="1">
      <c r="A259" s="187"/>
      <c r="B259" s="128"/>
    </row>
    <row r="260" ht="14.25" customHeight="1">
      <c r="A260" s="187"/>
      <c r="B260" s="128"/>
    </row>
    <row r="261" ht="14.25" customHeight="1">
      <c r="A261" s="187"/>
      <c r="B261" s="128"/>
    </row>
    <row r="262" ht="14.25" customHeight="1">
      <c r="A262" s="187"/>
      <c r="B262" s="128"/>
    </row>
    <row r="263" ht="14.25" customHeight="1">
      <c r="A263" s="187"/>
      <c r="B263" s="128"/>
    </row>
    <row r="264" ht="14.25" customHeight="1">
      <c r="A264" s="187"/>
      <c r="B264" s="128"/>
    </row>
    <row r="265" ht="14.25" customHeight="1">
      <c r="A265" s="187"/>
      <c r="B265" s="128"/>
    </row>
    <row r="266" ht="14.25" customHeight="1">
      <c r="A266" s="187"/>
      <c r="B266" s="128"/>
    </row>
    <row r="267" ht="14.25" customHeight="1">
      <c r="A267" s="187"/>
      <c r="B267" s="128"/>
    </row>
    <row r="268" ht="14.25" customHeight="1">
      <c r="A268" s="187"/>
      <c r="B268" s="128"/>
    </row>
    <row r="269" ht="14.25" customHeight="1">
      <c r="A269" s="187"/>
      <c r="B269" s="128"/>
    </row>
    <row r="270" ht="14.25" customHeight="1">
      <c r="A270" s="187"/>
      <c r="B270" s="128"/>
    </row>
    <row r="271" ht="14.25" customHeight="1">
      <c r="A271" s="187"/>
      <c r="B271" s="128"/>
    </row>
    <row r="272" ht="14.25" customHeight="1">
      <c r="A272" s="187"/>
      <c r="B272" s="128"/>
    </row>
    <row r="273" ht="14.25" customHeight="1">
      <c r="A273" s="187"/>
      <c r="B273" s="128"/>
    </row>
    <row r="274" ht="14.25" customHeight="1">
      <c r="A274" s="187"/>
      <c r="B274" s="128"/>
    </row>
    <row r="275" ht="14.25" customHeight="1">
      <c r="A275" s="187"/>
      <c r="B275" s="128"/>
    </row>
    <row r="276" ht="14.25" customHeight="1">
      <c r="A276" s="187"/>
      <c r="B276" s="128"/>
    </row>
    <row r="277" ht="14.25" customHeight="1">
      <c r="A277" s="187"/>
      <c r="B277" s="128"/>
    </row>
    <row r="278" ht="14.25" customHeight="1">
      <c r="A278" s="187"/>
      <c r="B278" s="128"/>
    </row>
    <row r="279" ht="14.25" customHeight="1">
      <c r="A279" s="187"/>
      <c r="B279" s="128"/>
    </row>
    <row r="280" ht="14.25" customHeight="1">
      <c r="A280" s="187"/>
      <c r="B280" s="128"/>
    </row>
    <row r="281" ht="14.25" customHeight="1">
      <c r="A281" s="187"/>
      <c r="B281" s="128"/>
    </row>
    <row r="282" ht="14.25" customHeight="1">
      <c r="A282" s="187"/>
      <c r="B282" s="128"/>
    </row>
    <row r="283" ht="14.25" customHeight="1">
      <c r="A283" s="187"/>
      <c r="B283" s="128"/>
    </row>
    <row r="284" ht="14.25" customHeight="1">
      <c r="A284" s="187"/>
      <c r="B284" s="128"/>
    </row>
    <row r="285" ht="14.25" customHeight="1">
      <c r="A285" s="187"/>
      <c r="B285" s="128"/>
    </row>
    <row r="286" ht="14.25" customHeight="1">
      <c r="A286" s="187"/>
      <c r="B286" s="128"/>
    </row>
    <row r="287" ht="14.25" customHeight="1">
      <c r="A287" s="187"/>
      <c r="B287" s="128"/>
    </row>
    <row r="288" ht="14.25" customHeight="1">
      <c r="A288" s="187"/>
      <c r="B288" s="128"/>
    </row>
    <row r="289" ht="14.25" customHeight="1">
      <c r="A289" s="187"/>
      <c r="B289" s="128"/>
    </row>
    <row r="290" ht="14.25" customHeight="1">
      <c r="A290" s="187"/>
      <c r="B290" s="128"/>
    </row>
    <row r="291" ht="14.25" customHeight="1">
      <c r="A291" s="187"/>
      <c r="B291" s="128"/>
    </row>
    <row r="292" ht="14.25" customHeight="1">
      <c r="A292" s="187"/>
      <c r="B292" s="128"/>
    </row>
    <row r="293" ht="14.25" customHeight="1">
      <c r="A293" s="187"/>
      <c r="B293" s="128"/>
    </row>
    <row r="294" ht="14.25" customHeight="1">
      <c r="A294" s="187"/>
      <c r="B294" s="128"/>
    </row>
    <row r="295" ht="14.25" customHeight="1">
      <c r="A295" s="187"/>
      <c r="B295" s="128"/>
    </row>
    <row r="296" ht="14.25" customHeight="1">
      <c r="A296" s="187"/>
      <c r="B296" s="128"/>
    </row>
    <row r="297" ht="14.25" customHeight="1">
      <c r="A297" s="187"/>
      <c r="B297" s="128"/>
    </row>
    <row r="298" ht="14.25" customHeight="1">
      <c r="A298" s="187"/>
      <c r="B298" s="128"/>
    </row>
    <row r="299" ht="14.25" customHeight="1">
      <c r="A299" s="187"/>
      <c r="B299" s="128"/>
    </row>
    <row r="300" ht="14.25" customHeight="1">
      <c r="A300" s="187"/>
      <c r="B300" s="128"/>
    </row>
    <row r="301" ht="14.25" customHeight="1">
      <c r="A301" s="187"/>
      <c r="B301" s="128"/>
    </row>
    <row r="302" ht="14.25" customHeight="1">
      <c r="A302" s="187"/>
      <c r="B302" s="128"/>
    </row>
    <row r="303" ht="14.25" customHeight="1">
      <c r="A303" s="187"/>
      <c r="B303" s="128"/>
    </row>
    <row r="304" ht="14.25" customHeight="1">
      <c r="A304" s="187"/>
      <c r="B304" s="128"/>
    </row>
    <row r="305" ht="14.25" customHeight="1">
      <c r="A305" s="187"/>
      <c r="B305" s="128"/>
    </row>
    <row r="306" ht="14.25" customHeight="1">
      <c r="A306" s="187"/>
      <c r="B306" s="128"/>
    </row>
    <row r="307" ht="14.25" customHeight="1">
      <c r="A307" s="187"/>
      <c r="B307" s="128"/>
    </row>
    <row r="308" ht="14.25" customHeight="1">
      <c r="A308" s="187"/>
      <c r="B308" s="128"/>
    </row>
    <row r="309" ht="14.25" customHeight="1">
      <c r="A309" s="187"/>
      <c r="B309" s="128"/>
    </row>
    <row r="310" ht="14.25" customHeight="1">
      <c r="A310" s="187"/>
      <c r="B310" s="128"/>
    </row>
    <row r="311" ht="14.25" customHeight="1">
      <c r="A311" s="187"/>
      <c r="B311" s="128"/>
    </row>
    <row r="312" ht="14.25" customHeight="1">
      <c r="A312" s="187"/>
      <c r="B312" s="128"/>
    </row>
    <row r="313" ht="14.25" customHeight="1">
      <c r="A313" s="187"/>
      <c r="B313" s="128"/>
    </row>
    <row r="314" ht="14.25" customHeight="1">
      <c r="A314" s="187"/>
      <c r="B314" s="128"/>
    </row>
    <row r="315" ht="14.25" customHeight="1">
      <c r="A315" s="187"/>
      <c r="B315" s="128"/>
    </row>
    <row r="316" ht="14.25" customHeight="1">
      <c r="A316" s="187"/>
      <c r="B316" s="128"/>
    </row>
    <row r="317" ht="14.25" customHeight="1">
      <c r="A317" s="187"/>
      <c r="B317" s="128"/>
    </row>
    <row r="318" ht="14.25" customHeight="1">
      <c r="A318" s="187"/>
      <c r="B318" s="128"/>
    </row>
    <row r="319" ht="14.25" customHeight="1">
      <c r="A319" s="187"/>
      <c r="B319" s="128"/>
    </row>
    <row r="320" ht="14.25" customHeight="1">
      <c r="A320" s="187"/>
      <c r="B320" s="128"/>
    </row>
    <row r="321" ht="14.25" customHeight="1">
      <c r="A321" s="187"/>
      <c r="B321" s="128"/>
    </row>
    <row r="322" ht="14.25" customHeight="1">
      <c r="A322" s="187"/>
      <c r="B322" s="128"/>
    </row>
    <row r="323" ht="14.25" customHeight="1">
      <c r="A323" s="187"/>
      <c r="B323" s="128"/>
    </row>
    <row r="324" ht="14.25" customHeight="1">
      <c r="A324" s="187"/>
      <c r="B324" s="128"/>
    </row>
    <row r="325" ht="14.25" customHeight="1">
      <c r="A325" s="187"/>
      <c r="B325" s="128"/>
    </row>
    <row r="326" ht="14.25" customHeight="1">
      <c r="A326" s="187"/>
      <c r="B326" s="128"/>
    </row>
    <row r="327" ht="14.25" customHeight="1">
      <c r="A327" s="187"/>
      <c r="B327" s="128"/>
    </row>
    <row r="328" ht="14.25" customHeight="1">
      <c r="A328" s="187"/>
      <c r="B328" s="128"/>
    </row>
    <row r="329" ht="14.25" customHeight="1">
      <c r="A329" s="187"/>
      <c r="B329" s="128"/>
    </row>
    <row r="330" ht="14.25" customHeight="1">
      <c r="A330" s="187"/>
      <c r="B330" s="128"/>
    </row>
    <row r="331" ht="14.25" customHeight="1">
      <c r="A331" s="187"/>
      <c r="B331" s="128"/>
    </row>
    <row r="332" ht="14.25" customHeight="1">
      <c r="A332" s="187"/>
      <c r="B332" s="128"/>
    </row>
    <row r="333" ht="14.25" customHeight="1">
      <c r="A333" s="187"/>
      <c r="B333" s="128"/>
    </row>
    <row r="334" ht="14.25" customHeight="1">
      <c r="A334" s="187"/>
      <c r="B334" s="128"/>
    </row>
    <row r="335" ht="14.25" customHeight="1">
      <c r="A335" s="187"/>
      <c r="B335" s="128"/>
    </row>
    <row r="336" ht="14.25" customHeight="1">
      <c r="A336" s="187"/>
      <c r="B336" s="128"/>
    </row>
    <row r="337" ht="14.25" customHeight="1">
      <c r="A337" s="187"/>
      <c r="B337" s="128"/>
    </row>
    <row r="338" ht="14.25" customHeight="1">
      <c r="A338" s="187"/>
      <c r="B338" s="128"/>
    </row>
    <row r="339" ht="14.25" customHeight="1">
      <c r="A339" s="187"/>
      <c r="B339" s="128"/>
    </row>
    <row r="340" ht="14.25" customHeight="1">
      <c r="A340" s="187"/>
      <c r="B340" s="128"/>
    </row>
    <row r="341" ht="14.25" customHeight="1">
      <c r="A341" s="187"/>
      <c r="B341" s="128"/>
    </row>
    <row r="342" ht="14.25" customHeight="1">
      <c r="A342" s="187"/>
      <c r="B342" s="128"/>
    </row>
    <row r="343" ht="14.25" customHeight="1">
      <c r="A343" s="187"/>
      <c r="B343" s="128"/>
    </row>
    <row r="344" ht="14.25" customHeight="1">
      <c r="A344" s="187"/>
      <c r="B344" s="128"/>
    </row>
    <row r="345" ht="14.25" customHeight="1">
      <c r="A345" s="187"/>
      <c r="B345" s="128"/>
    </row>
    <row r="346" ht="14.25" customHeight="1">
      <c r="A346" s="187"/>
      <c r="B346" s="128"/>
    </row>
    <row r="347" ht="14.25" customHeight="1">
      <c r="A347" s="187"/>
      <c r="B347" s="128"/>
    </row>
    <row r="348" ht="14.25" customHeight="1">
      <c r="A348" s="187"/>
      <c r="B348" s="128"/>
    </row>
    <row r="349" ht="14.25" customHeight="1">
      <c r="A349" s="187"/>
      <c r="B349" s="128"/>
    </row>
    <row r="350" ht="14.25" customHeight="1">
      <c r="A350" s="187"/>
      <c r="B350" s="128"/>
    </row>
    <row r="351" ht="14.25" customHeight="1">
      <c r="A351" s="187"/>
      <c r="B351" s="128"/>
    </row>
    <row r="352" ht="14.25" customHeight="1">
      <c r="A352" s="187"/>
      <c r="B352" s="128"/>
    </row>
    <row r="353" ht="14.25" customHeight="1">
      <c r="A353" s="187"/>
      <c r="B353" s="128"/>
    </row>
    <row r="354" ht="14.25" customHeight="1">
      <c r="A354" s="187"/>
      <c r="B354" s="128"/>
    </row>
    <row r="355" ht="14.25" customHeight="1">
      <c r="A355" s="187"/>
      <c r="B355" s="128"/>
    </row>
    <row r="356" ht="14.25" customHeight="1">
      <c r="A356" s="187"/>
      <c r="B356" s="128"/>
    </row>
    <row r="357" ht="14.25" customHeight="1">
      <c r="A357" s="187"/>
      <c r="B357" s="128"/>
    </row>
    <row r="358" ht="14.25" customHeight="1">
      <c r="A358" s="187"/>
      <c r="B358" s="128"/>
    </row>
    <row r="359" ht="14.25" customHeight="1">
      <c r="A359" s="187"/>
      <c r="B359" s="128"/>
    </row>
    <row r="360" ht="14.25" customHeight="1">
      <c r="A360" s="187"/>
      <c r="B360" s="128"/>
    </row>
    <row r="361" ht="14.25" customHeight="1">
      <c r="A361" s="187"/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50</v>
      </c>
    </row>
    <row r="2" ht="14.25" customHeight="1">
      <c r="A2" s="118" t="str">
        <f>IFERROR(__xludf.DUMMYFUNCTION(" IMPORTRANGE(""https://docs.google.com/spreadsheets/d/1Ft_0rPdxCgkJXNm-cxF3dYzhjRo1I7EZV-f4UGoRh3Y/edit#gid=1444344404"",""Surprise!A2:A161"")"),".choco")</f>
        <v>.choco</v>
      </c>
      <c r="B2" s="103">
        <v>1.0</v>
      </c>
      <c r="C2" s="183">
        <f t="shared" ref="C2:C161" si="1">260*(1-(B2/($H$1+1)))*POWER((SQRT(($H$1+1)/B2)),1/2)</f>
        <v>681.1860104</v>
      </c>
      <c r="D2" s="124" t="str">
        <f>VLOOKUP(A2,'Classement Surp'!$B$2:$B$149,1,0)</f>
        <v>.choco</v>
      </c>
      <c r="E2" s="125" t="str">
        <f t="shared" ref="E2:E161" si="2">IF(D2=A2,"","erreur")</f>
        <v/>
      </c>
      <c r="F2" s="120" t="str">
        <f>VLOOKUP(A2,'Classement Général'!$B$2:$B$146,1,0)</f>
        <v>.choco</v>
      </c>
    </row>
    <row r="3" ht="14.25" customHeight="1">
      <c r="A3" s="118" t="str">
        <f>IFERROR(__xludf.DUMMYFUNCTION("""COMPUTED_VALUE"""),"christ86000")</f>
        <v>christ86000</v>
      </c>
      <c r="B3" s="103">
        <v>2.0</v>
      </c>
      <c r="C3" s="183">
        <f t="shared" si="1"/>
        <v>561.3507368</v>
      </c>
      <c r="D3" s="124" t="str">
        <f>VLOOKUP(A3,'Classement Surp'!$B$2:$B$149,1,0)</f>
        <v>christ86000</v>
      </c>
      <c r="E3" s="125" t="str">
        <f t="shared" si="2"/>
        <v/>
      </c>
      <c r="F3" s="120" t="str">
        <f>VLOOKUP(A3,'Classement Général'!$B$2:$B$146,1,0)</f>
        <v>christ86000</v>
      </c>
    </row>
    <row r="4" ht="14.25" customHeight="1">
      <c r="A4" s="118" t="str">
        <f>IFERROR(__xludf.DUMMYFUNCTION("""COMPUTED_VALUE"""),"Elfy")</f>
        <v>Elfy</v>
      </c>
      <c r="B4" s="103">
        <v>3.0</v>
      </c>
      <c r="C4" s="183">
        <f t="shared" si="1"/>
        <v>496.8858617</v>
      </c>
      <c r="D4" s="124" t="str">
        <f>VLOOKUP(A4,'Classement Surp'!$B$2:$B$149,1,0)</f>
        <v>Elfy</v>
      </c>
      <c r="E4" s="125" t="str">
        <f t="shared" si="2"/>
        <v/>
      </c>
      <c r="F4" s="120" t="str">
        <f>VLOOKUP(A4,'Classement Général'!$B$2:$B$146,1,0)</f>
        <v>Elfy</v>
      </c>
    </row>
    <row r="5" ht="14.25" customHeight="1">
      <c r="A5" s="118" t="str">
        <f>IFERROR(__xludf.DUMMYFUNCTION("""COMPUTED_VALUE"""),"Phil1308")</f>
        <v>Phil1308</v>
      </c>
      <c r="B5" s="103">
        <v>4.0</v>
      </c>
      <c r="C5" s="183">
        <f t="shared" si="1"/>
        <v>452.7709724</v>
      </c>
      <c r="D5" s="124" t="str">
        <f>VLOOKUP(A5,'Classement Surp'!$B$2:$B$149,1,0)</f>
        <v>Phil1308</v>
      </c>
      <c r="E5" s="125" t="str">
        <f t="shared" si="2"/>
        <v/>
      </c>
      <c r="F5" s="120" t="str">
        <f>VLOOKUP(A5,'Classement Général'!$B$2:$B$146,1,0)</f>
        <v>Phil1308</v>
      </c>
    </row>
    <row r="6" ht="14.25" customHeight="1">
      <c r="A6" s="118" t="str">
        <f>IFERROR(__xludf.DUMMYFUNCTION("""COMPUTED_VALUE"""),"Rod_John_VI")</f>
        <v>Rod_John_VI</v>
      </c>
      <c r="B6" s="103">
        <v>5.0</v>
      </c>
      <c r="C6" s="183">
        <f t="shared" si="1"/>
        <v>419.0936171</v>
      </c>
      <c r="D6" s="124" t="str">
        <f>VLOOKUP(A6,'Classement Surp'!$B$2:$B$149,1,0)</f>
        <v>Rod_John_VI</v>
      </c>
      <c r="E6" s="125" t="str">
        <f t="shared" si="2"/>
        <v/>
      </c>
      <c r="F6" s="120" t="str">
        <f>VLOOKUP(A6,'Classement Général'!$B$2:$B$146,1,0)</f>
        <v>Rod_John_VI</v>
      </c>
    </row>
    <row r="7" ht="14.25" customHeight="1">
      <c r="A7" s="118" t="str">
        <f>IFERROR(__xludf.DUMMYFUNCTION("""COMPUTED_VALUE"""),"Dirty Bazaar")</f>
        <v>Dirty Bazaar</v>
      </c>
      <c r="B7" s="103">
        <v>6.0</v>
      </c>
      <c r="C7" s="183">
        <f t="shared" si="1"/>
        <v>391.7151937</v>
      </c>
      <c r="D7" s="124" t="str">
        <f>VLOOKUP(A7,'Classement Surp'!$B$2:$B$149,1,0)</f>
        <v>Dirty Bazaar</v>
      </c>
      <c r="E7" s="125" t="str">
        <f t="shared" si="2"/>
        <v/>
      </c>
      <c r="F7" s="120" t="str">
        <f>VLOOKUP(A7,'Classement Général'!$B$2:$B$146,1,0)</f>
        <v>Dirty Bazaar</v>
      </c>
    </row>
    <row r="8" ht="14.25" customHeight="1">
      <c r="A8" s="118" t="str">
        <f>IFERROR(__xludf.DUMMYFUNCTION("""COMPUTED_VALUE"""),"LEGOLEGOTE")</f>
        <v>LEGOLEGOTE</v>
      </c>
      <c r="B8" s="103">
        <v>7.0</v>
      </c>
      <c r="C8" s="183">
        <f t="shared" si="1"/>
        <v>368.5308785</v>
      </c>
      <c r="D8" s="124" t="str">
        <f>VLOOKUP(A8,'Classement Surp'!$B$2:$B$149,1,0)</f>
        <v>LEGOLEGOTE</v>
      </c>
      <c r="E8" s="125" t="str">
        <f t="shared" si="2"/>
        <v/>
      </c>
      <c r="F8" s="120" t="str">
        <f>VLOOKUP(A8,'Classement Général'!$B$2:$B$146,1,0)</f>
        <v>LEGOLEGOTE</v>
      </c>
    </row>
    <row r="9" ht="14.25" customHeight="1">
      <c r="A9" s="118" t="str">
        <f>IFERROR(__xludf.DUMMYFUNCTION("""COMPUTED_VALUE"""),"Fistipanda")</f>
        <v>Fistipanda</v>
      </c>
      <c r="B9" s="103">
        <v>8.0</v>
      </c>
      <c r="C9" s="183">
        <f t="shared" si="1"/>
        <v>348.3306376</v>
      </c>
      <c r="D9" s="124" t="str">
        <f>VLOOKUP(A9,'Classement Surp'!$B$2:$B$149,1,0)</f>
        <v>Fistipanda</v>
      </c>
      <c r="E9" s="125" t="str">
        <f t="shared" si="2"/>
        <v/>
      </c>
      <c r="F9" s="120" t="str">
        <f>VLOOKUP(A9,'Classement Général'!$B$2:$B$146,1,0)</f>
        <v>Fistipanda</v>
      </c>
    </row>
    <row r="10" ht="14.25" customHeight="1">
      <c r="A10" s="118" t="str">
        <f>IFERROR(__xludf.DUMMYFUNCTION("""COMPUTED_VALUE"""),"CarlitoTwin")</f>
        <v>CarlitoTwin</v>
      </c>
      <c r="B10" s="103">
        <v>9.0</v>
      </c>
      <c r="C10" s="183">
        <f t="shared" si="1"/>
        <v>330.3576582</v>
      </c>
      <c r="D10" s="124" t="str">
        <f>VLOOKUP(A10,'Classement Surp'!$B$2:$B$149,1,0)</f>
        <v>CarlitoTwin</v>
      </c>
      <c r="E10" s="125" t="str">
        <f t="shared" si="2"/>
        <v/>
      </c>
      <c r="F10" s="120" t="str">
        <f>VLOOKUP(A10,'Classement Général'!$B$2:$B$146,1,0)</f>
        <v>CarlitoTwin</v>
      </c>
    </row>
    <row r="11" ht="14.25" customHeight="1">
      <c r="A11" s="118" t="str">
        <f>IFERROR(__xludf.DUMMYFUNCTION("""COMPUTED_VALUE"""),"_VisMaVie_")</f>
        <v>_VisMaVie_</v>
      </c>
      <c r="B11" s="103">
        <v>10.0</v>
      </c>
      <c r="C11" s="183">
        <f t="shared" si="1"/>
        <v>314.1084159</v>
      </c>
      <c r="D11" s="124" t="str">
        <f>VLOOKUP(A11,'Classement Surp'!$B$2:$B$149,1,0)</f>
        <v>_VisMaVie_</v>
      </c>
      <c r="E11" s="125" t="str">
        <f t="shared" si="2"/>
        <v/>
      </c>
      <c r="F11" s="120" t="str">
        <f>VLOOKUP(A11,'Classement Général'!$B$2:$B$146,1,0)</f>
        <v>_VisMaVie_</v>
      </c>
    </row>
    <row r="12" ht="14.25" customHeight="1">
      <c r="A12" s="118" t="str">
        <f>IFERROR(__xludf.DUMMYFUNCTION("""COMPUTED_VALUE"""),"rastamokett")</f>
        <v>rastamokett</v>
      </c>
      <c r="B12" s="103">
        <v>11.0</v>
      </c>
      <c r="C12" s="183">
        <f t="shared" si="1"/>
        <v>299.2316559</v>
      </c>
      <c r="D12" s="124" t="str">
        <f>VLOOKUP(A12,'Classement Surp'!$B$2:$B$149,1,0)</f>
        <v>rastamokett</v>
      </c>
      <c r="E12" s="125" t="str">
        <f t="shared" si="2"/>
        <v/>
      </c>
      <c r="F12" s="120" t="str">
        <f>VLOOKUP(A12,'Classement Général'!$B$2:$B$146,1,0)</f>
        <v>rastamokett</v>
      </c>
    </row>
    <row r="13" ht="14.25" customHeight="1">
      <c r="A13" s="118" t="str">
        <f>IFERROR(__xludf.DUMMYFUNCTION("""COMPUTED_VALUE"""),"immond")</f>
        <v>immond</v>
      </c>
      <c r="B13" s="103">
        <v>12.0</v>
      </c>
      <c r="C13" s="183">
        <f t="shared" si="1"/>
        <v>285.4729819</v>
      </c>
      <c r="D13" s="124" t="str">
        <f>VLOOKUP(A13,'Classement Surp'!$B$2:$B$149,1,0)</f>
        <v>immond</v>
      </c>
      <c r="E13" s="125" t="str">
        <f t="shared" si="2"/>
        <v/>
      </c>
      <c r="F13" s="120" t="str">
        <f>VLOOKUP(A13,'Classement Général'!$B$2:$B$146,1,0)</f>
        <v>immond</v>
      </c>
    </row>
    <row r="14" ht="14.25" customHeight="1">
      <c r="A14" s="118" t="str">
        <f>IFERROR(__xludf.DUMMYFUNCTION("""COMPUTED_VALUE"""),"PSGJM")</f>
        <v>PSGJM</v>
      </c>
      <c r="B14" s="103">
        <v>13.0</v>
      </c>
      <c r="C14" s="183">
        <f t="shared" si="1"/>
        <v>272.6424492</v>
      </c>
      <c r="D14" s="124" t="str">
        <f>VLOOKUP(A14,'Classement Surp'!$B$2:$B$149,1,0)</f>
        <v>PSGJM</v>
      </c>
      <c r="E14" s="125" t="str">
        <f t="shared" si="2"/>
        <v/>
      </c>
      <c r="F14" s="120" t="str">
        <f>VLOOKUP(A14,'Classement Général'!$B$2:$B$146,1,0)</f>
        <v>PSGJM</v>
      </c>
    </row>
    <row r="15" ht="14.25" customHeight="1">
      <c r="A15" s="118" t="str">
        <f>IFERROR(__xludf.DUMMYFUNCTION("""COMPUTED_VALUE"""),"currysauce23")</f>
        <v>currysauce23</v>
      </c>
      <c r="B15" s="103">
        <v>14.0</v>
      </c>
      <c r="C15" s="183">
        <f t="shared" si="1"/>
        <v>260.5946114</v>
      </c>
      <c r="D15" s="124" t="str">
        <f>VLOOKUP(A15,'Classement Surp'!$B$2:$B$149,1,0)</f>
        <v>currysauce23</v>
      </c>
      <c r="E15" s="125" t="str">
        <f t="shared" si="2"/>
        <v/>
      </c>
      <c r="F15" s="120" t="str">
        <f>VLOOKUP(A15,'Classement Général'!$B$2:$B$146,1,0)</f>
        <v>#N/A</v>
      </c>
    </row>
    <row r="16" ht="14.25" customHeight="1">
      <c r="A16" s="118" t="str">
        <f>IFERROR(__xludf.DUMMYFUNCTION("""COMPUTED_VALUE"""),"Redblood92")</f>
        <v>Redblood92</v>
      </c>
      <c r="B16" s="103">
        <v>15.0</v>
      </c>
      <c r="C16" s="183">
        <f t="shared" si="1"/>
        <v>249.215702</v>
      </c>
      <c r="D16" s="124" t="str">
        <f>VLOOKUP(A16,'Classement Surp'!$B$2:$B$149,1,0)</f>
        <v>Redblood92</v>
      </c>
      <c r="E16" s="125" t="str">
        <f t="shared" si="2"/>
        <v/>
      </c>
      <c r="F16" s="120" t="str">
        <f>VLOOKUP(A16,'Classement Général'!$B$2:$B$146,1,0)</f>
        <v>Redblood92</v>
      </c>
    </row>
    <row r="17" ht="14.25" customHeight="1">
      <c r="A17" s="118" t="str">
        <f>IFERROR(__xludf.DUMMYFUNCTION("""COMPUTED_VALUE"""),"SINGE7")</f>
        <v>SINGE7</v>
      </c>
      <c r="B17" s="103">
        <v>16.0</v>
      </c>
      <c r="C17" s="183">
        <f t="shared" si="1"/>
        <v>238.4151036</v>
      </c>
      <c r="D17" s="124" t="str">
        <f>VLOOKUP(A17,'Classement Surp'!$B$2:$B$149,1,0)</f>
        <v>SINGE7</v>
      </c>
      <c r="E17" s="125" t="str">
        <f t="shared" si="2"/>
        <v/>
      </c>
      <c r="F17" s="120" t="str">
        <f>VLOOKUP(A17,'Classement Général'!$B$2:$B$146,1,0)</f>
        <v>SINGE7</v>
      </c>
      <c r="J17" s="129"/>
    </row>
    <row r="18" ht="14.25" customHeight="1">
      <c r="A18" s="118" t="str">
        <f>IFERROR(__xludf.DUMMYFUNCTION("""COMPUTED_VALUE"""),"Like_A_Fish")</f>
        <v>Like_A_Fish</v>
      </c>
      <c r="B18" s="103">
        <v>17.0</v>
      </c>
      <c r="C18" s="183">
        <f t="shared" si="1"/>
        <v>228.1194956</v>
      </c>
      <c r="D18" s="124" t="str">
        <f>VLOOKUP(A18,'Classement Surp'!$B$2:$B$149,1,0)</f>
        <v>Like_A_Fish</v>
      </c>
      <c r="E18" s="125" t="str">
        <f t="shared" si="2"/>
        <v/>
      </c>
      <c r="F18" s="120" t="str">
        <f>VLOOKUP(A18,'Classement Général'!$B$2:$B$146,1,0)</f>
        <v>Like_A_Fish</v>
      </c>
      <c r="J18" s="129"/>
    </row>
    <row r="19" ht="14.25" customHeight="1">
      <c r="A19" s="118" t="str">
        <f>IFERROR(__xludf.DUMMYFUNCTION("""COMPUTED_VALUE"""),"cassius-86")</f>
        <v>cassius-86</v>
      </c>
      <c r="B19" s="103">
        <v>18.0</v>
      </c>
      <c r="C19" s="183">
        <f t="shared" si="1"/>
        <v>218.268734</v>
      </c>
      <c r="D19" s="124" t="str">
        <f>VLOOKUP(A19,'Classement Surp'!$B$2:$B$149,1,0)</f>
        <v>cassius-86</v>
      </c>
      <c r="E19" s="125" t="str">
        <f t="shared" si="2"/>
        <v/>
      </c>
      <c r="F19" s="120" t="str">
        <f>VLOOKUP(A19,'Classement Général'!$B$2:$B$146,1,0)</f>
        <v>cassius-86</v>
      </c>
      <c r="J19" s="129"/>
    </row>
    <row r="20" ht="14.25" customHeight="1">
      <c r="A20" s="118" t="str">
        <f>IFERROR(__xludf.DUMMYFUNCTION("""COMPUTED_VALUE"""),"Bratake")</f>
        <v>Bratake</v>
      </c>
      <c r="B20" s="103">
        <v>19.0</v>
      </c>
      <c r="C20" s="183">
        <f t="shared" si="1"/>
        <v>208.8128851</v>
      </c>
      <c r="D20" s="124" t="str">
        <f>VLOOKUP(A20,'Classement Surp'!$B$2:$B$149,1,0)</f>
        <v>Bratake</v>
      </c>
      <c r="E20" s="125" t="str">
        <f t="shared" si="2"/>
        <v/>
      </c>
      <c r="F20" s="120" t="str">
        <f>VLOOKUP(A20,'Classement Général'!$B$2:$B$146,1,0)</f>
        <v>Bratake</v>
      </c>
      <c r="J20" s="129"/>
    </row>
    <row r="21" ht="14.25" customHeight="1">
      <c r="A21" s="118" t="str">
        <f>IFERROR(__xludf.DUMMYFUNCTION("""COMPUTED_VALUE"""),"BBH 75")</f>
        <v>BBH 75</v>
      </c>
      <c r="B21" s="103">
        <v>20.0</v>
      </c>
      <c r="C21" s="183">
        <f t="shared" si="1"/>
        <v>199.7100456</v>
      </c>
      <c r="D21" s="124" t="str">
        <f>VLOOKUP(A21,'Classement Surp'!$B$2:$B$149,1,0)</f>
        <v>BBH 75</v>
      </c>
      <c r="E21" s="125" t="str">
        <f t="shared" si="2"/>
        <v/>
      </c>
      <c r="F21" s="120" t="str">
        <f>VLOOKUP(A21,'Classement Général'!$B$2:$B$146,1,0)</f>
        <v>BBH 75</v>
      </c>
      <c r="J21" s="129"/>
    </row>
    <row r="22" ht="14.25" customHeight="1">
      <c r="A22" s="118" t="str">
        <f>IFERROR(__xludf.DUMMYFUNCTION("""COMPUTED_VALUE"""),"Le_Pictavien")</f>
        <v>Le_Pictavien</v>
      </c>
      <c r="B22" s="103">
        <v>21.0</v>
      </c>
      <c r="C22" s="183">
        <f t="shared" si="1"/>
        <v>190.9247132</v>
      </c>
      <c r="D22" s="124" t="str">
        <f>VLOOKUP(A22,'Classement Surp'!$B$2:$B$149,1,0)</f>
        <v>Le_Pictavien</v>
      </c>
      <c r="E22" s="125" t="str">
        <f t="shared" si="2"/>
        <v/>
      </c>
      <c r="F22" s="120" t="str">
        <f>VLOOKUP(A22,'Classement Général'!$B$2:$B$146,1,0)</f>
        <v>Le_Pictavien</v>
      </c>
    </row>
    <row r="23" ht="14.25" customHeight="1">
      <c r="A23" s="118" t="str">
        <f>IFERROR(__xludf.DUMMYFUNCTION("""COMPUTED_VALUE"""),"Vaillant 86")</f>
        <v>Vaillant 86</v>
      </c>
      <c r="B23" s="103">
        <v>22.0</v>
      </c>
      <c r="C23" s="183">
        <f t="shared" si="1"/>
        <v>182.4265494</v>
      </c>
      <c r="D23" s="124" t="str">
        <f>VLOOKUP(A23,'Classement Surp'!$B$2:$B$149,1,0)</f>
        <v>Vaillant 86</v>
      </c>
      <c r="E23" s="125" t="str">
        <f t="shared" si="2"/>
        <v/>
      </c>
      <c r="F23" s="120" t="str">
        <f>VLOOKUP(A23,'Classement Général'!$B$2:$B$146,1,0)</f>
        <v>Vaillant 86</v>
      </c>
    </row>
    <row r="24" ht="14.25" customHeight="1">
      <c r="A24" s="118" t="str">
        <f>IFERROR(__xludf.DUMMYFUNCTION("""COMPUTED_VALUE"""),". BARBAPAPA66")</f>
        <v>. BARBAPAPA66</v>
      </c>
      <c r="B24" s="103">
        <v>23.0</v>
      </c>
      <c r="C24" s="183">
        <f t="shared" si="1"/>
        <v>174.1894261</v>
      </c>
      <c r="D24" s="124" t="str">
        <f>VLOOKUP(A24,'Classement Surp'!$B$2:$B$149,1,0)</f>
        <v>. BARBAPAPA66</v>
      </c>
      <c r="E24" s="125" t="str">
        <f t="shared" si="2"/>
        <v/>
      </c>
      <c r="F24" s="120" t="str">
        <f>VLOOKUP(A24,'Classement Général'!$B$2:$B$146,1,0)</f>
        <v>. BARBAPAPA66</v>
      </c>
    </row>
    <row r="25" ht="14.25" customHeight="1">
      <c r="A25" s="118" t="str">
        <f>IFERROR(__xludf.DUMMYFUNCTION("""COMPUTED_VALUE"""),"GooodJooob")</f>
        <v>GooodJooob</v>
      </c>
      <c r="B25" s="103">
        <v>24.0</v>
      </c>
      <c r="C25" s="183">
        <f t="shared" si="1"/>
        <v>166.1906818</v>
      </c>
      <c r="D25" s="124" t="str">
        <f>VLOOKUP(A25,'Classement Surp'!$B$2:$B$149,1,0)</f>
        <v>GooodJooob</v>
      </c>
      <c r="E25" s="125" t="str">
        <f t="shared" si="2"/>
        <v/>
      </c>
      <c r="F25" s="120" t="str">
        <f>VLOOKUP(A25,'Classement Général'!$B$2:$B$146,1,0)</f>
        <v>GooodJooob</v>
      </c>
    </row>
    <row r="26" ht="14.25" customHeight="1">
      <c r="A26" s="118" t="str">
        <f>IFERROR(__xludf.DUMMYFUNCTION("""COMPUTED_VALUE"""),"chatouill86")</f>
        <v>chatouill86</v>
      </c>
      <c r="B26" s="103">
        <v>25.0</v>
      </c>
      <c r="C26" s="183">
        <f t="shared" si="1"/>
        <v>158.4105354</v>
      </c>
      <c r="D26" s="124" t="str">
        <f>VLOOKUP(A26,'Classement Surp'!$B$2:$B$149,1,0)</f>
        <v>chatouill86</v>
      </c>
      <c r="E26" s="125" t="str">
        <f t="shared" si="2"/>
        <v/>
      </c>
      <c r="F26" s="120" t="str">
        <f>VLOOKUP(A26,'Classement Général'!$B$2:$B$146,1,0)</f>
        <v>chatouill86</v>
      </c>
    </row>
    <row r="27" ht="14.25" customHeight="1">
      <c r="A27" s="118" t="str">
        <f>IFERROR(__xludf.DUMMYFUNCTION("""COMPUTED_VALUE"""),"Mar1desbois")</f>
        <v>Mar1desbois</v>
      </c>
      <c r="B27" s="103">
        <v>26.0</v>
      </c>
      <c r="C27" s="183">
        <f t="shared" si="1"/>
        <v>150.8316172</v>
      </c>
      <c r="D27" s="124" t="str">
        <f>VLOOKUP(A27,'Classement Surp'!$B$2:$B$149,1,0)</f>
        <v>Mar1desbois</v>
      </c>
      <c r="E27" s="125" t="str">
        <f t="shared" si="2"/>
        <v/>
      </c>
      <c r="F27" s="120" t="str">
        <f>VLOOKUP(A27,'Classement Général'!$B$2:$B$146,1,0)</f>
        <v>Mar1desbois</v>
      </c>
    </row>
    <row r="28" ht="14.25" customHeight="1">
      <c r="A28" s="118" t="str">
        <f>IFERROR(__xludf.DUMMYFUNCTION("""COMPUTED_VALUE"""),"sativaL")</f>
        <v>sativaL</v>
      </c>
      <c r="B28" s="103">
        <v>27.0</v>
      </c>
      <c r="C28" s="183">
        <f t="shared" si="1"/>
        <v>143.438593</v>
      </c>
      <c r="D28" s="124" t="str">
        <f>VLOOKUP(A28,'Classement Surp'!$B$2:$B$149,1,0)</f>
        <v>sativaL</v>
      </c>
      <c r="E28" s="125" t="str">
        <f t="shared" si="2"/>
        <v/>
      </c>
      <c r="F28" s="120" t="str">
        <f>VLOOKUP(A28,'Classement Général'!$B$2:$B$146,1,0)</f>
        <v>#N/A</v>
      </c>
    </row>
    <row r="29" ht="14.25" customHeight="1">
      <c r="A29" s="118" t="str">
        <f>IFERROR(__xludf.DUMMYFUNCTION("""COMPUTED_VALUE"""),"Sab86360")</f>
        <v>Sab86360</v>
      </c>
      <c r="B29" s="103">
        <v>28.0</v>
      </c>
      <c r="C29" s="183">
        <f t="shared" si="1"/>
        <v>136.2178571</v>
      </c>
      <c r="D29" s="124" t="str">
        <f>VLOOKUP(A29,'Classement Surp'!$B$2:$B$149,1,0)</f>
        <v>Sab86360</v>
      </c>
      <c r="E29" s="125" t="str">
        <f t="shared" si="2"/>
        <v/>
      </c>
      <c r="F29" s="120" t="str">
        <f>VLOOKUP(A29,'Classement Général'!$B$2:$B$146,1,0)</f>
        <v>Sab86360</v>
      </c>
    </row>
    <row r="30" ht="14.25" customHeight="1">
      <c r="A30" s="118" t="str">
        <f>IFERROR(__xludf.DUMMYFUNCTION("""COMPUTED_VALUE"""),"Manu8671")</f>
        <v>Manu8671</v>
      </c>
      <c r="B30" s="103">
        <v>29.0</v>
      </c>
      <c r="C30" s="183">
        <f t="shared" si="1"/>
        <v>129.157282</v>
      </c>
      <c r="D30" s="124" t="str">
        <f>VLOOKUP(A30,'Classement Surp'!$B$2:$B$149,1,0)</f>
        <v>Manu8671</v>
      </c>
      <c r="E30" s="125" t="str">
        <f t="shared" si="2"/>
        <v/>
      </c>
      <c r="F30" s="120" t="str">
        <f>VLOOKUP(A30,'Classement Général'!$B$2:$B$146,1,0)</f>
        <v>Manu8671</v>
      </c>
    </row>
    <row r="31" ht="14.25" customHeight="1">
      <c r="A31" s="118" t="str">
        <f>IFERROR(__xludf.DUMMYFUNCTION("""COMPUTED_VALUE"""),"Mikalack")</f>
        <v>Mikalack</v>
      </c>
      <c r="B31" s="103">
        <v>30.0</v>
      </c>
      <c r="C31" s="183">
        <f t="shared" si="1"/>
        <v>122.2460111</v>
      </c>
      <c r="D31" s="124" t="str">
        <f>VLOOKUP(A31,'Classement Surp'!$B$2:$B$149,1,0)</f>
        <v>Mikalack</v>
      </c>
      <c r="E31" s="125" t="str">
        <f t="shared" si="2"/>
        <v/>
      </c>
      <c r="F31" s="120" t="str">
        <f>VLOOKUP(A31,'Classement Général'!$B$2:$B$146,1,0)</f>
        <v>Mikalack</v>
      </c>
    </row>
    <row r="32" ht="14.25" customHeight="1">
      <c r="A32" s="118" t="str">
        <f>IFERROR(__xludf.DUMMYFUNCTION("""COMPUTED_VALUE"""),"Butterfly-as")</f>
        <v>Butterfly-as</v>
      </c>
      <c r="B32" s="103">
        <v>31.0</v>
      </c>
      <c r="C32" s="183">
        <f t="shared" si="1"/>
        <v>115.4742867</v>
      </c>
      <c r="D32" s="124" t="str">
        <f>VLOOKUP(A32,'Classement Surp'!$B$2:$B$149,1,0)</f>
        <v>Butterfly-as</v>
      </c>
      <c r="E32" s="125" t="str">
        <f t="shared" si="2"/>
        <v/>
      </c>
      <c r="F32" s="120" t="str">
        <f>VLOOKUP(A32,'Classement Général'!$B$2:$B$146,1,0)</f>
        <v>Butterfly-as</v>
      </c>
    </row>
    <row r="33" ht="14.25" customHeight="1">
      <c r="A33" s="118" t="str">
        <f>IFERROR(__xludf.DUMMYFUNCTION("""COMPUTED_VALUE"""),"fiodor86")</f>
        <v>fiodor86</v>
      </c>
      <c r="B33" s="103">
        <v>32.0</v>
      </c>
      <c r="C33" s="183">
        <f t="shared" si="1"/>
        <v>108.8333061</v>
      </c>
      <c r="D33" s="124" t="str">
        <f>VLOOKUP(A33,'Classement Surp'!$B$2:$B$149,1,0)</f>
        <v>fiodor86</v>
      </c>
      <c r="E33" s="125" t="str">
        <f t="shared" si="2"/>
        <v/>
      </c>
      <c r="F33" s="120" t="str">
        <f>VLOOKUP(A33,'Classement Général'!$B$2:$B$146,1,0)</f>
        <v>fiodor86</v>
      </c>
    </row>
    <row r="34" ht="14.25" customHeight="1">
      <c r="A34" s="118" t="str">
        <f>IFERROR(__xludf.DUMMYFUNCTION("""COMPUTED_VALUE"""),"PocketBike")</f>
        <v>PocketBike</v>
      </c>
      <c r="B34" s="103">
        <v>33.0</v>
      </c>
      <c r="C34" s="183">
        <f t="shared" si="1"/>
        <v>102.3151007</v>
      </c>
      <c r="D34" s="124" t="str">
        <f>VLOOKUP(A34,'Classement Surp'!$B$2:$B$149,1,0)</f>
        <v>PocketBike</v>
      </c>
      <c r="E34" s="125" t="str">
        <f t="shared" si="2"/>
        <v/>
      </c>
      <c r="F34" s="120" t="str">
        <f>VLOOKUP(A34,'Classement Général'!$B$2:$B$146,1,0)</f>
        <v>PocketBike</v>
      </c>
    </row>
    <row r="35" ht="14.25" customHeight="1">
      <c r="A35" s="118" t="str">
        <f>IFERROR(__xludf.DUMMYFUNCTION("""COMPUTED_VALUE"""),"QQkicall")</f>
        <v>QQkicall</v>
      </c>
      <c r="B35" s="103">
        <v>34.0</v>
      </c>
      <c r="C35" s="183">
        <f t="shared" si="1"/>
        <v>95.91243304</v>
      </c>
      <c r="D35" s="124" t="str">
        <f>VLOOKUP(A35,'Classement Surp'!$B$2:$B$149,1,0)</f>
        <v>QQKicall</v>
      </c>
      <c r="E35" s="125" t="str">
        <f t="shared" si="2"/>
        <v/>
      </c>
      <c r="F35" s="120" t="str">
        <f>VLOOKUP(A35,'Classement Général'!$B$2:$B$146,1,0)</f>
        <v>QQKicall</v>
      </c>
    </row>
    <row r="36" ht="14.25" customHeight="1">
      <c r="A36" s="118" t="str">
        <f>IFERROR(__xludf.DUMMYFUNCTION("""COMPUTED_VALUE"""),"8kinder6")</f>
        <v>8kinder6</v>
      </c>
      <c r="B36" s="103">
        <v>35.0</v>
      </c>
      <c r="C36" s="183">
        <f t="shared" si="1"/>
        <v>89.61870984</v>
      </c>
      <c r="D36" s="124" t="str">
        <f>VLOOKUP(A36,'Classement Surp'!$B$2:$B$149,1,0)</f>
        <v>8kinder6</v>
      </c>
      <c r="E36" s="125" t="str">
        <f t="shared" si="2"/>
        <v/>
      </c>
      <c r="F36" s="120" t="str">
        <f>VLOOKUP(A36,'Classement Général'!$B$2:$B$146,1,0)</f>
        <v>8kinder6</v>
      </c>
    </row>
    <row r="37" ht="14.25" customHeight="1">
      <c r="A37" s="118" t="str">
        <f>IFERROR(__xludf.DUMMYFUNCTION("""COMPUTED_VALUE"""),"Kevfurious")</f>
        <v>Kevfurious</v>
      </c>
      <c r="B37" s="103">
        <v>36.0</v>
      </c>
      <c r="C37" s="183">
        <f t="shared" si="1"/>
        <v>83.42790727</v>
      </c>
      <c r="D37" s="124" t="str">
        <f>VLOOKUP(A37,'Classement Surp'!$B$2:$B$149,1,0)</f>
        <v>Kevfurious</v>
      </c>
      <c r="E37" s="125" t="str">
        <f t="shared" si="2"/>
        <v/>
      </c>
      <c r="F37" s="120" t="str">
        <f>VLOOKUP(A37,'Classement Général'!$B$2:$B$146,1,0)</f>
        <v>Kevfurious</v>
      </c>
    </row>
    <row r="38" ht="14.25" customHeight="1">
      <c r="A38" s="118" t="str">
        <f>IFERROR(__xludf.DUMMYFUNCTION("""COMPUTED_VALUE"""),"FridAKahlo")</f>
        <v>FridAKahlo</v>
      </c>
      <c r="B38" s="103">
        <v>37.0</v>
      </c>
      <c r="C38" s="183">
        <f t="shared" si="1"/>
        <v>77.33450687</v>
      </c>
      <c r="D38" s="124" t="str">
        <f>VLOOKUP(A38,'Classement Surp'!$B$2:$B$149,1,0)</f>
        <v>FridAKahlo</v>
      </c>
      <c r="E38" s="125" t="str">
        <f t="shared" si="2"/>
        <v/>
      </c>
      <c r="F38" s="120" t="str">
        <f>VLOOKUP(A38,'Classement Général'!$B$2:$B$146,1,0)</f>
        <v>FridAKahlo</v>
      </c>
    </row>
    <row r="39" ht="14.25" customHeight="1">
      <c r="A39" s="118" t="str">
        <f>IFERROR(__xludf.DUMMYFUNCTION("""COMPUTED_VALUE"""),"Patgaret")</f>
        <v>Patgaret</v>
      </c>
      <c r="B39" s="103">
        <v>38.0</v>
      </c>
      <c r="C39" s="183">
        <f t="shared" si="1"/>
        <v>71.33344017</v>
      </c>
      <c r="D39" s="124" t="str">
        <f>VLOOKUP(A39,'Classement Surp'!$B$2:$B$149,1,0)</f>
        <v>Patgaret</v>
      </c>
      <c r="E39" s="125" t="str">
        <f t="shared" si="2"/>
        <v/>
      </c>
      <c r="F39" s="120" t="str">
        <f>VLOOKUP(A39,'Classement Général'!$B$2:$B$146,1,0)</f>
        <v>Patgaret</v>
      </c>
    </row>
    <row r="40" ht="14.25" customHeight="1">
      <c r="A40" s="118" t="str">
        <f>IFERROR(__xludf.DUMMYFUNCTION("""COMPUTED_VALUE"""),"Sixelaris")</f>
        <v>Sixelaris</v>
      </c>
      <c r="B40" s="103">
        <v>39.0</v>
      </c>
      <c r="C40" s="183">
        <f t="shared" si="1"/>
        <v>65.42004073</v>
      </c>
      <c r="D40" s="124" t="str">
        <f>VLOOKUP(A40,'Classement Surp'!$B$2:$B$149,1,0)</f>
        <v>Sixelaris</v>
      </c>
      <c r="E40" s="125" t="str">
        <f t="shared" si="2"/>
        <v/>
      </c>
      <c r="F40" s="120" t="str">
        <f>VLOOKUP(A40,'Classement Général'!$B$2:$B$146,1,0)</f>
        <v>#N/A</v>
      </c>
    </row>
    <row r="41" ht="14.25" customHeight="1">
      <c r="A41" s="118" t="str">
        <f>IFERROR(__xludf.DUMMYFUNCTION("""COMPUTED_VALUE"""),"Kantescino")</f>
        <v>Kantescino</v>
      </c>
      <c r="B41" s="103">
        <v>40.0</v>
      </c>
      <c r="C41" s="183">
        <f t="shared" si="1"/>
        <v>59.59000244</v>
      </c>
      <c r="D41" s="124" t="str">
        <f>VLOOKUP(A41,'Classement Surp'!$B$2:$B$149,1,0)</f>
        <v>Kantescino</v>
      </c>
      <c r="E41" s="125" t="str">
        <f t="shared" si="2"/>
        <v/>
      </c>
      <c r="F41" s="120" t="str">
        <f>VLOOKUP(A41,'Classement Général'!$B$2:$B$146,1,0)</f>
        <v>#N/A</v>
      </c>
    </row>
    <row r="42" ht="14.25" customHeight="1">
      <c r="A42" s="118" t="str">
        <f>IFERROR(__xludf.DUMMYFUNCTION("""COMPUTED_VALUE"""),"-BartMan-")</f>
        <v>-BartMan-</v>
      </c>
      <c r="B42" s="103">
        <v>41.0</v>
      </c>
      <c r="C42" s="183">
        <f t="shared" si="1"/>
        <v>53.83934302</v>
      </c>
      <c r="D42" s="124" t="str">
        <f>VLOOKUP(A42,'Classement Surp'!$B$2:$B$149,1,0)</f>
        <v>-BartMan-</v>
      </c>
      <c r="E42" s="125" t="str">
        <f t="shared" si="2"/>
        <v/>
      </c>
      <c r="F42" s="120" t="str">
        <f>VLOOKUP(A42,'Classement Général'!$B$2:$B$146,1,0)</f>
        <v>-bartman-</v>
      </c>
    </row>
    <row r="43" ht="14.25" customHeight="1">
      <c r="A43" s="118" t="str">
        <f>IFERROR(__xludf.DUMMYFUNCTION("""COMPUTED_VALUE"""),"ceeme86")</f>
        <v>ceeme86</v>
      </c>
      <c r="B43" s="103">
        <v>42.0</v>
      </c>
      <c r="C43" s="183">
        <f t="shared" si="1"/>
        <v>48.16437208</v>
      </c>
      <c r="D43" s="124" t="str">
        <f>VLOOKUP(A43,'Classement Surp'!$B$2:$B$149,1,0)</f>
        <v>ceeme86</v>
      </c>
      <c r="E43" s="125" t="str">
        <f t="shared" si="2"/>
        <v/>
      </c>
      <c r="F43" s="120" t="str">
        <f>VLOOKUP(A43,'Classement Général'!$B$2:$B$146,1,0)</f>
        <v>#N/A</v>
      </c>
    </row>
    <row r="44" ht="14.25" customHeight="1">
      <c r="A44" s="118" t="str">
        <f>IFERROR(__xludf.DUMMYFUNCTION("""COMPUTED_VALUE"""),"KamehamehAS")</f>
        <v>KamehamehAS</v>
      </c>
      <c r="B44" s="103">
        <v>43.0</v>
      </c>
      <c r="C44" s="183">
        <f t="shared" si="1"/>
        <v>42.56166303</v>
      </c>
      <c r="D44" s="124" t="str">
        <f>VLOOKUP(A44,'Classement Surp'!$B$2:$B$149,1,0)</f>
        <v>KamehamehAS</v>
      </c>
      <c r="E44" s="125" t="str">
        <f t="shared" si="2"/>
        <v/>
      </c>
      <c r="F44" s="120" t="str">
        <f>VLOOKUP(A44,'Classement Général'!$B$2:$B$146,1,0)</f>
        <v>KamehamehAS</v>
      </c>
    </row>
    <row r="45" ht="14.25" customHeight="1">
      <c r="A45" s="118" t="str">
        <f>IFERROR(__xludf.DUMMYFUNCTION("""COMPUTED_VALUE"""),"Modoriya")</f>
        <v>Modoriya</v>
      </c>
      <c r="B45" s="103">
        <v>44.0</v>
      </c>
      <c r="C45" s="183">
        <f t="shared" si="1"/>
        <v>37.02802828</v>
      </c>
      <c r="D45" s="124" t="str">
        <f>VLOOKUP(A45,'Classement Surp'!$B$2:$B$149,1,0)</f>
        <v>Modoriya</v>
      </c>
      <c r="E45" s="125" t="str">
        <f t="shared" si="2"/>
        <v/>
      </c>
      <c r="F45" s="120" t="str">
        <f>VLOOKUP(A45,'Classement Général'!$B$2:$B$146,1,0)</f>
        <v>Modoriya</v>
      </c>
    </row>
    <row r="46" ht="14.25" customHeight="1">
      <c r="A46" s="118" t="str">
        <f>IFERROR(__xludf.DUMMYFUNCTION("""COMPUTED_VALUE"""),"Kiki Bazaar")</f>
        <v>Kiki Bazaar</v>
      </c>
      <c r="B46" s="103">
        <v>45.0</v>
      </c>
      <c r="C46" s="183">
        <f t="shared" si="1"/>
        <v>31.5604973</v>
      </c>
      <c r="D46" s="124" t="str">
        <f>VLOOKUP(A46,'Classement Surp'!$B$2:$B$149,1,0)</f>
        <v>Kiki Bazaar</v>
      </c>
      <c r="E46" s="125" t="str">
        <f t="shared" si="2"/>
        <v/>
      </c>
      <c r="F46" s="120" t="str">
        <f>VLOOKUP(A46,'Classement Général'!$B$2:$B$146,1,0)</f>
        <v>Kiki Bazaar</v>
      </c>
    </row>
    <row r="47" ht="14.25" customHeight="1">
      <c r="A47" s="118" t="str">
        <f>IFERROR(__xludf.DUMMYFUNCTION("""COMPUTED_VALUE"""),"DonnesTchips")</f>
        <v>DonnesTchips</v>
      </c>
      <c r="B47" s="103">
        <v>46.0</v>
      </c>
      <c r="C47" s="183">
        <f t="shared" si="1"/>
        <v>26.15629714</v>
      </c>
      <c r="D47" s="124" t="str">
        <f>VLOOKUP(A47,'Classement Surp'!$B$2:$B$149,1,0)</f>
        <v>DonnesTchips</v>
      </c>
      <c r="E47" s="125" t="str">
        <f t="shared" si="2"/>
        <v/>
      </c>
      <c r="F47" s="120" t="str">
        <f>VLOOKUP(A47,'Classement Général'!$B$2:$B$146,1,0)</f>
        <v>DonnesTchips</v>
      </c>
    </row>
    <row r="48" ht="14.25" customHeight="1">
      <c r="A48" s="118" t="str">
        <f>IFERROR(__xludf.DUMMYFUNCTION("""COMPUTED_VALUE"""),"NezuKO-demon")</f>
        <v>NezuKO-demon</v>
      </c>
      <c r="B48" s="103">
        <v>47.0</v>
      </c>
      <c r="C48" s="183">
        <f t="shared" si="1"/>
        <v>20.81283507</v>
      </c>
      <c r="D48" s="124" t="str">
        <f>VLOOKUP(A48,'Classement Surp'!$B$2:$B$149,1,0)</f>
        <v>NezuKO-demon</v>
      </c>
      <c r="E48" s="125" t="str">
        <f t="shared" si="2"/>
        <v/>
      </c>
      <c r="F48" s="120" t="str">
        <f>VLOOKUP(A48,'Classement Général'!$B$2:$B$146,1,0)</f>
        <v>NezuKO-demon</v>
      </c>
    </row>
    <row r="49" ht="14.25" customHeight="1">
      <c r="A49" s="118" t="str">
        <f>IFERROR(__xludf.DUMMYFUNCTION("""COMPUTED_VALUE"""),"Legabodu86")</f>
        <v>Legabodu86</v>
      </c>
      <c r="B49" s="103">
        <v>48.0</v>
      </c>
      <c r="C49" s="183">
        <f t="shared" si="1"/>
        <v>15.52768318</v>
      </c>
      <c r="D49" s="124" t="str">
        <f>VLOOKUP(A49,'Classement Surp'!$B$2:$B$149,1,0)</f>
        <v>Legabodu86</v>
      </c>
      <c r="E49" s="125" t="str">
        <f t="shared" si="2"/>
        <v/>
      </c>
      <c r="F49" s="120" t="str">
        <f>VLOOKUP(A49,'Classement Général'!$B$2:$B$146,1,0)</f>
        <v>Legabodu86</v>
      </c>
    </row>
    <row r="50" ht="14.25" customHeight="1">
      <c r="A50" s="118" t="str">
        <f>IFERROR(__xludf.DUMMYFUNCTION("""COMPUTED_VALUE"""),"Gabus")</f>
        <v>Gabus</v>
      </c>
      <c r="B50" s="103">
        <v>49.0</v>
      </c>
      <c r="C50" s="183">
        <f t="shared" si="1"/>
        <v>10.29856446</v>
      </c>
      <c r="D50" s="124" t="str">
        <f>VLOOKUP(A50,'Classement Surp'!$B$2:$B$149,1,0)</f>
        <v>Gabus</v>
      </c>
      <c r="E50" s="125" t="str">
        <f t="shared" si="2"/>
        <v/>
      </c>
      <c r="F50" s="120" t="str">
        <f>VLOOKUP(A50,'Classement Général'!$B$2:$B$146,1,0)</f>
        <v>Gabus</v>
      </c>
    </row>
    <row r="51" ht="14.25" customHeight="1">
      <c r="A51" s="118" t="str">
        <f>IFERROR(__xludf.DUMMYFUNCTION("""COMPUTED_VALUE"""),"Mitch")</f>
        <v>Mitch</v>
      </c>
      <c r="B51" s="103">
        <v>50.0</v>
      </c>
      <c r="C51" s="183">
        <f t="shared" si="1"/>
        <v>5.123340435</v>
      </c>
      <c r="D51" s="124" t="str">
        <f>VLOOKUP(A51,'Classement Surp'!$B$2:$B$149,1,0)</f>
        <v>Mitch</v>
      </c>
      <c r="E51" s="125" t="str">
        <f t="shared" si="2"/>
        <v/>
      </c>
      <c r="F51" s="120" t="str">
        <f>VLOOKUP(A51,'Classement Général'!$B$2:$B$146,1,0)</f>
        <v>Mitch</v>
      </c>
    </row>
    <row r="52" ht="14.25" customHeight="1">
      <c r="A52" s="118"/>
      <c r="B52" s="103">
        <v>51.0</v>
      </c>
      <c r="C52" s="183">
        <f t="shared" si="1"/>
        <v>0</v>
      </c>
      <c r="D52" s="124" t="str">
        <f>VLOOKUP(A52,'Classement Surp'!$B$2:$B$149,1,0)</f>
        <v>#N/A</v>
      </c>
      <c r="E52" s="125" t="str">
        <f t="shared" si="2"/>
        <v>#N/A</v>
      </c>
      <c r="F52" s="120" t="str">
        <f>VLOOKUP(A52,'Classement Général'!$B$2:$B$146,1,0)</f>
        <v>#N/A</v>
      </c>
    </row>
    <row r="53" ht="14.25" customHeight="1">
      <c r="A53" s="118"/>
      <c r="B53" s="103">
        <v>52.0</v>
      </c>
      <c r="C53" s="183">
        <f t="shared" si="1"/>
        <v>-5.073350649</v>
      </c>
      <c r="D53" s="124" t="str">
        <f>VLOOKUP(A53,'Classement Surp'!$B$2:$B$149,1,0)</f>
        <v>#N/A</v>
      </c>
      <c r="E53" s="125" t="str">
        <f t="shared" si="2"/>
        <v>#N/A</v>
      </c>
      <c r="F53" s="120" t="str">
        <f>VLOOKUP(A53,'Classement Général'!$B$2:$B$146,1,0)</f>
        <v>#N/A</v>
      </c>
    </row>
    <row r="54" ht="14.25" customHeight="1">
      <c r="A54" s="118"/>
      <c r="B54" s="103">
        <v>53.0</v>
      </c>
      <c r="C54" s="183">
        <f t="shared" si="1"/>
        <v>-10.09849708</v>
      </c>
      <c r="D54" s="124" t="str">
        <f>VLOOKUP(A54,'Classement Surp'!$B$2:$B$149,1,0)</f>
        <v>#N/A</v>
      </c>
      <c r="E54" s="125" t="str">
        <f t="shared" si="2"/>
        <v>#N/A</v>
      </c>
      <c r="F54" s="120" t="str">
        <f>VLOOKUP(A54,'Classement Général'!$B$2:$B$146,1,0)</f>
        <v>#N/A</v>
      </c>
    </row>
    <row r="55" ht="14.25" customHeight="1">
      <c r="A55" s="118"/>
      <c r="B55" s="103">
        <v>54.0</v>
      </c>
      <c r="C55" s="183">
        <f t="shared" si="1"/>
        <v>-15.07712483</v>
      </c>
      <c r="D55" s="124" t="str">
        <f>VLOOKUP(A55,'Classement Surp'!$B$2:$B$149,1,0)</f>
        <v>#N/A</v>
      </c>
      <c r="E55" s="125" t="str">
        <f t="shared" si="2"/>
        <v>#N/A</v>
      </c>
      <c r="F55" s="120" t="str">
        <f>VLOOKUP(A55,'Classement Général'!$B$2:$B$146,1,0)</f>
        <v>#N/A</v>
      </c>
    </row>
    <row r="56" ht="14.25" customHeight="1">
      <c r="A56" s="118"/>
      <c r="B56" s="103">
        <v>55.0</v>
      </c>
      <c r="C56" s="183">
        <f t="shared" si="1"/>
        <v>-20.01082688</v>
      </c>
      <c r="D56" s="124" t="str">
        <f>VLOOKUP(A56,'Classement Surp'!$B$2:$B$149,1,0)</f>
        <v>#N/A</v>
      </c>
      <c r="E56" s="125" t="str">
        <f t="shared" si="2"/>
        <v>#N/A</v>
      </c>
      <c r="F56" s="120" t="str">
        <f>VLOOKUP(A56,'Classement Général'!$B$2:$B$146,1,0)</f>
        <v>#N/A</v>
      </c>
    </row>
    <row r="57" ht="14.25" customHeight="1">
      <c r="A57" s="118"/>
      <c r="B57" s="103">
        <v>56.0</v>
      </c>
      <c r="C57" s="183">
        <f t="shared" si="1"/>
        <v>-24.90111038</v>
      </c>
      <c r="D57" s="124" t="str">
        <f>VLOOKUP(A57,'Classement Surp'!$B$2:$B$149,1,0)</f>
        <v>#N/A</v>
      </c>
      <c r="E57" s="125" t="str">
        <f t="shared" si="2"/>
        <v>#N/A</v>
      </c>
      <c r="F57" s="120" t="str">
        <f>VLOOKUP(A57,'Classement Général'!$B$2:$B$146,1,0)</f>
        <v>#N/A</v>
      </c>
    </row>
    <row r="58" ht="14.25" customHeight="1">
      <c r="A58" s="118"/>
      <c r="B58" s="103">
        <v>57.0</v>
      </c>
      <c r="C58" s="183">
        <f t="shared" si="1"/>
        <v>-29.74940283</v>
      </c>
      <c r="D58" s="124" t="str">
        <f>VLOOKUP(A58,'Classement Surp'!$B$2:$B$149,1,0)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18"/>
      <c r="B59" s="103">
        <v>58.0</v>
      </c>
      <c r="C59" s="183">
        <f t="shared" si="1"/>
        <v>-34.55705765</v>
      </c>
      <c r="D59" s="124" t="str">
        <f>VLOOKUP(A59,'Classement Surp'!$B$2:$B$149,1,0)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18"/>
      <c r="B60" s="103">
        <v>59.0</v>
      </c>
      <c r="C60" s="183">
        <f t="shared" si="1"/>
        <v>-39.32535936</v>
      </c>
      <c r="D60" s="124" t="str">
        <f>VLOOKUP(A60,'Classement Surp'!$B$2:$B$149,1,0)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18"/>
      <c r="B61" s="103">
        <v>60.0</v>
      </c>
      <c r="C61" s="183">
        <f t="shared" si="1"/>
        <v>-44.05552822</v>
      </c>
      <c r="D61" s="124" t="str">
        <f>VLOOKUP(A61,'Classement Surp'!$B$2:$B$149,1,0)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18"/>
      <c r="B62" s="103">
        <v>61.0</v>
      </c>
      <c r="C62" s="183">
        <f t="shared" si="1"/>
        <v>-48.74872452</v>
      </c>
      <c r="D62" s="124" t="str">
        <f>VLOOKUP(A62,'Classement Surp'!$B$2:$B$149,1,0)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18"/>
      <c r="B63" s="103">
        <v>62.0</v>
      </c>
      <c r="C63" s="183">
        <f t="shared" si="1"/>
        <v>-53.40605254</v>
      </c>
      <c r="D63" s="124" t="str">
        <f>VLOOKUP(A63,'Classement Surp'!$B$2:$B$149,1,0)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18"/>
      <c r="B64" s="103">
        <v>63.0</v>
      </c>
      <c r="C64" s="183">
        <f t="shared" si="1"/>
        <v>-58.02856415</v>
      </c>
      <c r="D64" s="124" t="str">
        <f>VLOOKUP(A64,'Classement Surp'!$B$2:$B$149,1,0)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18"/>
      <c r="B65" s="103">
        <v>64.0</v>
      </c>
      <c r="C65" s="183">
        <f t="shared" si="1"/>
        <v>-62.61726214</v>
      </c>
      <c r="D65" s="124" t="str">
        <f>VLOOKUP(A65,'Classement Surp'!$B$2:$B$149,1,0)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18"/>
      <c r="B66" s="103">
        <v>65.0</v>
      </c>
      <c r="C66" s="183">
        <f t="shared" si="1"/>
        <v>-67.17310328</v>
      </c>
      <c r="D66" s="124" t="str">
        <f>VLOOKUP(A66,'Classement Surp'!$B$2:$B$149,1,0)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18"/>
      <c r="B67" s="103">
        <v>66.0</v>
      </c>
      <c r="C67" s="183">
        <f t="shared" si="1"/>
        <v>-71.69700117</v>
      </c>
      <c r="D67" s="124" t="str">
        <f>VLOOKUP(A67,'Classement Surp'!$B$2:$B$149,1,0)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18"/>
      <c r="B68" s="103">
        <v>67.0</v>
      </c>
      <c r="C68" s="183">
        <f t="shared" si="1"/>
        <v>-76.18982883</v>
      </c>
      <c r="D68" s="124" t="str">
        <f>VLOOKUP(A68,'Classement Surp'!$B$2:$B$149,1,0)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18"/>
      <c r="B69" s="103">
        <v>68.0</v>
      </c>
      <c r="C69" s="183">
        <f t="shared" si="1"/>
        <v>-80.65242112</v>
      </c>
      <c r="D69" s="124" t="str">
        <f>VLOOKUP(A69,'Classement Surp'!$B$2:$B$149,1,0)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18"/>
      <c r="B70" s="103">
        <v>69.0</v>
      </c>
      <c r="C70" s="183">
        <f t="shared" si="1"/>
        <v>-85.085577</v>
      </c>
      <c r="D70" s="124" t="str">
        <f>VLOOKUP(A70,'Classement Surp'!$B$2:$B$149,1,0)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18"/>
      <c r="B71" s="103">
        <v>70.0</v>
      </c>
      <c r="C71" s="183">
        <f t="shared" si="1"/>
        <v>-89.49006156</v>
      </c>
      <c r="D71" s="124" t="str">
        <f>VLOOKUP(A71,'Classement Surp'!$B$2:$B$149,1,0)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18"/>
      <c r="B72" s="103">
        <v>71.0</v>
      </c>
      <c r="C72" s="183">
        <f t="shared" si="1"/>
        <v>-93.86660801</v>
      </c>
      <c r="D72" s="124" t="str">
        <f>VLOOKUP(A72,'Classement Surp'!$B$2:$B$149,1,0)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18"/>
      <c r="B73" s="103">
        <v>72.0</v>
      </c>
      <c r="C73" s="183">
        <f t="shared" si="1"/>
        <v>-98.21591942</v>
      </c>
      <c r="D73" s="124" t="str">
        <f>VLOOKUP(A73,'Classement Surp'!$B$2:$B$149,1,0)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18"/>
      <c r="B74" s="103">
        <v>73.0</v>
      </c>
      <c r="C74" s="183">
        <f t="shared" si="1"/>
        <v>-102.5386704</v>
      </c>
      <c r="D74" s="124" t="str">
        <f>VLOOKUP(A74,'Classement Surp'!$B$2:$B$149,1,0)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18"/>
      <c r="B75" s="103">
        <v>74.0</v>
      </c>
      <c r="C75" s="183">
        <f t="shared" si="1"/>
        <v>-106.8355086</v>
      </c>
      <c r="D75" s="124" t="str">
        <f>VLOOKUP(A75,'Classement Surp'!$B$2:$B$149,1,0)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18"/>
      <c r="B76" s="103">
        <v>75.0</v>
      </c>
      <c r="C76" s="183">
        <f t="shared" si="1"/>
        <v>-111.1070564</v>
      </c>
      <c r="D76" s="124" t="str">
        <f>VLOOKUP(A76,'Classement Surp'!$B$2:$B$149,1,0)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18"/>
      <c r="B77" s="103">
        <v>76.0</v>
      </c>
      <c r="C77" s="183">
        <f t="shared" si="1"/>
        <v>-115.3539118</v>
      </c>
      <c r="D77" s="124" t="str">
        <f>VLOOKUP(A77,'Classement Surp'!$B$2:$B$149,1,0)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18"/>
      <c r="B78" s="103">
        <v>77.0</v>
      </c>
      <c r="C78" s="183">
        <f t="shared" si="1"/>
        <v>-119.5766501</v>
      </c>
      <c r="D78" s="124" t="str">
        <f>VLOOKUP(A78,'Classement Surp'!$B$2:$B$149,1,0)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18"/>
      <c r="B79" s="103">
        <v>78.0</v>
      </c>
      <c r="C79" s="183">
        <f t="shared" si="1"/>
        <v>-123.7758249</v>
      </c>
      <c r="D79" s="124" t="str">
        <f>VLOOKUP(A79,'Classement Surp'!$B$2:$B$149,1,0)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18"/>
      <c r="B80" s="103">
        <v>79.0</v>
      </c>
      <c r="C80" s="183">
        <f t="shared" si="1"/>
        <v>-127.9519693</v>
      </c>
      <c r="D80" s="124" t="str">
        <f>VLOOKUP(A80,'Classement Surp'!$B$2:$B$149,1,0)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18"/>
      <c r="B81" s="103">
        <v>80.0</v>
      </c>
      <c r="C81" s="183">
        <f t="shared" si="1"/>
        <v>-132.1055967</v>
      </c>
      <c r="D81" s="124" t="str">
        <f>VLOOKUP(A81,'Classement Surp'!$B$2:$B$149,1,0)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18"/>
      <c r="B82" s="103">
        <v>81.0</v>
      </c>
      <c r="C82" s="183">
        <f t="shared" si="1"/>
        <v>-136.2372021</v>
      </c>
      <c r="D82" s="124" t="str">
        <f>VLOOKUP(A82,'Classement Surp'!$B$2:$B$149,1,0)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18"/>
      <c r="B83" s="103">
        <v>82.0</v>
      </c>
      <c r="C83" s="183">
        <f t="shared" si="1"/>
        <v>-140.3472627</v>
      </c>
      <c r="D83" s="124" t="str">
        <f>VLOOKUP(A83,'Classement Surp'!$B$2:$B$149,1,0)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18"/>
      <c r="B84" s="103">
        <v>83.0</v>
      </c>
      <c r="C84" s="183">
        <f t="shared" si="1"/>
        <v>-144.436239</v>
      </c>
      <c r="D84" s="124" t="str">
        <f>VLOOKUP(A84,'Classement Surp'!$B$2:$B$149,1,0)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18"/>
      <c r="B85" s="103">
        <v>84.0</v>
      </c>
      <c r="C85" s="183">
        <f t="shared" si="1"/>
        <v>-148.5045754</v>
      </c>
      <c r="D85" s="124" t="str">
        <f>VLOOKUP(A85,'Classement Surp'!$B$2:$B$149,1,0)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18"/>
      <c r="B86" s="103">
        <v>85.0</v>
      </c>
      <c r="C86" s="183">
        <f t="shared" si="1"/>
        <v>-152.552701</v>
      </c>
      <c r="D86" s="124" t="str">
        <f>VLOOKUP(A86,'Classement Surp'!$B$2:$B$149,1,0)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18"/>
      <c r="B87" s="103">
        <v>86.0</v>
      </c>
      <c r="C87" s="183">
        <f t="shared" si="1"/>
        <v>-156.5810307</v>
      </c>
      <c r="D87" s="124" t="str">
        <f>VLOOKUP(A87,'Classement Surp'!$B$2:$B$149,1,0)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18"/>
      <c r="B88" s="103">
        <v>87.0</v>
      </c>
      <c r="C88" s="183">
        <f t="shared" si="1"/>
        <v>-160.589965</v>
      </c>
      <c r="D88" s="124" t="str">
        <f>VLOOKUP(A88,'Classement Surp'!$B$2:$B$149,1,0)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18"/>
      <c r="B89" s="103">
        <v>88.0</v>
      </c>
      <c r="C89" s="183">
        <f t="shared" si="1"/>
        <v>-164.5798916</v>
      </c>
      <c r="D89" s="124" t="str">
        <f>VLOOKUP(A89,'Classement Surp'!$B$2:$B$149,1,0)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18"/>
      <c r="B90" s="103">
        <v>89.0</v>
      </c>
      <c r="C90" s="183">
        <f t="shared" si="1"/>
        <v>-168.5511853</v>
      </c>
      <c r="D90" s="124" t="str">
        <f>VLOOKUP(A90,'Classement Surp'!$B$2:$B$149,1,0)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18"/>
      <c r="B91" s="103">
        <v>90.0</v>
      </c>
      <c r="C91" s="183">
        <f t="shared" si="1"/>
        <v>-172.5042088</v>
      </c>
      <c r="D91" s="124" t="str">
        <f>VLOOKUP(A91,'Classement Surp'!$B$2:$B$149,1,0)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18"/>
      <c r="B92" s="103">
        <v>91.0</v>
      </c>
      <c r="C92" s="183">
        <f t="shared" si="1"/>
        <v>-176.4393134</v>
      </c>
      <c r="D92" s="124" t="str">
        <f>VLOOKUP(A92,'Classement Surp'!$B$2:$B$149,1,0)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18"/>
      <c r="B93" s="103">
        <v>92.0</v>
      </c>
      <c r="C93" s="183">
        <f t="shared" si="1"/>
        <v>-180.3568393</v>
      </c>
      <c r="D93" s="124" t="str">
        <f>VLOOKUP(A93,'Classement Surp'!$B$2:$B$149,1,0)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18"/>
      <c r="B94" s="103">
        <v>93.0</v>
      </c>
      <c r="C94" s="183">
        <f t="shared" si="1"/>
        <v>-184.2571159</v>
      </c>
      <c r="D94" s="124" t="str">
        <f>VLOOKUP(A94,'Classement Surp'!$B$2:$B$149,1,0)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18"/>
      <c r="B95" s="103">
        <v>94.0</v>
      </c>
      <c r="C95" s="183">
        <f t="shared" si="1"/>
        <v>-188.1404628</v>
      </c>
      <c r="D95" s="124" t="str">
        <f>VLOOKUP(A95,'Classement Surp'!$B$2:$B$149,1,0)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18"/>
      <c r="B96" s="103">
        <v>95.0</v>
      </c>
      <c r="C96" s="183">
        <f t="shared" si="1"/>
        <v>-192.0071897</v>
      </c>
      <c r="D96" s="124" t="str">
        <f>VLOOKUP(A96,'Classement Surp'!$B$2:$B$149,1,0)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18"/>
      <c r="B97" s="103">
        <v>96.0</v>
      </c>
      <c r="C97" s="183">
        <f t="shared" si="1"/>
        <v>-195.8575968</v>
      </c>
      <c r="D97" s="124" t="str">
        <f>VLOOKUP(A97,'Classement Surp'!$B$2:$B$149,1,0)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18"/>
      <c r="B98" s="103">
        <v>97.0</v>
      </c>
      <c r="C98" s="183">
        <f t="shared" si="1"/>
        <v>-199.6919758</v>
      </c>
      <c r="D98" s="124" t="str">
        <f>VLOOKUP(A98,'Classement Surp'!$B$2:$B$149,1,0)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18"/>
      <c r="B99" s="103">
        <v>98.0</v>
      </c>
      <c r="C99" s="183">
        <f t="shared" si="1"/>
        <v>-203.5106095</v>
      </c>
      <c r="D99" s="124" t="str">
        <f>VLOOKUP(A99,'Classement Surp'!$B$2:$B$149,1,0)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18"/>
      <c r="B100" s="103">
        <v>99.0</v>
      </c>
      <c r="C100" s="183">
        <f t="shared" si="1"/>
        <v>-207.3137725</v>
      </c>
      <c r="D100" s="124" t="str">
        <f>VLOOKUP(A100,'Classement Surp'!$B$2:$B$149,1,0)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18"/>
      <c r="B101" s="103">
        <v>100.0</v>
      </c>
      <c r="C101" s="183">
        <f t="shared" si="1"/>
        <v>-211.1017317</v>
      </c>
      <c r="D101" s="124" t="str">
        <f>VLOOKUP(A101,'Classement Surp'!$B$2:$B$149,1,0)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18"/>
      <c r="B102" s="103">
        <v>101.0</v>
      </c>
      <c r="C102" s="183">
        <f t="shared" si="1"/>
        <v>-214.8747462</v>
      </c>
      <c r="D102" s="124" t="str">
        <f>VLOOKUP(A102,'Classement Surp'!$B$2:$B$149,1,0)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18"/>
      <c r="B103" s="103">
        <v>102.0</v>
      </c>
      <c r="C103" s="183">
        <f t="shared" si="1"/>
        <v>-218.633068</v>
      </c>
      <c r="D103" s="124" t="str">
        <f>VLOOKUP(A103,'Classement Surp'!$B$2:$B$149,1,0)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18"/>
      <c r="B104" s="103">
        <v>103.0</v>
      </c>
      <c r="C104" s="183">
        <f t="shared" si="1"/>
        <v>-222.3769418</v>
      </c>
      <c r="D104" s="124" t="str">
        <f>VLOOKUP(A104,'Classement Surp'!$B$2:$B$149,1,0)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18"/>
      <c r="B105" s="103">
        <v>104.0</v>
      </c>
      <c r="C105" s="183">
        <f t="shared" si="1"/>
        <v>-226.1066058</v>
      </c>
      <c r="D105" s="124" t="str">
        <f>VLOOKUP(A105,'Classement Surp'!$B$2:$B$149,1,0)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18"/>
      <c r="B106" s="103">
        <v>105.0</v>
      </c>
      <c r="C106" s="183">
        <f t="shared" si="1"/>
        <v>-229.8222917</v>
      </c>
      <c r="D106" s="124" t="str">
        <f>VLOOKUP(A106,'Classement Surp'!$B$2:$B$149,1,0)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18"/>
      <c r="B107" s="103">
        <v>106.0</v>
      </c>
      <c r="C107" s="183">
        <f t="shared" si="1"/>
        <v>-233.5242248</v>
      </c>
      <c r="D107" s="124" t="str">
        <f>VLOOKUP(A107,'Classement Surp'!$B$2:$B$149,1,0)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18"/>
      <c r="B108" s="103">
        <v>107.0</v>
      </c>
      <c r="C108" s="183">
        <f t="shared" si="1"/>
        <v>-237.2126245</v>
      </c>
      <c r="D108" s="124" t="str">
        <f>VLOOKUP(A108,'Classement Surp'!$B$2:$B$149,1,0)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18"/>
      <c r="B109" s="103">
        <v>108.0</v>
      </c>
      <c r="C109" s="183">
        <f t="shared" si="1"/>
        <v>-240.8877043</v>
      </c>
      <c r="D109" s="124" t="str">
        <f>VLOOKUP(A109,'Classement Surp'!$B$2:$B$149,1,0)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18"/>
      <c r="B110" s="103">
        <v>109.0</v>
      </c>
      <c r="C110" s="183">
        <f t="shared" si="1"/>
        <v>-244.5496722</v>
      </c>
      <c r="D110" s="124" t="str">
        <f>VLOOKUP(A110,'Classement Surp'!$B$2:$B$149,1,0)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18"/>
      <c r="B111" s="103">
        <v>110.0</v>
      </c>
      <c r="C111" s="183">
        <f t="shared" si="1"/>
        <v>-248.1987307</v>
      </c>
      <c r="D111" s="124" t="str">
        <f>VLOOKUP(A111,'Classement Surp'!$B$2:$B$149,1,0)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18"/>
      <c r="B112" s="103">
        <v>111.0</v>
      </c>
      <c r="C112" s="183">
        <f t="shared" si="1"/>
        <v>-251.8350774</v>
      </c>
      <c r="D112" s="124" t="str">
        <f>VLOOKUP(A112,'Classement Surp'!$B$2:$B$149,1,0)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18"/>
      <c r="B113" s="103">
        <v>112.0</v>
      </c>
      <c r="C113" s="183">
        <f t="shared" si="1"/>
        <v>-255.4589044</v>
      </c>
      <c r="D113" s="124" t="str">
        <f>VLOOKUP(A113,'Classement Surp'!$B$2:$B$149,1,0)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18"/>
      <c r="B114" s="103">
        <v>113.0</v>
      </c>
      <c r="C114" s="183">
        <f t="shared" si="1"/>
        <v>-259.0703993</v>
      </c>
      <c r="D114" s="124" t="str">
        <f>VLOOKUP(A114,'Classement Surp'!$B$2:$B$149,1,0)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18"/>
      <c r="B115" s="103">
        <v>114.0</v>
      </c>
      <c r="C115" s="183">
        <f t="shared" si="1"/>
        <v>-262.669745</v>
      </c>
      <c r="D115" s="124" t="str">
        <f>VLOOKUP(A115,'Classement Surp'!$B$2:$B$149,1,0)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18"/>
      <c r="B116" s="103">
        <v>115.0</v>
      </c>
      <c r="C116" s="183">
        <f t="shared" si="1"/>
        <v>-266.2571198</v>
      </c>
      <c r="D116" s="124" t="str">
        <f>VLOOKUP(A116,'Classement Surp'!$B$2:$B$149,1,0)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18"/>
      <c r="B117" s="103">
        <v>116.0</v>
      </c>
      <c r="C117" s="183">
        <f t="shared" si="1"/>
        <v>-269.8326976</v>
      </c>
      <c r="D117" s="124" t="str">
        <f>VLOOKUP(A117,'Classement Surp'!$B$2:$B$149,1,0)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18"/>
      <c r="B118" s="103">
        <v>117.0</v>
      </c>
      <c r="C118" s="183">
        <f t="shared" si="1"/>
        <v>-273.3966483</v>
      </c>
      <c r="D118" s="124" t="str">
        <f>VLOOKUP(A118,'Classement Surp'!$B$2:$B$149,1,0)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18"/>
      <c r="B119" s="103">
        <v>118.0</v>
      </c>
      <c r="C119" s="183">
        <f t="shared" si="1"/>
        <v>-276.9491374</v>
      </c>
      <c r="D119" s="124" t="str">
        <f>VLOOKUP(A119,'Classement Surp'!$B$2:$B$149,1,0)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18"/>
      <c r="B120" s="103">
        <v>119.0</v>
      </c>
      <c r="C120" s="183">
        <f t="shared" si="1"/>
        <v>-280.4903267</v>
      </c>
      <c r="D120" s="124" t="str">
        <f>VLOOKUP(A120,'Classement Surp'!$B$2:$B$149,1,0)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18"/>
      <c r="B121" s="103">
        <v>120.0</v>
      </c>
      <c r="C121" s="183">
        <f t="shared" si="1"/>
        <v>-284.0203741</v>
      </c>
      <c r="D121" s="124" t="str">
        <f>VLOOKUP(A121,'Classement Surp'!$B$2:$B$149,1,0)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18"/>
      <c r="B122" s="103">
        <v>121.0</v>
      </c>
      <c r="C122" s="183">
        <f t="shared" si="1"/>
        <v>-287.5394339</v>
      </c>
      <c r="D122" s="124" t="str">
        <f>VLOOKUP(A122,'Classement Surp'!$B$2:$B$149,1,0)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18"/>
      <c r="B123" s="103">
        <v>122.0</v>
      </c>
      <c r="C123" s="183">
        <f t="shared" si="1"/>
        <v>-291.0476567</v>
      </c>
      <c r="D123" s="124" t="str">
        <f>VLOOKUP(A123,'Classement Surp'!$B$2:$B$149,1,0)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18"/>
      <c r="B124" s="103">
        <v>123.0</v>
      </c>
      <c r="C124" s="183">
        <f t="shared" si="1"/>
        <v>-294.5451896</v>
      </c>
      <c r="D124" s="124" t="str">
        <f>VLOOKUP(A124,'Classement Surp'!$B$2:$B$149,1,0)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18"/>
      <c r="B125" s="103">
        <v>124.0</v>
      </c>
      <c r="C125" s="183">
        <f t="shared" si="1"/>
        <v>-298.0321767</v>
      </c>
      <c r="D125" s="124" t="str">
        <f>VLOOKUP(A125,'Classement Surp'!$B$2:$B$149,1,0)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18"/>
      <c r="B126" s="103">
        <v>125.0</v>
      </c>
      <c r="C126" s="183">
        <f t="shared" si="1"/>
        <v>-301.5087585</v>
      </c>
      <c r="D126" s="124" t="str">
        <f>VLOOKUP(A126,'Classement Surp'!$B$2:$B$149,1,0)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18"/>
      <c r="B127" s="103">
        <v>126.0</v>
      </c>
      <c r="C127" s="183">
        <f t="shared" si="1"/>
        <v>-304.9750724</v>
      </c>
      <c r="D127" s="124" t="str">
        <f>VLOOKUP(A127,'Classement Surp'!$B$2:$B$149,1,0)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18"/>
      <c r="B128" s="103">
        <v>127.0</v>
      </c>
      <c r="C128" s="183">
        <f t="shared" si="1"/>
        <v>-308.4312528</v>
      </c>
      <c r="D128" s="124" t="str">
        <f>VLOOKUP(A128,'Classement Surp'!$B$2:$B$149,1,0)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18"/>
      <c r="B129" s="103">
        <v>128.0</v>
      </c>
      <c r="C129" s="183">
        <f t="shared" si="1"/>
        <v>-311.8774313</v>
      </c>
      <c r="D129" s="124" t="str">
        <f>VLOOKUP(A129,'Classement Surp'!$B$2:$B$149,1,0)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18"/>
      <c r="B130" s="103">
        <v>129.0</v>
      </c>
      <c r="C130" s="183">
        <f t="shared" si="1"/>
        <v>-315.3137365</v>
      </c>
      <c r="D130" s="124" t="str">
        <f>VLOOKUP(A130,'Classement Surp'!$B$2:$B$149,1,0)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18"/>
      <c r="B131" s="103">
        <v>130.0</v>
      </c>
      <c r="C131" s="183">
        <f t="shared" si="1"/>
        <v>-318.7402942</v>
      </c>
      <c r="D131" s="124" t="str">
        <f>VLOOKUP(A131,'Classement Surp'!$B$2:$B$149,1,0)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18"/>
      <c r="B132" s="103">
        <v>131.0</v>
      </c>
      <c r="C132" s="183">
        <f t="shared" si="1"/>
        <v>-322.1572274</v>
      </c>
      <c r="D132" s="124" t="str">
        <f>VLOOKUP(A132,'Classement Surp'!$B$2:$B$149,1,0)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18"/>
      <c r="B133" s="103">
        <v>132.0</v>
      </c>
      <c r="C133" s="183">
        <f t="shared" si="1"/>
        <v>-325.5646569</v>
      </c>
      <c r="D133" s="124" t="str">
        <f>VLOOKUP(A133,'Classement Surp'!$B$2:$B$149,1,0)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18"/>
      <c r="B134" s="103">
        <v>133.0</v>
      </c>
      <c r="C134" s="183">
        <f t="shared" si="1"/>
        <v>-328.9627004</v>
      </c>
      <c r="D134" s="124" t="str">
        <f>VLOOKUP(A134,'Classement Surp'!$B$2:$B$149,1,0)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18"/>
      <c r="B135" s="103">
        <v>134.0</v>
      </c>
      <c r="C135" s="183">
        <f t="shared" si="1"/>
        <v>-332.3514736</v>
      </c>
      <c r="D135" s="124" t="str">
        <f>VLOOKUP(A135,'Classement Surp'!$B$2:$B$149,1,0)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18"/>
      <c r="B136" s="103">
        <v>135.0</v>
      </c>
      <c r="C136" s="183">
        <f t="shared" si="1"/>
        <v>-335.7310895</v>
      </c>
      <c r="D136" s="124" t="str">
        <f>VLOOKUP(A136,'Classement Surp'!$B$2:$B$149,1,0)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18"/>
      <c r="B137" s="103">
        <v>136.0</v>
      </c>
      <c r="C137" s="183">
        <f t="shared" si="1"/>
        <v>-339.101659</v>
      </c>
      <c r="D137" s="124" t="str">
        <f>VLOOKUP(A137,'Classement Surp'!$B$2:$B$149,1,0)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18"/>
      <c r="B138" s="103">
        <v>137.0</v>
      </c>
      <c r="C138" s="183">
        <f t="shared" si="1"/>
        <v>-342.4632906</v>
      </c>
      <c r="D138" s="124" t="str">
        <f>VLOOKUP(A138,'Classement Surp'!$B$2:$B$149,1,0)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18"/>
      <c r="B139" s="103">
        <v>138.0</v>
      </c>
      <c r="C139" s="183">
        <f t="shared" si="1"/>
        <v>-345.8160907</v>
      </c>
      <c r="D139" s="124" t="str">
        <f>VLOOKUP(A139,'Classement Surp'!$B$2:$B$149,1,0)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18"/>
      <c r="B140" s="103">
        <v>139.0</v>
      </c>
      <c r="C140" s="183">
        <f t="shared" si="1"/>
        <v>-349.1601633</v>
      </c>
      <c r="D140" s="124" t="str">
        <f>VLOOKUP(A140,'Classement Surp'!$B$2:$B$149,1,0)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18"/>
      <c r="B141" s="103">
        <v>140.0</v>
      </c>
      <c r="C141" s="183">
        <f t="shared" si="1"/>
        <v>-352.4956108</v>
      </c>
      <c r="D141" s="124" t="str">
        <f>VLOOKUP(A141,'Classement Surp'!$B$2:$B$149,1,0)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18"/>
      <c r="B142" s="103">
        <v>141.0</v>
      </c>
      <c r="C142" s="183">
        <f t="shared" si="1"/>
        <v>-355.8225332</v>
      </c>
      <c r="D142" s="124" t="str">
        <f>VLOOKUP(A142,'Classement Surp'!$B$2:$B$149,1,0)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18"/>
      <c r="B143" s="103">
        <v>142.0</v>
      </c>
      <c r="C143" s="183">
        <f t="shared" si="1"/>
        <v>-359.1410286</v>
      </c>
      <c r="D143" s="124" t="str">
        <f>VLOOKUP(A143,'Classement Surp'!$B$2:$B$149,1,0)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18"/>
      <c r="B144" s="103">
        <v>143.0</v>
      </c>
      <c r="C144" s="183">
        <f t="shared" si="1"/>
        <v>-362.4511933</v>
      </c>
      <c r="D144" s="124" t="str">
        <f>VLOOKUP(A144,'Classement Surp'!$B$2:$B$149,1,0)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18"/>
      <c r="B145" s="103">
        <v>144.0</v>
      </c>
      <c r="C145" s="183">
        <f t="shared" si="1"/>
        <v>-365.7531216</v>
      </c>
      <c r="D145" s="124" t="str">
        <f>VLOOKUP(A145,'Classement Surp'!$B$2:$B$149,1,0)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18"/>
      <c r="B146" s="103">
        <v>145.0</v>
      </c>
      <c r="C146" s="183">
        <f t="shared" si="1"/>
        <v>-369.0469062</v>
      </c>
      <c r="D146" s="124" t="str">
        <f>VLOOKUP(A146,'Classement Surp'!$B$2:$B$149,1,0)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18"/>
      <c r="B147" s="103">
        <v>146.0</v>
      </c>
      <c r="C147" s="183">
        <f t="shared" si="1"/>
        <v>-372.3326379</v>
      </c>
      <c r="D147" s="124" t="str">
        <f>VLOOKUP(A147,'Classement Surp'!$B$2:$B$149,1,0)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18"/>
      <c r="B148" s="103">
        <v>147.0</v>
      </c>
      <c r="C148" s="183">
        <f t="shared" si="1"/>
        <v>-375.6104057</v>
      </c>
      <c r="D148" s="124" t="str">
        <f>VLOOKUP(A148,'Classement Surp'!$B$2:$B$149,1,0)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18"/>
      <c r="B149" s="103">
        <v>148.0</v>
      </c>
      <c r="C149" s="183">
        <f t="shared" si="1"/>
        <v>-378.8802971</v>
      </c>
      <c r="D149" s="124" t="str">
        <f>VLOOKUP(A149,'Classement Surp'!$B$2:$B$149,1,0)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18"/>
      <c r="B150" s="103">
        <v>149.0</v>
      </c>
      <c r="C150" s="183">
        <f t="shared" si="1"/>
        <v>-382.142398</v>
      </c>
      <c r="D150" s="124" t="str">
        <f>VLOOKUP(A150,'Classement Surp'!$B$2:$B$149,1,0)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18"/>
      <c r="B151" s="103">
        <v>150.0</v>
      </c>
      <c r="C151" s="183">
        <f t="shared" si="1"/>
        <v>-385.3967924</v>
      </c>
      <c r="D151" s="124" t="str">
        <f>VLOOKUP(A151,'Classement Surp'!$B$2:$B$149,1,0)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18"/>
      <c r="B152" s="103">
        <v>151.0</v>
      </c>
      <c r="C152" s="183">
        <f t="shared" si="1"/>
        <v>-388.6435631</v>
      </c>
      <c r="D152" s="124" t="str">
        <f>VLOOKUP(A152,'Classement Surp'!$B$2:$B$149,1,0)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18"/>
      <c r="B153" s="103">
        <v>152.0</v>
      </c>
      <c r="C153" s="183">
        <f t="shared" si="1"/>
        <v>-391.8827912</v>
      </c>
      <c r="D153" s="124" t="str">
        <f>VLOOKUP(A153,'Classement Surp'!$B$2:$B$149,1,0)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18"/>
      <c r="B154" s="103">
        <v>153.0</v>
      </c>
      <c r="C154" s="183">
        <f t="shared" si="1"/>
        <v>-395.1145565</v>
      </c>
      <c r="D154" s="124" t="str">
        <f>VLOOKUP(A154,'Classement Surp'!$B$2:$B$149,1,0)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18"/>
      <c r="B155" s="103">
        <v>154.0</v>
      </c>
      <c r="C155" s="183">
        <f t="shared" si="1"/>
        <v>-398.3389373</v>
      </c>
      <c r="D155" s="124" t="str">
        <f>VLOOKUP(A155,'Classement Surp'!$B$2:$B$149,1,0)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18"/>
      <c r="B156" s="103">
        <v>155.0</v>
      </c>
      <c r="C156" s="183">
        <f t="shared" si="1"/>
        <v>-401.5560103</v>
      </c>
      <c r="D156" s="124" t="str">
        <f>VLOOKUP(A156,'Classement Surp'!$B$2:$B$149,1,0)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18"/>
      <c r="B157" s="103">
        <v>156.0</v>
      </c>
      <c r="C157" s="183">
        <f t="shared" si="1"/>
        <v>-404.7658512</v>
      </c>
      <c r="D157" s="124" t="str">
        <f>VLOOKUP(A157,'Classement Surp'!$B$2:$B$149,1,0)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18"/>
      <c r="B158" s="103">
        <v>157.0</v>
      </c>
      <c r="C158" s="183">
        <f t="shared" si="1"/>
        <v>-407.9685341</v>
      </c>
      <c r="D158" s="124" t="str">
        <f>VLOOKUP(A158,'Classement Surp'!$B$2:$B$149,1,0)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18"/>
      <c r="B159" s="103">
        <v>158.0</v>
      </c>
      <c r="C159" s="183">
        <f t="shared" si="1"/>
        <v>-411.164132</v>
      </c>
      <c r="D159" s="124" t="str">
        <f>VLOOKUP(A159,'Classement Surp'!$B$2:$B$149,1,0)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18"/>
      <c r="B160" s="103">
        <v>159.0</v>
      </c>
      <c r="C160" s="183">
        <f t="shared" si="1"/>
        <v>-414.3527164</v>
      </c>
      <c r="D160" s="124" t="str">
        <f>VLOOKUP(A160,'Classement Surp'!$B$2:$B$149,1,0)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84"/>
      <c r="B161" s="185">
        <v>160.0</v>
      </c>
      <c r="C161" s="186">
        <f t="shared" si="1"/>
        <v>-417.5343577</v>
      </c>
      <c r="D161" s="124" t="str">
        <f>VLOOKUP(A161,'Classement Surp'!$B$2:$B$149,1,0)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A162" s="187"/>
      <c r="B162" s="128"/>
    </row>
    <row r="163" ht="14.25" customHeight="1">
      <c r="A163" s="187"/>
      <c r="B163" s="128"/>
    </row>
    <row r="164" ht="14.25" customHeight="1">
      <c r="A164" s="187"/>
      <c r="B164" s="128"/>
    </row>
    <row r="165" ht="14.25" customHeight="1">
      <c r="A165" s="187"/>
      <c r="B165" s="128"/>
    </row>
    <row r="166" ht="14.25" customHeight="1">
      <c r="A166" s="187"/>
      <c r="B166" s="128"/>
    </row>
    <row r="167" ht="14.25" customHeight="1">
      <c r="A167" s="187"/>
      <c r="B167" s="128"/>
    </row>
    <row r="168" ht="14.25" customHeight="1">
      <c r="A168" s="187"/>
      <c r="B168" s="128"/>
    </row>
    <row r="169" ht="14.25" customHeight="1">
      <c r="A169" s="187"/>
      <c r="B169" s="128"/>
    </row>
    <row r="170" ht="14.25" customHeight="1">
      <c r="A170" s="187"/>
      <c r="B170" s="128"/>
    </row>
    <row r="171" ht="14.25" customHeight="1">
      <c r="A171" s="187"/>
      <c r="B171" s="128"/>
    </row>
    <row r="172" ht="14.25" customHeight="1">
      <c r="A172" s="187"/>
      <c r="B172" s="128"/>
    </row>
    <row r="173" ht="14.25" customHeight="1">
      <c r="A173" s="187"/>
      <c r="B173" s="128"/>
    </row>
    <row r="174" ht="14.25" customHeight="1">
      <c r="A174" s="187"/>
      <c r="B174" s="128"/>
    </row>
    <row r="175" ht="14.25" customHeight="1">
      <c r="A175" s="187"/>
      <c r="B175" s="128"/>
    </row>
    <row r="176" ht="14.25" customHeight="1">
      <c r="A176" s="187"/>
      <c r="B176" s="128"/>
    </row>
    <row r="177" ht="14.25" customHeight="1">
      <c r="A177" s="187"/>
      <c r="B177" s="128"/>
    </row>
    <row r="178" ht="14.25" customHeight="1">
      <c r="A178" s="187"/>
      <c r="B178" s="128"/>
    </row>
    <row r="179" ht="14.25" customHeight="1">
      <c r="A179" s="187"/>
      <c r="B179" s="128"/>
    </row>
    <row r="180" ht="14.25" customHeight="1">
      <c r="A180" s="187"/>
      <c r="B180" s="128"/>
    </row>
    <row r="181" ht="14.25" customHeight="1">
      <c r="A181" s="187"/>
      <c r="B181" s="128"/>
    </row>
    <row r="182" ht="14.25" customHeight="1">
      <c r="A182" s="187"/>
      <c r="B182" s="128"/>
    </row>
    <row r="183" ht="14.25" customHeight="1">
      <c r="A183" s="187"/>
      <c r="B183" s="128"/>
    </row>
    <row r="184" ht="14.25" customHeight="1">
      <c r="A184" s="187"/>
      <c r="B184" s="128"/>
    </row>
    <row r="185" ht="14.25" customHeight="1">
      <c r="A185" s="187"/>
      <c r="B185" s="128"/>
    </row>
    <row r="186" ht="14.25" customHeight="1">
      <c r="A186" s="187"/>
      <c r="B186" s="128"/>
    </row>
    <row r="187" ht="14.25" customHeight="1">
      <c r="A187" s="187"/>
      <c r="B187" s="128"/>
    </row>
    <row r="188" ht="14.25" customHeight="1">
      <c r="A188" s="187"/>
      <c r="B188" s="128"/>
    </row>
    <row r="189" ht="14.25" customHeight="1">
      <c r="A189" s="187"/>
      <c r="B189" s="128"/>
    </row>
    <row r="190" ht="14.25" customHeight="1">
      <c r="A190" s="187"/>
      <c r="B190" s="128"/>
    </row>
    <row r="191" ht="14.25" customHeight="1">
      <c r="A191" s="187"/>
      <c r="B191" s="128"/>
    </row>
    <row r="192" ht="14.25" customHeight="1">
      <c r="A192" s="187"/>
      <c r="B192" s="128"/>
    </row>
    <row r="193" ht="14.25" customHeight="1">
      <c r="A193" s="187"/>
      <c r="B193" s="128"/>
    </row>
    <row r="194" ht="14.25" customHeight="1">
      <c r="A194" s="187"/>
      <c r="B194" s="128"/>
    </row>
    <row r="195" ht="14.25" customHeight="1">
      <c r="A195" s="187"/>
      <c r="B195" s="128"/>
    </row>
    <row r="196" ht="14.25" customHeight="1">
      <c r="A196" s="187"/>
      <c r="B196" s="128"/>
    </row>
    <row r="197" ht="14.25" customHeight="1">
      <c r="A197" s="187"/>
      <c r="B197" s="128"/>
    </row>
    <row r="198" ht="14.25" customHeight="1">
      <c r="A198" s="187"/>
      <c r="B198" s="128"/>
    </row>
    <row r="199" ht="14.25" customHeight="1">
      <c r="A199" s="187"/>
      <c r="B199" s="128"/>
    </row>
    <row r="200" ht="14.25" customHeight="1">
      <c r="A200" s="187"/>
      <c r="B200" s="128"/>
    </row>
    <row r="201" ht="14.25" customHeight="1">
      <c r="A201" s="187"/>
      <c r="B201" s="128"/>
    </row>
    <row r="202" ht="14.25" customHeight="1">
      <c r="A202" s="187"/>
      <c r="B202" s="128"/>
    </row>
    <row r="203" ht="14.25" customHeight="1">
      <c r="A203" s="187"/>
      <c r="B203" s="128"/>
    </row>
    <row r="204" ht="14.25" customHeight="1">
      <c r="A204" s="187"/>
      <c r="B204" s="128"/>
    </row>
    <row r="205" ht="14.25" customHeight="1">
      <c r="A205" s="187"/>
      <c r="B205" s="128"/>
    </row>
    <row r="206" ht="14.25" customHeight="1">
      <c r="A206" s="187"/>
      <c r="B206" s="128"/>
    </row>
    <row r="207" ht="14.25" customHeight="1">
      <c r="A207" s="187"/>
      <c r="B207" s="128"/>
    </row>
    <row r="208" ht="14.25" customHeight="1">
      <c r="A208" s="187"/>
      <c r="B208" s="128"/>
    </row>
    <row r="209" ht="14.25" customHeight="1">
      <c r="A209" s="187"/>
      <c r="B209" s="128"/>
    </row>
    <row r="210" ht="14.25" customHeight="1">
      <c r="A210" s="187"/>
      <c r="B210" s="128"/>
    </row>
    <row r="211" ht="14.25" customHeight="1">
      <c r="A211" s="187"/>
      <c r="B211" s="128"/>
    </row>
    <row r="212" ht="14.25" customHeight="1">
      <c r="A212" s="187"/>
      <c r="B212" s="128"/>
    </row>
    <row r="213" ht="14.25" customHeight="1">
      <c r="A213" s="187"/>
      <c r="B213" s="128"/>
    </row>
    <row r="214" ht="14.25" customHeight="1">
      <c r="A214" s="187"/>
      <c r="B214" s="128"/>
    </row>
    <row r="215" ht="14.25" customHeight="1">
      <c r="A215" s="187"/>
      <c r="B215" s="128"/>
    </row>
    <row r="216" ht="14.25" customHeight="1">
      <c r="A216" s="187"/>
      <c r="B216" s="128"/>
    </row>
    <row r="217" ht="14.25" customHeight="1">
      <c r="A217" s="187"/>
      <c r="B217" s="128"/>
    </row>
    <row r="218" ht="14.25" customHeight="1">
      <c r="A218" s="187"/>
      <c r="B218" s="128"/>
    </row>
    <row r="219" ht="14.25" customHeight="1">
      <c r="A219" s="187"/>
      <c r="B219" s="128"/>
    </row>
    <row r="220" ht="14.25" customHeight="1">
      <c r="A220" s="187"/>
      <c r="B220" s="128"/>
    </row>
    <row r="221" ht="14.25" customHeight="1">
      <c r="A221" s="187"/>
      <c r="B221" s="128"/>
    </row>
    <row r="222" ht="14.25" customHeight="1">
      <c r="A222" s="187"/>
      <c r="B222" s="128"/>
    </row>
    <row r="223" ht="14.25" customHeight="1">
      <c r="A223" s="187"/>
      <c r="B223" s="128"/>
    </row>
    <row r="224" ht="14.25" customHeight="1">
      <c r="A224" s="187"/>
      <c r="B224" s="128"/>
    </row>
    <row r="225" ht="14.25" customHeight="1">
      <c r="A225" s="187"/>
      <c r="B225" s="128"/>
    </row>
    <row r="226" ht="14.25" customHeight="1">
      <c r="A226" s="187"/>
      <c r="B226" s="128"/>
    </row>
    <row r="227" ht="14.25" customHeight="1">
      <c r="A227" s="187"/>
      <c r="B227" s="128"/>
    </row>
    <row r="228" ht="14.25" customHeight="1">
      <c r="A228" s="187"/>
      <c r="B228" s="128"/>
    </row>
    <row r="229" ht="14.25" customHeight="1">
      <c r="A229" s="187"/>
      <c r="B229" s="128"/>
    </row>
    <row r="230" ht="14.25" customHeight="1">
      <c r="A230" s="187"/>
      <c r="B230" s="128"/>
    </row>
    <row r="231" ht="14.25" customHeight="1">
      <c r="A231" s="187"/>
      <c r="B231" s="128"/>
    </row>
    <row r="232" ht="14.25" customHeight="1">
      <c r="A232" s="187"/>
      <c r="B232" s="128"/>
    </row>
    <row r="233" ht="14.25" customHeight="1">
      <c r="A233" s="187"/>
      <c r="B233" s="128"/>
    </row>
    <row r="234" ht="14.25" customHeight="1">
      <c r="A234" s="187"/>
      <c r="B234" s="128"/>
    </row>
    <row r="235" ht="14.25" customHeight="1">
      <c r="A235" s="187"/>
      <c r="B235" s="128"/>
    </row>
    <row r="236" ht="14.25" customHeight="1">
      <c r="A236" s="187"/>
      <c r="B236" s="128"/>
    </row>
    <row r="237" ht="14.25" customHeight="1">
      <c r="A237" s="187"/>
      <c r="B237" s="128"/>
    </row>
    <row r="238" ht="14.25" customHeight="1">
      <c r="A238" s="187"/>
      <c r="B238" s="128"/>
    </row>
    <row r="239" ht="14.25" customHeight="1">
      <c r="A239" s="187"/>
      <c r="B239" s="128"/>
    </row>
    <row r="240" ht="14.25" customHeight="1">
      <c r="A240" s="187"/>
      <c r="B240" s="128"/>
    </row>
    <row r="241" ht="14.25" customHeight="1">
      <c r="A241" s="187"/>
      <c r="B241" s="128"/>
    </row>
    <row r="242" ht="14.25" customHeight="1">
      <c r="A242" s="187"/>
      <c r="B242" s="128"/>
    </row>
    <row r="243" ht="14.25" customHeight="1">
      <c r="A243" s="187"/>
      <c r="B243" s="128"/>
    </row>
    <row r="244" ht="14.25" customHeight="1">
      <c r="A244" s="187"/>
      <c r="B244" s="128"/>
    </row>
    <row r="245" ht="14.25" customHeight="1">
      <c r="A245" s="187"/>
      <c r="B245" s="128"/>
    </row>
    <row r="246" ht="14.25" customHeight="1">
      <c r="A246" s="187"/>
      <c r="B246" s="128"/>
    </row>
    <row r="247" ht="14.25" customHeight="1">
      <c r="A247" s="187"/>
      <c r="B247" s="128"/>
    </row>
    <row r="248" ht="14.25" customHeight="1">
      <c r="A248" s="187"/>
      <c r="B248" s="128"/>
    </row>
    <row r="249" ht="14.25" customHeight="1">
      <c r="A249" s="187"/>
      <c r="B249" s="128"/>
    </row>
    <row r="250" ht="14.25" customHeight="1">
      <c r="A250" s="187"/>
      <c r="B250" s="128"/>
    </row>
    <row r="251" ht="14.25" customHeight="1">
      <c r="A251" s="187"/>
      <c r="B251" s="128"/>
    </row>
    <row r="252" ht="14.25" customHeight="1">
      <c r="A252" s="187"/>
      <c r="B252" s="128"/>
    </row>
    <row r="253" ht="14.25" customHeight="1">
      <c r="A253" s="187"/>
      <c r="B253" s="128"/>
    </row>
    <row r="254" ht="14.25" customHeight="1">
      <c r="A254" s="187"/>
      <c r="B254" s="128"/>
    </row>
    <row r="255" ht="14.25" customHeight="1">
      <c r="A255" s="187"/>
      <c r="B255" s="128"/>
    </row>
    <row r="256" ht="14.25" customHeight="1">
      <c r="A256" s="187"/>
      <c r="B256" s="128"/>
    </row>
    <row r="257" ht="14.25" customHeight="1">
      <c r="A257" s="187"/>
      <c r="B257" s="128"/>
    </row>
    <row r="258" ht="14.25" customHeight="1">
      <c r="A258" s="187"/>
      <c r="B258" s="128"/>
    </row>
    <row r="259" ht="14.25" customHeight="1">
      <c r="A259" s="187"/>
      <c r="B259" s="128"/>
    </row>
    <row r="260" ht="14.25" customHeight="1">
      <c r="A260" s="187"/>
      <c r="B260" s="128"/>
    </row>
    <row r="261" ht="14.25" customHeight="1">
      <c r="A261" s="187"/>
      <c r="B261" s="128"/>
    </row>
    <row r="262" ht="14.25" customHeight="1">
      <c r="A262" s="187"/>
      <c r="B262" s="128"/>
    </row>
    <row r="263" ht="14.25" customHeight="1">
      <c r="A263" s="187"/>
      <c r="B263" s="128"/>
    </row>
    <row r="264" ht="14.25" customHeight="1">
      <c r="A264" s="187"/>
      <c r="B264" s="128"/>
    </row>
    <row r="265" ht="14.25" customHeight="1">
      <c r="A265" s="187"/>
      <c r="B265" s="128"/>
    </row>
    <row r="266" ht="14.25" customHeight="1">
      <c r="A266" s="187"/>
      <c r="B266" s="128"/>
    </row>
    <row r="267" ht="14.25" customHeight="1">
      <c r="A267" s="187"/>
      <c r="B267" s="128"/>
    </row>
    <row r="268" ht="14.25" customHeight="1">
      <c r="A268" s="187"/>
      <c r="B268" s="128"/>
    </row>
    <row r="269" ht="14.25" customHeight="1">
      <c r="A269" s="187"/>
      <c r="B269" s="128"/>
    </row>
    <row r="270" ht="14.25" customHeight="1">
      <c r="A270" s="187"/>
      <c r="B270" s="128"/>
    </row>
    <row r="271" ht="14.25" customHeight="1">
      <c r="A271" s="187"/>
      <c r="B271" s="128"/>
    </row>
    <row r="272" ht="14.25" customHeight="1">
      <c r="A272" s="187"/>
      <c r="B272" s="128"/>
    </row>
    <row r="273" ht="14.25" customHeight="1">
      <c r="A273" s="187"/>
      <c r="B273" s="128"/>
    </row>
    <row r="274" ht="14.25" customHeight="1">
      <c r="A274" s="187"/>
      <c r="B274" s="128"/>
    </row>
    <row r="275" ht="14.25" customHeight="1">
      <c r="A275" s="187"/>
      <c r="B275" s="128"/>
    </row>
    <row r="276" ht="14.25" customHeight="1">
      <c r="A276" s="187"/>
      <c r="B276" s="128"/>
    </row>
    <row r="277" ht="14.25" customHeight="1">
      <c r="A277" s="187"/>
      <c r="B277" s="128"/>
    </row>
    <row r="278" ht="14.25" customHeight="1">
      <c r="A278" s="187"/>
      <c r="B278" s="128"/>
    </row>
    <row r="279" ht="14.25" customHeight="1">
      <c r="A279" s="187"/>
      <c r="B279" s="128"/>
    </row>
    <row r="280" ht="14.25" customHeight="1">
      <c r="A280" s="187"/>
      <c r="B280" s="128"/>
    </row>
    <row r="281" ht="14.25" customHeight="1">
      <c r="A281" s="187"/>
      <c r="B281" s="128"/>
    </row>
    <row r="282" ht="14.25" customHeight="1">
      <c r="A282" s="187"/>
      <c r="B282" s="128"/>
    </row>
    <row r="283" ht="14.25" customHeight="1">
      <c r="A283" s="187"/>
      <c r="B283" s="128"/>
    </row>
    <row r="284" ht="14.25" customHeight="1">
      <c r="A284" s="187"/>
      <c r="B284" s="128"/>
    </row>
    <row r="285" ht="14.25" customHeight="1">
      <c r="A285" s="187"/>
      <c r="B285" s="128"/>
    </row>
    <row r="286" ht="14.25" customHeight="1">
      <c r="A286" s="187"/>
      <c r="B286" s="128"/>
    </row>
    <row r="287" ht="14.25" customHeight="1">
      <c r="A287" s="187"/>
      <c r="B287" s="128"/>
    </row>
    <row r="288" ht="14.25" customHeight="1">
      <c r="A288" s="187"/>
      <c r="B288" s="128"/>
    </row>
    <row r="289" ht="14.25" customHeight="1">
      <c r="A289" s="187"/>
      <c r="B289" s="128"/>
    </row>
    <row r="290" ht="14.25" customHeight="1">
      <c r="A290" s="187"/>
      <c r="B290" s="128"/>
    </row>
    <row r="291" ht="14.25" customHeight="1">
      <c r="A291" s="187"/>
      <c r="B291" s="128"/>
    </row>
    <row r="292" ht="14.25" customHeight="1">
      <c r="A292" s="187"/>
      <c r="B292" s="128"/>
    </row>
    <row r="293" ht="14.25" customHeight="1">
      <c r="A293" s="187"/>
      <c r="B293" s="128"/>
    </row>
    <row r="294" ht="14.25" customHeight="1">
      <c r="A294" s="187"/>
      <c r="B294" s="128"/>
    </row>
    <row r="295" ht="14.25" customHeight="1">
      <c r="A295" s="187"/>
      <c r="B295" s="128"/>
    </row>
    <row r="296" ht="14.25" customHeight="1">
      <c r="A296" s="187"/>
      <c r="B296" s="128"/>
    </row>
    <row r="297" ht="14.25" customHeight="1">
      <c r="A297" s="187"/>
      <c r="B297" s="128"/>
    </row>
    <row r="298" ht="14.25" customHeight="1">
      <c r="A298" s="187"/>
      <c r="B298" s="128"/>
    </row>
    <row r="299" ht="14.25" customHeight="1">
      <c r="A299" s="187"/>
      <c r="B299" s="128"/>
    </row>
    <row r="300" ht="14.25" customHeight="1">
      <c r="A300" s="187"/>
      <c r="B300" s="128"/>
    </row>
    <row r="301" ht="14.25" customHeight="1">
      <c r="A301" s="187"/>
      <c r="B301" s="128"/>
    </row>
    <row r="302" ht="14.25" customHeight="1">
      <c r="A302" s="187"/>
      <c r="B302" s="128"/>
    </row>
    <row r="303" ht="14.25" customHeight="1">
      <c r="A303" s="187"/>
      <c r="B303" s="128"/>
    </row>
    <row r="304" ht="14.25" customHeight="1">
      <c r="A304" s="187"/>
      <c r="B304" s="128"/>
    </row>
    <row r="305" ht="14.25" customHeight="1">
      <c r="A305" s="187"/>
      <c r="B305" s="128"/>
    </row>
    <row r="306" ht="14.25" customHeight="1">
      <c r="A306" s="187"/>
      <c r="B306" s="128"/>
    </row>
    <row r="307" ht="14.25" customHeight="1">
      <c r="A307" s="187"/>
      <c r="B307" s="128"/>
    </row>
    <row r="308" ht="14.25" customHeight="1">
      <c r="A308" s="187"/>
      <c r="B308" s="128"/>
    </row>
    <row r="309" ht="14.25" customHeight="1">
      <c r="A309" s="187"/>
      <c r="B309" s="128"/>
    </row>
    <row r="310" ht="14.25" customHeight="1">
      <c r="A310" s="187"/>
      <c r="B310" s="128"/>
    </row>
    <row r="311" ht="14.25" customHeight="1">
      <c r="A311" s="187"/>
      <c r="B311" s="128"/>
    </row>
    <row r="312" ht="14.25" customHeight="1">
      <c r="A312" s="187"/>
      <c r="B312" s="128"/>
    </row>
    <row r="313" ht="14.25" customHeight="1">
      <c r="A313" s="187"/>
      <c r="B313" s="128"/>
    </row>
    <row r="314" ht="14.25" customHeight="1">
      <c r="A314" s="187"/>
      <c r="B314" s="128"/>
    </row>
    <row r="315" ht="14.25" customHeight="1">
      <c r="A315" s="187"/>
      <c r="B315" s="128"/>
    </row>
    <row r="316" ht="14.25" customHeight="1">
      <c r="A316" s="187"/>
      <c r="B316" s="128"/>
    </row>
    <row r="317" ht="14.25" customHeight="1">
      <c r="A317" s="187"/>
      <c r="B317" s="128"/>
    </row>
    <row r="318" ht="14.25" customHeight="1">
      <c r="A318" s="187"/>
      <c r="B318" s="128"/>
    </row>
    <row r="319" ht="14.25" customHeight="1">
      <c r="A319" s="187"/>
      <c r="B319" s="128"/>
    </row>
    <row r="320" ht="14.25" customHeight="1">
      <c r="A320" s="187"/>
      <c r="B320" s="128"/>
    </row>
    <row r="321" ht="14.25" customHeight="1">
      <c r="A321" s="187"/>
      <c r="B321" s="128"/>
    </row>
    <row r="322" ht="14.25" customHeight="1">
      <c r="A322" s="187"/>
      <c r="B322" s="128"/>
    </row>
    <row r="323" ht="14.25" customHeight="1">
      <c r="A323" s="187"/>
      <c r="B323" s="128"/>
    </row>
    <row r="324" ht="14.25" customHeight="1">
      <c r="A324" s="187"/>
      <c r="B324" s="128"/>
    </row>
    <row r="325" ht="14.25" customHeight="1">
      <c r="A325" s="187"/>
      <c r="B325" s="128"/>
    </row>
    <row r="326" ht="14.25" customHeight="1">
      <c r="A326" s="187"/>
      <c r="B326" s="128"/>
    </row>
    <row r="327" ht="14.25" customHeight="1">
      <c r="A327" s="187"/>
      <c r="B327" s="128"/>
    </row>
    <row r="328" ht="14.25" customHeight="1">
      <c r="A328" s="187"/>
      <c r="B328" s="128"/>
    </row>
    <row r="329" ht="14.25" customHeight="1">
      <c r="A329" s="187"/>
      <c r="B329" s="128"/>
    </row>
    <row r="330" ht="14.25" customHeight="1">
      <c r="A330" s="187"/>
      <c r="B330" s="128"/>
    </row>
    <row r="331" ht="14.25" customHeight="1">
      <c r="A331" s="187"/>
      <c r="B331" s="128"/>
    </row>
    <row r="332" ht="14.25" customHeight="1">
      <c r="A332" s="187"/>
      <c r="B332" s="128"/>
    </row>
    <row r="333" ht="14.25" customHeight="1">
      <c r="A333" s="187"/>
      <c r="B333" s="128"/>
    </row>
    <row r="334" ht="14.25" customHeight="1">
      <c r="A334" s="187"/>
      <c r="B334" s="128"/>
    </row>
    <row r="335" ht="14.25" customHeight="1">
      <c r="A335" s="187"/>
      <c r="B335" s="128"/>
    </row>
    <row r="336" ht="14.25" customHeight="1">
      <c r="A336" s="187"/>
      <c r="B336" s="128"/>
    </row>
    <row r="337" ht="14.25" customHeight="1">
      <c r="A337" s="187"/>
      <c r="B337" s="128"/>
    </row>
    <row r="338" ht="14.25" customHeight="1">
      <c r="A338" s="187"/>
      <c r="B338" s="128"/>
    </row>
    <row r="339" ht="14.25" customHeight="1">
      <c r="A339" s="187"/>
      <c r="B339" s="128"/>
    </row>
    <row r="340" ht="14.25" customHeight="1">
      <c r="A340" s="187"/>
      <c r="B340" s="128"/>
    </row>
    <row r="341" ht="14.25" customHeight="1">
      <c r="A341" s="187"/>
      <c r="B341" s="128"/>
    </row>
    <row r="342" ht="14.25" customHeight="1">
      <c r="A342" s="187"/>
      <c r="B342" s="128"/>
    </row>
    <row r="343" ht="14.25" customHeight="1">
      <c r="A343" s="187"/>
      <c r="B343" s="128"/>
    </row>
    <row r="344" ht="14.25" customHeight="1">
      <c r="A344" s="187"/>
      <c r="B344" s="128"/>
    </row>
    <row r="345" ht="14.25" customHeight="1">
      <c r="A345" s="187"/>
      <c r="B345" s="128"/>
    </row>
    <row r="346" ht="14.25" customHeight="1">
      <c r="A346" s="187"/>
      <c r="B346" s="128"/>
    </row>
    <row r="347" ht="14.25" customHeight="1">
      <c r="A347" s="187"/>
      <c r="B347" s="128"/>
    </row>
    <row r="348" ht="14.25" customHeight="1">
      <c r="A348" s="187"/>
      <c r="B348" s="128"/>
    </row>
    <row r="349" ht="14.25" customHeight="1">
      <c r="A349" s="187"/>
      <c r="B349" s="128"/>
    </row>
    <row r="350" ht="14.25" customHeight="1">
      <c r="A350" s="187"/>
      <c r="B350" s="128"/>
    </row>
    <row r="351" ht="14.25" customHeight="1">
      <c r="A351" s="187"/>
      <c r="B351" s="128"/>
    </row>
    <row r="352" ht="14.25" customHeight="1">
      <c r="A352" s="187"/>
      <c r="B352" s="128"/>
    </row>
    <row r="353" ht="14.25" customHeight="1">
      <c r="A353" s="187"/>
      <c r="B353" s="128"/>
    </row>
    <row r="354" ht="14.25" customHeight="1">
      <c r="A354" s="187"/>
      <c r="B354" s="128"/>
    </row>
    <row r="355" ht="14.25" customHeight="1">
      <c r="A355" s="187"/>
      <c r="B355" s="128"/>
    </row>
    <row r="356" ht="14.25" customHeight="1">
      <c r="A356" s="187"/>
      <c r="B356" s="128"/>
    </row>
    <row r="357" ht="14.25" customHeight="1">
      <c r="A357" s="187"/>
      <c r="B357" s="128"/>
    </row>
    <row r="358" ht="14.25" customHeight="1">
      <c r="A358" s="187"/>
      <c r="B358" s="128"/>
    </row>
    <row r="359" ht="14.25" customHeight="1">
      <c r="A359" s="187"/>
      <c r="B359" s="128"/>
    </row>
    <row r="360" ht="14.25" customHeight="1">
      <c r="A360" s="187"/>
      <c r="B360" s="128"/>
    </row>
    <row r="361" ht="14.25" customHeight="1">
      <c r="A361" s="187"/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3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10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52</v>
      </c>
    </row>
    <row r="2" ht="14.25" customHeight="1">
      <c r="A2" s="118" t="str">
        <f>IFERROR(__xludf.DUMMYFUNCTION(" IMPORTRANGE(""https://docs.google.com/spreadsheets/d/1JHmObHbVyM-nCzmN3pBrMckcK6AwUxdPGOxzxqXlaQ8/edit#gid=1444344404"",""Surprise!A2:A161"")"),"FridAKahlo")</f>
        <v>FridAKahlo</v>
      </c>
      <c r="B2" s="103">
        <v>1.0</v>
      </c>
      <c r="C2" s="183">
        <f t="shared" ref="C2:C161" si="1">260*(1-(B2/($H$1+1)))*POWER((SQRT(($H$1+1)/B2)),1/2)</f>
        <v>688.2873526</v>
      </c>
      <c r="D2" s="124" t="str">
        <f>VLOOKUP(A2,'Classement Surp'!$B$2:$B$149,1,0)</f>
        <v>FridAKahlo</v>
      </c>
      <c r="E2" s="125" t="str">
        <f t="shared" ref="E2:E161" si="2">IF(D2=A2,"","erreur")</f>
        <v/>
      </c>
      <c r="F2" s="120" t="str">
        <f>VLOOKUP(A2,'Classement Général'!$B$2:$B$146,1,0)</f>
        <v>FridAKahlo</v>
      </c>
    </row>
    <row r="3" ht="14.25" customHeight="1">
      <c r="A3" s="118" t="str">
        <f>IFERROR(__xludf.DUMMYFUNCTION("""COMPUTED_VALUE"""),".choco")</f>
        <v>.choco</v>
      </c>
      <c r="B3" s="103">
        <v>2.0</v>
      </c>
      <c r="C3" s="183">
        <f t="shared" si="1"/>
        <v>567.6480143</v>
      </c>
      <c r="D3" s="124" t="str">
        <f>VLOOKUP(A3,'Classement Surp'!$B$2:$B$149,1,0)</f>
        <v>.choco</v>
      </c>
      <c r="E3" s="125" t="str">
        <f t="shared" si="2"/>
        <v/>
      </c>
      <c r="F3" s="120" t="str">
        <f>VLOOKUP(A3,'Classement Général'!$B$2:$B$146,1,0)</f>
        <v>.choco</v>
      </c>
    </row>
    <row r="4" ht="14.25" customHeight="1">
      <c r="A4" s="118" t="str">
        <f>IFERROR(__xludf.DUMMYFUNCTION("""COMPUTED_VALUE"""),"PocketBike")</f>
        <v>PocketBike</v>
      </c>
      <c r="B4" s="103">
        <v>3.0</v>
      </c>
      <c r="C4" s="183">
        <f t="shared" si="1"/>
        <v>502.8704736</v>
      </c>
      <c r="D4" s="124" t="str">
        <f>VLOOKUP(A4,'Classement Surp'!$B$2:$B$149,1,0)</f>
        <v>PocketBike</v>
      </c>
      <c r="E4" s="125" t="str">
        <f t="shared" si="2"/>
        <v/>
      </c>
      <c r="F4" s="120" t="str">
        <f>VLOOKUP(A4,'Classement Général'!$B$2:$B$146,1,0)</f>
        <v>PocketBike</v>
      </c>
    </row>
    <row r="5" ht="14.25" customHeight="1">
      <c r="A5" s="118" t="str">
        <f>IFERROR(__xludf.DUMMYFUNCTION("""COMPUTED_VALUE"""),"Steprou86")</f>
        <v>Steprou86</v>
      </c>
      <c r="B5" s="103">
        <v>4.0</v>
      </c>
      <c r="C5" s="183">
        <f t="shared" si="1"/>
        <v>458.6142321</v>
      </c>
      <c r="D5" s="124" t="str">
        <f>VLOOKUP(A5,'Classement Surp'!$B$2:$B$149,1,0)</f>
        <v>Steprou86</v>
      </c>
      <c r="E5" s="125" t="str">
        <f t="shared" si="2"/>
        <v/>
      </c>
      <c r="F5" s="120" t="str">
        <f>VLOOKUP(A5,'Classement Général'!$B$2:$B$146,1,0)</f>
        <v>Steprou86</v>
      </c>
    </row>
    <row r="6" ht="14.25" customHeight="1">
      <c r="A6" s="118" t="str">
        <f>IFERROR(__xludf.DUMMYFUNCTION("""COMPUTED_VALUE"""),"Elfy")</f>
        <v>Elfy</v>
      </c>
      <c r="B6" s="103">
        <v>5.0</v>
      </c>
      <c r="C6" s="183">
        <f t="shared" si="1"/>
        <v>424.8789176</v>
      </c>
      <c r="D6" s="124" t="str">
        <f>VLOOKUP(A6,'Classement Surp'!$B$2:$B$149,1,0)</f>
        <v>Elfy</v>
      </c>
      <c r="E6" s="125" t="str">
        <f t="shared" si="2"/>
        <v/>
      </c>
      <c r="F6" s="120" t="str">
        <f>VLOOKUP(A6,'Classement Général'!$B$2:$B$146,1,0)</f>
        <v>Elfy</v>
      </c>
    </row>
    <row r="7" ht="14.25" customHeight="1">
      <c r="A7" s="118" t="str">
        <f>IFERROR(__xludf.DUMMYFUNCTION("""COMPUTED_VALUE"""),"Dr Linebourg")</f>
        <v>Dr Linebourg</v>
      </c>
      <c r="B7" s="103">
        <v>6.0</v>
      </c>
      <c r="C7" s="183">
        <f t="shared" si="1"/>
        <v>397.4902598</v>
      </c>
      <c r="D7" s="124" t="str">
        <f>VLOOKUP(A7,'Classement Surp'!$B$2:$B$149,1,0)</f>
        <v>Dr Linebourg</v>
      </c>
      <c r="E7" s="125" t="str">
        <f t="shared" si="2"/>
        <v/>
      </c>
      <c r="F7" s="120" t="str">
        <f>VLOOKUP(A7,'Classement Général'!$B$2:$B$146,1,0)</f>
        <v>Dr Linebourg</v>
      </c>
    </row>
    <row r="8" ht="14.25" customHeight="1">
      <c r="A8" s="118" t="str">
        <f>IFERROR(__xludf.DUMMYFUNCTION("""COMPUTED_VALUE"""),"Chuckzim")</f>
        <v>Chuckzim</v>
      </c>
      <c r="B8" s="103">
        <v>7.0</v>
      </c>
      <c r="C8" s="183">
        <f t="shared" si="1"/>
        <v>374.3258052</v>
      </c>
      <c r="D8" s="124" t="str">
        <f>VLOOKUP(A8,'Classement Surp'!$B$2:$B$149,1,0)</f>
        <v>Chuckzim</v>
      </c>
      <c r="E8" s="125" t="str">
        <f t="shared" si="2"/>
        <v/>
      </c>
      <c r="F8" s="120" t="str">
        <f>VLOOKUP(A8,'Classement Général'!$B$2:$B$146,1,0)</f>
        <v>Chuckzim</v>
      </c>
    </row>
    <row r="9" ht="14.25" customHeight="1">
      <c r="A9" s="118" t="str">
        <f>IFERROR(__xludf.DUMMYFUNCTION("""COMPUTED_VALUE"""),"POMB1664")</f>
        <v>POMB1664</v>
      </c>
      <c r="B9" s="103">
        <v>8.0</v>
      </c>
      <c r="C9" s="183">
        <f t="shared" si="1"/>
        <v>354.1656708</v>
      </c>
      <c r="D9" s="124" t="str">
        <f>VLOOKUP(A9,'Classement Surp'!$B$2:$B$149,1,0)</f>
        <v>POMB1664</v>
      </c>
      <c r="E9" s="125" t="str">
        <f t="shared" si="2"/>
        <v/>
      </c>
      <c r="F9" s="120" t="str">
        <f>VLOOKUP(A9,'Classement Général'!$B$2:$B$146,1,0)</f>
        <v>POMB1664</v>
      </c>
    </row>
    <row r="10" ht="14.25" customHeight="1">
      <c r="A10" s="118" t="str">
        <f>IFERROR(__xludf.DUMMYFUNCTION("""COMPUTED_VALUE"""),"Phil1308")</f>
        <v>Phil1308</v>
      </c>
      <c r="B10" s="103">
        <v>9.0</v>
      </c>
      <c r="C10" s="183">
        <f t="shared" si="1"/>
        <v>336.2470593</v>
      </c>
      <c r="D10" s="124" t="str">
        <f>VLOOKUP(A10,'Classement Surp'!$B$2:$B$149,1,0)</f>
        <v>Phil1308</v>
      </c>
      <c r="E10" s="125" t="str">
        <f t="shared" si="2"/>
        <v/>
      </c>
      <c r="F10" s="120" t="str">
        <f>VLOOKUP(A10,'Classement Général'!$B$2:$B$146,1,0)</f>
        <v>Phil1308</v>
      </c>
      <c r="I10" s="129" t="s">
        <v>79</v>
      </c>
    </row>
    <row r="11" ht="14.25" customHeight="1">
      <c r="A11" s="118" t="str">
        <f>IFERROR(__xludf.DUMMYFUNCTION("""COMPUTED_VALUE"""),"KamehamehAS")</f>
        <v>KamehamehAS</v>
      </c>
      <c r="B11" s="103">
        <v>10.0</v>
      </c>
      <c r="C11" s="183">
        <f t="shared" si="1"/>
        <v>320.0625797</v>
      </c>
      <c r="D11" s="124" t="str">
        <f>VLOOKUP(A11,'Classement Surp'!$B$2:$B$149,1,0)</f>
        <v>KamehamehAS</v>
      </c>
      <c r="E11" s="125" t="str">
        <f t="shared" si="2"/>
        <v/>
      </c>
      <c r="F11" s="120" t="str">
        <f>VLOOKUP(A11,'Classement Général'!$B$2:$B$146,1,0)</f>
        <v>KamehamehAS</v>
      </c>
      <c r="I11" s="129" t="s">
        <v>85</v>
      </c>
    </row>
    <row r="12" ht="14.25" customHeight="1">
      <c r="A12" s="118" t="str">
        <f>IFERROR(__xludf.DUMMYFUNCTION("""COMPUTED_VALUE"""),"vicmackey86")</f>
        <v>vicmackey86</v>
      </c>
      <c r="B12" s="103">
        <v>11.0</v>
      </c>
      <c r="C12" s="183">
        <f t="shared" si="1"/>
        <v>305.2583588</v>
      </c>
      <c r="D12" s="124" t="str">
        <f>VLOOKUP(A12,'Classement Surp'!$B$2:$B$149,1,0)</f>
        <v>vicmackey86</v>
      </c>
      <c r="E12" s="125" t="str">
        <f t="shared" si="2"/>
        <v/>
      </c>
      <c r="F12" s="120" t="str">
        <f>VLOOKUP(A12,'Classement Général'!$B$2:$B$146,1,0)</f>
        <v>vicmackey86</v>
      </c>
      <c r="I12" s="129" t="s">
        <v>68</v>
      </c>
    </row>
    <row r="13" ht="14.25" customHeight="1">
      <c r="A13" s="118" t="str">
        <f>IFERROR(__xludf.DUMMYFUNCTION("""COMPUTED_VALUE"""),"Legabodu86")</f>
        <v>Legabodu86</v>
      </c>
      <c r="B13" s="103">
        <v>12.0</v>
      </c>
      <c r="C13" s="183">
        <f t="shared" si="1"/>
        <v>291.57816</v>
      </c>
      <c r="D13" s="124" t="str">
        <f>VLOOKUP(A13,'Classement Surp'!$B$2:$B$149,1,0)</f>
        <v>Legabodu86</v>
      </c>
      <c r="E13" s="125" t="str">
        <f t="shared" si="2"/>
        <v/>
      </c>
      <c r="F13" s="120" t="str">
        <f>VLOOKUP(A13,'Classement Général'!$B$2:$B$146,1,0)</f>
        <v>Legabodu86</v>
      </c>
      <c r="I13" s="129" t="s">
        <v>43</v>
      </c>
    </row>
    <row r="14" ht="14.25" customHeight="1">
      <c r="A14" s="118" t="str">
        <f>IFERROR(__xludf.DUMMYFUNCTION("""COMPUTED_VALUE"""),"gregmoore")</f>
        <v>gregmoore</v>
      </c>
      <c r="B14" s="103">
        <v>13.0</v>
      </c>
      <c r="C14" s="183">
        <f t="shared" si="1"/>
        <v>278.8307064</v>
      </c>
      <c r="D14" s="124" t="str">
        <f>VLOOKUP(A14,'Classement Surp'!$B$2:$B$149,1,0)</f>
        <v>gregmoore</v>
      </c>
      <c r="E14" s="125" t="str">
        <f t="shared" si="2"/>
        <v/>
      </c>
      <c r="F14" s="120" t="str">
        <f>VLOOKUP(A14,'Classement Général'!$B$2:$B$146,1,0)</f>
        <v>gregmoore</v>
      </c>
      <c r="I14" s="129" t="s">
        <v>240</v>
      </c>
    </row>
    <row r="15" ht="14.25" customHeight="1">
      <c r="A15" s="118" t="str">
        <f>IFERROR(__xludf.DUMMYFUNCTION("""COMPUTED_VALUE"""),"Dirty Bazaar")</f>
        <v>Dirty Bazaar</v>
      </c>
      <c r="B15" s="103">
        <v>14.0</v>
      </c>
      <c r="C15" s="183">
        <f t="shared" si="1"/>
        <v>266.8695626</v>
      </c>
      <c r="D15" s="124" t="str">
        <f>VLOOKUP(A15,'Classement Surp'!$B$2:$B$149,1,0)</f>
        <v>Dirty Bazaar</v>
      </c>
      <c r="E15" s="125" t="str">
        <f t="shared" si="2"/>
        <v/>
      </c>
      <c r="F15" s="120" t="str">
        <f>VLOOKUP(A15,'Classement Général'!$B$2:$B$146,1,0)</f>
        <v>Dirty Bazaar</v>
      </c>
      <c r="I15" s="129" t="s">
        <v>109</v>
      </c>
    </row>
    <row r="16" ht="14.25" customHeight="1">
      <c r="A16" s="118" t="str">
        <f>IFERROR(__xludf.DUMMYFUNCTION("""COMPUTED_VALUE"""),"Belussac")</f>
        <v>Belussac</v>
      </c>
      <c r="B16" s="103">
        <v>15.0</v>
      </c>
      <c r="C16" s="183">
        <f t="shared" si="1"/>
        <v>255.5802129</v>
      </c>
      <c r="D16" s="124" t="str">
        <f>VLOOKUP(A16,'Classement Surp'!$B$2:$B$149,1,0)</f>
        <v>belussac</v>
      </c>
      <c r="E16" s="125" t="str">
        <f t="shared" si="2"/>
        <v/>
      </c>
      <c r="F16" s="120" t="str">
        <f>VLOOKUP(A16,'Classement Général'!$B$2:$B$146,1,0)</f>
        <v>belussac</v>
      </c>
      <c r="I16" s="129" t="s">
        <v>244</v>
      </c>
    </row>
    <row r="17" ht="14.25" customHeight="1">
      <c r="A17" s="118" t="str">
        <f>IFERROR(__xludf.DUMMYFUNCTION("""COMPUTED_VALUE"""),"Rod_John_VI")</f>
        <v>Rod_John_VI</v>
      </c>
      <c r="B17" s="103">
        <v>16.0</v>
      </c>
      <c r="C17" s="183">
        <f t="shared" si="1"/>
        <v>244.871462</v>
      </c>
      <c r="D17" s="124" t="str">
        <f>VLOOKUP(A17,'Classement Surp'!$B$2:$B$149,1,0)</f>
        <v>Rod_John_VI</v>
      </c>
      <c r="E17" s="125" t="str">
        <f t="shared" si="2"/>
        <v/>
      </c>
      <c r="F17" s="120" t="str">
        <f>VLOOKUP(A17,'Classement Général'!$B$2:$B$146,1,0)</f>
        <v>Rod_John_VI</v>
      </c>
      <c r="I17" s="129" t="s">
        <v>230</v>
      </c>
    </row>
    <row r="18" ht="14.25" customHeight="1">
      <c r="A18" s="118" t="str">
        <f>IFERROR(__xludf.DUMMYFUNCTION("""COMPUTED_VALUE"""),"COMBERS")</f>
        <v>COMBERS</v>
      </c>
      <c r="B18" s="103">
        <v>17.0</v>
      </c>
      <c r="C18" s="183">
        <f t="shared" si="1"/>
        <v>234.6695368</v>
      </c>
      <c r="D18" s="124" t="str">
        <f>VLOOKUP(A18,'Classement Surp'!$B$2:$B$149,1,0)</f>
        <v>COMBERS</v>
      </c>
      <c r="E18" s="125" t="str">
        <f t="shared" si="2"/>
        <v/>
      </c>
      <c r="F18" s="120" t="str">
        <f>VLOOKUP(A18,'Classement Général'!$B$2:$B$146,1,0)</f>
        <v>COMBERS</v>
      </c>
    </row>
    <row r="19" ht="14.25" customHeight="1">
      <c r="A19" s="118" t="str">
        <f>IFERROR(__xludf.DUMMYFUNCTION("""COMPUTED_VALUE"""),"pablo")</f>
        <v>pablo</v>
      </c>
      <c r="B19" s="103">
        <v>18.0</v>
      </c>
      <c r="C19" s="183">
        <f t="shared" si="1"/>
        <v>224.913935</v>
      </c>
      <c r="D19" s="124" t="str">
        <f>VLOOKUP(A19,'Classement Surp'!$B$2:$B$149,1,0)</f>
        <v>pablo</v>
      </c>
      <c r="E19" s="125" t="str">
        <f t="shared" si="2"/>
        <v/>
      </c>
      <c r="F19" s="120" t="str">
        <f>VLOOKUP(A19,'Classement Général'!$B$2:$B$146,1,0)</f>
        <v>pablo</v>
      </c>
    </row>
    <row r="20" ht="14.25" customHeight="1">
      <c r="A20" s="118" t="str">
        <f>IFERROR(__xludf.DUMMYFUNCTION("""COMPUTED_VALUE"""),"Jennyyy8")</f>
        <v>Jennyyy8</v>
      </c>
      <c r="B20" s="103">
        <v>19.0</v>
      </c>
      <c r="C20" s="183">
        <f t="shared" si="1"/>
        <v>215.5544349</v>
      </c>
      <c r="D20" s="124" t="str">
        <f>VLOOKUP(A20,'Classement Surp'!$B$2:$B$149,1,0)</f>
        <v>Jennyyy8</v>
      </c>
      <c r="E20" s="125" t="str">
        <f t="shared" si="2"/>
        <v/>
      </c>
      <c r="F20" s="120" t="str">
        <f>VLOOKUP(A20,'Classement Général'!$B$2:$B$146,1,0)</f>
        <v>Jennyyy8</v>
      </c>
    </row>
    <row r="21" ht="14.25" customHeight="1">
      <c r="A21" s="118" t="str">
        <f>IFERROR(__xludf.DUMMYFUNCTION("""COMPUTED_VALUE"""),"Odile2Raise")</f>
        <v>Odile2Raise</v>
      </c>
      <c r="B21" s="103">
        <v>20.0</v>
      </c>
      <c r="C21" s="183">
        <f t="shared" si="1"/>
        <v>206.5489001</v>
      </c>
      <c r="D21" s="124" t="str">
        <f>VLOOKUP(A21,'Classement Surp'!$B$2:$B$149,1,0)</f>
        <v>Odile2Raise</v>
      </c>
      <c r="E21" s="125" t="str">
        <f t="shared" si="2"/>
        <v/>
      </c>
      <c r="F21" s="120" t="str">
        <f>VLOOKUP(A21,'Classement Général'!$B$2:$B$146,1,0)</f>
        <v>Odile2Raise</v>
      </c>
    </row>
    <row r="22" ht="14.25" customHeight="1">
      <c r="A22" s="118" t="str">
        <f>IFERROR(__xludf.DUMMYFUNCTION("""COMPUTED_VALUE"""),"_Sale-Bet_")</f>
        <v>_Sale-Bet_</v>
      </c>
      <c r="B22" s="103">
        <v>21.0</v>
      </c>
      <c r="C22" s="183">
        <f t="shared" si="1"/>
        <v>197.8616382</v>
      </c>
      <c r="D22" s="124" t="str">
        <f>VLOOKUP(A22,'Classement Surp'!$B$2:$B$149,1,0)</f>
        <v>_Sale-Bet_</v>
      </c>
      <c r="E22" s="125" t="str">
        <f t="shared" si="2"/>
        <v/>
      </c>
      <c r="F22" s="120" t="str">
        <f>VLOOKUP(A22,'Classement Général'!$B$2:$B$146,1,0)</f>
        <v>_Sale-Bet_</v>
      </c>
    </row>
    <row r="23" ht="14.25" customHeight="1">
      <c r="A23" s="118" t="str">
        <f>IFERROR(__xludf.DUMMYFUNCTION("""COMPUTED_VALUE"""),"jejehehe")</f>
        <v>jejehehe</v>
      </c>
      <c r="B23" s="103">
        <v>22.0</v>
      </c>
      <c r="C23" s="183">
        <f t="shared" si="1"/>
        <v>189.4621535</v>
      </c>
      <c r="D23" s="124" t="str">
        <f>VLOOKUP(A23,'Classement Surp'!$B$2:$B$149,1,0)</f>
        <v>jejehehe</v>
      </c>
      <c r="E23" s="125" t="str">
        <f t="shared" si="2"/>
        <v/>
      </c>
      <c r="F23" s="120" t="str">
        <f>VLOOKUP(A23,'Classement Général'!$B$2:$B$146,1,0)</f>
        <v>jejehehe</v>
      </c>
    </row>
    <row r="24" ht="14.25" customHeight="1">
      <c r="A24" s="118" t="str">
        <f>IFERROR(__xludf.DUMMYFUNCTION("""COMPUTED_VALUE"""),"PrendmAmAin")</f>
        <v>PrendmAmAin</v>
      </c>
      <c r="B24" s="103">
        <v>23.0</v>
      </c>
      <c r="C24" s="183">
        <f t="shared" si="1"/>
        <v>181.3241881</v>
      </c>
      <c r="D24" s="124" t="str">
        <f>VLOOKUP(A24,'Classement Surp'!$B$2:$B$149,1,0)</f>
        <v>PrendmAmAin</v>
      </c>
      <c r="E24" s="125" t="str">
        <f t="shared" si="2"/>
        <v/>
      </c>
      <c r="F24" s="120" t="str">
        <f>VLOOKUP(A24,'Classement Général'!$B$2:$B$146,1,0)</f>
        <v>PrendmAmAin</v>
      </c>
    </row>
    <row r="25" ht="14.25" customHeight="1">
      <c r="A25" s="118" t="str">
        <f>IFERROR(__xludf.DUMMYFUNCTION("""COMPUTED_VALUE"""),"Blochedu86")</f>
        <v>Blochedu86</v>
      </c>
      <c r="B25" s="103">
        <v>24.0</v>
      </c>
      <c r="C25" s="183">
        <f t="shared" si="1"/>
        <v>173.4249721</v>
      </c>
      <c r="D25" s="124" t="str">
        <f>VLOOKUP(A25,'Classement Surp'!$B$2:$B$149,1,0)</f>
        <v>Blochedu86</v>
      </c>
      <c r="E25" s="125" t="str">
        <f t="shared" si="2"/>
        <v/>
      </c>
      <c r="F25" s="120" t="str">
        <f>VLOOKUP(A25,'Classement Général'!$B$2:$B$146,1,0)</f>
        <v>Blochedu86</v>
      </c>
    </row>
    <row r="26" ht="14.25" customHeight="1">
      <c r="A26" s="118" t="str">
        <f>IFERROR(__xludf.DUMMYFUNCTION("""COMPUTED_VALUE"""),"SINGE7")</f>
        <v>SINGE7</v>
      </c>
      <c r="B26" s="103">
        <v>25.0</v>
      </c>
      <c r="C26" s="183">
        <f t="shared" si="1"/>
        <v>165.7446332</v>
      </c>
      <c r="D26" s="124" t="str">
        <f>VLOOKUP(A26,'Classement Surp'!$B$2:$B$149,1,0)</f>
        <v>SINGE7</v>
      </c>
      <c r="E26" s="125" t="str">
        <f t="shared" si="2"/>
        <v/>
      </c>
      <c r="F26" s="120" t="str">
        <f>VLOOKUP(A26,'Classement Général'!$B$2:$B$146,1,0)</f>
        <v>SINGE7</v>
      </c>
    </row>
    <row r="27" ht="14.25" customHeight="1">
      <c r="A27" s="118" t="str">
        <f>IFERROR(__xludf.DUMMYFUNCTION("""COMPUTED_VALUE"""),"Marypops64")</f>
        <v>Marypops64</v>
      </c>
      <c r="B27" s="103">
        <v>26.0</v>
      </c>
      <c r="C27" s="183">
        <f t="shared" si="1"/>
        <v>158.2657255</v>
      </c>
      <c r="D27" s="124" t="str">
        <f>VLOOKUP(A27,'Classement Surp'!$B$2:$B$149,1,0)</f>
        <v>marypops64</v>
      </c>
      <c r="E27" s="125" t="str">
        <f t="shared" si="2"/>
        <v/>
      </c>
      <c r="F27" s="120" t="str">
        <f>VLOOKUP(A27,'Classement Général'!$B$2:$B$146,1,0)</f>
        <v>marypops64</v>
      </c>
    </row>
    <row r="28" ht="14.25" customHeight="1">
      <c r="A28" s="118" t="str">
        <f>IFERROR(__xludf.DUMMYFUNCTION("""COMPUTED_VALUE"""),"NezuKO-demon")</f>
        <v>NezuKO-demon</v>
      </c>
      <c r="B28" s="103">
        <v>27.0</v>
      </c>
      <c r="C28" s="183">
        <f t="shared" si="1"/>
        <v>150.9728497</v>
      </c>
      <c r="D28" s="124" t="str">
        <f>VLOOKUP(A28,'Classement Surp'!$B$2:$B$149,1,0)</f>
        <v>NezuKO-demon</v>
      </c>
      <c r="E28" s="125" t="str">
        <f t="shared" si="2"/>
        <v/>
      </c>
      <c r="F28" s="120" t="str">
        <f>VLOOKUP(A28,'Classement Général'!$B$2:$B$146,1,0)</f>
        <v>NezuKO-demon</v>
      </c>
    </row>
    <row r="29" ht="14.25" customHeight="1">
      <c r="A29" s="118" t="str">
        <f>IFERROR(__xludf.DUMMYFUNCTION("""COMPUTED_VALUE"""),"cassius-86")</f>
        <v>cassius-86</v>
      </c>
      <c r="B29" s="103">
        <v>28.0</v>
      </c>
      <c r="C29" s="183">
        <f t="shared" si="1"/>
        <v>143.8523452</v>
      </c>
      <c r="D29" s="124" t="str">
        <f>VLOOKUP(A29,'Classement Surp'!$B$2:$B$149,1,0)</f>
        <v>cassius-86</v>
      </c>
      <c r="E29" s="125" t="str">
        <f t="shared" si="2"/>
        <v/>
      </c>
      <c r="F29" s="120" t="str">
        <f>VLOOKUP(A29,'Classement Général'!$B$2:$B$146,1,0)</f>
        <v>cassius-86</v>
      </c>
    </row>
    <row r="30" ht="14.25" customHeight="1">
      <c r="A30" s="118" t="str">
        <f>IFERROR(__xludf.DUMMYFUNCTION("""COMPUTED_VALUE"""),"Gabus")</f>
        <v>Gabus</v>
      </c>
      <c r="B30" s="103">
        <v>29.0</v>
      </c>
      <c r="C30" s="183">
        <f t="shared" si="1"/>
        <v>136.8920376</v>
      </c>
      <c r="D30" s="124" t="str">
        <f>VLOOKUP(A30,'Classement Surp'!$B$2:$B$149,1,0)</f>
        <v>Gabus</v>
      </c>
      <c r="E30" s="125" t="str">
        <f t="shared" si="2"/>
        <v/>
      </c>
      <c r="F30" s="120" t="str">
        <f>VLOOKUP(A30,'Classement Général'!$B$2:$B$146,1,0)</f>
        <v>Gabus</v>
      </c>
    </row>
    <row r="31" ht="14.25" customHeight="1">
      <c r="A31" s="118" t="str">
        <f>IFERROR(__xludf.DUMMYFUNCTION("""COMPUTED_VALUE"""),". BARBAPAPA66")</f>
        <v>. BARBAPAPA66</v>
      </c>
      <c r="B31" s="103">
        <v>30.0</v>
      </c>
      <c r="C31" s="183">
        <f t="shared" si="1"/>
        <v>130.0810303</v>
      </c>
      <c r="D31" s="124" t="str">
        <f>VLOOKUP(A31,'Classement Surp'!$B$2:$B$149,1,0)</f>
        <v>. BARBAPAPA66</v>
      </c>
      <c r="E31" s="125" t="str">
        <f t="shared" si="2"/>
        <v/>
      </c>
      <c r="F31" s="120" t="str">
        <f>VLOOKUP(A31,'Classement Général'!$B$2:$B$146,1,0)</f>
        <v>. BARBAPAPA66</v>
      </c>
    </row>
    <row r="32" ht="14.25" customHeight="1">
      <c r="A32" s="118" t="str">
        <f>IFERROR(__xludf.DUMMYFUNCTION("""COMPUTED_VALUE"""),"Patgaret")</f>
        <v>Patgaret</v>
      </c>
      <c r="B32" s="103">
        <v>31.0</v>
      </c>
      <c r="C32" s="183">
        <f t="shared" si="1"/>
        <v>123.4095314</v>
      </c>
      <c r="D32" s="124" t="str">
        <f>VLOOKUP(A32,'Classement Surp'!$B$2:$B$149,1,0)</f>
        <v>Patgaret</v>
      </c>
      <c r="E32" s="125" t="str">
        <f t="shared" si="2"/>
        <v/>
      </c>
      <c r="F32" s="120" t="str">
        <f>VLOOKUP(A32,'Classement Général'!$B$2:$B$146,1,0)</f>
        <v>Patgaret</v>
      </c>
    </row>
    <row r="33" ht="14.25" customHeight="1">
      <c r="A33" s="118" t="str">
        <f>IFERROR(__xludf.DUMMYFUNCTION("""COMPUTED_VALUE"""),"Vince")</f>
        <v>Vince</v>
      </c>
      <c r="B33" s="103">
        <v>32.0</v>
      </c>
      <c r="C33" s="183">
        <f t="shared" si="1"/>
        <v>116.8687088</v>
      </c>
      <c r="D33" s="124" t="str">
        <f>VLOOKUP(A33,'Classement Surp'!$B$2:$B$149,1,0)</f>
        <v>Vince</v>
      </c>
      <c r="E33" s="125" t="str">
        <f t="shared" si="2"/>
        <v/>
      </c>
      <c r="F33" s="120" t="str">
        <f>VLOOKUP(A33,'Classement Général'!$B$2:$B$146,1,0)</f>
        <v>#N/A</v>
      </c>
    </row>
    <row r="34" ht="14.25" customHeight="1">
      <c r="A34" s="118" t="str">
        <f>IFERROR(__xludf.DUMMYFUNCTION("""COMPUTED_VALUE"""),"KKPTETYO")</f>
        <v>KKPTETYO</v>
      </c>
      <c r="B34" s="103">
        <v>33.0</v>
      </c>
      <c r="C34" s="183">
        <f t="shared" si="1"/>
        <v>110.4505687</v>
      </c>
      <c r="D34" s="124" t="str">
        <f>VLOOKUP(A34,'Classement Surp'!$B$2:$B$149,1,0)</f>
        <v>KKPTETYO</v>
      </c>
      <c r="E34" s="125" t="str">
        <f t="shared" si="2"/>
        <v/>
      </c>
      <c r="F34" s="120" t="str">
        <f>VLOOKUP(A34,'Classement Général'!$B$2:$B$146,1,0)</f>
        <v>KKPTETYO</v>
      </c>
    </row>
    <row r="35" ht="14.25" customHeight="1">
      <c r="A35" s="118" t="str">
        <f>IFERROR(__xludf.DUMMYFUNCTION("""COMPUTED_VALUE"""),"christ86000")</f>
        <v>christ86000</v>
      </c>
      <c r="B35" s="103">
        <v>34.0</v>
      </c>
      <c r="C35" s="183">
        <f t="shared" si="1"/>
        <v>104.147852</v>
      </c>
      <c r="D35" s="124" t="str">
        <f>VLOOKUP(A35,'Classement Surp'!$B$2:$B$149,1,0)</f>
        <v>christ86000</v>
      </c>
      <c r="E35" s="125" t="str">
        <f t="shared" si="2"/>
        <v/>
      </c>
      <c r="F35" s="120" t="str">
        <f>VLOOKUP(A35,'Classement Général'!$B$2:$B$146,1,0)</f>
        <v>christ86000</v>
      </c>
    </row>
    <row r="36" ht="14.25" customHeight="1">
      <c r="A36" s="118" t="str">
        <f>IFERROR(__xludf.DUMMYFUNCTION("""COMPUTED_VALUE"""),"Mako Lemore")</f>
        <v>Mako Lemore</v>
      </c>
      <c r="B36" s="103">
        <v>35.0</v>
      </c>
      <c r="C36" s="183">
        <f t="shared" si="1"/>
        <v>97.95394688</v>
      </c>
      <c r="D36" s="124" t="str">
        <f>VLOOKUP(A36,'Classement Surp'!$B$2:$B$149,1,0)</f>
        <v>Mako Lemore</v>
      </c>
      <c r="E36" s="125" t="str">
        <f t="shared" si="2"/>
        <v/>
      </c>
      <c r="F36" s="120" t="str">
        <f>VLOOKUP(A36,'Classement Général'!$B$2:$B$146,1,0)</f>
        <v>Mako Lemore</v>
      </c>
    </row>
    <row r="37" ht="14.25" customHeight="1">
      <c r="A37" s="118" t="str">
        <f>IFERROR(__xludf.DUMMYFUNCTION("""COMPUTED_VALUE"""),"karibette86")</f>
        <v>karibette86</v>
      </c>
      <c r="B37" s="103">
        <v>36.0</v>
      </c>
      <c r="C37" s="183">
        <f t="shared" si="1"/>
        <v>91.86281338</v>
      </c>
      <c r="D37" s="124" t="str">
        <f>VLOOKUP(A37,'Classement Surp'!$B$2:$B$149,1,0)</f>
        <v>karibette86</v>
      </c>
      <c r="E37" s="125" t="str">
        <f t="shared" si="2"/>
        <v/>
      </c>
      <c r="F37" s="120" t="str">
        <f>VLOOKUP(A37,'Classement Général'!$B$2:$B$146,1,0)</f>
        <v>karibette86</v>
      </c>
    </row>
    <row r="38" ht="14.25" customHeight="1">
      <c r="A38" s="118" t="str">
        <f>IFERROR(__xludf.DUMMYFUNCTION("""COMPUTED_VALUE"""),"8kinder6")</f>
        <v>8kinder6</v>
      </c>
      <c r="B38" s="103">
        <v>37.0</v>
      </c>
      <c r="C38" s="183">
        <f t="shared" si="1"/>
        <v>85.86891935</v>
      </c>
      <c r="D38" s="124" t="str">
        <f>VLOOKUP(A38,'Classement Surp'!$B$2:$B$149,1,0)</f>
        <v>8kinder6</v>
      </c>
      <c r="E38" s="125" t="str">
        <f t="shared" si="2"/>
        <v/>
      </c>
      <c r="F38" s="120" t="str">
        <f>VLOOKUP(A38,'Classement Général'!$B$2:$B$146,1,0)</f>
        <v>8kinder6</v>
      </c>
    </row>
    <row r="39" ht="14.25" customHeight="1">
      <c r="A39" s="118" t="str">
        <f>IFERROR(__xludf.DUMMYFUNCTION("""COMPUTED_VALUE"""),"gu3ul3Dang3")</f>
        <v>gu3ul3Dang3</v>
      </c>
      <c r="B39" s="103">
        <v>38.0</v>
      </c>
      <c r="C39" s="183">
        <f t="shared" si="1"/>
        <v>79.96718452</v>
      </c>
      <c r="D39" s="124" t="str">
        <f>VLOOKUP(A39,'Classement Surp'!$B$2:$B$149,1,0)</f>
        <v>gu3ul3Dang3</v>
      </c>
      <c r="E39" s="125" t="str">
        <f t="shared" si="2"/>
        <v/>
      </c>
      <c r="F39" s="120" t="str">
        <f>VLOOKUP(A39,'Classement Général'!$B$2:$B$146,1,0)</f>
        <v>gu3ul3Dang3</v>
      </c>
    </row>
    <row r="40" ht="14.25" customHeight="1">
      <c r="A40" s="118" t="str">
        <f>IFERROR(__xludf.DUMMYFUNCTION("""COMPUTED_VALUE"""),"rastamokett")</f>
        <v>rastamokett</v>
      </c>
      <c r="B40" s="103">
        <v>39.0</v>
      </c>
      <c r="C40" s="183">
        <f t="shared" si="1"/>
        <v>74.15293235</v>
      </c>
      <c r="D40" s="124" t="str">
        <f>VLOOKUP(A40,'Classement Surp'!$B$2:$B$149,1,0)</f>
        <v>rastamokett</v>
      </c>
      <c r="E40" s="125" t="str">
        <f t="shared" si="2"/>
        <v/>
      </c>
      <c r="F40" s="120" t="str">
        <f>VLOOKUP(A40,'Classement Général'!$B$2:$B$146,1,0)</f>
        <v>rastamokett</v>
      </c>
    </row>
    <row r="41" ht="14.25" customHeight="1">
      <c r="A41" s="118" t="str">
        <f>IFERROR(__xludf.DUMMYFUNCTION("""COMPUTED_VALUE"""),"kingbuu")</f>
        <v>kingbuu</v>
      </c>
      <c r="B41" s="103">
        <v>40.0</v>
      </c>
      <c r="C41" s="183">
        <f t="shared" si="1"/>
        <v>68.42184807</v>
      </c>
      <c r="D41" s="124" t="str">
        <f>VLOOKUP(A41,'Classement Surp'!$B$2:$B$149,1,0)</f>
        <v>kingbuu</v>
      </c>
      <c r="E41" s="125" t="str">
        <f t="shared" si="2"/>
        <v/>
      </c>
      <c r="F41" s="120" t="str">
        <f>VLOOKUP(A41,'Classement Général'!$B$2:$B$146,1,0)</f>
        <v>#N/A</v>
      </c>
    </row>
    <row r="42" ht="14.25" customHeight="1">
      <c r="A42" s="118" t="str">
        <f>IFERROR(__xludf.DUMMYFUNCTION("""COMPUTED_VALUE"""),"lifeofpark")</f>
        <v>lifeofpark</v>
      </c>
      <c r="B42" s="103">
        <v>41.0</v>
      </c>
      <c r="C42" s="183">
        <f t="shared" si="1"/>
        <v>62.76994204</v>
      </c>
      <c r="D42" s="124" t="str">
        <f>VLOOKUP(A42,'Classement Surp'!$B$2:$B$149,1,0)</f>
        <v>lifeofpark</v>
      </c>
      <c r="E42" s="125" t="str">
        <f t="shared" si="2"/>
        <v/>
      </c>
      <c r="F42" s="120" t="str">
        <f>VLOOKUP(A42,'Classement Général'!$B$2:$B$146,1,0)</f>
        <v>lifeofpark</v>
      </c>
    </row>
    <row r="43" ht="14.25" customHeight="1">
      <c r="A43" s="118" t="str">
        <f>IFERROR(__xludf.DUMMYFUNCTION("""COMPUTED_VALUE"""),"chatouill86")</f>
        <v>chatouill86</v>
      </c>
      <c r="B43" s="103">
        <v>42.0</v>
      </c>
      <c r="C43" s="183">
        <f t="shared" si="1"/>
        <v>57.19351764</v>
      </c>
      <c r="D43" s="124" t="str">
        <f>VLOOKUP(A43,'Classement Surp'!$B$2:$B$149,1,0)</f>
        <v>chatouill86</v>
      </c>
      <c r="E43" s="125" t="str">
        <f t="shared" si="2"/>
        <v/>
      </c>
      <c r="F43" s="120" t="str">
        <f>VLOOKUP(A43,'Classement Général'!$B$2:$B$146,1,0)</f>
        <v>chatouill86</v>
      </c>
    </row>
    <row r="44" ht="14.25" customHeight="1">
      <c r="A44" s="118" t="str">
        <f>IFERROR(__xludf.DUMMYFUNCTION("""COMPUTED_VALUE"""),"Mikalack")</f>
        <v>Mikalack</v>
      </c>
      <c r="B44" s="103">
        <v>43.0</v>
      </c>
      <c r="C44" s="183">
        <f t="shared" si="1"/>
        <v>51.68914302</v>
      </c>
      <c r="D44" s="124" t="str">
        <f>VLOOKUP(A44,'Classement Surp'!$B$2:$B$149,1,0)</f>
        <v>Mikalack</v>
      </c>
      <c r="E44" s="125" t="str">
        <f t="shared" si="2"/>
        <v/>
      </c>
      <c r="F44" s="120" t="str">
        <f>VLOOKUP(A44,'Classement Général'!$B$2:$B$146,1,0)</f>
        <v>Mikalack</v>
      </c>
    </row>
    <row r="45" ht="14.25" customHeight="1">
      <c r="A45" s="118" t="str">
        <f>IFERROR(__xludf.DUMMYFUNCTION("""COMPUTED_VALUE"""),"BBH 75")</f>
        <v>BBH 75</v>
      </c>
      <c r="B45" s="103">
        <v>44.0</v>
      </c>
      <c r="C45" s="183">
        <f t="shared" si="1"/>
        <v>46.25362618</v>
      </c>
      <c r="D45" s="124" t="str">
        <f>VLOOKUP(A45,'Classement Surp'!$B$2:$B$149,1,0)</f>
        <v>BBH 75</v>
      </c>
      <c r="E45" s="125" t="str">
        <f t="shared" si="2"/>
        <v/>
      </c>
      <c r="F45" s="120" t="str">
        <f>VLOOKUP(A45,'Classement Général'!$B$2:$B$146,1,0)</f>
        <v>BBH 75</v>
      </c>
    </row>
    <row r="46" ht="14.25" customHeight="1">
      <c r="A46" s="118" t="str">
        <f>IFERROR(__xludf.DUMMYFUNCTION("""COMPUTED_VALUE"""),"Vaillant 86")</f>
        <v>Vaillant 86</v>
      </c>
      <c r="B46" s="103">
        <v>45.0</v>
      </c>
      <c r="C46" s="183">
        <f t="shared" si="1"/>
        <v>40.88399291</v>
      </c>
      <c r="D46" s="124" t="str">
        <f>VLOOKUP(A46,'Classement Surp'!$B$2:$B$149,1,0)</f>
        <v>Vaillant 86</v>
      </c>
      <c r="E46" s="125" t="str">
        <f t="shared" si="2"/>
        <v/>
      </c>
      <c r="F46" s="120" t="str">
        <f>VLOOKUP(A46,'Classement Général'!$B$2:$B$146,1,0)</f>
        <v>Vaillant 86</v>
      </c>
    </row>
    <row r="47" ht="14.25" customHeight="1">
      <c r="A47" s="118" t="str">
        <f>IFERROR(__xludf.DUMMYFUNCTION("""COMPUTED_VALUE"""),"LEGOLEGOTE")</f>
        <v>LEGOLEGOTE</v>
      </c>
      <c r="B47" s="103">
        <v>46.0</v>
      </c>
      <c r="C47" s="183">
        <f t="shared" si="1"/>
        <v>35.57746728</v>
      </c>
      <c r="D47" s="124" t="str">
        <f>VLOOKUP(A47,'Classement Surp'!$B$2:$B$149,1,0)</f>
        <v>LEGOLEGOTE</v>
      </c>
      <c r="E47" s="125" t="str">
        <f t="shared" si="2"/>
        <v/>
      </c>
      <c r="F47" s="120" t="str">
        <f>VLOOKUP(A47,'Classement Général'!$B$2:$B$146,1,0)</f>
        <v>LEGOLEGOTE</v>
      </c>
    </row>
    <row r="48" ht="14.25" customHeight="1">
      <c r="A48" s="118" t="str">
        <f>IFERROR(__xludf.DUMMYFUNCTION("""COMPUTED_VALUE"""),"StephBoss05")</f>
        <v>StephBoss05</v>
      </c>
      <c r="B48" s="103">
        <v>47.0</v>
      </c>
      <c r="C48" s="183">
        <f t="shared" si="1"/>
        <v>30.33145414</v>
      </c>
      <c r="D48" s="124" t="str">
        <f>VLOOKUP(A48,'Classement Surp'!$B$2:$B$149,1,0)</f>
        <v>StephBoss05</v>
      </c>
      <c r="E48" s="125" t="str">
        <f t="shared" si="2"/>
        <v/>
      </c>
      <c r="F48" s="120" t="str">
        <f>VLOOKUP(A48,'Classement Général'!$B$2:$B$146,1,0)</f>
        <v>StephBoss05</v>
      </c>
    </row>
    <row r="49" ht="14.25" customHeight="1">
      <c r="A49" s="118" t="str">
        <f>IFERROR(__xludf.DUMMYFUNCTION("""COMPUTED_VALUE"""),"PSGJM")</f>
        <v>PSGJM</v>
      </c>
      <c r="B49" s="103">
        <v>48.0</v>
      </c>
      <c r="C49" s="183">
        <f t="shared" si="1"/>
        <v>25.14352368</v>
      </c>
      <c r="D49" s="124" t="str">
        <f>VLOOKUP(A49,'Classement Surp'!$B$2:$B$149,1,0)</f>
        <v>PSGJM</v>
      </c>
      <c r="E49" s="125" t="str">
        <f t="shared" si="2"/>
        <v/>
      </c>
      <c r="F49" s="120" t="str">
        <f>VLOOKUP(A49,'Classement Général'!$B$2:$B$146,1,0)</f>
        <v>PSGJM</v>
      </c>
    </row>
    <row r="50" ht="14.25" customHeight="1">
      <c r="A50" s="118" t="str">
        <f>IFERROR(__xludf.DUMMYFUNCTION("""COMPUTED_VALUE"""),"Fistipanda")</f>
        <v>Fistipanda</v>
      </c>
      <c r="B50" s="103">
        <v>49.0</v>
      </c>
      <c r="C50" s="183">
        <f t="shared" si="1"/>
        <v>20.01139742</v>
      </c>
      <c r="D50" s="124" t="str">
        <f>VLOOKUP(A50,'Classement Surp'!$B$2:$B$149,1,0)</f>
        <v>Fistipanda</v>
      </c>
      <c r="E50" s="125" t="str">
        <f t="shared" si="2"/>
        <v/>
      </c>
      <c r="F50" s="120" t="str">
        <f>VLOOKUP(A50,'Classement Général'!$B$2:$B$146,1,0)</f>
        <v>Fistipanda</v>
      </c>
    </row>
    <row r="51" ht="14.25" customHeight="1">
      <c r="A51" s="118" t="str">
        <f>IFERROR(__xludf.DUMMYFUNCTION("""COMPUTED_VALUE"""),"ag79")</f>
        <v>ag79</v>
      </c>
      <c r="B51" s="103">
        <v>50.0</v>
      </c>
      <c r="C51" s="183">
        <f t="shared" si="1"/>
        <v>14.93293585</v>
      </c>
      <c r="D51" s="124" t="str">
        <f>VLOOKUP(A51,'Classement Surp'!$B$2:$B$149,1,0)</f>
        <v>ag79</v>
      </c>
      <c r="E51" s="125" t="str">
        <f t="shared" si="2"/>
        <v/>
      </c>
      <c r="F51" s="120" t="str">
        <f>VLOOKUP(A51,'Classement Général'!$B$2:$B$146,1,0)</f>
        <v>#N/A</v>
      </c>
    </row>
    <row r="52" ht="14.25" customHeight="1">
      <c r="A52" s="118" t="str">
        <f>IFERROR(__xludf.DUMMYFUNCTION("""COMPUTED_VALUE"""),"Le_Pictavien")</f>
        <v>Le_Pictavien</v>
      </c>
      <c r="B52" s="103">
        <v>51.0</v>
      </c>
      <c r="C52" s="183">
        <f t="shared" si="1"/>
        <v>9.906127135</v>
      </c>
      <c r="D52" s="124" t="str">
        <f>VLOOKUP(A52,'Classement Surp'!$B$2:$B$149,1,0)</f>
        <v>Le_Pictavien</v>
      </c>
      <c r="E52" s="125" t="str">
        <f t="shared" si="2"/>
        <v/>
      </c>
      <c r="F52" s="120" t="str">
        <f>VLOOKUP(A52,'Classement Général'!$B$2:$B$146,1,0)</f>
        <v>Le_Pictavien</v>
      </c>
    </row>
    <row r="53" ht="14.25" customHeight="1">
      <c r="A53" s="118" t="str">
        <f>IFERROR(__xludf.DUMMYFUNCTION("""COMPUTED_VALUE"""),"hmnyocleaver")</f>
        <v>hmnyocleaver</v>
      </c>
      <c r="B53" s="103">
        <v>52.0</v>
      </c>
      <c r="C53" s="183">
        <f t="shared" si="1"/>
        <v>4.929077083</v>
      </c>
      <c r="D53" s="124" t="str">
        <f>VLOOKUP(A53,'Classement Surp'!$B$2:$B$149,1,0)</f>
        <v>hmnyocleaver</v>
      </c>
      <c r="E53" s="125" t="str">
        <f t="shared" si="2"/>
        <v/>
      </c>
      <c r="F53" s="120" t="str">
        <f>VLOOKUP(A53,'Classement Général'!$B$2:$B$146,1,0)</f>
        <v>hmnyocleaver</v>
      </c>
    </row>
    <row r="54" ht="14.25" customHeight="1">
      <c r="A54" s="118"/>
      <c r="B54" s="103">
        <v>53.0</v>
      </c>
      <c r="C54" s="183">
        <f t="shared" si="1"/>
        <v>0</v>
      </c>
      <c r="D54" s="124" t="str">
        <f>VLOOKUP(A54,'Classement Surp'!$B$2:$B$149,1,0)</f>
        <v>#N/A</v>
      </c>
      <c r="E54" s="125" t="str">
        <f t="shared" si="2"/>
        <v>#N/A</v>
      </c>
      <c r="F54" s="120" t="str">
        <f>VLOOKUP(A54,'Classement Général'!$B$2:$B$146,1,0)</f>
        <v>#N/A</v>
      </c>
    </row>
    <row r="55" ht="14.25" customHeight="1">
      <c r="A55" s="118"/>
      <c r="B55" s="103">
        <v>54.0</v>
      </c>
      <c r="C55" s="183">
        <f t="shared" si="1"/>
        <v>-4.882789543</v>
      </c>
      <c r="D55" s="124" t="str">
        <f>VLOOKUP(A55,'Classement Surp'!$B$2:$B$149,1,0)</f>
        <v>#N/A</v>
      </c>
      <c r="E55" s="125" t="str">
        <f t="shared" si="2"/>
        <v>#N/A</v>
      </c>
      <c r="F55" s="120" t="str">
        <f>VLOOKUP(A55,'Classement Général'!$B$2:$B$146,1,0)</f>
        <v>#N/A</v>
      </c>
    </row>
    <row r="56" ht="14.25" customHeight="1">
      <c r="A56" s="118"/>
      <c r="B56" s="103">
        <v>55.0</v>
      </c>
      <c r="C56" s="183">
        <f t="shared" si="1"/>
        <v>-9.720884187</v>
      </c>
      <c r="D56" s="124" t="str">
        <f>VLOOKUP(A56,'Classement Surp'!$B$2:$B$149,1,0)</f>
        <v>#N/A</v>
      </c>
      <c r="E56" s="125" t="str">
        <f t="shared" si="2"/>
        <v>#N/A</v>
      </c>
      <c r="F56" s="120" t="str">
        <f>VLOOKUP(A56,'Classement Général'!$B$2:$B$146,1,0)</f>
        <v>#N/A</v>
      </c>
    </row>
    <row r="57" ht="14.25" customHeight="1">
      <c r="A57" s="118"/>
      <c r="B57" s="103">
        <v>56.0</v>
      </c>
      <c r="C57" s="183">
        <f t="shared" si="1"/>
        <v>-14.51579057</v>
      </c>
      <c r="D57" s="124" t="str">
        <f>VLOOKUP(A57,'Classement Surp'!$B$2:$B$149,1,0)</f>
        <v>#N/A</v>
      </c>
      <c r="E57" s="125" t="str">
        <f t="shared" si="2"/>
        <v>#N/A</v>
      </c>
      <c r="F57" s="120" t="str">
        <f>VLOOKUP(A57,'Classement Général'!$B$2:$B$146,1,0)</f>
        <v>#N/A</v>
      </c>
    </row>
    <row r="58" ht="14.25" customHeight="1">
      <c r="A58" s="118"/>
      <c r="B58" s="103">
        <v>57.0</v>
      </c>
      <c r="C58" s="183">
        <f t="shared" si="1"/>
        <v>-19.26893551</v>
      </c>
      <c r="D58" s="124" t="str">
        <f>VLOOKUP(A58,'Classement Surp'!$B$2:$B$149,1,0)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18"/>
      <c r="B59" s="103">
        <v>58.0</v>
      </c>
      <c r="C59" s="183">
        <f t="shared" si="1"/>
        <v>-23.98167161</v>
      </c>
      <c r="D59" s="124" t="str">
        <f>VLOOKUP(A59,'Classement Surp'!$B$2:$B$149,1,0)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18"/>
      <c r="B60" s="103">
        <v>59.0</v>
      </c>
      <c r="C60" s="183">
        <f t="shared" si="1"/>
        <v>-28.65528243</v>
      </c>
      <c r="D60" s="124" t="str">
        <f>VLOOKUP(A60,'Classement Surp'!$B$2:$B$149,1,0)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18"/>
      <c r="B61" s="103">
        <v>60.0</v>
      </c>
      <c r="C61" s="183">
        <f t="shared" si="1"/>
        <v>-33.29098716</v>
      </c>
      <c r="D61" s="124" t="str">
        <f>VLOOKUP(A61,'Classement Surp'!$B$2:$B$149,1,0)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18"/>
      <c r="B62" s="103">
        <v>61.0</v>
      </c>
      <c r="C62" s="183">
        <f t="shared" si="1"/>
        <v>-37.88994493</v>
      </c>
      <c r="D62" s="124" t="str">
        <f>VLOOKUP(A62,'Classement Surp'!$B$2:$B$149,1,0)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18"/>
      <c r="B63" s="103">
        <v>62.0</v>
      </c>
      <c r="C63" s="183">
        <f t="shared" si="1"/>
        <v>-42.45325876</v>
      </c>
      <c r="D63" s="124" t="str">
        <f>VLOOKUP(A63,'Classement Surp'!$B$2:$B$149,1,0)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18"/>
      <c r="B64" s="103">
        <v>63.0</v>
      </c>
      <c r="C64" s="183">
        <f t="shared" si="1"/>
        <v>-46.98197922</v>
      </c>
      <c r="D64" s="124" t="str">
        <f>VLOOKUP(A64,'Classement Surp'!$B$2:$B$149,1,0)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18"/>
      <c r="B65" s="103">
        <v>64.0</v>
      </c>
      <c r="C65" s="183">
        <f t="shared" si="1"/>
        <v>-51.47710768</v>
      </c>
      <c r="D65" s="124" t="str">
        <f>VLOOKUP(A65,'Classement Surp'!$B$2:$B$149,1,0)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18"/>
      <c r="B66" s="103">
        <v>65.0</v>
      </c>
      <c r="C66" s="183">
        <f t="shared" si="1"/>
        <v>-55.93959949</v>
      </c>
      <c r="D66" s="124" t="str">
        <f>VLOOKUP(A66,'Classement Surp'!$B$2:$B$149,1,0)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18"/>
      <c r="B67" s="103">
        <v>66.0</v>
      </c>
      <c r="C67" s="183">
        <f t="shared" si="1"/>
        <v>-60.37036675</v>
      </c>
      <c r="D67" s="124" t="str">
        <f>VLOOKUP(A67,'Classement Surp'!$B$2:$B$149,1,0)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18"/>
      <c r="B68" s="103">
        <v>67.0</v>
      </c>
      <c r="C68" s="183">
        <f t="shared" si="1"/>
        <v>-64.77028094</v>
      </c>
      <c r="D68" s="124" t="str">
        <f>VLOOKUP(A68,'Classement Surp'!$B$2:$B$149,1,0)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18"/>
      <c r="B69" s="103">
        <v>68.0</v>
      </c>
      <c r="C69" s="183">
        <f t="shared" si="1"/>
        <v>-69.14017535</v>
      </c>
      <c r="D69" s="124" t="str">
        <f>VLOOKUP(A69,'Classement Surp'!$B$2:$B$149,1,0)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18"/>
      <c r="B70" s="103">
        <v>69.0</v>
      </c>
      <c r="C70" s="183">
        <f t="shared" si="1"/>
        <v>-73.48084735</v>
      </c>
      <c r="D70" s="124" t="str">
        <f>VLOOKUP(A70,'Classement Surp'!$B$2:$B$149,1,0)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18"/>
      <c r="B71" s="103">
        <v>70.0</v>
      </c>
      <c r="C71" s="183">
        <f t="shared" si="1"/>
        <v>-77.79306041</v>
      </c>
      <c r="D71" s="124" t="str">
        <f>VLOOKUP(A71,'Classement Surp'!$B$2:$B$149,1,0)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18"/>
      <c r="B72" s="103">
        <v>71.0</v>
      </c>
      <c r="C72" s="183">
        <f t="shared" si="1"/>
        <v>-82.0775461</v>
      </c>
      <c r="D72" s="124" t="str">
        <f>VLOOKUP(A72,'Classement Surp'!$B$2:$B$149,1,0)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18"/>
      <c r="B73" s="103">
        <v>72.0</v>
      </c>
      <c r="C73" s="183">
        <f t="shared" si="1"/>
        <v>-86.33500582</v>
      </c>
      <c r="D73" s="124" t="str">
        <f>VLOOKUP(A73,'Classement Surp'!$B$2:$B$149,1,0)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18"/>
      <c r="B74" s="103">
        <v>73.0</v>
      </c>
      <c r="C74" s="183">
        <f t="shared" si="1"/>
        <v>-90.56611252</v>
      </c>
      <c r="D74" s="124" t="str">
        <f>VLOOKUP(A74,'Classement Surp'!$B$2:$B$149,1,0)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18"/>
      <c r="B75" s="103">
        <v>74.0</v>
      </c>
      <c r="C75" s="183">
        <f t="shared" si="1"/>
        <v>-94.77151224</v>
      </c>
      <c r="D75" s="124" t="str">
        <f>VLOOKUP(A75,'Classement Surp'!$B$2:$B$149,1,0)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18"/>
      <c r="B76" s="103">
        <v>75.0</v>
      </c>
      <c r="C76" s="183">
        <f t="shared" si="1"/>
        <v>-98.95182552</v>
      </c>
      <c r="D76" s="124" t="str">
        <f>VLOOKUP(A76,'Classement Surp'!$B$2:$B$149,1,0)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18"/>
      <c r="B77" s="103">
        <v>76.0</v>
      </c>
      <c r="C77" s="183">
        <f t="shared" si="1"/>
        <v>-103.1076488</v>
      </c>
      <c r="D77" s="124" t="str">
        <f>VLOOKUP(A77,'Classement Surp'!$B$2:$B$149,1,0)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18"/>
      <c r="B78" s="103">
        <v>77.0</v>
      </c>
      <c r="C78" s="183">
        <f t="shared" si="1"/>
        <v>-107.2395557</v>
      </c>
      <c r="D78" s="124" t="str">
        <f>VLOOKUP(A78,'Classement Surp'!$B$2:$B$149,1,0)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18"/>
      <c r="B79" s="103">
        <v>78.0</v>
      </c>
      <c r="C79" s="183">
        <f t="shared" si="1"/>
        <v>-111.3480982</v>
      </c>
      <c r="D79" s="124" t="str">
        <f>VLOOKUP(A79,'Classement Surp'!$B$2:$B$149,1,0)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18"/>
      <c r="B80" s="103">
        <v>79.0</v>
      </c>
      <c r="C80" s="183">
        <f t="shared" si="1"/>
        <v>-115.4338075</v>
      </c>
      <c r="D80" s="124" t="str">
        <f>VLOOKUP(A80,'Classement Surp'!$B$2:$B$149,1,0)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18"/>
      <c r="B81" s="103">
        <v>80.0</v>
      </c>
      <c r="C81" s="183">
        <f t="shared" si="1"/>
        <v>-119.4971956</v>
      </c>
      <c r="D81" s="124" t="str">
        <f>VLOOKUP(A81,'Classement Surp'!$B$2:$B$149,1,0)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18"/>
      <c r="B82" s="103">
        <v>81.0</v>
      </c>
      <c r="C82" s="183">
        <f t="shared" si="1"/>
        <v>-123.5387556</v>
      </c>
      <c r="D82" s="124" t="str">
        <f>VLOOKUP(A82,'Classement Surp'!$B$2:$B$149,1,0)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18"/>
      <c r="B83" s="103">
        <v>82.0</v>
      </c>
      <c r="C83" s="183">
        <f t="shared" si="1"/>
        <v>-127.5589632</v>
      </c>
      <c r="D83" s="124" t="str">
        <f>VLOOKUP(A83,'Classement Surp'!$B$2:$B$149,1,0)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18"/>
      <c r="B84" s="103">
        <v>83.0</v>
      </c>
      <c r="C84" s="183">
        <f t="shared" si="1"/>
        <v>-131.5582771</v>
      </c>
      <c r="D84" s="124" t="str">
        <f>VLOOKUP(A84,'Classement Surp'!$B$2:$B$149,1,0)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18"/>
      <c r="B85" s="103">
        <v>84.0</v>
      </c>
      <c r="C85" s="183">
        <f t="shared" si="1"/>
        <v>-135.5371403</v>
      </c>
      <c r="D85" s="124" t="str">
        <f>VLOOKUP(A85,'Classement Surp'!$B$2:$B$149,1,0)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18"/>
      <c r="B86" s="103">
        <v>85.0</v>
      </c>
      <c r="C86" s="183">
        <f t="shared" si="1"/>
        <v>-139.4959801</v>
      </c>
      <c r="D86" s="124" t="str">
        <f>VLOOKUP(A86,'Classement Surp'!$B$2:$B$149,1,0)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18"/>
      <c r="B87" s="103">
        <v>86.0</v>
      </c>
      <c r="C87" s="183">
        <f t="shared" si="1"/>
        <v>-143.4352098</v>
      </c>
      <c r="D87" s="124" t="str">
        <f>VLOOKUP(A87,'Classement Surp'!$B$2:$B$149,1,0)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18"/>
      <c r="B88" s="103">
        <v>87.0</v>
      </c>
      <c r="C88" s="183">
        <f t="shared" si="1"/>
        <v>-147.3552283</v>
      </c>
      <c r="D88" s="124" t="str">
        <f>VLOOKUP(A88,'Classement Surp'!$B$2:$B$149,1,0)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18"/>
      <c r="B89" s="103">
        <v>88.0</v>
      </c>
      <c r="C89" s="183">
        <f t="shared" si="1"/>
        <v>-151.2564217</v>
      </c>
      <c r="D89" s="124" t="str">
        <f>VLOOKUP(A89,'Classement Surp'!$B$2:$B$149,1,0)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18"/>
      <c r="B90" s="103">
        <v>89.0</v>
      </c>
      <c r="C90" s="183">
        <f t="shared" si="1"/>
        <v>-155.1391633</v>
      </c>
      <c r="D90" s="124" t="str">
        <f>VLOOKUP(A90,'Classement Surp'!$B$2:$B$149,1,0)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18"/>
      <c r="B91" s="103">
        <v>90.0</v>
      </c>
      <c r="C91" s="183">
        <f t="shared" si="1"/>
        <v>-159.0038142</v>
      </c>
      <c r="D91" s="124" t="str">
        <f>VLOOKUP(A91,'Classement Surp'!$B$2:$B$149,1,0)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18"/>
      <c r="B92" s="103">
        <v>91.0</v>
      </c>
      <c r="C92" s="183">
        <f t="shared" si="1"/>
        <v>-162.8507242</v>
      </c>
      <c r="D92" s="124" t="str">
        <f>VLOOKUP(A92,'Classement Surp'!$B$2:$B$149,1,0)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18"/>
      <c r="B93" s="103">
        <v>92.0</v>
      </c>
      <c r="C93" s="183">
        <f t="shared" si="1"/>
        <v>-166.6802319</v>
      </c>
      <c r="D93" s="124" t="str">
        <f>VLOOKUP(A93,'Classement Surp'!$B$2:$B$149,1,0)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18"/>
      <c r="B94" s="103">
        <v>93.0</v>
      </c>
      <c r="C94" s="183">
        <f t="shared" si="1"/>
        <v>-170.4926652</v>
      </c>
      <c r="D94" s="124" t="str">
        <f>VLOOKUP(A94,'Classement Surp'!$B$2:$B$149,1,0)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18"/>
      <c r="B95" s="103">
        <v>94.0</v>
      </c>
      <c r="C95" s="183">
        <f t="shared" si="1"/>
        <v>-174.2883422</v>
      </c>
      <c r="D95" s="124" t="str">
        <f>VLOOKUP(A95,'Classement Surp'!$B$2:$B$149,1,0)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18"/>
      <c r="B96" s="103">
        <v>95.0</v>
      </c>
      <c r="C96" s="183">
        <f t="shared" si="1"/>
        <v>-178.0675711</v>
      </c>
      <c r="D96" s="124" t="str">
        <f>VLOOKUP(A96,'Classement Surp'!$B$2:$B$149,1,0)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18"/>
      <c r="B97" s="103">
        <v>96.0</v>
      </c>
      <c r="C97" s="183">
        <f t="shared" si="1"/>
        <v>-181.8306508</v>
      </c>
      <c r="D97" s="124" t="str">
        <f>VLOOKUP(A97,'Classement Surp'!$B$2:$B$149,1,0)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18"/>
      <c r="B98" s="103">
        <v>97.0</v>
      </c>
      <c r="C98" s="183">
        <f t="shared" si="1"/>
        <v>-185.5778713</v>
      </c>
      <c r="D98" s="124" t="str">
        <f>VLOOKUP(A98,'Classement Surp'!$B$2:$B$149,1,0)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18"/>
      <c r="B99" s="103">
        <v>98.0</v>
      </c>
      <c r="C99" s="183">
        <f t="shared" si="1"/>
        <v>-189.309514</v>
      </c>
      <c r="D99" s="124" t="str">
        <f>VLOOKUP(A99,'Classement Surp'!$B$2:$B$149,1,0)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18"/>
      <c r="B100" s="103">
        <v>99.0</v>
      </c>
      <c r="C100" s="183">
        <f t="shared" si="1"/>
        <v>-193.0258523</v>
      </c>
      <c r="D100" s="124" t="str">
        <f>VLOOKUP(A100,'Classement Surp'!$B$2:$B$149,1,0)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18"/>
      <c r="B101" s="103">
        <v>100.0</v>
      </c>
      <c r="C101" s="183">
        <f t="shared" si="1"/>
        <v>-196.7271515</v>
      </c>
      <c r="D101" s="124" t="str">
        <f>VLOOKUP(A101,'Classement Surp'!$B$2:$B$149,1,0)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18"/>
      <c r="B102" s="103">
        <v>101.0</v>
      </c>
      <c r="C102" s="183">
        <f t="shared" si="1"/>
        <v>-200.4136694</v>
      </c>
      <c r="D102" s="124" t="str">
        <f>VLOOKUP(A102,'Classement Surp'!$B$2:$B$149,1,0)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18"/>
      <c r="B103" s="103">
        <v>102.0</v>
      </c>
      <c r="C103" s="183">
        <f t="shared" si="1"/>
        <v>-204.0856565</v>
      </c>
      <c r="D103" s="124" t="str">
        <f>VLOOKUP(A103,'Classement Surp'!$B$2:$B$149,1,0)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18"/>
      <c r="B104" s="103">
        <v>103.0</v>
      </c>
      <c r="C104" s="183">
        <f t="shared" si="1"/>
        <v>-207.7433564</v>
      </c>
      <c r="D104" s="124" t="str">
        <f>VLOOKUP(A104,'Classement Surp'!$B$2:$B$149,1,0)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18"/>
      <c r="B105" s="103">
        <v>104.0</v>
      </c>
      <c r="C105" s="183">
        <f t="shared" si="1"/>
        <v>-211.3870057</v>
      </c>
      <c r="D105" s="124" t="str">
        <f>VLOOKUP(A105,'Classement Surp'!$B$2:$B$149,1,0)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18"/>
      <c r="B106" s="103">
        <v>105.0</v>
      </c>
      <c r="C106" s="183">
        <f t="shared" si="1"/>
        <v>-215.0168349</v>
      </c>
      <c r="D106" s="124" t="str">
        <f>VLOOKUP(A106,'Classement Surp'!$B$2:$B$149,1,0)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18"/>
      <c r="B107" s="103">
        <v>106.0</v>
      </c>
      <c r="C107" s="183">
        <f t="shared" si="1"/>
        <v>-218.633068</v>
      </c>
      <c r="D107" s="124" t="str">
        <f>VLOOKUP(A107,'Classement Surp'!$B$2:$B$149,1,0)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18"/>
      <c r="B108" s="103">
        <v>107.0</v>
      </c>
      <c r="C108" s="183">
        <f t="shared" si="1"/>
        <v>-222.235923</v>
      </c>
      <c r="D108" s="124" t="str">
        <f>VLOOKUP(A108,'Classement Surp'!$B$2:$B$149,1,0)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18"/>
      <c r="B109" s="103">
        <v>108.0</v>
      </c>
      <c r="C109" s="183">
        <f t="shared" si="1"/>
        <v>-225.8256123</v>
      </c>
      <c r="D109" s="124" t="str">
        <f>VLOOKUP(A109,'Classement Surp'!$B$2:$B$149,1,0)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18"/>
      <c r="B110" s="103">
        <v>109.0</v>
      </c>
      <c r="C110" s="183">
        <f t="shared" si="1"/>
        <v>-229.4023425</v>
      </c>
      <c r="D110" s="124" t="str">
        <f>VLOOKUP(A110,'Classement Surp'!$B$2:$B$149,1,0)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18"/>
      <c r="B111" s="103">
        <v>110.0</v>
      </c>
      <c r="C111" s="183">
        <f t="shared" si="1"/>
        <v>-232.966315</v>
      </c>
      <c r="D111" s="124" t="str">
        <f>VLOOKUP(A111,'Classement Surp'!$B$2:$B$149,1,0)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18"/>
      <c r="B112" s="103">
        <v>111.0</v>
      </c>
      <c r="C112" s="183">
        <f t="shared" si="1"/>
        <v>-236.5177259</v>
      </c>
      <c r="D112" s="124" t="str">
        <f>VLOOKUP(A112,'Classement Surp'!$B$2:$B$149,1,0)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18"/>
      <c r="B113" s="103">
        <v>112.0</v>
      </c>
      <c r="C113" s="183">
        <f t="shared" si="1"/>
        <v>-240.0567664</v>
      </c>
      <c r="D113" s="124" t="str">
        <f>VLOOKUP(A113,'Classement Surp'!$B$2:$B$149,1,0)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18"/>
      <c r="B114" s="103">
        <v>113.0</v>
      </c>
      <c r="C114" s="183">
        <f t="shared" si="1"/>
        <v>-243.5836227</v>
      </c>
      <c r="D114" s="124" t="str">
        <f>VLOOKUP(A114,'Classement Surp'!$B$2:$B$149,1,0)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18"/>
      <c r="B115" s="103">
        <v>114.0</v>
      </c>
      <c r="C115" s="183">
        <f t="shared" si="1"/>
        <v>-247.0984766</v>
      </c>
      <c r="D115" s="124" t="str">
        <f>VLOOKUP(A115,'Classement Surp'!$B$2:$B$149,1,0)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18"/>
      <c r="B116" s="103">
        <v>115.0</v>
      </c>
      <c r="C116" s="183">
        <f t="shared" si="1"/>
        <v>-250.6015052</v>
      </c>
      <c r="D116" s="124" t="str">
        <f>VLOOKUP(A116,'Classement Surp'!$B$2:$B$149,1,0)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18"/>
      <c r="B117" s="103">
        <v>116.0</v>
      </c>
      <c r="C117" s="183">
        <f t="shared" si="1"/>
        <v>-254.0928813</v>
      </c>
      <c r="D117" s="124" t="str">
        <f>VLOOKUP(A117,'Classement Surp'!$B$2:$B$149,1,0)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18"/>
      <c r="B118" s="103">
        <v>117.0</v>
      </c>
      <c r="C118" s="183">
        <f t="shared" si="1"/>
        <v>-257.5727734</v>
      </c>
      <c r="D118" s="124" t="str">
        <f>VLOOKUP(A118,'Classement Surp'!$B$2:$B$149,1,0)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18"/>
      <c r="B119" s="103">
        <v>118.0</v>
      </c>
      <c r="C119" s="183">
        <f t="shared" si="1"/>
        <v>-261.0413463</v>
      </c>
      <c r="D119" s="124" t="str">
        <f>VLOOKUP(A119,'Classement Surp'!$B$2:$B$149,1,0)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18"/>
      <c r="B120" s="103">
        <v>119.0</v>
      </c>
      <c r="C120" s="183">
        <f t="shared" si="1"/>
        <v>-264.4987604</v>
      </c>
      <c r="D120" s="124" t="str">
        <f>VLOOKUP(A120,'Classement Surp'!$B$2:$B$149,1,0)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18"/>
      <c r="B121" s="103">
        <v>120.0</v>
      </c>
      <c r="C121" s="183">
        <f t="shared" si="1"/>
        <v>-267.9451726</v>
      </c>
      <c r="D121" s="124" t="str">
        <f>VLOOKUP(A121,'Classement Surp'!$B$2:$B$149,1,0)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18"/>
      <c r="B122" s="103">
        <v>121.0</v>
      </c>
      <c r="C122" s="183">
        <f t="shared" si="1"/>
        <v>-271.380736</v>
      </c>
      <c r="D122" s="124" t="str">
        <f>VLOOKUP(A122,'Classement Surp'!$B$2:$B$149,1,0)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18"/>
      <c r="B123" s="103">
        <v>122.0</v>
      </c>
      <c r="C123" s="183">
        <f t="shared" si="1"/>
        <v>-274.8056002</v>
      </c>
      <c r="D123" s="124" t="str">
        <f>VLOOKUP(A123,'Classement Surp'!$B$2:$B$149,1,0)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18"/>
      <c r="B124" s="103">
        <v>123.0</v>
      </c>
      <c r="C124" s="183">
        <f t="shared" si="1"/>
        <v>-278.2199114</v>
      </c>
      <c r="D124" s="124" t="str">
        <f>VLOOKUP(A124,'Classement Surp'!$B$2:$B$149,1,0)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18"/>
      <c r="B125" s="103">
        <v>124.0</v>
      </c>
      <c r="C125" s="183">
        <f t="shared" si="1"/>
        <v>-281.6238123</v>
      </c>
      <c r="D125" s="124" t="str">
        <f>VLOOKUP(A125,'Classement Surp'!$B$2:$B$149,1,0)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18"/>
      <c r="B126" s="103">
        <v>125.0</v>
      </c>
      <c r="C126" s="183">
        <f t="shared" si="1"/>
        <v>-285.0174426</v>
      </c>
      <c r="D126" s="124" t="str">
        <f>VLOOKUP(A126,'Classement Surp'!$B$2:$B$149,1,0)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18"/>
      <c r="B127" s="103">
        <v>126.0</v>
      </c>
      <c r="C127" s="183">
        <f t="shared" si="1"/>
        <v>-288.4009387</v>
      </c>
      <c r="D127" s="124" t="str">
        <f>VLOOKUP(A127,'Classement Surp'!$B$2:$B$149,1,0)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18"/>
      <c r="B128" s="103">
        <v>127.0</v>
      </c>
      <c r="C128" s="183">
        <f t="shared" si="1"/>
        <v>-291.774434</v>
      </c>
      <c r="D128" s="124" t="str">
        <f>VLOOKUP(A128,'Classement Surp'!$B$2:$B$149,1,0)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18"/>
      <c r="B129" s="103">
        <v>128.0</v>
      </c>
      <c r="C129" s="183">
        <f t="shared" si="1"/>
        <v>-295.138059</v>
      </c>
      <c r="D129" s="124" t="str">
        <f>VLOOKUP(A129,'Classement Surp'!$B$2:$B$149,1,0)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18"/>
      <c r="B130" s="103">
        <v>129.0</v>
      </c>
      <c r="C130" s="183">
        <f t="shared" si="1"/>
        <v>-298.4919413</v>
      </c>
      <c r="D130" s="124" t="str">
        <f>VLOOKUP(A130,'Classement Surp'!$B$2:$B$149,1,0)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18"/>
      <c r="B131" s="103">
        <v>130.0</v>
      </c>
      <c r="C131" s="183">
        <f t="shared" si="1"/>
        <v>-301.8362057</v>
      </c>
      <c r="D131" s="124" t="str">
        <f>VLOOKUP(A131,'Classement Surp'!$B$2:$B$149,1,0)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18"/>
      <c r="B132" s="103">
        <v>131.0</v>
      </c>
      <c r="C132" s="183">
        <f t="shared" si="1"/>
        <v>-305.1709745</v>
      </c>
      <c r="D132" s="124" t="str">
        <f>VLOOKUP(A132,'Classement Surp'!$B$2:$B$149,1,0)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18"/>
      <c r="B133" s="103">
        <v>132.0</v>
      </c>
      <c r="C133" s="183">
        <f t="shared" si="1"/>
        <v>-308.4963672</v>
      </c>
      <c r="D133" s="124" t="str">
        <f>VLOOKUP(A133,'Classement Surp'!$B$2:$B$149,1,0)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18"/>
      <c r="B134" s="103">
        <v>133.0</v>
      </c>
      <c r="C134" s="183">
        <f t="shared" si="1"/>
        <v>-311.8125009</v>
      </c>
      <c r="D134" s="124" t="str">
        <f>VLOOKUP(A134,'Classement Surp'!$B$2:$B$149,1,0)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18"/>
      <c r="B135" s="103">
        <v>134.0</v>
      </c>
      <c r="C135" s="183">
        <f t="shared" si="1"/>
        <v>-315.1194901</v>
      </c>
      <c r="D135" s="124" t="str">
        <f>VLOOKUP(A135,'Classement Surp'!$B$2:$B$149,1,0)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18"/>
      <c r="B136" s="103">
        <v>135.0</v>
      </c>
      <c r="C136" s="183">
        <f t="shared" si="1"/>
        <v>-318.4174471</v>
      </c>
      <c r="D136" s="124" t="str">
        <f>VLOOKUP(A136,'Classement Surp'!$B$2:$B$149,1,0)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18"/>
      <c r="B137" s="103">
        <v>136.0</v>
      </c>
      <c r="C137" s="183">
        <f t="shared" si="1"/>
        <v>-321.7064817</v>
      </c>
      <c r="D137" s="124" t="str">
        <f>VLOOKUP(A137,'Classement Surp'!$B$2:$B$149,1,0)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18"/>
      <c r="B138" s="103">
        <v>137.0</v>
      </c>
      <c r="C138" s="183">
        <f t="shared" si="1"/>
        <v>-324.9867016</v>
      </c>
      <c r="D138" s="124" t="str">
        <f>VLOOKUP(A138,'Classement Surp'!$B$2:$B$149,1,0)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18"/>
      <c r="B139" s="103">
        <v>138.0</v>
      </c>
      <c r="C139" s="183">
        <f t="shared" si="1"/>
        <v>-328.2582122</v>
      </c>
      <c r="D139" s="124" t="str">
        <f>VLOOKUP(A139,'Classement Surp'!$B$2:$B$149,1,0)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18"/>
      <c r="B140" s="103">
        <v>139.0</v>
      </c>
      <c r="C140" s="183">
        <f t="shared" si="1"/>
        <v>-331.521117</v>
      </c>
      <c r="D140" s="124" t="str">
        <f>VLOOKUP(A140,'Classement Surp'!$B$2:$B$149,1,0)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18"/>
      <c r="B141" s="103">
        <v>140.0</v>
      </c>
      <c r="C141" s="183">
        <f t="shared" si="1"/>
        <v>-334.7755171</v>
      </c>
      <c r="D141" s="124" t="str">
        <f>VLOOKUP(A141,'Classement Surp'!$B$2:$B$149,1,0)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18"/>
      <c r="B142" s="103">
        <v>141.0</v>
      </c>
      <c r="C142" s="183">
        <f t="shared" si="1"/>
        <v>-338.0215118</v>
      </c>
      <c r="D142" s="124" t="str">
        <f>VLOOKUP(A142,'Classement Surp'!$B$2:$B$149,1,0)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18"/>
      <c r="B143" s="103">
        <v>142.0</v>
      </c>
      <c r="C143" s="183">
        <f t="shared" si="1"/>
        <v>-341.2591984</v>
      </c>
      <c r="D143" s="124" t="str">
        <f>VLOOKUP(A143,'Classement Surp'!$B$2:$B$149,1,0)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18"/>
      <c r="B144" s="103">
        <v>143.0</v>
      </c>
      <c r="C144" s="183">
        <f t="shared" si="1"/>
        <v>-344.4886724</v>
      </c>
      <c r="D144" s="124" t="str">
        <f>VLOOKUP(A144,'Classement Surp'!$B$2:$B$149,1,0)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18"/>
      <c r="B145" s="103">
        <v>144.0</v>
      </c>
      <c r="C145" s="183">
        <f t="shared" si="1"/>
        <v>-347.7100273</v>
      </c>
      <c r="D145" s="124" t="str">
        <f>VLOOKUP(A145,'Classement Surp'!$B$2:$B$149,1,0)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18"/>
      <c r="B146" s="103">
        <v>145.0</v>
      </c>
      <c r="C146" s="183">
        <f t="shared" si="1"/>
        <v>-350.9233548</v>
      </c>
      <c r="D146" s="124" t="str">
        <f>VLOOKUP(A146,'Classement Surp'!$B$2:$B$149,1,0)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18"/>
      <c r="B147" s="103">
        <v>146.0</v>
      </c>
      <c r="C147" s="183">
        <f t="shared" si="1"/>
        <v>-354.128745</v>
      </c>
      <c r="D147" s="124" t="str">
        <f>VLOOKUP(A147,'Classement Surp'!$B$2:$B$149,1,0)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18"/>
      <c r="B148" s="103">
        <v>147.0</v>
      </c>
      <c r="C148" s="183">
        <f t="shared" si="1"/>
        <v>-357.3262862</v>
      </c>
      <c r="D148" s="124" t="str">
        <f>VLOOKUP(A148,'Classement Surp'!$B$2:$B$149,1,0)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18"/>
      <c r="B149" s="103">
        <v>148.0</v>
      </c>
      <c r="C149" s="183">
        <f t="shared" si="1"/>
        <v>-360.5160651</v>
      </c>
      <c r="D149" s="124" t="str">
        <f>VLOOKUP(A149,'Classement Surp'!$B$2:$B$149,1,0)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18"/>
      <c r="B150" s="103">
        <v>149.0</v>
      </c>
      <c r="C150" s="183">
        <f t="shared" si="1"/>
        <v>-363.6981665</v>
      </c>
      <c r="D150" s="124" t="str">
        <f>VLOOKUP(A150,'Classement Surp'!$B$2:$B$149,1,0)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18"/>
      <c r="B151" s="103">
        <v>150.0</v>
      </c>
      <c r="C151" s="183">
        <f t="shared" si="1"/>
        <v>-366.8726741</v>
      </c>
      <c r="D151" s="124" t="str">
        <f>VLOOKUP(A151,'Classement Surp'!$B$2:$B$149,1,0)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18"/>
      <c r="B152" s="103">
        <v>151.0</v>
      </c>
      <c r="C152" s="183">
        <f t="shared" si="1"/>
        <v>-370.0396697</v>
      </c>
      <c r="D152" s="124" t="str">
        <f>VLOOKUP(A152,'Classement Surp'!$B$2:$B$149,1,0)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18"/>
      <c r="B153" s="103">
        <v>152.0</v>
      </c>
      <c r="C153" s="183">
        <f t="shared" si="1"/>
        <v>-373.1992337</v>
      </c>
      <c r="D153" s="124" t="str">
        <f>VLOOKUP(A153,'Classement Surp'!$B$2:$B$149,1,0)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18"/>
      <c r="B154" s="103">
        <v>153.0</v>
      </c>
      <c r="C154" s="183">
        <f t="shared" si="1"/>
        <v>-376.3514452</v>
      </c>
      <c r="D154" s="124" t="str">
        <f>VLOOKUP(A154,'Classement Surp'!$B$2:$B$149,1,0)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18"/>
      <c r="B155" s="103">
        <v>154.0</v>
      </c>
      <c r="C155" s="183">
        <f t="shared" si="1"/>
        <v>-379.4963816</v>
      </c>
      <c r="D155" s="124" t="str">
        <f>VLOOKUP(A155,'Classement Surp'!$B$2:$B$149,1,0)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18"/>
      <c r="B156" s="103">
        <v>155.0</v>
      </c>
      <c r="C156" s="183">
        <f t="shared" si="1"/>
        <v>-382.6341191</v>
      </c>
      <c r="D156" s="124" t="str">
        <f>VLOOKUP(A156,'Classement Surp'!$B$2:$B$149,1,0)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18"/>
      <c r="B157" s="103">
        <v>156.0</v>
      </c>
      <c r="C157" s="183">
        <f t="shared" si="1"/>
        <v>-385.7647325</v>
      </c>
      <c r="D157" s="124" t="str">
        <f>VLOOKUP(A157,'Classement Surp'!$B$2:$B$149,1,0)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18"/>
      <c r="B158" s="103">
        <v>157.0</v>
      </c>
      <c r="C158" s="183">
        <f t="shared" si="1"/>
        <v>-388.8882953</v>
      </c>
      <c r="D158" s="124" t="str">
        <f>VLOOKUP(A158,'Classement Surp'!$B$2:$B$149,1,0)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18"/>
      <c r="B159" s="103">
        <v>158.0</v>
      </c>
      <c r="C159" s="183">
        <f t="shared" si="1"/>
        <v>-392.0048796</v>
      </c>
      <c r="D159" s="124" t="str">
        <f>VLOOKUP(A159,'Classement Surp'!$B$2:$B$149,1,0)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18"/>
      <c r="B160" s="103">
        <v>159.0</v>
      </c>
      <c r="C160" s="183">
        <f t="shared" si="1"/>
        <v>-395.1145565</v>
      </c>
      <c r="D160" s="124" t="str">
        <f>VLOOKUP(A160,'Classement Surp'!$B$2:$B$149,1,0)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84"/>
      <c r="B161" s="185">
        <v>160.0</v>
      </c>
      <c r="C161" s="186">
        <f t="shared" si="1"/>
        <v>-398.2173957</v>
      </c>
      <c r="D161" s="124" t="str">
        <f>VLOOKUP(A161,'Classement Surp'!$B$2:$B$149,1,0)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A162" s="187"/>
      <c r="B162" s="128"/>
    </row>
    <row r="163" ht="14.25" customHeight="1">
      <c r="A163" s="187"/>
      <c r="B163" s="128"/>
    </row>
    <row r="164" ht="14.25" customHeight="1">
      <c r="A164" s="187"/>
      <c r="B164" s="128"/>
    </row>
    <row r="165" ht="14.25" customHeight="1">
      <c r="A165" s="187"/>
      <c r="B165" s="128"/>
    </row>
    <row r="166" ht="14.25" customHeight="1">
      <c r="A166" s="187"/>
      <c r="B166" s="128"/>
    </row>
    <row r="167" ht="14.25" customHeight="1">
      <c r="A167" s="187"/>
      <c r="B167" s="128"/>
    </row>
    <row r="168" ht="14.25" customHeight="1">
      <c r="A168" s="187"/>
      <c r="B168" s="128"/>
    </row>
    <row r="169" ht="14.25" customHeight="1">
      <c r="A169" s="187"/>
      <c r="B169" s="128"/>
    </row>
    <row r="170" ht="14.25" customHeight="1">
      <c r="A170" s="187"/>
      <c r="B170" s="128"/>
    </row>
    <row r="171" ht="14.25" customHeight="1">
      <c r="A171" s="187"/>
      <c r="B171" s="128"/>
    </row>
    <row r="172" ht="14.25" customHeight="1">
      <c r="A172" s="187"/>
      <c r="B172" s="128"/>
    </row>
    <row r="173" ht="14.25" customHeight="1">
      <c r="A173" s="187"/>
      <c r="B173" s="128"/>
    </row>
    <row r="174" ht="14.25" customHeight="1">
      <c r="A174" s="187"/>
      <c r="B174" s="128"/>
    </row>
    <row r="175" ht="14.25" customHeight="1">
      <c r="A175" s="187"/>
      <c r="B175" s="128"/>
    </row>
    <row r="176" ht="14.25" customHeight="1">
      <c r="A176" s="187"/>
      <c r="B176" s="128"/>
    </row>
    <row r="177" ht="14.25" customHeight="1">
      <c r="A177" s="187"/>
      <c r="B177" s="128"/>
    </row>
    <row r="178" ht="14.25" customHeight="1">
      <c r="A178" s="187"/>
      <c r="B178" s="128"/>
    </row>
    <row r="179" ht="14.25" customHeight="1">
      <c r="A179" s="187"/>
      <c r="B179" s="128"/>
    </row>
    <row r="180" ht="14.25" customHeight="1">
      <c r="A180" s="187"/>
      <c r="B180" s="128"/>
    </row>
    <row r="181" ht="14.25" customHeight="1">
      <c r="A181" s="187"/>
      <c r="B181" s="128"/>
    </row>
    <row r="182" ht="14.25" customHeight="1">
      <c r="A182" s="187"/>
      <c r="B182" s="128"/>
    </row>
    <row r="183" ht="14.25" customHeight="1">
      <c r="A183" s="187"/>
      <c r="B183" s="128"/>
    </row>
    <row r="184" ht="14.25" customHeight="1">
      <c r="A184" s="187"/>
      <c r="B184" s="128"/>
    </row>
    <row r="185" ht="14.25" customHeight="1">
      <c r="A185" s="187"/>
      <c r="B185" s="128"/>
    </row>
    <row r="186" ht="14.25" customHeight="1">
      <c r="A186" s="187"/>
      <c r="B186" s="128"/>
    </row>
    <row r="187" ht="14.25" customHeight="1">
      <c r="A187" s="187"/>
      <c r="B187" s="128"/>
    </row>
    <row r="188" ht="14.25" customHeight="1">
      <c r="A188" s="187"/>
      <c r="B188" s="128"/>
    </row>
    <row r="189" ht="14.25" customHeight="1">
      <c r="A189" s="187"/>
      <c r="B189" s="128"/>
    </row>
    <row r="190" ht="14.25" customHeight="1">
      <c r="A190" s="187"/>
      <c r="B190" s="128"/>
    </row>
    <row r="191" ht="14.25" customHeight="1">
      <c r="A191" s="187"/>
      <c r="B191" s="128"/>
    </row>
    <row r="192" ht="14.25" customHeight="1">
      <c r="A192" s="187"/>
      <c r="B192" s="128"/>
    </row>
    <row r="193" ht="14.25" customHeight="1">
      <c r="A193" s="187"/>
      <c r="B193" s="128"/>
    </row>
    <row r="194" ht="14.25" customHeight="1">
      <c r="A194" s="187"/>
      <c r="B194" s="128"/>
    </row>
    <row r="195" ht="14.25" customHeight="1">
      <c r="A195" s="187"/>
      <c r="B195" s="128"/>
    </row>
    <row r="196" ht="14.25" customHeight="1">
      <c r="A196" s="187"/>
      <c r="B196" s="128"/>
    </row>
    <row r="197" ht="14.25" customHeight="1">
      <c r="A197" s="187"/>
      <c r="B197" s="128"/>
    </row>
    <row r="198" ht="14.25" customHeight="1">
      <c r="A198" s="187"/>
      <c r="B198" s="128"/>
    </row>
    <row r="199" ht="14.25" customHeight="1">
      <c r="A199" s="187"/>
      <c r="B199" s="128"/>
    </row>
    <row r="200" ht="14.25" customHeight="1">
      <c r="A200" s="187"/>
      <c r="B200" s="128"/>
    </row>
    <row r="201" ht="14.25" customHeight="1">
      <c r="A201" s="187"/>
      <c r="B201" s="128"/>
    </row>
    <row r="202" ht="14.25" customHeight="1">
      <c r="A202" s="187"/>
      <c r="B202" s="128"/>
    </row>
    <row r="203" ht="14.25" customHeight="1">
      <c r="A203" s="187"/>
      <c r="B203" s="128"/>
    </row>
    <row r="204" ht="14.25" customHeight="1">
      <c r="A204" s="187"/>
      <c r="B204" s="128"/>
    </row>
    <row r="205" ht="14.25" customHeight="1">
      <c r="A205" s="187"/>
      <c r="B205" s="128"/>
    </row>
    <row r="206" ht="14.25" customHeight="1">
      <c r="A206" s="187"/>
      <c r="B206" s="128"/>
    </row>
    <row r="207" ht="14.25" customHeight="1">
      <c r="A207" s="187"/>
      <c r="B207" s="128"/>
    </row>
    <row r="208" ht="14.25" customHeight="1">
      <c r="A208" s="187"/>
      <c r="B208" s="128"/>
    </row>
    <row r="209" ht="14.25" customHeight="1">
      <c r="A209" s="187"/>
      <c r="B209" s="128"/>
    </row>
    <row r="210" ht="14.25" customHeight="1">
      <c r="A210" s="187"/>
      <c r="B210" s="128"/>
    </row>
    <row r="211" ht="14.25" customHeight="1">
      <c r="A211" s="187"/>
      <c r="B211" s="128"/>
    </row>
    <row r="212" ht="14.25" customHeight="1">
      <c r="A212" s="187"/>
      <c r="B212" s="128"/>
    </row>
    <row r="213" ht="14.25" customHeight="1">
      <c r="A213" s="187"/>
      <c r="B213" s="128"/>
    </row>
    <row r="214" ht="14.25" customHeight="1">
      <c r="A214" s="187"/>
      <c r="B214" s="128"/>
    </row>
    <row r="215" ht="14.25" customHeight="1">
      <c r="A215" s="187"/>
      <c r="B215" s="128"/>
    </row>
    <row r="216" ht="14.25" customHeight="1">
      <c r="A216" s="187"/>
      <c r="B216" s="128"/>
    </row>
    <row r="217" ht="14.25" customHeight="1">
      <c r="A217" s="187"/>
      <c r="B217" s="128"/>
    </row>
    <row r="218" ht="14.25" customHeight="1">
      <c r="A218" s="187"/>
      <c r="B218" s="128"/>
    </row>
    <row r="219" ht="14.25" customHeight="1">
      <c r="A219" s="187"/>
      <c r="B219" s="128"/>
    </row>
    <row r="220" ht="14.25" customHeight="1">
      <c r="A220" s="187"/>
      <c r="B220" s="128"/>
    </row>
    <row r="221" ht="14.25" customHeight="1">
      <c r="A221" s="187"/>
      <c r="B221" s="128"/>
    </row>
    <row r="222" ht="14.25" customHeight="1">
      <c r="A222" s="187"/>
      <c r="B222" s="128"/>
    </row>
    <row r="223" ht="14.25" customHeight="1">
      <c r="A223" s="187"/>
      <c r="B223" s="128"/>
    </row>
    <row r="224" ht="14.25" customHeight="1">
      <c r="A224" s="187"/>
      <c r="B224" s="128"/>
    </row>
    <row r="225" ht="14.25" customHeight="1">
      <c r="A225" s="187"/>
      <c r="B225" s="128"/>
    </row>
    <row r="226" ht="14.25" customHeight="1">
      <c r="A226" s="187"/>
      <c r="B226" s="128"/>
    </row>
    <row r="227" ht="14.25" customHeight="1">
      <c r="A227" s="187"/>
      <c r="B227" s="128"/>
    </row>
    <row r="228" ht="14.25" customHeight="1">
      <c r="A228" s="187"/>
      <c r="B228" s="128"/>
    </row>
    <row r="229" ht="14.25" customHeight="1">
      <c r="A229" s="187"/>
      <c r="B229" s="128"/>
    </row>
    <row r="230" ht="14.25" customHeight="1">
      <c r="A230" s="187"/>
      <c r="B230" s="128"/>
    </row>
    <row r="231" ht="14.25" customHeight="1">
      <c r="A231" s="187"/>
      <c r="B231" s="128"/>
    </row>
    <row r="232" ht="14.25" customHeight="1">
      <c r="A232" s="187"/>
      <c r="B232" s="128"/>
    </row>
    <row r="233" ht="14.25" customHeight="1">
      <c r="A233" s="187"/>
      <c r="B233" s="128"/>
    </row>
    <row r="234" ht="14.25" customHeight="1">
      <c r="A234" s="187"/>
      <c r="B234" s="128"/>
    </row>
    <row r="235" ht="14.25" customHeight="1">
      <c r="A235" s="187"/>
      <c r="B235" s="128"/>
    </row>
    <row r="236" ht="14.25" customHeight="1">
      <c r="A236" s="187"/>
      <c r="B236" s="128"/>
    </row>
    <row r="237" ht="14.25" customHeight="1">
      <c r="A237" s="187"/>
      <c r="B237" s="128"/>
    </row>
    <row r="238" ht="14.25" customHeight="1">
      <c r="A238" s="187"/>
      <c r="B238" s="128"/>
    </row>
    <row r="239" ht="14.25" customHeight="1">
      <c r="A239" s="187"/>
      <c r="B239" s="128"/>
    </row>
    <row r="240" ht="14.25" customHeight="1">
      <c r="A240" s="187"/>
      <c r="B240" s="128"/>
    </row>
    <row r="241" ht="14.25" customHeight="1">
      <c r="A241" s="187"/>
      <c r="B241" s="128"/>
    </row>
    <row r="242" ht="14.25" customHeight="1">
      <c r="A242" s="187"/>
      <c r="B242" s="128"/>
    </row>
    <row r="243" ht="14.25" customHeight="1">
      <c r="A243" s="187"/>
      <c r="B243" s="128"/>
    </row>
    <row r="244" ht="14.25" customHeight="1">
      <c r="A244" s="187"/>
      <c r="B244" s="128"/>
    </row>
    <row r="245" ht="14.25" customHeight="1">
      <c r="A245" s="187"/>
      <c r="B245" s="128"/>
    </row>
    <row r="246" ht="14.25" customHeight="1">
      <c r="A246" s="187"/>
      <c r="B246" s="128"/>
    </row>
    <row r="247" ht="14.25" customHeight="1">
      <c r="A247" s="187"/>
      <c r="B247" s="128"/>
    </row>
    <row r="248" ht="14.25" customHeight="1">
      <c r="A248" s="187"/>
      <c r="B248" s="128"/>
    </row>
    <row r="249" ht="14.25" customHeight="1">
      <c r="A249" s="187"/>
      <c r="B249" s="128"/>
    </row>
    <row r="250" ht="14.25" customHeight="1">
      <c r="A250" s="187"/>
      <c r="B250" s="128"/>
    </row>
    <row r="251" ht="14.25" customHeight="1">
      <c r="A251" s="187"/>
      <c r="B251" s="128"/>
    </row>
    <row r="252" ht="14.25" customHeight="1">
      <c r="A252" s="187"/>
      <c r="B252" s="128"/>
    </row>
    <row r="253" ht="14.25" customHeight="1">
      <c r="A253" s="187"/>
      <c r="B253" s="128"/>
    </row>
    <row r="254" ht="14.25" customHeight="1">
      <c r="A254" s="187"/>
      <c r="B254" s="128"/>
    </row>
    <row r="255" ht="14.25" customHeight="1">
      <c r="A255" s="187"/>
      <c r="B255" s="128"/>
    </row>
    <row r="256" ht="14.25" customHeight="1">
      <c r="A256" s="187"/>
      <c r="B256" s="128"/>
    </row>
    <row r="257" ht="14.25" customHeight="1">
      <c r="A257" s="187"/>
      <c r="B257" s="128"/>
    </row>
    <row r="258" ht="14.25" customHeight="1">
      <c r="A258" s="187"/>
      <c r="B258" s="128"/>
    </row>
    <row r="259" ht="14.25" customHeight="1">
      <c r="A259" s="187"/>
      <c r="B259" s="128"/>
    </row>
    <row r="260" ht="14.25" customHeight="1">
      <c r="A260" s="187"/>
      <c r="B260" s="128"/>
    </row>
    <row r="261" ht="14.25" customHeight="1">
      <c r="A261" s="187"/>
      <c r="B261" s="128"/>
    </row>
    <row r="262" ht="14.25" customHeight="1">
      <c r="A262" s="187"/>
      <c r="B262" s="128"/>
    </row>
    <row r="263" ht="14.25" customHeight="1">
      <c r="A263" s="187"/>
      <c r="B263" s="128"/>
    </row>
    <row r="264" ht="14.25" customHeight="1">
      <c r="A264" s="187"/>
      <c r="B264" s="128"/>
    </row>
    <row r="265" ht="14.25" customHeight="1">
      <c r="A265" s="187"/>
      <c r="B265" s="128"/>
    </row>
    <row r="266" ht="14.25" customHeight="1">
      <c r="A266" s="187"/>
      <c r="B266" s="128"/>
    </row>
    <row r="267" ht="14.25" customHeight="1">
      <c r="A267" s="187"/>
      <c r="B267" s="128"/>
    </row>
    <row r="268" ht="14.25" customHeight="1">
      <c r="A268" s="187"/>
      <c r="B268" s="128"/>
    </row>
    <row r="269" ht="14.25" customHeight="1">
      <c r="A269" s="187"/>
      <c r="B269" s="128"/>
    </row>
    <row r="270" ht="14.25" customHeight="1">
      <c r="A270" s="187"/>
      <c r="B270" s="128"/>
    </row>
    <row r="271" ht="14.25" customHeight="1">
      <c r="A271" s="187"/>
      <c r="B271" s="128"/>
    </row>
    <row r="272" ht="14.25" customHeight="1">
      <c r="A272" s="187"/>
      <c r="B272" s="128"/>
    </row>
    <row r="273" ht="14.25" customHeight="1">
      <c r="A273" s="187"/>
      <c r="B273" s="128"/>
    </row>
    <row r="274" ht="14.25" customHeight="1">
      <c r="A274" s="187"/>
      <c r="B274" s="128"/>
    </row>
    <row r="275" ht="14.25" customHeight="1">
      <c r="A275" s="187"/>
      <c r="B275" s="128"/>
    </row>
    <row r="276" ht="14.25" customHeight="1">
      <c r="A276" s="187"/>
      <c r="B276" s="128"/>
    </row>
    <row r="277" ht="14.25" customHeight="1">
      <c r="A277" s="187"/>
      <c r="B277" s="128"/>
    </row>
    <row r="278" ht="14.25" customHeight="1">
      <c r="A278" s="187"/>
      <c r="B278" s="128"/>
    </row>
    <row r="279" ht="14.25" customHeight="1">
      <c r="A279" s="187"/>
      <c r="B279" s="128"/>
    </row>
    <row r="280" ht="14.25" customHeight="1">
      <c r="A280" s="187"/>
      <c r="B280" s="128"/>
    </row>
    <row r="281" ht="14.25" customHeight="1">
      <c r="A281" s="187"/>
      <c r="B281" s="128"/>
    </row>
    <row r="282" ht="14.25" customHeight="1">
      <c r="A282" s="187"/>
      <c r="B282" s="128"/>
    </row>
    <row r="283" ht="14.25" customHeight="1">
      <c r="A283" s="187"/>
      <c r="B283" s="128"/>
    </row>
    <row r="284" ht="14.25" customHeight="1">
      <c r="A284" s="187"/>
      <c r="B284" s="128"/>
    </row>
    <row r="285" ht="14.25" customHeight="1">
      <c r="A285" s="187"/>
      <c r="B285" s="128"/>
    </row>
    <row r="286" ht="14.25" customHeight="1">
      <c r="A286" s="187"/>
      <c r="B286" s="128"/>
    </row>
    <row r="287" ht="14.25" customHeight="1">
      <c r="A287" s="187"/>
      <c r="B287" s="128"/>
    </row>
    <row r="288" ht="14.25" customHeight="1">
      <c r="A288" s="187"/>
      <c r="B288" s="128"/>
    </row>
    <row r="289" ht="14.25" customHeight="1">
      <c r="A289" s="187"/>
      <c r="B289" s="128"/>
    </row>
    <row r="290" ht="14.25" customHeight="1">
      <c r="A290" s="187"/>
      <c r="B290" s="128"/>
    </row>
    <row r="291" ht="14.25" customHeight="1">
      <c r="A291" s="187"/>
      <c r="B291" s="128"/>
    </row>
    <row r="292" ht="14.25" customHeight="1">
      <c r="A292" s="187"/>
      <c r="B292" s="128"/>
    </row>
    <row r="293" ht="14.25" customHeight="1">
      <c r="A293" s="187"/>
      <c r="B293" s="128"/>
    </row>
    <row r="294" ht="14.25" customHeight="1">
      <c r="A294" s="187"/>
      <c r="B294" s="128"/>
    </row>
    <row r="295" ht="14.25" customHeight="1">
      <c r="A295" s="187"/>
      <c r="B295" s="128"/>
    </row>
    <row r="296" ht="14.25" customHeight="1">
      <c r="A296" s="187"/>
      <c r="B296" s="128"/>
    </row>
    <row r="297" ht="14.25" customHeight="1">
      <c r="A297" s="187"/>
      <c r="B297" s="128"/>
    </row>
    <row r="298" ht="14.25" customHeight="1">
      <c r="A298" s="187"/>
      <c r="B298" s="128"/>
    </row>
    <row r="299" ht="14.25" customHeight="1">
      <c r="A299" s="187"/>
      <c r="B299" s="128"/>
    </row>
    <row r="300" ht="14.25" customHeight="1">
      <c r="A300" s="187"/>
      <c r="B300" s="128"/>
    </row>
    <row r="301" ht="14.25" customHeight="1">
      <c r="A301" s="187"/>
      <c r="B301" s="128"/>
    </row>
    <row r="302" ht="14.25" customHeight="1">
      <c r="A302" s="187"/>
      <c r="B302" s="128"/>
    </row>
    <row r="303" ht="14.25" customHeight="1">
      <c r="A303" s="187"/>
      <c r="B303" s="128"/>
    </row>
    <row r="304" ht="14.25" customHeight="1">
      <c r="A304" s="187"/>
      <c r="B304" s="128"/>
    </row>
    <row r="305" ht="14.25" customHeight="1">
      <c r="A305" s="187"/>
      <c r="B305" s="128"/>
    </row>
    <row r="306" ht="14.25" customHeight="1">
      <c r="A306" s="187"/>
      <c r="B306" s="128"/>
    </row>
    <row r="307" ht="14.25" customHeight="1">
      <c r="A307" s="187"/>
      <c r="B307" s="128"/>
    </row>
    <row r="308" ht="14.25" customHeight="1">
      <c r="A308" s="187"/>
      <c r="B308" s="128"/>
    </row>
    <row r="309" ht="14.25" customHeight="1">
      <c r="A309" s="187"/>
      <c r="B309" s="128"/>
    </row>
    <row r="310" ht="14.25" customHeight="1">
      <c r="A310" s="187"/>
      <c r="B310" s="128"/>
    </row>
    <row r="311" ht="14.25" customHeight="1">
      <c r="A311" s="187"/>
      <c r="B311" s="128"/>
    </row>
    <row r="312" ht="14.25" customHeight="1">
      <c r="A312" s="187"/>
      <c r="B312" s="128"/>
    </row>
    <row r="313" ht="14.25" customHeight="1">
      <c r="A313" s="187"/>
      <c r="B313" s="128"/>
    </row>
    <row r="314" ht="14.25" customHeight="1">
      <c r="A314" s="187"/>
      <c r="B314" s="128"/>
    </row>
    <row r="315" ht="14.25" customHeight="1">
      <c r="A315" s="187"/>
      <c r="B315" s="128"/>
    </row>
    <row r="316" ht="14.25" customHeight="1">
      <c r="A316" s="187"/>
      <c r="B316" s="128"/>
    </row>
    <row r="317" ht="14.25" customHeight="1">
      <c r="A317" s="187"/>
      <c r="B317" s="128"/>
    </row>
    <row r="318" ht="14.25" customHeight="1">
      <c r="A318" s="187"/>
      <c r="B318" s="128"/>
    </row>
    <row r="319" ht="14.25" customHeight="1">
      <c r="A319" s="187"/>
      <c r="B319" s="128"/>
    </row>
    <row r="320" ht="14.25" customHeight="1">
      <c r="A320" s="187"/>
      <c r="B320" s="128"/>
    </row>
    <row r="321" ht="14.25" customHeight="1">
      <c r="A321" s="187"/>
      <c r="B321" s="128"/>
    </row>
    <row r="322" ht="14.25" customHeight="1">
      <c r="A322" s="187"/>
      <c r="B322" s="128"/>
    </row>
    <row r="323" ht="14.25" customHeight="1">
      <c r="A323" s="187"/>
      <c r="B323" s="128"/>
    </row>
    <row r="324" ht="14.25" customHeight="1">
      <c r="A324" s="187"/>
      <c r="B324" s="128"/>
    </row>
    <row r="325" ht="14.25" customHeight="1">
      <c r="A325" s="187"/>
      <c r="B325" s="128"/>
    </row>
    <row r="326" ht="14.25" customHeight="1">
      <c r="A326" s="187"/>
      <c r="B326" s="128"/>
    </row>
    <row r="327" ht="14.25" customHeight="1">
      <c r="A327" s="187"/>
      <c r="B327" s="128"/>
    </row>
    <row r="328" ht="14.25" customHeight="1">
      <c r="A328" s="187"/>
      <c r="B328" s="128"/>
    </row>
    <row r="329" ht="14.25" customHeight="1">
      <c r="A329" s="187"/>
      <c r="B329" s="128"/>
    </row>
    <row r="330" ht="14.25" customHeight="1">
      <c r="A330" s="187"/>
      <c r="B330" s="128"/>
    </row>
    <row r="331" ht="14.25" customHeight="1">
      <c r="A331" s="187"/>
      <c r="B331" s="128"/>
    </row>
    <row r="332" ht="14.25" customHeight="1">
      <c r="A332" s="187"/>
      <c r="B332" s="128"/>
    </row>
    <row r="333" ht="14.25" customHeight="1">
      <c r="A333" s="187"/>
      <c r="B333" s="128"/>
    </row>
    <row r="334" ht="14.25" customHeight="1">
      <c r="A334" s="187"/>
      <c r="B334" s="128"/>
    </row>
    <row r="335" ht="14.25" customHeight="1">
      <c r="A335" s="187"/>
      <c r="B335" s="128"/>
    </row>
    <row r="336" ht="14.25" customHeight="1">
      <c r="A336" s="187"/>
      <c r="B336" s="128"/>
    </row>
    <row r="337" ht="14.25" customHeight="1">
      <c r="A337" s="187"/>
      <c r="B337" s="128"/>
    </row>
    <row r="338" ht="14.25" customHeight="1">
      <c r="A338" s="187"/>
      <c r="B338" s="128"/>
    </row>
    <row r="339" ht="14.25" customHeight="1">
      <c r="A339" s="187"/>
      <c r="B339" s="128"/>
    </row>
    <row r="340" ht="14.25" customHeight="1">
      <c r="A340" s="187"/>
      <c r="B340" s="128"/>
    </row>
    <row r="341" ht="14.25" customHeight="1">
      <c r="A341" s="187"/>
      <c r="B341" s="128"/>
    </row>
    <row r="342" ht="14.25" customHeight="1">
      <c r="A342" s="187"/>
      <c r="B342" s="128"/>
    </row>
    <row r="343" ht="14.25" customHeight="1">
      <c r="A343" s="187"/>
      <c r="B343" s="128"/>
    </row>
    <row r="344" ht="14.25" customHeight="1">
      <c r="A344" s="187"/>
      <c r="B344" s="128"/>
    </row>
    <row r="345" ht="14.25" customHeight="1">
      <c r="A345" s="187"/>
      <c r="B345" s="128"/>
    </row>
    <row r="346" ht="14.25" customHeight="1">
      <c r="A346" s="187"/>
      <c r="B346" s="128"/>
    </row>
    <row r="347" ht="14.25" customHeight="1">
      <c r="A347" s="187"/>
      <c r="B347" s="128"/>
    </row>
    <row r="348" ht="14.25" customHeight="1">
      <c r="A348" s="187"/>
      <c r="B348" s="128"/>
    </row>
    <row r="349" ht="14.25" customHeight="1">
      <c r="A349" s="187"/>
      <c r="B349" s="128"/>
    </row>
    <row r="350" ht="14.25" customHeight="1">
      <c r="A350" s="187"/>
      <c r="B350" s="128"/>
    </row>
    <row r="351" ht="14.25" customHeight="1">
      <c r="A351" s="187"/>
      <c r="B351" s="128"/>
    </row>
    <row r="352" ht="14.25" customHeight="1">
      <c r="A352" s="187"/>
      <c r="B352" s="128"/>
    </row>
    <row r="353" ht="14.25" customHeight="1">
      <c r="A353" s="187"/>
      <c r="B353" s="128"/>
    </row>
    <row r="354" ht="14.25" customHeight="1">
      <c r="A354" s="187"/>
      <c r="B354" s="128"/>
    </row>
    <row r="355" ht="14.25" customHeight="1">
      <c r="A355" s="187"/>
      <c r="B355" s="128"/>
    </row>
    <row r="356" ht="14.25" customHeight="1">
      <c r="A356" s="187"/>
      <c r="B356" s="128"/>
    </row>
    <row r="357" ht="14.25" customHeight="1">
      <c r="A357" s="187"/>
      <c r="B357" s="128"/>
    </row>
    <row r="358" ht="14.25" customHeight="1">
      <c r="A358" s="187"/>
      <c r="B358" s="128"/>
    </row>
    <row r="359" ht="14.25" customHeight="1">
      <c r="A359" s="187"/>
      <c r="B359" s="128"/>
    </row>
    <row r="360" ht="14.25" customHeight="1">
      <c r="A360" s="187"/>
      <c r="B360" s="128"/>
    </row>
    <row r="361" ht="14.25" customHeight="1">
      <c r="A361" s="187"/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3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9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56</v>
      </c>
    </row>
    <row r="2" ht="14.25" customHeight="1">
      <c r="A2" s="118" t="str">
        <f>IFERROR(__xludf.DUMMYFUNCTION(" IMPORTRANGE(""https://docs.google.com/spreadsheets/d/1XMGTBeBvPeMXJI92jlDxlLgJfyMsm4f4x0jjSYroQaI/edit#gid=1444344404"",""Surprise!A2:A161"")"),"erniedog56x")</f>
        <v>erniedog56x</v>
      </c>
      <c r="B2" s="103">
        <v>1.0</v>
      </c>
      <c r="C2" s="183">
        <f t="shared" ref="C2:C161" si="1">260*(1-(B2/($H$1+1)))*POWER((SQRT(($H$1+1)/B2)),1/2)</f>
        <v>701.8676622</v>
      </c>
      <c r="D2" s="124" t="str">
        <f>VLOOKUP(A2,'Classement Surp'!$B$2:$B$149,1,0)</f>
        <v>erniedog56x</v>
      </c>
      <c r="E2" s="125" t="str">
        <f t="shared" ref="E2:E161" si="2">IF(D2=A2,"","erreur")</f>
        <v/>
      </c>
      <c r="F2" s="120" t="str">
        <f>VLOOKUP(A2,'Classement Général'!$B$2:$B$146,1,0)</f>
        <v>erniedog56x</v>
      </c>
    </row>
    <row r="3" ht="14.25" customHeight="1">
      <c r="A3" s="118" t="str">
        <f>IFERROR(__xludf.DUMMYFUNCTION("""COMPUTED_VALUE"""),"immond")</f>
        <v>immond</v>
      </c>
      <c r="B3" s="103">
        <v>2.0</v>
      </c>
      <c r="C3" s="183">
        <f t="shared" si="1"/>
        <v>579.6587511</v>
      </c>
      <c r="D3" s="124" t="str">
        <f>VLOOKUP(A3,'Classement Surp'!$B$2:$B$149,1,0)</f>
        <v>immond</v>
      </c>
      <c r="E3" s="125" t="str">
        <f t="shared" si="2"/>
        <v/>
      </c>
      <c r="F3" s="120" t="str">
        <f>VLOOKUP(A3,'Classement Général'!$B$2:$B$146,1,0)</f>
        <v>immond</v>
      </c>
    </row>
    <row r="4" ht="14.25" customHeight="1">
      <c r="A4" s="118" t="str">
        <f>IFERROR(__xludf.DUMMYFUNCTION("""COMPUTED_VALUE"""),"Le_Pictavien")</f>
        <v>Le_Pictavien</v>
      </c>
      <c r="B4" s="103">
        <v>3.0</v>
      </c>
      <c r="C4" s="183">
        <f t="shared" si="1"/>
        <v>514.2575215</v>
      </c>
      <c r="D4" s="124" t="str">
        <f>VLOOKUP(A4,'Classement Surp'!$B$2:$B$149,1,0)</f>
        <v>Le_Pictavien</v>
      </c>
      <c r="E4" s="125" t="str">
        <f t="shared" si="2"/>
        <v/>
      </c>
      <c r="F4" s="120" t="str">
        <f>VLOOKUP(A4,'Classement Général'!$B$2:$B$146,1,0)</f>
        <v>Le_Pictavien</v>
      </c>
    </row>
    <row r="5" ht="14.25" customHeight="1">
      <c r="A5" s="118" t="str">
        <f>IFERROR(__xludf.DUMMYFUNCTION("""COMPUTED_VALUE"""),"_VisMaVie_")</f>
        <v>_VisMaVie_</v>
      </c>
      <c r="B5" s="103">
        <v>4.0</v>
      </c>
      <c r="C5" s="183">
        <f t="shared" si="1"/>
        <v>469.7081308</v>
      </c>
      <c r="D5" s="124" t="str">
        <f>VLOOKUP(A5,'Classement Surp'!$B$2:$B$149,1,0)</f>
        <v>_VisMaVie_</v>
      </c>
      <c r="E5" s="125" t="str">
        <f t="shared" si="2"/>
        <v/>
      </c>
      <c r="F5" s="120" t="str">
        <f>VLOOKUP(A5,'Classement Général'!$B$2:$B$146,1,0)</f>
        <v>_VisMaVie_</v>
      </c>
    </row>
    <row r="6" ht="14.25" customHeight="1">
      <c r="A6" s="118" t="str">
        <f>IFERROR(__xludf.DUMMYFUNCTION("""COMPUTED_VALUE"""),"Dirty Bazaar")</f>
        <v>Dirty Bazaar</v>
      </c>
      <c r="B6" s="103">
        <v>5.0</v>
      </c>
      <c r="C6" s="183">
        <f t="shared" si="1"/>
        <v>435.8409663</v>
      </c>
      <c r="D6" s="124" t="str">
        <f>VLOOKUP(A6,'Classement Surp'!$B$2:$B$149,1,0)</f>
        <v>Dirty Bazaar</v>
      </c>
      <c r="E6" s="125" t="str">
        <f t="shared" si="2"/>
        <v/>
      </c>
      <c r="F6" s="120" t="str">
        <f>VLOOKUP(A6,'Classement Général'!$B$2:$B$146,1,0)</f>
        <v>Dirty Bazaar</v>
      </c>
    </row>
    <row r="7" ht="14.25" customHeight="1">
      <c r="A7" s="118" t="str">
        <f>IFERROR(__xludf.DUMMYFUNCTION("""COMPUTED_VALUE"""),"Elfy")</f>
        <v>Elfy</v>
      </c>
      <c r="B7" s="103">
        <v>6.0</v>
      </c>
      <c r="C7" s="183">
        <f t="shared" si="1"/>
        <v>408.4130115</v>
      </c>
      <c r="D7" s="124" t="str">
        <f>VLOOKUP(A7,'Classement Surp'!$B$2:$B$149,1,0)</f>
        <v>Elfy</v>
      </c>
      <c r="E7" s="125" t="str">
        <f t="shared" si="2"/>
        <v/>
      </c>
      <c r="F7" s="120" t="str">
        <f>VLOOKUP(A7,'Classement Général'!$B$2:$B$146,1,0)</f>
        <v>Elfy</v>
      </c>
    </row>
    <row r="8" ht="14.25" customHeight="1">
      <c r="A8" s="118" t="str">
        <f>IFERROR(__xludf.DUMMYFUNCTION("""COMPUTED_VALUE"""),"8kinder6")</f>
        <v>8kinder6</v>
      </c>
      <c r="B8" s="103">
        <v>7.0</v>
      </c>
      <c r="C8" s="183">
        <f t="shared" si="1"/>
        <v>385.267789</v>
      </c>
      <c r="D8" s="124" t="str">
        <f>VLOOKUP(A8,'Classement Surp'!$B$2:$B$149,1,0)</f>
        <v>8kinder6</v>
      </c>
      <c r="E8" s="125" t="str">
        <f t="shared" si="2"/>
        <v/>
      </c>
      <c r="F8" s="120" t="str">
        <f>VLOOKUP(A8,'Classement Général'!$B$2:$B$146,1,0)</f>
        <v>8kinder6</v>
      </c>
    </row>
    <row r="9" ht="14.25" customHeight="1">
      <c r="A9" s="118" t="str">
        <f>IFERROR(__xludf.DUMMYFUNCTION("""COMPUTED_VALUE"""),"_Sale-Bet_")</f>
        <v>_Sale-Bet_</v>
      </c>
      <c r="B9" s="103">
        <v>8.0</v>
      </c>
      <c r="C9" s="183">
        <f t="shared" si="1"/>
        <v>365.1663827</v>
      </c>
      <c r="D9" s="124" t="str">
        <f>VLOOKUP(A9,'Classement Surp'!$B$2:$B$149,1,0)</f>
        <v>_Sale-Bet_</v>
      </c>
      <c r="E9" s="125" t="str">
        <f t="shared" si="2"/>
        <v/>
      </c>
      <c r="F9" s="120" t="str">
        <f>VLOOKUP(A9,'Classement Général'!$B$2:$B$146,1,0)</f>
        <v>_Sale-Bet_</v>
      </c>
    </row>
    <row r="10" ht="14.25" customHeight="1">
      <c r="A10" s="118" t="str">
        <f>IFERROR(__xludf.DUMMYFUNCTION("""COMPUTED_VALUE"""),"NOVICEMYSTIC")</f>
        <v>NOVICEMYSTIC</v>
      </c>
      <c r="B10" s="103">
        <v>9.0</v>
      </c>
      <c r="C10" s="183">
        <f t="shared" si="1"/>
        <v>347.3344146</v>
      </c>
      <c r="D10" s="124" t="str">
        <f>VLOOKUP(A10,'Classement Surp'!$B$2:$B$149,1,0)</f>
        <v>NOVICEMYSTIC</v>
      </c>
      <c r="E10" s="125" t="str">
        <f t="shared" si="2"/>
        <v/>
      </c>
      <c r="F10" s="120" t="str">
        <f>VLOOKUP(A10,'Classement Général'!$B$2:$B$146,1,0)</f>
        <v>NOVICEMYSTIC</v>
      </c>
      <c r="J10" s="130" t="s">
        <v>111</v>
      </c>
    </row>
    <row r="11" ht="14.25" customHeight="1">
      <c r="A11" s="118" t="str">
        <f>IFERROR(__xludf.DUMMYFUNCTION("""COMPUTED_VALUE"""),"Odile2Raise")</f>
        <v>Odile2Raise</v>
      </c>
      <c r="B11" s="103">
        <v>10.0</v>
      </c>
      <c r="C11" s="183">
        <f t="shared" si="1"/>
        <v>331.2569998</v>
      </c>
      <c r="D11" s="124" t="str">
        <f>VLOOKUP(A11,'Classement Surp'!$B$2:$B$149,1,0)</f>
        <v>Odile2Raise</v>
      </c>
      <c r="E11" s="125" t="str">
        <f t="shared" si="2"/>
        <v/>
      </c>
      <c r="F11" s="120" t="str">
        <f>VLOOKUP(A11,'Classement Général'!$B$2:$B$146,1,0)</f>
        <v>Odile2Raise</v>
      </c>
      <c r="J11" s="130" t="s">
        <v>116</v>
      </c>
    </row>
    <row r="12" ht="14.25" customHeight="1">
      <c r="A12" s="118" t="str">
        <f>IFERROR(__xludf.DUMMYFUNCTION("""COMPUTED_VALUE"""),"ledids")</f>
        <v>ledids</v>
      </c>
      <c r="B12" s="103">
        <v>11.0</v>
      </c>
      <c r="C12" s="183">
        <f t="shared" si="1"/>
        <v>316.575183</v>
      </c>
      <c r="D12" s="124" t="str">
        <f>VLOOKUP(A12,'Classement Surp'!$B$2:$B$149,1,0)</f>
        <v>ledids</v>
      </c>
      <c r="E12" s="125" t="str">
        <f t="shared" si="2"/>
        <v/>
      </c>
      <c r="F12" s="120" t="str">
        <f>VLOOKUP(A12,'Classement Général'!$B$2:$B$146,1,0)</f>
        <v>ledids</v>
      </c>
      <c r="J12" s="130" t="s">
        <v>115</v>
      </c>
    </row>
    <row r="13" ht="14.25" customHeight="1">
      <c r="A13" s="118" t="str">
        <f>IFERROR(__xludf.DUMMYFUNCTION("""COMPUTED_VALUE"""),"Mako Lemore")</f>
        <v>Mako Lemore</v>
      </c>
      <c r="B13" s="103">
        <v>12.0</v>
      </c>
      <c r="C13" s="183">
        <f t="shared" si="1"/>
        <v>303.0291506</v>
      </c>
      <c r="D13" s="124" t="str">
        <f>VLOOKUP(A13,'Classement Surp'!$B$2:$B$149,1,0)</f>
        <v>Mako Lemore</v>
      </c>
      <c r="E13" s="125" t="str">
        <f t="shared" si="2"/>
        <v/>
      </c>
      <c r="F13" s="120" t="str">
        <f>VLOOKUP(A13,'Classement Général'!$B$2:$B$146,1,0)</f>
        <v>Mako Lemore</v>
      </c>
      <c r="J13" s="130" t="s">
        <v>61</v>
      </c>
    </row>
    <row r="14" ht="14.25" customHeight="1">
      <c r="A14" s="118" t="str">
        <f>IFERROR(__xludf.DUMMYFUNCTION("""COMPUTED_VALUE"""),"Manimi67")</f>
        <v>Manimi67</v>
      </c>
      <c r="B14" s="103">
        <v>13.0</v>
      </c>
      <c r="C14" s="183">
        <f t="shared" si="1"/>
        <v>290.4250312</v>
      </c>
      <c r="D14" s="124" t="str">
        <f>VLOOKUP(A14,'Classement Surp'!$B$2:$B$149,1,0)</f>
        <v>Manimi67</v>
      </c>
      <c r="E14" s="125" t="str">
        <f t="shared" si="2"/>
        <v/>
      </c>
      <c r="F14" s="120" t="str">
        <f>VLOOKUP(A14,'Classement Général'!$B$2:$B$146,1,0)</f>
        <v>Manimi67</v>
      </c>
      <c r="J14" s="130" t="s">
        <v>122</v>
      </c>
    </row>
    <row r="15" ht="14.25" customHeight="1">
      <c r="A15" s="118" t="str">
        <f>IFERROR(__xludf.DUMMYFUNCTION("""COMPUTED_VALUE"""),"CarlitoTwin")</f>
        <v>CarlitoTwin</v>
      </c>
      <c r="B15" s="103">
        <v>14.0</v>
      </c>
      <c r="C15" s="183">
        <f t="shared" si="1"/>
        <v>278.6144603</v>
      </c>
      <c r="D15" s="124" t="str">
        <f>VLOOKUP(A15,'Classement Surp'!$B$2:$B$149,1,0)</f>
        <v>CarlitoTwin</v>
      </c>
      <c r="E15" s="125" t="str">
        <f t="shared" si="2"/>
        <v/>
      </c>
      <c r="F15" s="120" t="str">
        <f>VLOOKUP(A15,'Classement Général'!$B$2:$B$146,1,0)</f>
        <v>CarlitoTwin</v>
      </c>
      <c r="J15" s="130" t="s">
        <v>99</v>
      </c>
    </row>
    <row r="16" ht="14.25" customHeight="1">
      <c r="A16" s="118" t="str">
        <f>IFERROR(__xludf.DUMMYFUNCTION("""COMPUTED_VALUE"""),"gregmoore")</f>
        <v>gregmoore</v>
      </c>
      <c r="B16" s="103">
        <v>15.0</v>
      </c>
      <c r="C16" s="183">
        <f t="shared" si="1"/>
        <v>267.481458</v>
      </c>
      <c r="D16" s="124" t="str">
        <f>VLOOKUP(A16,'Classement Surp'!$B$2:$B$149,1,0)</f>
        <v>gregmoore</v>
      </c>
      <c r="E16" s="125" t="str">
        <f t="shared" si="2"/>
        <v/>
      </c>
      <c r="F16" s="120" t="str">
        <f>VLOOKUP(A16,'Classement Général'!$B$2:$B$146,1,0)</f>
        <v>gregmoore</v>
      </c>
      <c r="J16" s="130" t="s">
        <v>125</v>
      </c>
    </row>
    <row r="17" ht="14.25" customHeight="1">
      <c r="A17" s="118" t="str">
        <f>IFERROR(__xludf.DUMMYFUNCTION("""COMPUTED_VALUE"""),"Marypops64")</f>
        <v>Marypops64</v>
      </c>
      <c r="B17" s="103">
        <v>16.0</v>
      </c>
      <c r="C17" s="183">
        <f t="shared" si="1"/>
        <v>256.9336978</v>
      </c>
      <c r="D17" s="124" t="str">
        <f>VLOOKUP(A17,'Classement Surp'!$B$2:$B$149,1,0)</f>
        <v>marypops64</v>
      </c>
      <c r="E17" s="125" t="str">
        <f t="shared" si="2"/>
        <v/>
      </c>
      <c r="F17" s="120" t="str">
        <f>VLOOKUP(A17,'Classement Général'!$B$2:$B$146,1,0)</f>
        <v>marypops64</v>
      </c>
      <c r="J17" s="130" t="s">
        <v>144</v>
      </c>
    </row>
    <row r="18" ht="14.25" customHeight="1">
      <c r="A18" s="118" t="str">
        <f>IFERROR(__xludf.DUMMYFUNCTION("""COMPUTED_VALUE"""),"christ86000")</f>
        <v>christ86000</v>
      </c>
      <c r="B18" s="103">
        <v>17.0</v>
      </c>
      <c r="C18" s="183">
        <f t="shared" si="1"/>
        <v>246.8965192</v>
      </c>
      <c r="D18" s="124" t="str">
        <f>VLOOKUP(A18,'Classement Surp'!$B$2:$B$149,1,0)</f>
        <v>christ86000</v>
      </c>
      <c r="E18" s="125" t="str">
        <f t="shared" si="2"/>
        <v/>
      </c>
      <c r="F18" s="120" t="str">
        <f>VLOOKUP(A18,'Classement Général'!$B$2:$B$146,1,0)</f>
        <v>christ86000</v>
      </c>
      <c r="J18" s="130" t="s">
        <v>150</v>
      </c>
    </row>
    <row r="19" ht="14.25" customHeight="1">
      <c r="A19" s="118" t="str">
        <f>IFERROR(__xludf.DUMMYFUNCTION("""COMPUTED_VALUE"""),"kleinseb")</f>
        <v>kleinseb</v>
      </c>
      <c r="B19" s="103">
        <v>18.0</v>
      </c>
      <c r="C19" s="183">
        <f t="shared" si="1"/>
        <v>237.3087146</v>
      </c>
      <c r="D19" s="124" t="str">
        <f>VLOOKUP(A19,'Classement Surp'!$B$2:$B$149,1,0)</f>
        <v>kleinseb</v>
      </c>
      <c r="E19" s="125" t="str">
        <f t="shared" si="2"/>
        <v/>
      </c>
      <c r="F19" s="120" t="str">
        <f>VLOOKUP(A19,'Classement Général'!$B$2:$B$146,1,0)</f>
        <v>kleinseb</v>
      </c>
    </row>
    <row r="20" ht="14.25" customHeight="1">
      <c r="A20" s="118" t="str">
        <f>IFERROR(__xludf.DUMMYFUNCTION("""COMPUTED_VALUE"""),"Kti")</f>
        <v>Kti</v>
      </c>
      <c r="B20" s="103">
        <v>19.0</v>
      </c>
      <c r="C20" s="183">
        <f t="shared" si="1"/>
        <v>228.1194956</v>
      </c>
      <c r="D20" s="124" t="str">
        <f>VLOOKUP(A20,'Classement Surp'!$B$2:$B$149,1,0)</f>
        <v>Kti</v>
      </c>
      <c r="E20" s="125" t="str">
        <f t="shared" si="2"/>
        <v/>
      </c>
      <c r="F20" s="120" t="str">
        <f>VLOOKUP(A20,'Classement Général'!$B$2:$B$146,1,0)</f>
        <v>Kti</v>
      </c>
    </row>
    <row r="21" ht="14.25" customHeight="1">
      <c r="A21" s="118" t="str">
        <f>IFERROR(__xludf.DUMMYFUNCTION("""COMPUTED_VALUE"""),"waasp.")</f>
        <v>waasp.</v>
      </c>
      <c r="B21" s="103">
        <v>20.0</v>
      </c>
      <c r="C21" s="183">
        <f t="shared" si="1"/>
        <v>219.2862654</v>
      </c>
      <c r="D21" s="124" t="str">
        <f>VLOOKUP(A21,'Classement Surp'!$B$2:$B$149,1,0)</f>
        <v>waasp.</v>
      </c>
      <c r="E21" s="125" t="str">
        <f t="shared" si="2"/>
        <v/>
      </c>
      <c r="F21" s="120" t="str">
        <f>VLOOKUP(A21,'Classement Général'!$B$2:$B$146,1,0)</f>
        <v>waasp.</v>
      </c>
    </row>
    <row r="22" ht="14.25" customHeight="1">
      <c r="A22" s="118" t="str">
        <f>IFERROR(__xludf.DUMMYFUNCTION("""COMPUTED_VALUE"""),"DonnesTchips")</f>
        <v>DonnesTchips</v>
      </c>
      <c r="B22" s="103">
        <v>21.0</v>
      </c>
      <c r="C22" s="183">
        <f t="shared" si="1"/>
        <v>210.7729545</v>
      </c>
      <c r="D22" s="124" t="str">
        <f>VLOOKUP(A22,'Classement Surp'!$B$2:$B$149,1,0)</f>
        <v>DonnesTchips</v>
      </c>
      <c r="E22" s="125" t="str">
        <f t="shared" si="2"/>
        <v/>
      </c>
      <c r="F22" s="120" t="str">
        <f>VLOOKUP(A22,'Classement Général'!$B$2:$B$146,1,0)</f>
        <v>DonnesTchips</v>
      </c>
    </row>
    <row r="23" ht="14.25" customHeight="1">
      <c r="A23" s="118" t="str">
        <f>IFERROR(__xludf.DUMMYFUNCTION("""COMPUTED_VALUE"""),"x Patrick86")</f>
        <v>x Patrick86</v>
      </c>
      <c r="B23" s="103">
        <v>22.0</v>
      </c>
      <c r="C23" s="183">
        <f t="shared" si="1"/>
        <v>202.5487561</v>
      </c>
      <c r="D23" s="124" t="str">
        <f>VLOOKUP(A23,'Classement Surp'!$B$2:$B$149,1,0)</f>
        <v>x Patrick86</v>
      </c>
      <c r="E23" s="125" t="str">
        <f t="shared" si="2"/>
        <v/>
      </c>
      <c r="F23" s="120" t="str">
        <f>VLOOKUP(A23,'Classement Général'!$B$2:$B$146,1,0)</f>
        <v>x Patrick86</v>
      </c>
    </row>
    <row r="24" ht="14.25" customHeight="1">
      <c r="A24" s="118" t="str">
        <f>IFERROR(__xludf.DUMMYFUNCTION("""COMPUTED_VALUE"""),"gu3ul3Dang3")</f>
        <v>gu3ul3Dang3</v>
      </c>
      <c r="B24" s="103">
        <v>23.0</v>
      </c>
      <c r="C24" s="183">
        <f t="shared" si="1"/>
        <v>194.5871531</v>
      </c>
      <c r="D24" s="124" t="str">
        <f>VLOOKUP(A24,'Classement Surp'!$B$2:$B$149,1,0)</f>
        <v>gu3ul3Dang3</v>
      </c>
      <c r="E24" s="125" t="str">
        <f t="shared" si="2"/>
        <v/>
      </c>
      <c r="F24" s="120" t="str">
        <f>VLOOKUP(A24,'Classement Général'!$B$2:$B$146,1,0)</f>
        <v>gu3ul3Dang3</v>
      </c>
    </row>
    <row r="25" ht="14.25" customHeight="1">
      <c r="A25" s="118" t="str">
        <f>IFERROR(__xludf.DUMMYFUNCTION("""COMPUTED_VALUE"""),"StephBoss05")</f>
        <v>StephBoss05</v>
      </c>
      <c r="B25" s="103">
        <v>24.0</v>
      </c>
      <c r="C25" s="183">
        <f t="shared" si="1"/>
        <v>186.8651594</v>
      </c>
      <c r="D25" s="124" t="str">
        <f>VLOOKUP(A25,'Classement Surp'!$B$2:$B$149,1,0)</f>
        <v>StephBoss05</v>
      </c>
      <c r="E25" s="125" t="str">
        <f t="shared" si="2"/>
        <v/>
      </c>
      <c r="F25" s="120" t="str">
        <f>VLOOKUP(A25,'Classement Général'!$B$2:$B$146,1,0)</f>
        <v>StephBoss05</v>
      </c>
    </row>
    <row r="26" ht="14.25" customHeight="1">
      <c r="A26" s="118" t="str">
        <f>IFERROR(__xludf.DUMMYFUNCTION("""COMPUTED_VALUE"""),"jejehehe")</f>
        <v>jejehehe</v>
      </c>
      <c r="B26" s="103">
        <v>25.0</v>
      </c>
      <c r="C26" s="183">
        <f t="shared" si="1"/>
        <v>179.3627204</v>
      </c>
      <c r="D26" s="124" t="str">
        <f>VLOOKUP(A26,'Classement Surp'!$B$2:$B$149,1,0)</f>
        <v>jejehehe</v>
      </c>
      <c r="E26" s="125" t="str">
        <f t="shared" si="2"/>
        <v/>
      </c>
      <c r="F26" s="120" t="str">
        <f>VLOOKUP(A26,'Classement Général'!$B$2:$B$146,1,0)</f>
        <v>jejehehe</v>
      </c>
    </row>
    <row r="27" ht="14.25" customHeight="1">
      <c r="A27" s="118" t="str">
        <f>IFERROR(__xludf.DUMMYFUNCTION("""COMPUTED_VALUE"""),"Patgaret")</f>
        <v>Patgaret</v>
      </c>
      <c r="B27" s="103">
        <v>26.0</v>
      </c>
      <c r="C27" s="183">
        <f t="shared" si="1"/>
        <v>172.0622363</v>
      </c>
      <c r="D27" s="124" t="str">
        <f>VLOOKUP(A27,'Classement Surp'!$B$2:$B$149,1,0)</f>
        <v>Patgaret</v>
      </c>
      <c r="E27" s="125" t="str">
        <f t="shared" si="2"/>
        <v/>
      </c>
      <c r="F27" s="120" t="str">
        <f>VLOOKUP(A27,'Classement Général'!$B$2:$B$146,1,0)</f>
        <v>Patgaret</v>
      </c>
    </row>
    <row r="28" ht="14.25" customHeight="1">
      <c r="A28" s="118" t="str">
        <f>IFERROR(__xludf.DUMMYFUNCTION("""COMPUTED_VALUE"""),"Kiki Bazaar")</f>
        <v>Kiki Bazaar</v>
      </c>
      <c r="B28" s="103">
        <v>27.0</v>
      </c>
      <c r="C28" s="183">
        <f t="shared" si="1"/>
        <v>164.9481769</v>
      </c>
      <c r="D28" s="124" t="str">
        <f>VLOOKUP(A28,'Classement Surp'!$B$2:$B$149,1,0)</f>
        <v>Kiki Bazaar</v>
      </c>
      <c r="E28" s="125" t="str">
        <f t="shared" si="2"/>
        <v/>
      </c>
      <c r="F28" s="120" t="str">
        <f>VLOOKUP(A28,'Classement Général'!$B$2:$B$146,1,0)</f>
        <v>Kiki Bazaar</v>
      </c>
    </row>
    <row r="29" ht="14.25" customHeight="1">
      <c r="A29" s="118" t="str">
        <f>IFERROR(__xludf.DUMMYFUNCTION("""COMPUTED_VALUE"""),"Redblood92")</f>
        <v>Redblood92</v>
      </c>
      <c r="B29" s="103">
        <v>28.0</v>
      </c>
      <c r="C29" s="183">
        <f t="shared" si="1"/>
        <v>158.0067704</v>
      </c>
      <c r="D29" s="124" t="str">
        <f>VLOOKUP(A29,'Classement Surp'!$B$2:$B$149,1,0)</f>
        <v>Redblood92</v>
      </c>
      <c r="E29" s="125" t="str">
        <f t="shared" si="2"/>
        <v/>
      </c>
      <c r="F29" s="120" t="str">
        <f>VLOOKUP(A29,'Classement Général'!$B$2:$B$146,1,0)</f>
        <v>Redblood92</v>
      </c>
    </row>
    <row r="30" ht="14.25" customHeight="1">
      <c r="A30" s="118" t="str">
        <f>IFERROR(__xludf.DUMMYFUNCTION("""COMPUTED_VALUE"""),"Rv86")</f>
        <v>Rv86</v>
      </c>
      <c r="B30" s="103">
        <v>29.0</v>
      </c>
      <c r="C30" s="183">
        <f t="shared" si="1"/>
        <v>151.2257469</v>
      </c>
      <c r="D30" s="124" t="str">
        <f>VLOOKUP(A30,'Classement Surp'!$B$2:$B$149,1,0)</f>
        <v>Rv86</v>
      </c>
      <c r="E30" s="125" t="str">
        <f t="shared" si="2"/>
        <v/>
      </c>
      <c r="F30" s="120" t="str">
        <f>VLOOKUP(A30,'Classement Général'!$B$2:$B$146,1,0)</f>
        <v>Rv86</v>
      </c>
    </row>
    <row r="31" ht="14.25" customHeight="1">
      <c r="A31" s="118" t="str">
        <f>IFERROR(__xludf.DUMMYFUNCTION("""COMPUTED_VALUE"""),"imberbe")</f>
        <v>imberbe</v>
      </c>
      <c r="B31" s="103">
        <v>30.0</v>
      </c>
      <c r="C31" s="183">
        <f t="shared" si="1"/>
        <v>144.5941281</v>
      </c>
      <c r="D31" s="124" t="str">
        <f>VLOOKUP(A31,'Classement Surp'!$B$2:$B$149,1,0)</f>
        <v>imberbe</v>
      </c>
      <c r="E31" s="125" t="str">
        <f t="shared" si="2"/>
        <v/>
      </c>
      <c r="F31" s="120" t="str">
        <f>VLOOKUP(A31,'Classement Général'!$B$2:$B$146,1,0)</f>
        <v>imberbe</v>
      </c>
    </row>
    <row r="32" ht="14.25" customHeight="1">
      <c r="A32" s="118" t="str">
        <f>IFERROR(__xludf.DUMMYFUNCTION("""COMPUTED_VALUE"""),"Butterfly-as")</f>
        <v>Butterfly-as</v>
      </c>
      <c r="B32" s="103">
        <v>31.0</v>
      </c>
      <c r="C32" s="183">
        <f t="shared" si="1"/>
        <v>138.1020517</v>
      </c>
      <c r="D32" s="124" t="str">
        <f>VLOOKUP(A32,'Classement Surp'!$B$2:$B$149,1,0)</f>
        <v>Butterfly-as</v>
      </c>
      <c r="E32" s="125" t="str">
        <f t="shared" si="2"/>
        <v/>
      </c>
      <c r="F32" s="120" t="str">
        <f>VLOOKUP(A32,'Classement Général'!$B$2:$B$146,1,0)</f>
        <v>Butterfly-as</v>
      </c>
    </row>
    <row r="33" ht="14.25" customHeight="1">
      <c r="A33" s="118" t="str">
        <f>IFERROR(__xludf.DUMMYFUNCTION("""COMPUTED_VALUE"""),"Discobar")</f>
        <v>Discobar</v>
      </c>
      <c r="B33" s="103">
        <v>32.0</v>
      </c>
      <c r="C33" s="183">
        <f t="shared" si="1"/>
        <v>131.7406253</v>
      </c>
      <c r="D33" s="124" t="str">
        <f>VLOOKUP(A33,'Classement Surp'!$B$2:$B$149,1,0)</f>
        <v>Discobar</v>
      </c>
      <c r="E33" s="125" t="str">
        <f t="shared" si="2"/>
        <v/>
      </c>
      <c r="F33" s="120" t="str">
        <f>VLOOKUP(A33,'Classement Général'!$B$2:$B$146,1,0)</f>
        <v>Discobar</v>
      </c>
    </row>
    <row r="34" ht="14.25" customHeight="1">
      <c r="A34" s="118" t="str">
        <f>IFERROR(__xludf.DUMMYFUNCTION("""COMPUTED_VALUE"""),"Legabodu86")</f>
        <v>Legabodu86</v>
      </c>
      <c r="B34" s="103">
        <v>33.0</v>
      </c>
      <c r="C34" s="183">
        <f t="shared" si="1"/>
        <v>125.5018024</v>
      </c>
      <c r="D34" s="124" t="str">
        <f>VLOOKUP(A34,'Classement Surp'!$B$2:$B$149,1,0)</f>
        <v>Legabodu86</v>
      </c>
      <c r="E34" s="125" t="str">
        <f t="shared" si="2"/>
        <v/>
      </c>
      <c r="F34" s="120" t="str">
        <f>VLOOKUP(A34,'Classement Général'!$B$2:$B$146,1,0)</f>
        <v>Legabodu86</v>
      </c>
    </row>
    <row r="35" ht="14.25" customHeight="1">
      <c r="A35" s="118" t="str">
        <f>IFERROR(__xludf.DUMMYFUNCTION("""COMPUTED_VALUE"""),"Jaco")</f>
        <v>Jaco</v>
      </c>
      <c r="B35" s="103">
        <v>34.0</v>
      </c>
      <c r="C35" s="183">
        <f t="shared" si="1"/>
        <v>119.3782788</v>
      </c>
      <c r="D35" s="124" t="str">
        <f>VLOOKUP(A35,'Classement Surp'!$B$2:$B$149,1,0)</f>
        <v>Jaco</v>
      </c>
      <c r="E35" s="125" t="str">
        <f t="shared" si="2"/>
        <v/>
      </c>
      <c r="F35" s="120" t="str">
        <f>VLOOKUP(A35,'Classement Général'!$B$2:$B$146,1,0)</f>
        <v>Jaco</v>
      </c>
    </row>
    <row r="36" ht="14.25" customHeight="1">
      <c r="A36" s="118" t="str">
        <f>IFERROR(__xludf.DUMMYFUNCTION("""COMPUTED_VALUE"""),"UnPetitJaune")</f>
        <v>UnPetitJaune</v>
      </c>
      <c r="B36" s="103">
        <v>35.0</v>
      </c>
      <c r="C36" s="183">
        <f t="shared" si="1"/>
        <v>113.3634034</v>
      </c>
      <c r="D36" s="124" t="str">
        <f>VLOOKUP(A36,'Classement Surp'!$B$2:$B$149,1,0)</f>
        <v>UnPetitJaune</v>
      </c>
      <c r="E36" s="125" t="str">
        <f t="shared" si="2"/>
        <v/>
      </c>
      <c r="F36" s="120" t="str">
        <f>VLOOKUP(A36,'Classement Général'!$B$2:$B$146,1,0)</f>
        <v>UnPetitJaune</v>
      </c>
    </row>
    <row r="37" ht="14.25" customHeight="1">
      <c r="A37" s="118" t="str">
        <f>IFERROR(__xludf.DUMMYFUNCTION("""COMPUTED_VALUE"""),"POMB1664")</f>
        <v>POMB1664</v>
      </c>
      <c r="B37" s="103">
        <v>36.0</v>
      </c>
      <c r="C37" s="183">
        <f t="shared" si="1"/>
        <v>107.4511025</v>
      </c>
      <c r="D37" s="124" t="str">
        <f>VLOOKUP(A37,'Classement Surp'!$B$2:$B$149,1,0)</f>
        <v>POMB1664</v>
      </c>
      <c r="E37" s="125" t="str">
        <f t="shared" si="2"/>
        <v/>
      </c>
      <c r="F37" s="120" t="str">
        <f>VLOOKUP(A37,'Classement Général'!$B$2:$B$146,1,0)</f>
        <v>POMB1664</v>
      </c>
    </row>
    <row r="38" ht="14.25" customHeight="1">
      <c r="A38" s="118" t="str">
        <f>IFERROR(__xludf.DUMMYFUNCTION("""COMPUTED_VALUE"""),".choco")</f>
        <v>.choco</v>
      </c>
      <c r="B38" s="103">
        <v>37.0</v>
      </c>
      <c r="C38" s="183">
        <f t="shared" si="1"/>
        <v>101.6358143</v>
      </c>
      <c r="D38" s="124" t="str">
        <f>VLOOKUP(A38,'Classement Surp'!$B$2:$B$149,1,0)</f>
        <v>.choco</v>
      </c>
      <c r="E38" s="125" t="str">
        <f t="shared" si="2"/>
        <v/>
      </c>
      <c r="F38" s="120" t="str">
        <f>VLOOKUP(A38,'Classement Général'!$B$2:$B$146,1,0)</f>
        <v>.choco</v>
      </c>
    </row>
    <row r="39" ht="14.25" customHeight="1">
      <c r="A39" s="118" t="str">
        <f>IFERROR(__xludf.DUMMYFUNCTION("""COMPUTED_VALUE"""),"FridAKahlo")</f>
        <v>FridAKahlo</v>
      </c>
      <c r="B39" s="103">
        <v>38.0</v>
      </c>
      <c r="C39" s="183">
        <f t="shared" si="1"/>
        <v>95.91243304</v>
      </c>
      <c r="D39" s="124" t="str">
        <f>VLOOKUP(A39,'Classement Surp'!$B$2:$B$149,1,0)</f>
        <v>FridAKahlo</v>
      </c>
      <c r="E39" s="125" t="str">
        <f t="shared" si="2"/>
        <v/>
      </c>
      <c r="F39" s="120" t="str">
        <f>VLOOKUP(A39,'Classement Général'!$B$2:$B$146,1,0)</f>
        <v>FridAKahlo</v>
      </c>
    </row>
    <row r="40" ht="14.25" customHeight="1">
      <c r="A40" s="118" t="str">
        <f>IFERROR(__xludf.DUMMYFUNCTION("""COMPUTED_VALUE"""),"Belussac")</f>
        <v>Belussac</v>
      </c>
      <c r="B40" s="103">
        <v>39.0</v>
      </c>
      <c r="C40" s="183">
        <f t="shared" si="1"/>
        <v>90.27626019</v>
      </c>
      <c r="D40" s="124" t="str">
        <f>VLOOKUP(A40,'Classement Surp'!$B$2:$B$149,1,0)</f>
        <v>belussac</v>
      </c>
      <c r="E40" s="125" t="str">
        <f t="shared" si="2"/>
        <v/>
      </c>
      <c r="F40" s="120" t="str">
        <f>VLOOKUP(A40,'Classement Général'!$B$2:$B$146,1,0)</f>
        <v>belussac</v>
      </c>
    </row>
    <row r="41" ht="14.25" customHeight="1">
      <c r="A41" s="118" t="str">
        <f>IFERROR(__xludf.DUMMYFUNCTION("""COMPUTED_VALUE"""),"Phil1308")</f>
        <v>Phil1308</v>
      </c>
      <c r="B41" s="103">
        <v>40.0</v>
      </c>
      <c r="C41" s="183">
        <f t="shared" si="1"/>
        <v>84.72296181</v>
      </c>
      <c r="D41" s="124" t="str">
        <f>VLOOKUP(A41,'Classement Surp'!$B$2:$B$149,1,0)</f>
        <v>Phil1308</v>
      </c>
      <c r="E41" s="125" t="str">
        <f t="shared" si="2"/>
        <v/>
      </c>
      <c r="F41" s="120" t="str">
        <f>VLOOKUP(A41,'Classement Général'!$B$2:$B$146,1,0)</f>
        <v>Phil1308</v>
      </c>
    </row>
    <row r="42" ht="14.25" customHeight="1">
      <c r="A42" s="118" t="str">
        <f>IFERROR(__xludf.DUMMYFUNCTION("""COMPUTED_VALUE"""),"sonic86")</f>
        <v>sonic86</v>
      </c>
      <c r="B42" s="103">
        <v>41.0</v>
      </c>
      <c r="C42" s="183">
        <f t="shared" si="1"/>
        <v>79.24853174</v>
      </c>
      <c r="D42" s="124" t="str">
        <f>VLOOKUP(A42,'Classement Surp'!$B$2:$B$149,1,0)</f>
        <v>sonic86</v>
      </c>
      <c r="E42" s="125" t="str">
        <f t="shared" si="2"/>
        <v/>
      </c>
      <c r="F42" s="120" t="str">
        <f>VLOOKUP(A42,'Classement Général'!$B$2:$B$146,1,0)</f>
        <v>sonic86</v>
      </c>
    </row>
    <row r="43" ht="14.25" customHeight="1">
      <c r="A43" s="118" t="str">
        <f>IFERROR(__xludf.DUMMYFUNCTION("""COMPUTED_VALUE"""),"kiki86 x")</f>
        <v>kiki86 x</v>
      </c>
      <c r="B43" s="103">
        <v>42.0</v>
      </c>
      <c r="C43" s="183">
        <f t="shared" si="1"/>
        <v>73.84925912</v>
      </c>
      <c r="D43" s="124" t="str">
        <f>VLOOKUP(A43,'Classement Surp'!$B$2:$B$149,1,0)</f>
        <v>kiki86 x</v>
      </c>
      <c r="E43" s="125" t="str">
        <f t="shared" si="2"/>
        <v/>
      </c>
      <c r="F43" s="120" t="str">
        <f>VLOOKUP(A43,'Classement Général'!$B$2:$B$146,1,0)</f>
        <v>kiki86 x</v>
      </c>
    </row>
    <row r="44" ht="14.25" customHeight="1">
      <c r="A44" s="118" t="str">
        <f>IFERROR(__xludf.DUMMYFUNCTION("""COMPUTED_VALUE"""),"Like_A_Fish")</f>
        <v>Like_A_Fish</v>
      </c>
      <c r="B44" s="103">
        <v>43.0</v>
      </c>
      <c r="C44" s="183">
        <f t="shared" si="1"/>
        <v>68.52169982</v>
      </c>
      <c r="D44" s="124" t="str">
        <f>VLOOKUP(A44,'Classement Surp'!$B$2:$B$149,1,0)</f>
        <v>Like_A_Fish</v>
      </c>
      <c r="E44" s="125" t="str">
        <f t="shared" si="2"/>
        <v/>
      </c>
      <c r="F44" s="120" t="str">
        <f>VLOOKUP(A44,'Classement Général'!$B$2:$B$146,1,0)</f>
        <v>Like_A_Fish</v>
      </c>
    </row>
    <row r="45" ht="14.25" customHeight="1">
      <c r="A45" s="118" t="str">
        <f>IFERROR(__xludf.DUMMYFUNCTION("""COMPUTED_VALUE"""),"NezuKO-demon")</f>
        <v>NezuKO-demon</v>
      </c>
      <c r="B45" s="103">
        <v>44.0</v>
      </c>
      <c r="C45" s="183">
        <f t="shared" si="1"/>
        <v>63.26265136</v>
      </c>
      <c r="D45" s="124" t="str">
        <f>VLOOKUP(A45,'Classement Surp'!$B$2:$B$149,1,0)</f>
        <v>NezuKO-demon</v>
      </c>
      <c r="E45" s="125" t="str">
        <f t="shared" si="2"/>
        <v/>
      </c>
      <c r="F45" s="120" t="str">
        <f>VLOOKUP(A45,'Classement Général'!$B$2:$B$146,1,0)</f>
        <v>NezuKO-demon</v>
      </c>
    </row>
    <row r="46" ht="14.25" customHeight="1">
      <c r="A46" s="118" t="str">
        <f>IFERROR(__xludf.DUMMYFUNCTION("""COMPUTED_VALUE"""),"PSGJM")</f>
        <v>PSGJM</v>
      </c>
      <c r="B46" s="103">
        <v>45.0</v>
      </c>
      <c r="C46" s="183">
        <f t="shared" si="1"/>
        <v>58.06913059</v>
      </c>
      <c r="D46" s="124" t="str">
        <f>VLOOKUP(A46,'Classement Surp'!$B$2:$B$149,1,0)</f>
        <v>PSGJM</v>
      </c>
      <c r="E46" s="125" t="str">
        <f t="shared" si="2"/>
        <v/>
      </c>
      <c r="F46" s="120" t="str">
        <f>VLOOKUP(A46,'Classement Général'!$B$2:$B$146,1,0)</f>
        <v>PSGJM</v>
      </c>
    </row>
    <row r="47" ht="14.25" customHeight="1">
      <c r="A47" s="118" t="str">
        <f>IFERROR(__xludf.DUMMYFUNCTION("""COMPUTED_VALUE"""),"KamehamehAS")</f>
        <v>KamehamehAS</v>
      </c>
      <c r="B47" s="103">
        <v>46.0</v>
      </c>
      <c r="C47" s="183">
        <f t="shared" si="1"/>
        <v>52.93835396</v>
      </c>
      <c r="D47" s="124" t="str">
        <f>VLOOKUP(A47,'Classement Surp'!$B$2:$B$149,1,0)</f>
        <v>KamehamehAS</v>
      </c>
      <c r="E47" s="125" t="str">
        <f t="shared" si="2"/>
        <v/>
      </c>
      <c r="F47" s="120" t="str">
        <f>VLOOKUP(A47,'Classement Général'!$B$2:$B$146,1,0)</f>
        <v>KamehamehAS</v>
      </c>
    </row>
    <row r="48" ht="14.25" customHeight="1">
      <c r="A48" s="118" t="str">
        <f>IFERROR(__xludf.DUMMYFUNCTION("""COMPUTED_VALUE"""),"pablo")</f>
        <v>pablo</v>
      </c>
      <c r="B48" s="103">
        <v>47.0</v>
      </c>
      <c r="C48" s="183">
        <f t="shared" si="1"/>
        <v>47.86771997</v>
      </c>
      <c r="D48" s="124" t="str">
        <f>VLOOKUP(A48,'Classement Surp'!$B$2:$B$149,1,0)</f>
        <v>pablo</v>
      </c>
      <c r="E48" s="125" t="str">
        <f t="shared" si="2"/>
        <v/>
      </c>
      <c r="F48" s="120" t="str">
        <f>VLOOKUP(A48,'Classement Général'!$B$2:$B$146,1,0)</f>
        <v>pablo</v>
      </c>
    </row>
    <row r="49" ht="14.25" customHeight="1">
      <c r="A49" s="118" t="str">
        <f>IFERROR(__xludf.DUMMYFUNCTION("""COMPUTED_VALUE"""),"roudoudou759")</f>
        <v>roudoudou759</v>
      </c>
      <c r="B49" s="103">
        <v>48.0</v>
      </c>
      <c r="C49" s="183">
        <f t="shared" si="1"/>
        <v>42.85479346</v>
      </c>
      <c r="D49" s="124" t="str">
        <f>VLOOKUP(A49,'Classement Surp'!$B$2:$B$149,1,0)</f>
        <v>roudoudou759</v>
      </c>
      <c r="E49" s="125" t="str">
        <f t="shared" si="2"/>
        <v/>
      </c>
      <c r="F49" s="120" t="str">
        <f>VLOOKUP(A49,'Classement Général'!$B$2:$B$146,1,0)</f>
        <v>#N/A</v>
      </c>
    </row>
    <row r="50" ht="14.25" customHeight="1">
      <c r="A50" s="118" t="str">
        <f>IFERROR(__xludf.DUMMYFUNCTION("""COMPUTED_VALUE"""),"-Feline")</f>
        <v>-Feline</v>
      </c>
      <c r="B50" s="103">
        <v>49.0</v>
      </c>
      <c r="C50" s="183">
        <f t="shared" si="1"/>
        <v>37.89729158</v>
      </c>
      <c r="D50" s="124" t="str">
        <f>VLOOKUP(A50,'Classement Surp'!$B$2:$B$149,1,0)</f>
        <v>-Feline</v>
      </c>
      <c r="E50" s="125" t="str">
        <f t="shared" si="2"/>
        <v/>
      </c>
      <c r="F50" s="120" t="str">
        <f>VLOOKUP(A50,'Classement Général'!$B$2:$B$146,1,0)</f>
        <v>-Feline</v>
      </c>
    </row>
    <row r="51" ht="14.25" customHeight="1">
      <c r="A51" s="118" t="str">
        <f>IFERROR(__xludf.DUMMYFUNCTION("""COMPUTED_VALUE"""),"Mikalack")</f>
        <v>Mikalack</v>
      </c>
      <c r="B51" s="103">
        <v>50.0</v>
      </c>
      <c r="C51" s="183">
        <f t="shared" si="1"/>
        <v>32.99307127</v>
      </c>
      <c r="D51" s="124" t="str">
        <f>VLOOKUP(A51,'Classement Surp'!$B$2:$B$149,1,0)</f>
        <v>Mikalack</v>
      </c>
      <c r="E51" s="125" t="str">
        <f t="shared" si="2"/>
        <v/>
      </c>
      <c r="F51" s="120" t="str">
        <f>VLOOKUP(A51,'Classement Général'!$B$2:$B$146,1,0)</f>
        <v>Mikalack</v>
      </c>
    </row>
    <row r="52" ht="14.25" customHeight="1">
      <c r="A52" s="118" t="str">
        <f>IFERROR(__xludf.DUMMYFUNCTION("""COMPUTED_VALUE"""),"Gabriel")</f>
        <v>Gabriel</v>
      </c>
      <c r="B52" s="103">
        <v>51.0</v>
      </c>
      <c r="C52" s="183">
        <f t="shared" si="1"/>
        <v>28.14011789</v>
      </c>
      <c r="D52" s="124" t="str">
        <f>VLOOKUP(A52,'Classement Surp'!$B$2:$B$149,1,0)</f>
        <v>Gabriel</v>
      </c>
      <c r="E52" s="125" t="str">
        <f t="shared" si="2"/>
        <v/>
      </c>
      <c r="F52" s="120" t="str">
        <f>VLOOKUP(A52,'Classement Général'!$B$2:$B$146,1,0)</f>
        <v>Gabriel</v>
      </c>
    </row>
    <row r="53" ht="14.25" customHeight="1">
      <c r="A53" s="118" t="str">
        <f>IFERROR(__xludf.DUMMYFUNCTION("""COMPUTED_VALUE"""),". BARBAPAPA66")</f>
        <v>. BARBAPAPA66</v>
      </c>
      <c r="B53" s="103">
        <v>52.0</v>
      </c>
      <c r="C53" s="183">
        <f t="shared" si="1"/>
        <v>23.33653511</v>
      </c>
      <c r="D53" s="124" t="str">
        <f>VLOOKUP(A53,'Classement Surp'!$B$2:$B$149,1,0)</f>
        <v>. BARBAPAPA66</v>
      </c>
      <c r="E53" s="125" t="str">
        <f t="shared" si="2"/>
        <v/>
      </c>
      <c r="F53" s="120" t="str">
        <f>VLOOKUP(A53,'Classement Général'!$B$2:$B$146,1,0)</f>
        <v>. BARBAPAPA66</v>
      </c>
    </row>
    <row r="54" ht="14.25" customHeight="1">
      <c r="A54" s="118" t="str">
        <f>IFERROR(__xludf.DUMMYFUNCTION("""COMPUTED_VALUE"""),"vicmackey86")</f>
        <v>vicmackey86</v>
      </c>
      <c r="B54" s="103">
        <v>53.0</v>
      </c>
      <c r="C54" s="183">
        <f t="shared" si="1"/>
        <v>18.58053566</v>
      </c>
      <c r="D54" s="124" t="str">
        <f>VLOOKUP(A54,'Classement Surp'!$B$2:$B$149,1,0)</f>
        <v>vicmackey86</v>
      </c>
      <c r="E54" s="125" t="str">
        <f t="shared" si="2"/>
        <v/>
      </c>
      <c r="F54" s="120" t="str">
        <f>VLOOKUP(A54,'Classement Général'!$B$2:$B$146,1,0)</f>
        <v>vicmackey86</v>
      </c>
    </row>
    <row r="55" ht="14.25" customHeight="1">
      <c r="A55" s="118" t="str">
        <f>IFERROR(__xludf.DUMMYFUNCTION("""COMPUTED_VALUE"""),"Vaillant 86")</f>
        <v>Vaillant 86</v>
      </c>
      <c r="B55" s="103">
        <v>54.0</v>
      </c>
      <c r="C55" s="183">
        <f t="shared" si="1"/>
        <v>13.87043307</v>
      </c>
      <c r="D55" s="124" t="str">
        <f>VLOOKUP(A55,'Classement Surp'!$B$2:$B$149,1,0)</f>
        <v>Vaillant 86</v>
      </c>
      <c r="E55" s="125" t="str">
        <f t="shared" si="2"/>
        <v/>
      </c>
      <c r="F55" s="120" t="str">
        <f>VLOOKUP(A55,'Classement Général'!$B$2:$B$146,1,0)</f>
        <v>Vaillant 86</v>
      </c>
    </row>
    <row r="56" ht="14.25" customHeight="1">
      <c r="A56" s="118" t="str">
        <f>IFERROR(__xludf.DUMMYFUNCTION("""COMPUTED_VALUE"""),"Cataleya86")</f>
        <v>Cataleya86</v>
      </c>
      <c r="B56" s="103">
        <v>55.0</v>
      </c>
      <c r="C56" s="183">
        <f t="shared" si="1"/>
        <v>9.204634106</v>
      </c>
      <c r="D56" s="124" t="str">
        <f>VLOOKUP(A56,'Classement Surp'!$B$2:$B$149,1,0)</f>
        <v>Cataleya86</v>
      </c>
      <c r="E56" s="125" t="str">
        <f t="shared" si="2"/>
        <v/>
      </c>
      <c r="F56" s="120" t="str">
        <f>VLOOKUP(A56,'Classement Général'!$B$2:$B$146,1,0)</f>
        <v>Cataleya86</v>
      </c>
    </row>
    <row r="57" ht="14.25" customHeight="1">
      <c r="A57" s="118" t="str">
        <f>IFERROR(__xludf.DUMMYFUNCTION("""COMPUTED_VALUE"""),"-BartMan-")</f>
        <v>-BartMan-</v>
      </c>
      <c r="B57" s="103">
        <v>56.0</v>
      </c>
      <c r="C57" s="183">
        <f t="shared" si="1"/>
        <v>4.581631958</v>
      </c>
      <c r="D57" s="124" t="str">
        <f>VLOOKUP(A57,'Classement Surp'!$B$2:$B$149,1,0)</f>
        <v>-BartMan-</v>
      </c>
      <c r="E57" s="125" t="str">
        <f t="shared" si="2"/>
        <v/>
      </c>
      <c r="F57" s="120" t="str">
        <f>VLOOKUP(A57,'Classement Général'!$B$2:$B$146,1,0)</f>
        <v>-bartman-</v>
      </c>
    </row>
    <row r="58" ht="14.25" customHeight="1">
      <c r="A58" s="118"/>
      <c r="B58" s="103">
        <v>57.0</v>
      </c>
      <c r="C58" s="183">
        <f t="shared" si="1"/>
        <v>0</v>
      </c>
      <c r="D58" s="124" t="str">
        <f>VLOOKUP(A58,'Classement Surp'!$B$2:$B$149,1,0)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18"/>
      <c r="B59" s="103">
        <v>58.0</v>
      </c>
      <c r="C59" s="183">
        <f t="shared" si="1"/>
        <v>-4.541613873</v>
      </c>
      <c r="D59" s="124" t="str">
        <f>VLOOKUP(A59,'Classement Surp'!$B$2:$B$149,1,0)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18"/>
      <c r="B60" s="103">
        <v>59.0</v>
      </c>
      <c r="C60" s="183">
        <f t="shared" si="1"/>
        <v>-9.044492417</v>
      </c>
      <c r="D60" s="124" t="str">
        <f>VLOOKUP(A60,'Classement Surp'!$B$2:$B$149,1,0)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18"/>
      <c r="B61" s="103">
        <v>60.0</v>
      </c>
      <c r="C61" s="183">
        <f t="shared" si="1"/>
        <v>-13.50985377</v>
      </c>
      <c r="D61" s="124" t="str">
        <f>VLOOKUP(A61,'Classement Surp'!$B$2:$B$149,1,0)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18"/>
      <c r="B62" s="103">
        <v>61.0</v>
      </c>
      <c r="C62" s="183">
        <f t="shared" si="1"/>
        <v>-17.9388558</v>
      </c>
      <c r="D62" s="124" t="str">
        <f>VLOOKUP(A62,'Classement Surp'!$B$2:$B$149,1,0)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18"/>
      <c r="B63" s="103">
        <v>62.0</v>
      </c>
      <c r="C63" s="183">
        <f t="shared" si="1"/>
        <v>-22.33260004</v>
      </c>
      <c r="D63" s="124" t="str">
        <f>VLOOKUP(A63,'Classement Surp'!$B$2:$B$149,1,0)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18"/>
      <c r="B64" s="103">
        <v>63.0</v>
      </c>
      <c r="C64" s="183">
        <f t="shared" si="1"/>
        <v>-26.6921354</v>
      </c>
      <c r="D64" s="124" t="str">
        <f>VLOOKUP(A64,'Classement Surp'!$B$2:$B$149,1,0)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18"/>
      <c r="B65" s="103">
        <v>64.0</v>
      </c>
      <c r="C65" s="183">
        <f t="shared" si="1"/>
        <v>-31.01846146</v>
      </c>
      <c r="D65" s="124" t="str">
        <f>VLOOKUP(A65,'Classement Surp'!$B$2:$B$149,1,0)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18"/>
      <c r="B66" s="103">
        <v>65.0</v>
      </c>
      <c r="C66" s="183">
        <f t="shared" si="1"/>
        <v>-35.31253162</v>
      </c>
      <c r="D66" s="124" t="str">
        <f>VLOOKUP(A66,'Classement Surp'!$B$2:$B$149,1,0)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18"/>
      <c r="B67" s="103">
        <v>66.0</v>
      </c>
      <c r="C67" s="183">
        <f t="shared" si="1"/>
        <v>-39.5752559</v>
      </c>
      <c r="D67" s="124" t="str">
        <f>VLOOKUP(A67,'Classement Surp'!$B$2:$B$149,1,0)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18"/>
      <c r="B68" s="103">
        <v>67.0</v>
      </c>
      <c r="C68" s="183">
        <f t="shared" si="1"/>
        <v>-43.80750362</v>
      </c>
      <c r="D68" s="124" t="str">
        <f>VLOOKUP(A68,'Classement Surp'!$B$2:$B$149,1,0)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18"/>
      <c r="B69" s="103">
        <v>68.0</v>
      </c>
      <c r="C69" s="183">
        <f t="shared" si="1"/>
        <v>-48.01010582</v>
      </c>
      <c r="D69" s="124" t="str">
        <f>VLOOKUP(A69,'Classement Surp'!$B$2:$B$149,1,0)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18"/>
      <c r="B70" s="103">
        <v>69.0</v>
      </c>
      <c r="C70" s="183">
        <f t="shared" si="1"/>
        <v>-52.1838575</v>
      </c>
      <c r="D70" s="124" t="str">
        <f>VLOOKUP(A70,'Classement Surp'!$B$2:$B$149,1,0)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18"/>
      <c r="B71" s="103">
        <v>70.0</v>
      </c>
      <c r="C71" s="183">
        <f t="shared" si="1"/>
        <v>-56.32951974</v>
      </c>
      <c r="D71" s="124" t="str">
        <f>VLOOKUP(A71,'Classement Surp'!$B$2:$B$149,1,0)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18"/>
      <c r="B72" s="103">
        <v>71.0</v>
      </c>
      <c r="C72" s="183">
        <f t="shared" si="1"/>
        <v>-60.44782163</v>
      </c>
      <c r="D72" s="124" t="str">
        <f>VLOOKUP(A72,'Classement Surp'!$B$2:$B$149,1,0)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18"/>
      <c r="B73" s="103">
        <v>72.0</v>
      </c>
      <c r="C73" s="183">
        <f t="shared" si="1"/>
        <v>-64.53946205</v>
      </c>
      <c r="D73" s="124" t="str">
        <f>VLOOKUP(A73,'Classement Surp'!$B$2:$B$149,1,0)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18"/>
      <c r="B74" s="103">
        <v>73.0</v>
      </c>
      <c r="C74" s="183">
        <f t="shared" si="1"/>
        <v>-68.6051114</v>
      </c>
      <c r="D74" s="124" t="str">
        <f>VLOOKUP(A74,'Classement Surp'!$B$2:$B$149,1,0)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18"/>
      <c r="B75" s="103">
        <v>74.0</v>
      </c>
      <c r="C75" s="183">
        <f t="shared" si="1"/>
        <v>-72.64541309</v>
      </c>
      <c r="D75" s="124" t="str">
        <f>VLOOKUP(A75,'Classement Surp'!$B$2:$B$149,1,0)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18"/>
      <c r="B76" s="103">
        <v>75.0</v>
      </c>
      <c r="C76" s="183">
        <f t="shared" si="1"/>
        <v>-76.66098506</v>
      </c>
      <c r="D76" s="124" t="str">
        <f>VLOOKUP(A76,'Classement Surp'!$B$2:$B$149,1,0)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18"/>
      <c r="B77" s="103">
        <v>76.0</v>
      </c>
      <c r="C77" s="183">
        <f t="shared" si="1"/>
        <v>-80.65242112</v>
      </c>
      <c r="D77" s="124" t="str">
        <f>VLOOKUP(A77,'Classement Surp'!$B$2:$B$149,1,0)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18"/>
      <c r="B78" s="103">
        <v>77.0</v>
      </c>
      <c r="C78" s="183">
        <f t="shared" si="1"/>
        <v>-84.62029219</v>
      </c>
      <c r="D78" s="124" t="str">
        <f>VLOOKUP(A78,'Classement Surp'!$B$2:$B$149,1,0)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18"/>
      <c r="B79" s="103">
        <v>78.0</v>
      </c>
      <c r="C79" s="183">
        <f t="shared" si="1"/>
        <v>-88.5651475</v>
      </c>
      <c r="D79" s="124" t="str">
        <f>VLOOKUP(A79,'Classement Surp'!$B$2:$B$149,1,0)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18"/>
      <c r="B80" s="103">
        <v>79.0</v>
      </c>
      <c r="C80" s="183">
        <f t="shared" si="1"/>
        <v>-92.48751573</v>
      </c>
      <c r="D80" s="124" t="str">
        <f>VLOOKUP(A80,'Classement Surp'!$B$2:$B$149,1,0)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18"/>
      <c r="B81" s="103">
        <v>80.0</v>
      </c>
      <c r="C81" s="183">
        <f t="shared" si="1"/>
        <v>-96.38790601</v>
      </c>
      <c r="D81" s="124" t="str">
        <f>VLOOKUP(A81,'Classement Surp'!$B$2:$B$149,1,0)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18"/>
      <c r="B82" s="103">
        <v>81.0</v>
      </c>
      <c r="C82" s="183">
        <f t="shared" si="1"/>
        <v>-100.2668089</v>
      </c>
      <c r="D82" s="124" t="str">
        <f>VLOOKUP(A82,'Classement Surp'!$B$2:$B$149,1,0)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18"/>
      <c r="B83" s="103">
        <v>82.0</v>
      </c>
      <c r="C83" s="183">
        <f t="shared" si="1"/>
        <v>-104.1246973</v>
      </c>
      <c r="D83" s="124" t="str">
        <f>VLOOKUP(A83,'Classement Surp'!$B$2:$B$149,1,0)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18"/>
      <c r="B84" s="103">
        <v>83.0</v>
      </c>
      <c r="C84" s="183">
        <f t="shared" si="1"/>
        <v>-107.9620273</v>
      </c>
      <c r="D84" s="124" t="str">
        <f>VLOOKUP(A84,'Classement Surp'!$B$2:$B$149,1,0)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18"/>
      <c r="B85" s="103">
        <v>84.0</v>
      </c>
      <c r="C85" s="183">
        <f t="shared" si="1"/>
        <v>-111.7792391</v>
      </c>
      <c r="D85" s="124" t="str">
        <f>VLOOKUP(A85,'Classement Surp'!$B$2:$B$149,1,0)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18"/>
      <c r="B86" s="103">
        <v>85.0</v>
      </c>
      <c r="C86" s="183">
        <f t="shared" si="1"/>
        <v>-115.5767575</v>
      </c>
      <c r="D86" s="124" t="str">
        <f>VLOOKUP(A86,'Classement Surp'!$B$2:$B$149,1,0)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18"/>
      <c r="B87" s="103">
        <v>86.0</v>
      </c>
      <c r="C87" s="183">
        <f t="shared" si="1"/>
        <v>-119.3549929</v>
      </c>
      <c r="D87" s="124" t="str">
        <f>VLOOKUP(A87,'Classement Surp'!$B$2:$B$149,1,0)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18"/>
      <c r="B88" s="103">
        <v>87.0</v>
      </c>
      <c r="C88" s="183">
        <f t="shared" si="1"/>
        <v>-123.1143419</v>
      </c>
      <c r="D88" s="124" t="str">
        <f>VLOOKUP(A88,'Classement Surp'!$B$2:$B$149,1,0)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18"/>
      <c r="B89" s="103">
        <v>88.0</v>
      </c>
      <c r="C89" s="183">
        <f t="shared" si="1"/>
        <v>-126.8551876</v>
      </c>
      <c r="D89" s="124" t="str">
        <f>VLOOKUP(A89,'Classement Surp'!$B$2:$B$149,1,0)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18"/>
      <c r="B90" s="103">
        <v>89.0</v>
      </c>
      <c r="C90" s="183">
        <f t="shared" si="1"/>
        <v>-130.5779009</v>
      </c>
      <c r="D90" s="124" t="str">
        <f>VLOOKUP(A90,'Classement Surp'!$B$2:$B$149,1,0)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18"/>
      <c r="B91" s="103">
        <v>90.0</v>
      </c>
      <c r="C91" s="183">
        <f t="shared" si="1"/>
        <v>-134.2828403</v>
      </c>
      <c r="D91" s="124" t="str">
        <f>VLOOKUP(A91,'Classement Surp'!$B$2:$B$149,1,0)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18"/>
      <c r="B92" s="103">
        <v>91.0</v>
      </c>
      <c r="C92" s="183">
        <f t="shared" si="1"/>
        <v>-137.9703529</v>
      </c>
      <c r="D92" s="124" t="str">
        <f>VLOOKUP(A92,'Classement Surp'!$B$2:$B$149,1,0)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18"/>
      <c r="B93" s="103">
        <v>92.0</v>
      </c>
      <c r="C93" s="183">
        <f t="shared" si="1"/>
        <v>-141.6407748</v>
      </c>
      <c r="D93" s="124" t="str">
        <f>VLOOKUP(A93,'Classement Surp'!$B$2:$B$149,1,0)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18"/>
      <c r="B94" s="103">
        <v>93.0</v>
      </c>
      <c r="C94" s="183">
        <f t="shared" si="1"/>
        <v>-145.2944314</v>
      </c>
      <c r="D94" s="124" t="str">
        <f>VLOOKUP(A94,'Classement Surp'!$B$2:$B$149,1,0)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18"/>
      <c r="B95" s="103">
        <v>94.0</v>
      </c>
      <c r="C95" s="183">
        <f t="shared" si="1"/>
        <v>-148.9316383</v>
      </c>
      <c r="D95" s="124" t="str">
        <f>VLOOKUP(A95,'Classement Surp'!$B$2:$B$149,1,0)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18"/>
      <c r="B96" s="103">
        <v>95.0</v>
      </c>
      <c r="C96" s="183">
        <f t="shared" si="1"/>
        <v>-152.552701</v>
      </c>
      <c r="D96" s="124" t="str">
        <f>VLOOKUP(A96,'Classement Surp'!$B$2:$B$149,1,0)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18"/>
      <c r="B97" s="103">
        <v>96.0</v>
      </c>
      <c r="C97" s="183">
        <f t="shared" si="1"/>
        <v>-156.1579162</v>
      </c>
      <c r="D97" s="124" t="str">
        <f>VLOOKUP(A97,'Classement Surp'!$B$2:$B$149,1,0)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18"/>
      <c r="B98" s="103">
        <v>97.0</v>
      </c>
      <c r="C98" s="183">
        <f t="shared" si="1"/>
        <v>-159.7475712</v>
      </c>
      <c r="D98" s="124" t="str">
        <f>VLOOKUP(A98,'Classement Surp'!$B$2:$B$149,1,0)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18"/>
      <c r="B99" s="103">
        <v>98.0</v>
      </c>
      <c r="C99" s="183">
        <f t="shared" si="1"/>
        <v>-163.3219453</v>
      </c>
      <c r="D99" s="124" t="str">
        <f>VLOOKUP(A99,'Classement Surp'!$B$2:$B$149,1,0)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18"/>
      <c r="B100" s="103">
        <v>99.0</v>
      </c>
      <c r="C100" s="183">
        <f t="shared" si="1"/>
        <v>-166.8813091</v>
      </c>
      <c r="D100" s="124" t="str">
        <f>VLOOKUP(A100,'Classement Surp'!$B$2:$B$149,1,0)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18"/>
      <c r="B101" s="103">
        <v>100.0</v>
      </c>
      <c r="C101" s="183">
        <f t="shared" si="1"/>
        <v>-170.4259258</v>
      </c>
      <c r="D101" s="124" t="str">
        <f>VLOOKUP(A101,'Classement Surp'!$B$2:$B$149,1,0)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18"/>
      <c r="B102" s="103">
        <v>101.0</v>
      </c>
      <c r="C102" s="183">
        <f t="shared" si="1"/>
        <v>-173.9560507</v>
      </c>
      <c r="D102" s="124" t="str">
        <f>VLOOKUP(A102,'Classement Surp'!$B$2:$B$149,1,0)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18"/>
      <c r="B103" s="103">
        <v>102.0</v>
      </c>
      <c r="C103" s="183">
        <f t="shared" si="1"/>
        <v>-177.471932</v>
      </c>
      <c r="D103" s="124" t="str">
        <f>VLOOKUP(A103,'Classement Surp'!$B$2:$B$149,1,0)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18"/>
      <c r="B104" s="103">
        <v>103.0</v>
      </c>
      <c r="C104" s="183">
        <f t="shared" si="1"/>
        <v>-180.9738109</v>
      </c>
      <c r="D104" s="124" t="str">
        <f>VLOOKUP(A104,'Classement Surp'!$B$2:$B$149,1,0)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18"/>
      <c r="B105" s="103">
        <v>104.0</v>
      </c>
      <c r="C105" s="183">
        <f t="shared" si="1"/>
        <v>-184.4619219</v>
      </c>
      <c r="D105" s="124" t="str">
        <f>VLOOKUP(A105,'Classement Surp'!$B$2:$B$149,1,0)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18"/>
      <c r="B106" s="103">
        <v>105.0</v>
      </c>
      <c r="C106" s="183">
        <f t="shared" si="1"/>
        <v>-187.9364932</v>
      </c>
      <c r="D106" s="124" t="str">
        <f>VLOOKUP(A106,'Classement Surp'!$B$2:$B$149,1,0)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18"/>
      <c r="B107" s="103">
        <v>106.0</v>
      </c>
      <c r="C107" s="183">
        <f t="shared" si="1"/>
        <v>-191.3977464</v>
      </c>
      <c r="D107" s="124" t="str">
        <f>VLOOKUP(A107,'Classement Surp'!$B$2:$B$149,1,0)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18"/>
      <c r="B108" s="103">
        <v>107.0</v>
      </c>
      <c r="C108" s="183">
        <f t="shared" si="1"/>
        <v>-194.8458975</v>
      </c>
      <c r="D108" s="124" t="str">
        <f>VLOOKUP(A108,'Classement Surp'!$B$2:$B$149,1,0)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18"/>
      <c r="B109" s="103">
        <v>108.0</v>
      </c>
      <c r="C109" s="183">
        <f t="shared" si="1"/>
        <v>-198.2811566</v>
      </c>
      <c r="D109" s="124" t="str">
        <f>VLOOKUP(A109,'Classement Surp'!$B$2:$B$149,1,0)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18"/>
      <c r="B110" s="103">
        <v>109.0</v>
      </c>
      <c r="C110" s="183">
        <f t="shared" si="1"/>
        <v>-201.7037281</v>
      </c>
      <c r="D110" s="124" t="str">
        <f>VLOOKUP(A110,'Classement Surp'!$B$2:$B$149,1,0)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18"/>
      <c r="B111" s="103">
        <v>110.0</v>
      </c>
      <c r="C111" s="183">
        <f t="shared" si="1"/>
        <v>-205.1138113</v>
      </c>
      <c r="D111" s="124" t="str">
        <f>VLOOKUP(A111,'Classement Surp'!$B$2:$B$149,1,0)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18"/>
      <c r="B112" s="103">
        <v>111.0</v>
      </c>
      <c r="C112" s="183">
        <f t="shared" si="1"/>
        <v>-208.5116002</v>
      </c>
      <c r="D112" s="124" t="str">
        <f>VLOOKUP(A112,'Classement Surp'!$B$2:$B$149,1,0)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18"/>
      <c r="B113" s="103">
        <v>112.0</v>
      </c>
      <c r="C113" s="183">
        <f t="shared" si="1"/>
        <v>-211.8972839</v>
      </c>
      <c r="D113" s="124" t="str">
        <f>VLOOKUP(A113,'Classement Surp'!$B$2:$B$149,1,0)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18"/>
      <c r="B114" s="103">
        <v>113.0</v>
      </c>
      <c r="C114" s="183">
        <f t="shared" si="1"/>
        <v>-215.2710466</v>
      </c>
      <c r="D114" s="124" t="str">
        <f>VLOOKUP(A114,'Classement Surp'!$B$2:$B$149,1,0)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18"/>
      <c r="B115" s="103">
        <v>114.0</v>
      </c>
      <c r="C115" s="183">
        <f t="shared" si="1"/>
        <v>-218.633068</v>
      </c>
      <c r="D115" s="124" t="str">
        <f>VLOOKUP(A115,'Classement Surp'!$B$2:$B$149,1,0)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18"/>
      <c r="B116" s="103">
        <v>115.0</v>
      </c>
      <c r="C116" s="183">
        <f t="shared" si="1"/>
        <v>-221.983523</v>
      </c>
      <c r="D116" s="124" t="str">
        <f>VLOOKUP(A116,'Classement Surp'!$B$2:$B$149,1,0)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18"/>
      <c r="B117" s="103">
        <v>116.0</v>
      </c>
      <c r="C117" s="183">
        <f t="shared" si="1"/>
        <v>-225.3225827</v>
      </c>
      <c r="D117" s="124" t="str">
        <f>VLOOKUP(A117,'Classement Surp'!$B$2:$B$149,1,0)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18"/>
      <c r="B118" s="103">
        <v>117.0</v>
      </c>
      <c r="C118" s="183">
        <f t="shared" si="1"/>
        <v>-228.6504135</v>
      </c>
      <c r="D118" s="124" t="str">
        <f>VLOOKUP(A118,'Classement Surp'!$B$2:$B$149,1,0)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18"/>
      <c r="B119" s="103">
        <v>118.0</v>
      </c>
      <c r="C119" s="183">
        <f t="shared" si="1"/>
        <v>-231.9671782</v>
      </c>
      <c r="D119" s="124" t="str">
        <f>VLOOKUP(A119,'Classement Surp'!$B$2:$B$149,1,0)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18"/>
      <c r="B120" s="103">
        <v>119.0</v>
      </c>
      <c r="C120" s="183">
        <f t="shared" si="1"/>
        <v>-235.2730353</v>
      </c>
      <c r="D120" s="124" t="str">
        <f>VLOOKUP(A120,'Classement Surp'!$B$2:$B$149,1,0)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18"/>
      <c r="B121" s="103">
        <v>120.0</v>
      </c>
      <c r="C121" s="183">
        <f t="shared" si="1"/>
        <v>-238.5681398</v>
      </c>
      <c r="D121" s="124" t="str">
        <f>VLOOKUP(A121,'Classement Surp'!$B$2:$B$149,1,0)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18"/>
      <c r="B122" s="103">
        <v>121.0</v>
      </c>
      <c r="C122" s="183">
        <f t="shared" si="1"/>
        <v>-241.8526429</v>
      </c>
      <c r="D122" s="124" t="str">
        <f>VLOOKUP(A122,'Classement Surp'!$B$2:$B$149,1,0)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18"/>
      <c r="B123" s="103">
        <v>122.0</v>
      </c>
      <c r="C123" s="183">
        <f t="shared" si="1"/>
        <v>-245.1266924</v>
      </c>
      <c r="D123" s="124" t="str">
        <f>VLOOKUP(A123,'Classement Surp'!$B$2:$B$149,1,0)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18"/>
      <c r="B124" s="103">
        <v>123.0</v>
      </c>
      <c r="C124" s="183">
        <f t="shared" si="1"/>
        <v>-248.3904326</v>
      </c>
      <c r="D124" s="124" t="str">
        <f>VLOOKUP(A124,'Classement Surp'!$B$2:$B$149,1,0)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18"/>
      <c r="B125" s="103">
        <v>124.0</v>
      </c>
      <c r="C125" s="183">
        <f t="shared" si="1"/>
        <v>-251.6440045</v>
      </c>
      <c r="D125" s="124" t="str">
        <f>VLOOKUP(A125,'Classement Surp'!$B$2:$B$149,1,0)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18"/>
      <c r="B126" s="103">
        <v>125.0</v>
      </c>
      <c r="C126" s="183">
        <f t="shared" si="1"/>
        <v>-254.8875458</v>
      </c>
      <c r="D126" s="124" t="str">
        <f>VLOOKUP(A126,'Classement Surp'!$B$2:$B$149,1,0)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18"/>
      <c r="B127" s="103">
        <v>126.0</v>
      </c>
      <c r="C127" s="183">
        <f t="shared" si="1"/>
        <v>-258.1211912</v>
      </c>
      <c r="D127" s="124" t="str">
        <f>VLOOKUP(A127,'Classement Surp'!$B$2:$B$149,1,0)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18"/>
      <c r="B128" s="103">
        <v>127.0</v>
      </c>
      <c r="C128" s="183">
        <f t="shared" si="1"/>
        <v>-261.3450724</v>
      </c>
      <c r="D128" s="124" t="str">
        <f>VLOOKUP(A128,'Classement Surp'!$B$2:$B$149,1,0)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18"/>
      <c r="B129" s="103">
        <v>128.0</v>
      </c>
      <c r="C129" s="183">
        <f t="shared" si="1"/>
        <v>-264.5593181</v>
      </c>
      <c r="D129" s="124" t="str">
        <f>VLOOKUP(A129,'Classement Surp'!$B$2:$B$149,1,0)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18"/>
      <c r="B130" s="103">
        <v>129.0</v>
      </c>
      <c r="C130" s="183">
        <f t="shared" si="1"/>
        <v>-267.7640542</v>
      </c>
      <c r="D130" s="124" t="str">
        <f>VLOOKUP(A130,'Classement Surp'!$B$2:$B$149,1,0)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18"/>
      <c r="B131" s="103">
        <v>130.0</v>
      </c>
      <c r="C131" s="183">
        <f t="shared" si="1"/>
        <v>-270.9594039</v>
      </c>
      <c r="D131" s="124" t="str">
        <f>VLOOKUP(A131,'Classement Surp'!$B$2:$B$149,1,0)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18"/>
      <c r="B132" s="103">
        <v>131.0</v>
      </c>
      <c r="C132" s="183">
        <f t="shared" si="1"/>
        <v>-274.1454877</v>
      </c>
      <c r="D132" s="124" t="str">
        <f>VLOOKUP(A132,'Classement Surp'!$B$2:$B$149,1,0)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18"/>
      <c r="B133" s="103">
        <v>132.0</v>
      </c>
      <c r="C133" s="183">
        <f t="shared" si="1"/>
        <v>-277.3224235</v>
      </c>
      <c r="D133" s="124" t="str">
        <f>VLOOKUP(A133,'Classement Surp'!$B$2:$B$149,1,0)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18"/>
      <c r="B134" s="103">
        <v>133.0</v>
      </c>
      <c r="C134" s="183">
        <f t="shared" si="1"/>
        <v>-280.4903267</v>
      </c>
      <c r="D134" s="124" t="str">
        <f>VLOOKUP(A134,'Classement Surp'!$B$2:$B$149,1,0)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18"/>
      <c r="B135" s="103">
        <v>134.0</v>
      </c>
      <c r="C135" s="183">
        <f t="shared" si="1"/>
        <v>-283.6493102</v>
      </c>
      <c r="D135" s="124" t="str">
        <f>VLOOKUP(A135,'Classement Surp'!$B$2:$B$149,1,0)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18"/>
      <c r="B136" s="103">
        <v>135.0</v>
      </c>
      <c r="C136" s="183">
        <f t="shared" si="1"/>
        <v>-286.7994848</v>
      </c>
      <c r="D136" s="124" t="str">
        <f>VLOOKUP(A136,'Classement Surp'!$B$2:$B$149,1,0)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18"/>
      <c r="B137" s="103">
        <v>136.0</v>
      </c>
      <c r="C137" s="183">
        <f t="shared" si="1"/>
        <v>-289.9409586</v>
      </c>
      <c r="D137" s="124" t="str">
        <f>VLOOKUP(A137,'Classement Surp'!$B$2:$B$149,1,0)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18"/>
      <c r="B138" s="103">
        <v>137.0</v>
      </c>
      <c r="C138" s="183">
        <f t="shared" si="1"/>
        <v>-293.0738378</v>
      </c>
      <c r="D138" s="124" t="str">
        <f>VLOOKUP(A138,'Classement Surp'!$B$2:$B$149,1,0)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18"/>
      <c r="B139" s="103">
        <v>138.0</v>
      </c>
      <c r="C139" s="183">
        <f t="shared" si="1"/>
        <v>-296.1982263</v>
      </c>
      <c r="D139" s="124" t="str">
        <f>VLOOKUP(A139,'Classement Surp'!$B$2:$B$149,1,0)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18"/>
      <c r="B140" s="103">
        <v>139.0</v>
      </c>
      <c r="C140" s="183">
        <f t="shared" si="1"/>
        <v>-299.3142258</v>
      </c>
      <c r="D140" s="124" t="str">
        <f>VLOOKUP(A140,'Classement Surp'!$B$2:$B$149,1,0)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18"/>
      <c r="B141" s="103">
        <v>140.0</v>
      </c>
      <c r="C141" s="183">
        <f t="shared" si="1"/>
        <v>-302.4219363</v>
      </c>
      <c r="D141" s="124" t="str">
        <f>VLOOKUP(A141,'Classement Surp'!$B$2:$B$149,1,0)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18"/>
      <c r="B142" s="103">
        <v>141.0</v>
      </c>
      <c r="C142" s="183">
        <f t="shared" si="1"/>
        <v>-305.5214553</v>
      </c>
      <c r="D142" s="124" t="str">
        <f>VLOOKUP(A142,'Classement Surp'!$B$2:$B$149,1,0)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18"/>
      <c r="B143" s="103">
        <v>142.0</v>
      </c>
      <c r="C143" s="183">
        <f t="shared" si="1"/>
        <v>-308.6128789</v>
      </c>
      <c r="D143" s="124" t="str">
        <f>VLOOKUP(A143,'Classement Surp'!$B$2:$B$149,1,0)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18"/>
      <c r="B144" s="103">
        <v>143.0</v>
      </c>
      <c r="C144" s="183">
        <f t="shared" si="1"/>
        <v>-311.6963008</v>
      </c>
      <c r="D144" s="124" t="str">
        <f>VLOOKUP(A144,'Classement Surp'!$B$2:$B$149,1,0)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18"/>
      <c r="B145" s="103">
        <v>144.0</v>
      </c>
      <c r="C145" s="183">
        <f t="shared" si="1"/>
        <v>-314.7718132</v>
      </c>
      <c r="D145" s="124" t="str">
        <f>VLOOKUP(A145,'Classement Surp'!$B$2:$B$149,1,0)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18"/>
      <c r="B146" s="103">
        <v>145.0</v>
      </c>
      <c r="C146" s="183">
        <f t="shared" si="1"/>
        <v>-317.8395066</v>
      </c>
      <c r="D146" s="124" t="str">
        <f>VLOOKUP(A146,'Classement Surp'!$B$2:$B$149,1,0)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18"/>
      <c r="B147" s="103">
        <v>146.0</v>
      </c>
      <c r="C147" s="183">
        <f t="shared" si="1"/>
        <v>-320.8994693</v>
      </c>
      <c r="D147" s="124" t="str">
        <f>VLOOKUP(A147,'Classement Surp'!$B$2:$B$149,1,0)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18"/>
      <c r="B148" s="103">
        <v>147.0</v>
      </c>
      <c r="C148" s="183">
        <f t="shared" si="1"/>
        <v>-323.9517885</v>
      </c>
      <c r="D148" s="124" t="str">
        <f>VLOOKUP(A148,'Classement Surp'!$B$2:$B$149,1,0)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18"/>
      <c r="B149" s="103">
        <v>148.0</v>
      </c>
      <c r="C149" s="183">
        <f t="shared" si="1"/>
        <v>-326.9965493</v>
      </c>
      <c r="D149" s="124" t="str">
        <f>VLOOKUP(A149,'Classement Surp'!$B$2:$B$149,1,0)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18"/>
      <c r="B150" s="103">
        <v>149.0</v>
      </c>
      <c r="C150" s="183">
        <f t="shared" si="1"/>
        <v>-330.0338354</v>
      </c>
      <c r="D150" s="124" t="str">
        <f>VLOOKUP(A150,'Classement Surp'!$B$2:$B$149,1,0)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18"/>
      <c r="B151" s="103">
        <v>150.0</v>
      </c>
      <c r="C151" s="183">
        <f t="shared" si="1"/>
        <v>-333.0637289</v>
      </c>
      <c r="D151" s="124" t="str">
        <f>VLOOKUP(A151,'Classement Surp'!$B$2:$B$149,1,0)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18"/>
      <c r="B152" s="103">
        <v>151.0</v>
      </c>
      <c r="C152" s="183">
        <f t="shared" si="1"/>
        <v>-336.0863104</v>
      </c>
      <c r="D152" s="124" t="str">
        <f>VLOOKUP(A152,'Classement Surp'!$B$2:$B$149,1,0)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18"/>
      <c r="B153" s="103">
        <v>152.0</v>
      </c>
      <c r="C153" s="183">
        <f t="shared" si="1"/>
        <v>-339.101659</v>
      </c>
      <c r="D153" s="124" t="str">
        <f>VLOOKUP(A153,'Classement Surp'!$B$2:$B$149,1,0)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18"/>
      <c r="B154" s="103">
        <v>153.0</v>
      </c>
      <c r="C154" s="183">
        <f t="shared" si="1"/>
        <v>-342.1098524</v>
      </c>
      <c r="D154" s="124" t="str">
        <f>VLOOKUP(A154,'Classement Surp'!$B$2:$B$149,1,0)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18"/>
      <c r="B155" s="103">
        <v>154.0</v>
      </c>
      <c r="C155" s="183">
        <f t="shared" si="1"/>
        <v>-345.1109667</v>
      </c>
      <c r="D155" s="124" t="str">
        <f>VLOOKUP(A155,'Classement Surp'!$B$2:$B$149,1,0)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18"/>
      <c r="B156" s="103">
        <v>155.0</v>
      </c>
      <c r="C156" s="183">
        <f t="shared" si="1"/>
        <v>-348.105077</v>
      </c>
      <c r="D156" s="124" t="str">
        <f>VLOOKUP(A156,'Classement Surp'!$B$2:$B$149,1,0)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18"/>
      <c r="B157" s="103">
        <v>156.0</v>
      </c>
      <c r="C157" s="183">
        <f t="shared" si="1"/>
        <v>-351.0922567</v>
      </c>
      <c r="D157" s="124" t="str">
        <f>VLOOKUP(A157,'Classement Surp'!$B$2:$B$149,1,0)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18"/>
      <c r="B158" s="103">
        <v>157.0</v>
      </c>
      <c r="C158" s="183">
        <f t="shared" si="1"/>
        <v>-354.072578</v>
      </c>
      <c r="D158" s="124" t="str">
        <f>VLOOKUP(A158,'Classement Surp'!$B$2:$B$149,1,0)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18"/>
      <c r="B159" s="103">
        <v>158.0</v>
      </c>
      <c r="C159" s="183">
        <f t="shared" si="1"/>
        <v>-357.046112</v>
      </c>
      <c r="D159" s="124" t="str">
        <f>VLOOKUP(A159,'Classement Surp'!$B$2:$B$149,1,0)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18"/>
      <c r="B160" s="103">
        <v>159.0</v>
      </c>
      <c r="C160" s="183">
        <f t="shared" si="1"/>
        <v>-360.0129283</v>
      </c>
      <c r="D160" s="124" t="str">
        <f>VLOOKUP(A160,'Classement Surp'!$B$2:$B$149,1,0)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84"/>
      <c r="B161" s="185">
        <v>160.0</v>
      </c>
      <c r="C161" s="186">
        <f t="shared" si="1"/>
        <v>-362.9730955</v>
      </c>
      <c r="D161" s="124" t="str">
        <f>VLOOKUP(A161,'Classement Surp'!$B$2:$B$149,1,0)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A162" s="187"/>
      <c r="B162" s="128"/>
    </row>
    <row r="163" ht="14.25" customHeight="1">
      <c r="A163" s="187"/>
      <c r="B163" s="128"/>
    </row>
    <row r="164" ht="14.25" customHeight="1">
      <c r="A164" s="187"/>
      <c r="B164" s="128"/>
    </row>
    <row r="165" ht="14.25" customHeight="1">
      <c r="A165" s="187"/>
      <c r="B165" s="128"/>
    </row>
    <row r="166" ht="14.25" customHeight="1">
      <c r="A166" s="187"/>
      <c r="B166" s="128"/>
    </row>
    <row r="167" ht="14.25" customHeight="1">
      <c r="A167" s="187"/>
      <c r="B167" s="128"/>
    </row>
    <row r="168" ht="14.25" customHeight="1">
      <c r="A168" s="187"/>
      <c r="B168" s="128"/>
    </row>
    <row r="169" ht="14.25" customHeight="1">
      <c r="A169" s="187"/>
      <c r="B169" s="128"/>
    </row>
    <row r="170" ht="14.25" customHeight="1">
      <c r="A170" s="187"/>
      <c r="B170" s="128"/>
    </row>
    <row r="171" ht="14.25" customHeight="1">
      <c r="A171" s="187"/>
      <c r="B171" s="128"/>
    </row>
    <row r="172" ht="14.25" customHeight="1">
      <c r="A172" s="187"/>
      <c r="B172" s="128"/>
    </row>
    <row r="173" ht="14.25" customHeight="1">
      <c r="A173" s="187"/>
      <c r="B173" s="128"/>
    </row>
    <row r="174" ht="14.25" customHeight="1">
      <c r="A174" s="187"/>
      <c r="B174" s="128"/>
    </row>
    <row r="175" ht="14.25" customHeight="1">
      <c r="A175" s="187"/>
      <c r="B175" s="128"/>
    </row>
    <row r="176" ht="14.25" customHeight="1">
      <c r="A176" s="187"/>
      <c r="B176" s="128"/>
    </row>
    <row r="177" ht="14.25" customHeight="1">
      <c r="A177" s="187"/>
      <c r="B177" s="128"/>
    </row>
    <row r="178" ht="14.25" customHeight="1">
      <c r="A178" s="187"/>
      <c r="B178" s="128"/>
    </row>
    <row r="179" ht="14.25" customHeight="1">
      <c r="A179" s="187"/>
      <c r="B179" s="128"/>
    </row>
    <row r="180" ht="14.25" customHeight="1">
      <c r="A180" s="187"/>
      <c r="B180" s="128"/>
    </row>
    <row r="181" ht="14.25" customHeight="1">
      <c r="A181" s="187"/>
      <c r="B181" s="128"/>
    </row>
    <row r="182" ht="14.25" customHeight="1">
      <c r="A182" s="187"/>
      <c r="B182" s="128"/>
    </row>
    <row r="183" ht="14.25" customHeight="1">
      <c r="A183" s="187"/>
      <c r="B183" s="128"/>
    </row>
    <row r="184" ht="14.25" customHeight="1">
      <c r="A184" s="187"/>
      <c r="B184" s="128"/>
    </row>
    <row r="185" ht="14.25" customHeight="1">
      <c r="A185" s="187"/>
      <c r="B185" s="128"/>
    </row>
    <row r="186" ht="14.25" customHeight="1">
      <c r="A186" s="187"/>
      <c r="B186" s="128"/>
    </row>
    <row r="187" ht="14.25" customHeight="1">
      <c r="A187" s="187"/>
      <c r="B187" s="128"/>
    </row>
    <row r="188" ht="14.25" customHeight="1">
      <c r="A188" s="187"/>
      <c r="B188" s="128"/>
    </row>
    <row r="189" ht="14.25" customHeight="1">
      <c r="A189" s="187"/>
      <c r="B189" s="128"/>
    </row>
    <row r="190" ht="14.25" customHeight="1">
      <c r="A190" s="187"/>
      <c r="B190" s="128"/>
    </row>
    <row r="191" ht="14.25" customHeight="1">
      <c r="A191" s="187"/>
      <c r="B191" s="128"/>
    </row>
    <row r="192" ht="14.25" customHeight="1">
      <c r="A192" s="187"/>
      <c r="B192" s="128"/>
    </row>
    <row r="193" ht="14.25" customHeight="1">
      <c r="A193" s="187"/>
      <c r="B193" s="128"/>
    </row>
    <row r="194" ht="14.25" customHeight="1">
      <c r="A194" s="187"/>
      <c r="B194" s="128"/>
    </row>
    <row r="195" ht="14.25" customHeight="1">
      <c r="A195" s="187"/>
      <c r="B195" s="128"/>
    </row>
    <row r="196" ht="14.25" customHeight="1">
      <c r="A196" s="187"/>
      <c r="B196" s="128"/>
    </row>
    <row r="197" ht="14.25" customHeight="1">
      <c r="A197" s="187"/>
      <c r="B197" s="128"/>
    </row>
    <row r="198" ht="14.25" customHeight="1">
      <c r="A198" s="187"/>
      <c r="B198" s="128"/>
    </row>
    <row r="199" ht="14.25" customHeight="1">
      <c r="A199" s="187"/>
      <c r="B199" s="128"/>
    </row>
    <row r="200" ht="14.25" customHeight="1">
      <c r="A200" s="187"/>
      <c r="B200" s="128"/>
    </row>
    <row r="201" ht="14.25" customHeight="1">
      <c r="A201" s="187"/>
      <c r="B201" s="128"/>
    </row>
    <row r="202" ht="14.25" customHeight="1">
      <c r="A202" s="187"/>
      <c r="B202" s="128"/>
    </row>
    <row r="203" ht="14.25" customHeight="1">
      <c r="A203" s="187"/>
      <c r="B203" s="128"/>
    </row>
    <row r="204" ht="14.25" customHeight="1">
      <c r="A204" s="187"/>
      <c r="B204" s="128"/>
    </row>
    <row r="205" ht="14.25" customHeight="1">
      <c r="A205" s="187"/>
      <c r="B205" s="128"/>
    </row>
    <row r="206" ht="14.25" customHeight="1">
      <c r="A206" s="187"/>
      <c r="B206" s="128"/>
    </row>
    <row r="207" ht="14.25" customHeight="1">
      <c r="A207" s="187"/>
      <c r="B207" s="128"/>
    </row>
    <row r="208" ht="14.25" customHeight="1">
      <c r="A208" s="187"/>
      <c r="B208" s="128"/>
    </row>
    <row r="209" ht="14.25" customHeight="1">
      <c r="A209" s="187"/>
      <c r="B209" s="128"/>
    </row>
    <row r="210" ht="14.25" customHeight="1">
      <c r="A210" s="187"/>
      <c r="B210" s="128"/>
    </row>
    <row r="211" ht="14.25" customHeight="1">
      <c r="A211" s="187"/>
      <c r="B211" s="128"/>
    </row>
    <row r="212" ht="14.25" customHeight="1">
      <c r="A212" s="187"/>
      <c r="B212" s="128"/>
    </row>
    <row r="213" ht="14.25" customHeight="1">
      <c r="A213" s="187"/>
      <c r="B213" s="128"/>
    </row>
    <row r="214" ht="14.25" customHeight="1">
      <c r="A214" s="187"/>
      <c r="B214" s="128"/>
    </row>
    <row r="215" ht="14.25" customHeight="1">
      <c r="A215" s="187"/>
      <c r="B215" s="128"/>
    </row>
    <row r="216" ht="14.25" customHeight="1">
      <c r="A216" s="187"/>
      <c r="B216" s="128"/>
    </row>
    <row r="217" ht="14.25" customHeight="1">
      <c r="A217" s="187"/>
      <c r="B217" s="128"/>
    </row>
    <row r="218" ht="14.25" customHeight="1">
      <c r="A218" s="187"/>
      <c r="B218" s="128"/>
    </row>
    <row r="219" ht="14.25" customHeight="1">
      <c r="A219" s="187"/>
      <c r="B219" s="128"/>
    </row>
    <row r="220" ht="14.25" customHeight="1">
      <c r="A220" s="187"/>
      <c r="B220" s="128"/>
    </row>
    <row r="221" ht="14.25" customHeight="1">
      <c r="A221" s="187"/>
      <c r="B221" s="128"/>
    </row>
    <row r="222" ht="14.25" customHeight="1">
      <c r="A222" s="187"/>
      <c r="B222" s="128"/>
    </row>
    <row r="223" ht="14.25" customHeight="1">
      <c r="A223" s="187"/>
      <c r="B223" s="128"/>
    </row>
    <row r="224" ht="14.25" customHeight="1">
      <c r="A224" s="187"/>
      <c r="B224" s="128"/>
    </row>
    <row r="225" ht="14.25" customHeight="1">
      <c r="A225" s="187"/>
      <c r="B225" s="128"/>
    </row>
    <row r="226" ht="14.25" customHeight="1">
      <c r="A226" s="187"/>
      <c r="B226" s="128"/>
    </row>
    <row r="227" ht="14.25" customHeight="1">
      <c r="A227" s="187"/>
      <c r="B227" s="128"/>
    </row>
    <row r="228" ht="14.25" customHeight="1">
      <c r="A228" s="187"/>
      <c r="B228" s="128"/>
    </row>
    <row r="229" ht="14.25" customHeight="1">
      <c r="A229" s="187"/>
      <c r="B229" s="128"/>
    </row>
    <row r="230" ht="14.25" customHeight="1">
      <c r="A230" s="187"/>
      <c r="B230" s="128"/>
    </row>
    <row r="231" ht="14.25" customHeight="1">
      <c r="A231" s="187"/>
      <c r="B231" s="128"/>
    </row>
    <row r="232" ht="14.25" customHeight="1">
      <c r="A232" s="187"/>
      <c r="B232" s="128"/>
    </row>
    <row r="233" ht="14.25" customHeight="1">
      <c r="A233" s="187"/>
      <c r="B233" s="128"/>
    </row>
    <row r="234" ht="14.25" customHeight="1">
      <c r="A234" s="187"/>
      <c r="B234" s="128"/>
    </row>
    <row r="235" ht="14.25" customHeight="1">
      <c r="A235" s="187"/>
      <c r="B235" s="128"/>
    </row>
    <row r="236" ht="14.25" customHeight="1">
      <c r="A236" s="187"/>
      <c r="B236" s="128"/>
    </row>
    <row r="237" ht="14.25" customHeight="1">
      <c r="A237" s="187"/>
      <c r="B237" s="128"/>
    </row>
    <row r="238" ht="14.25" customHeight="1">
      <c r="A238" s="187"/>
      <c r="B238" s="128"/>
    </row>
    <row r="239" ht="14.25" customHeight="1">
      <c r="A239" s="187"/>
      <c r="B239" s="128"/>
    </row>
    <row r="240" ht="14.25" customHeight="1">
      <c r="A240" s="187"/>
      <c r="B240" s="128"/>
    </row>
    <row r="241" ht="14.25" customHeight="1">
      <c r="A241" s="187"/>
      <c r="B241" s="128"/>
    </row>
    <row r="242" ht="14.25" customHeight="1">
      <c r="A242" s="187"/>
      <c r="B242" s="128"/>
    </row>
    <row r="243" ht="14.25" customHeight="1">
      <c r="A243" s="187"/>
      <c r="B243" s="128"/>
    </row>
    <row r="244" ht="14.25" customHeight="1">
      <c r="A244" s="187"/>
      <c r="B244" s="128"/>
    </row>
    <row r="245" ht="14.25" customHeight="1">
      <c r="A245" s="187"/>
      <c r="B245" s="128"/>
    </row>
    <row r="246" ht="14.25" customHeight="1">
      <c r="A246" s="187"/>
      <c r="B246" s="128"/>
    </row>
    <row r="247" ht="14.25" customHeight="1">
      <c r="A247" s="187"/>
      <c r="B247" s="128"/>
    </row>
    <row r="248" ht="14.25" customHeight="1">
      <c r="A248" s="187"/>
      <c r="B248" s="128"/>
    </row>
    <row r="249" ht="14.25" customHeight="1">
      <c r="A249" s="187"/>
      <c r="B249" s="128"/>
    </row>
    <row r="250" ht="14.25" customHeight="1">
      <c r="A250" s="187"/>
      <c r="B250" s="128"/>
    </row>
    <row r="251" ht="14.25" customHeight="1">
      <c r="A251" s="187"/>
      <c r="B251" s="128"/>
    </row>
    <row r="252" ht="14.25" customHeight="1">
      <c r="A252" s="187"/>
      <c r="B252" s="128"/>
    </row>
    <row r="253" ht="14.25" customHeight="1">
      <c r="A253" s="187"/>
      <c r="B253" s="128"/>
    </row>
    <row r="254" ht="14.25" customHeight="1">
      <c r="A254" s="187"/>
      <c r="B254" s="128"/>
    </row>
    <row r="255" ht="14.25" customHeight="1">
      <c r="A255" s="187"/>
      <c r="B255" s="128"/>
    </row>
    <row r="256" ht="14.25" customHeight="1">
      <c r="A256" s="187"/>
      <c r="B256" s="128"/>
    </row>
    <row r="257" ht="14.25" customHeight="1">
      <c r="A257" s="187"/>
      <c r="B257" s="128"/>
    </row>
    <row r="258" ht="14.25" customHeight="1">
      <c r="A258" s="187"/>
      <c r="B258" s="128"/>
    </row>
    <row r="259" ht="14.25" customHeight="1">
      <c r="A259" s="187"/>
      <c r="B259" s="128"/>
    </row>
    <row r="260" ht="14.25" customHeight="1">
      <c r="A260" s="187"/>
      <c r="B260" s="128"/>
    </row>
    <row r="261" ht="14.25" customHeight="1">
      <c r="A261" s="187"/>
      <c r="B261" s="128"/>
    </row>
    <row r="262" ht="14.25" customHeight="1">
      <c r="A262" s="187"/>
      <c r="B262" s="128"/>
    </row>
    <row r="263" ht="14.25" customHeight="1">
      <c r="A263" s="187"/>
      <c r="B263" s="128"/>
    </row>
    <row r="264" ht="14.25" customHeight="1">
      <c r="A264" s="187"/>
      <c r="B264" s="128"/>
    </row>
    <row r="265" ht="14.25" customHeight="1">
      <c r="A265" s="187"/>
      <c r="B265" s="128"/>
    </row>
    <row r="266" ht="14.25" customHeight="1">
      <c r="A266" s="187"/>
      <c r="B266" s="128"/>
    </row>
    <row r="267" ht="14.25" customHeight="1">
      <c r="A267" s="187"/>
      <c r="B267" s="128"/>
    </row>
    <row r="268" ht="14.25" customHeight="1">
      <c r="A268" s="187"/>
      <c r="B268" s="128"/>
    </row>
    <row r="269" ht="14.25" customHeight="1">
      <c r="A269" s="187"/>
      <c r="B269" s="128"/>
    </row>
    <row r="270" ht="14.25" customHeight="1">
      <c r="A270" s="187"/>
      <c r="B270" s="128"/>
    </row>
    <row r="271" ht="14.25" customHeight="1">
      <c r="A271" s="187"/>
      <c r="B271" s="128"/>
    </row>
    <row r="272" ht="14.25" customHeight="1">
      <c r="A272" s="187"/>
      <c r="B272" s="128"/>
    </row>
    <row r="273" ht="14.25" customHeight="1">
      <c r="A273" s="187"/>
      <c r="B273" s="128"/>
    </row>
    <row r="274" ht="14.25" customHeight="1">
      <c r="A274" s="187"/>
      <c r="B274" s="128"/>
    </row>
    <row r="275" ht="14.25" customHeight="1">
      <c r="A275" s="187"/>
      <c r="B275" s="128"/>
    </row>
    <row r="276" ht="14.25" customHeight="1">
      <c r="A276" s="187"/>
      <c r="B276" s="128"/>
    </row>
    <row r="277" ht="14.25" customHeight="1">
      <c r="A277" s="187"/>
      <c r="B277" s="128"/>
    </row>
    <row r="278" ht="14.25" customHeight="1">
      <c r="A278" s="187"/>
      <c r="B278" s="128"/>
    </row>
    <row r="279" ht="14.25" customHeight="1">
      <c r="A279" s="187"/>
      <c r="B279" s="128"/>
    </row>
    <row r="280" ht="14.25" customHeight="1">
      <c r="A280" s="187"/>
      <c r="B280" s="128"/>
    </row>
    <row r="281" ht="14.25" customHeight="1">
      <c r="A281" s="187"/>
      <c r="B281" s="128"/>
    </row>
    <row r="282" ht="14.25" customHeight="1">
      <c r="A282" s="187"/>
      <c r="B282" s="128"/>
    </row>
    <row r="283" ht="14.25" customHeight="1">
      <c r="A283" s="187"/>
      <c r="B283" s="128"/>
    </row>
    <row r="284" ht="14.25" customHeight="1">
      <c r="A284" s="187"/>
      <c r="B284" s="128"/>
    </row>
    <row r="285" ht="14.25" customHeight="1">
      <c r="A285" s="187"/>
      <c r="B285" s="128"/>
    </row>
    <row r="286" ht="14.25" customHeight="1">
      <c r="A286" s="187"/>
      <c r="B286" s="128"/>
    </row>
    <row r="287" ht="14.25" customHeight="1">
      <c r="A287" s="187"/>
      <c r="B287" s="128"/>
    </row>
    <row r="288" ht="14.25" customHeight="1">
      <c r="A288" s="187"/>
      <c r="B288" s="128"/>
    </row>
    <row r="289" ht="14.25" customHeight="1">
      <c r="A289" s="187"/>
      <c r="B289" s="128"/>
    </row>
    <row r="290" ht="14.25" customHeight="1">
      <c r="A290" s="187"/>
      <c r="B290" s="128"/>
    </row>
    <row r="291" ht="14.25" customHeight="1">
      <c r="A291" s="187"/>
      <c r="B291" s="128"/>
    </row>
    <row r="292" ht="14.25" customHeight="1">
      <c r="A292" s="187"/>
      <c r="B292" s="128"/>
    </row>
    <row r="293" ht="14.25" customHeight="1">
      <c r="A293" s="187"/>
      <c r="B293" s="128"/>
    </row>
    <row r="294" ht="14.25" customHeight="1">
      <c r="A294" s="187"/>
      <c r="B294" s="128"/>
    </row>
    <row r="295" ht="14.25" customHeight="1">
      <c r="A295" s="187"/>
      <c r="B295" s="128"/>
    </row>
    <row r="296" ht="14.25" customHeight="1">
      <c r="A296" s="187"/>
      <c r="B296" s="128"/>
    </row>
    <row r="297" ht="14.25" customHeight="1">
      <c r="A297" s="187"/>
      <c r="B297" s="128"/>
    </row>
    <row r="298" ht="14.25" customHeight="1">
      <c r="A298" s="187"/>
      <c r="B298" s="128"/>
    </row>
    <row r="299" ht="14.25" customHeight="1">
      <c r="A299" s="187"/>
      <c r="B299" s="128"/>
    </row>
    <row r="300" ht="14.25" customHeight="1">
      <c r="A300" s="187"/>
      <c r="B300" s="128"/>
    </row>
    <row r="301" ht="14.25" customHeight="1">
      <c r="A301" s="187"/>
      <c r="B301" s="128"/>
    </row>
    <row r="302" ht="14.25" customHeight="1">
      <c r="A302" s="187"/>
      <c r="B302" s="128"/>
    </row>
    <row r="303" ht="14.25" customHeight="1">
      <c r="A303" s="187"/>
      <c r="B303" s="128"/>
    </row>
    <row r="304" ht="14.25" customHeight="1">
      <c r="A304" s="187"/>
      <c r="B304" s="128"/>
    </row>
    <row r="305" ht="14.25" customHeight="1">
      <c r="A305" s="187"/>
      <c r="B305" s="128"/>
    </row>
    <row r="306" ht="14.25" customHeight="1">
      <c r="A306" s="187"/>
      <c r="B306" s="128"/>
    </row>
    <row r="307" ht="14.25" customHeight="1">
      <c r="A307" s="187"/>
      <c r="B307" s="128"/>
    </row>
    <row r="308" ht="14.25" customHeight="1">
      <c r="A308" s="187"/>
      <c r="B308" s="128"/>
    </row>
    <row r="309" ht="14.25" customHeight="1">
      <c r="A309" s="187"/>
      <c r="B309" s="128"/>
    </row>
    <row r="310" ht="14.25" customHeight="1">
      <c r="A310" s="187"/>
      <c r="B310" s="128"/>
    </row>
    <row r="311" ht="14.25" customHeight="1">
      <c r="A311" s="187"/>
      <c r="B311" s="128"/>
    </row>
    <row r="312" ht="14.25" customHeight="1">
      <c r="A312" s="187"/>
      <c r="B312" s="128"/>
    </row>
    <row r="313" ht="14.25" customHeight="1">
      <c r="A313" s="187"/>
      <c r="B313" s="128"/>
    </row>
    <row r="314" ht="14.25" customHeight="1">
      <c r="A314" s="187"/>
      <c r="B314" s="128"/>
    </row>
    <row r="315" ht="14.25" customHeight="1">
      <c r="A315" s="187"/>
      <c r="B315" s="128"/>
    </row>
    <row r="316" ht="14.25" customHeight="1">
      <c r="A316" s="187"/>
      <c r="B316" s="128"/>
    </row>
    <row r="317" ht="14.25" customHeight="1">
      <c r="A317" s="187"/>
      <c r="B317" s="128"/>
    </row>
    <row r="318" ht="14.25" customHeight="1">
      <c r="A318" s="187"/>
      <c r="B318" s="128"/>
    </row>
    <row r="319" ht="14.25" customHeight="1">
      <c r="A319" s="187"/>
      <c r="B319" s="128"/>
    </row>
    <row r="320" ht="14.25" customHeight="1">
      <c r="A320" s="187"/>
      <c r="B320" s="128"/>
    </row>
    <row r="321" ht="14.25" customHeight="1">
      <c r="A321" s="187"/>
      <c r="B321" s="128"/>
    </row>
    <row r="322" ht="14.25" customHeight="1">
      <c r="A322" s="187"/>
      <c r="B322" s="128"/>
    </row>
    <row r="323" ht="14.25" customHeight="1">
      <c r="A323" s="187"/>
      <c r="B323" s="128"/>
    </row>
    <row r="324" ht="14.25" customHeight="1">
      <c r="A324" s="187"/>
      <c r="B324" s="128"/>
    </row>
    <row r="325" ht="14.25" customHeight="1">
      <c r="A325" s="187"/>
      <c r="B325" s="128"/>
    </row>
    <row r="326" ht="14.25" customHeight="1">
      <c r="A326" s="187"/>
      <c r="B326" s="128"/>
    </row>
    <row r="327" ht="14.25" customHeight="1">
      <c r="A327" s="187"/>
      <c r="B327" s="128"/>
    </row>
    <row r="328" ht="14.25" customHeight="1">
      <c r="A328" s="187"/>
      <c r="B328" s="128"/>
    </row>
    <row r="329" ht="14.25" customHeight="1">
      <c r="A329" s="187"/>
      <c r="B329" s="128"/>
    </row>
    <row r="330" ht="14.25" customHeight="1">
      <c r="A330" s="187"/>
      <c r="B330" s="128"/>
    </row>
    <row r="331" ht="14.25" customHeight="1">
      <c r="A331" s="187"/>
      <c r="B331" s="128"/>
    </row>
    <row r="332" ht="14.25" customHeight="1">
      <c r="A332" s="187"/>
      <c r="B332" s="128"/>
    </row>
    <row r="333" ht="14.25" customHeight="1">
      <c r="A333" s="187"/>
      <c r="B333" s="128"/>
    </row>
    <row r="334" ht="14.25" customHeight="1">
      <c r="A334" s="187"/>
      <c r="B334" s="128"/>
    </row>
    <row r="335" ht="14.25" customHeight="1">
      <c r="A335" s="187"/>
      <c r="B335" s="128"/>
    </row>
    <row r="336" ht="14.25" customHeight="1">
      <c r="A336" s="187"/>
      <c r="B336" s="128"/>
    </row>
    <row r="337" ht="14.25" customHeight="1">
      <c r="A337" s="187"/>
      <c r="B337" s="128"/>
    </row>
    <row r="338" ht="14.25" customHeight="1">
      <c r="A338" s="187"/>
      <c r="B338" s="128"/>
    </row>
    <row r="339" ht="14.25" customHeight="1">
      <c r="A339" s="187"/>
      <c r="B339" s="128"/>
    </row>
    <row r="340" ht="14.25" customHeight="1">
      <c r="A340" s="187"/>
      <c r="B340" s="128"/>
    </row>
    <row r="341" ht="14.25" customHeight="1">
      <c r="A341" s="187"/>
      <c r="B341" s="128"/>
    </row>
    <row r="342" ht="14.25" customHeight="1">
      <c r="A342" s="187"/>
      <c r="B342" s="128"/>
    </row>
    <row r="343" ht="14.25" customHeight="1">
      <c r="A343" s="187"/>
      <c r="B343" s="128"/>
    </row>
    <row r="344" ht="14.25" customHeight="1">
      <c r="A344" s="187"/>
      <c r="B344" s="128"/>
    </row>
    <row r="345" ht="14.25" customHeight="1">
      <c r="A345" s="187"/>
      <c r="B345" s="128"/>
    </row>
    <row r="346" ht="14.25" customHeight="1">
      <c r="A346" s="187"/>
      <c r="B346" s="128"/>
    </row>
    <row r="347" ht="14.25" customHeight="1">
      <c r="A347" s="187"/>
      <c r="B347" s="128"/>
    </row>
    <row r="348" ht="14.25" customHeight="1">
      <c r="A348" s="187"/>
      <c r="B348" s="128"/>
    </row>
    <row r="349" ht="14.25" customHeight="1">
      <c r="A349" s="187"/>
      <c r="B349" s="128"/>
    </row>
    <row r="350" ht="14.25" customHeight="1">
      <c r="A350" s="187"/>
      <c r="B350" s="128"/>
    </row>
    <row r="351" ht="14.25" customHeight="1">
      <c r="A351" s="187"/>
      <c r="B351" s="128"/>
    </row>
    <row r="352" ht="14.25" customHeight="1">
      <c r="A352" s="187"/>
      <c r="B352" s="128"/>
    </row>
    <row r="353" ht="14.25" customHeight="1">
      <c r="A353" s="187"/>
      <c r="B353" s="128"/>
    </row>
    <row r="354" ht="14.25" customHeight="1">
      <c r="A354" s="187"/>
      <c r="B354" s="128"/>
    </row>
    <row r="355" ht="14.25" customHeight="1">
      <c r="A355" s="187"/>
      <c r="B355" s="128"/>
    </row>
    <row r="356" ht="14.25" customHeight="1">
      <c r="A356" s="187"/>
      <c r="B356" s="128"/>
    </row>
    <row r="357" ht="14.25" customHeight="1">
      <c r="A357" s="187"/>
      <c r="B357" s="128"/>
    </row>
    <row r="358" ht="14.25" customHeight="1">
      <c r="A358" s="187"/>
      <c r="B358" s="128"/>
    </row>
    <row r="359" ht="14.25" customHeight="1">
      <c r="A359" s="187"/>
      <c r="B359" s="128"/>
    </row>
    <row r="360" ht="14.25" customHeight="1">
      <c r="A360" s="187"/>
      <c r="B360" s="128"/>
    </row>
    <row r="361" ht="14.25" customHeight="1">
      <c r="A361" s="187"/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3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56</v>
      </c>
    </row>
    <row r="2" ht="14.25" customHeight="1">
      <c r="A2" s="118" t="str">
        <f>IFERROR(__xludf.DUMMYFUNCTION(" IMPORTRANGE(""https://docs.google.com/spreadsheets/d/1wxnKaJVsRlpdhMa97ouiF4l3PKssVey7ZmFQkhvhhpA/edit#gid=1444344404"",""Surprise!A2:A161"")"),"PrendmAmAin")</f>
        <v>PrendmAmAin</v>
      </c>
      <c r="B2" s="103">
        <v>1.0</v>
      </c>
      <c r="C2" s="183">
        <f t="shared" ref="C2:C161" si="1">260*(1-(B2/($H$1+1)))*POWER((SQRT(($H$1+1)/B2)),1/2)</f>
        <v>701.8676622</v>
      </c>
      <c r="D2" s="124" t="str">
        <f>VLOOKUP(A2,'Classement Surp'!$B$2:$B$149,1,0)</f>
        <v>PrendmAmAin</v>
      </c>
      <c r="E2" s="125" t="str">
        <f t="shared" ref="E2:E161" si="2">IF(D2=A2,"","erreur")</f>
        <v/>
      </c>
      <c r="F2" s="120" t="str">
        <f>VLOOKUP(A2,'Classement Général'!$B$2:$B$146,1,0)</f>
        <v>PrendmAmAin</v>
      </c>
    </row>
    <row r="3" ht="14.25" customHeight="1">
      <c r="A3" s="118" t="str">
        <f>IFERROR(__xludf.DUMMYFUNCTION("""COMPUTED_VALUE"""),"waasp.")</f>
        <v>waasp.</v>
      </c>
      <c r="B3" s="103">
        <v>2.0</v>
      </c>
      <c r="C3" s="183">
        <f t="shared" si="1"/>
        <v>579.6587511</v>
      </c>
      <c r="D3" s="124" t="str">
        <f>VLOOKUP(A3,'Classement Surp'!$B$2:$B$149,1,0)</f>
        <v>waasp.</v>
      </c>
      <c r="E3" s="125" t="str">
        <f t="shared" si="2"/>
        <v/>
      </c>
      <c r="F3" s="120" t="str">
        <f>VLOOKUP(A3,'Classement Général'!$B$2:$B$146,1,0)</f>
        <v>waasp.</v>
      </c>
    </row>
    <row r="4" ht="14.25" customHeight="1">
      <c r="A4" s="118" t="str">
        <f>IFERROR(__xludf.DUMMYFUNCTION("""COMPUTED_VALUE"""),"Dirty Bazaar")</f>
        <v>Dirty Bazaar</v>
      </c>
      <c r="B4" s="103">
        <v>3.0</v>
      </c>
      <c r="C4" s="183">
        <f t="shared" si="1"/>
        <v>514.2575215</v>
      </c>
      <c r="D4" s="124" t="str">
        <f>VLOOKUP(A4,'Classement Surp'!$B$2:$B$149,1,0)</f>
        <v>Dirty Bazaar</v>
      </c>
      <c r="E4" s="125" t="str">
        <f t="shared" si="2"/>
        <v/>
      </c>
      <c r="F4" s="120" t="str">
        <f>VLOOKUP(A4,'Classement Général'!$B$2:$B$146,1,0)</f>
        <v>Dirty Bazaar</v>
      </c>
    </row>
    <row r="5" ht="14.25" customHeight="1">
      <c r="A5" s="118" t="str">
        <f>IFERROR(__xludf.DUMMYFUNCTION("""COMPUTED_VALUE"""),"ag79")</f>
        <v>ag79</v>
      </c>
      <c r="B5" s="103">
        <v>4.0</v>
      </c>
      <c r="C5" s="183">
        <f t="shared" si="1"/>
        <v>469.7081308</v>
      </c>
      <c r="D5" s="124" t="str">
        <f>VLOOKUP(A5,'Classement Surp'!$B$2:$B$149,1,0)</f>
        <v>ag79</v>
      </c>
      <c r="E5" s="125" t="str">
        <f t="shared" si="2"/>
        <v/>
      </c>
      <c r="F5" s="120" t="str">
        <f>VLOOKUP(A5,'Classement Général'!$B$2:$B$146,1,0)</f>
        <v>#N/A</v>
      </c>
    </row>
    <row r="6" ht="14.25" customHeight="1">
      <c r="A6" s="118" t="str">
        <f>IFERROR(__xludf.DUMMYFUNCTION("""COMPUTED_VALUE"""),"Le_Pictavien")</f>
        <v>Le_Pictavien</v>
      </c>
      <c r="B6" s="103">
        <v>5.0</v>
      </c>
      <c r="C6" s="183">
        <f t="shared" si="1"/>
        <v>435.8409663</v>
      </c>
      <c r="D6" s="124" t="str">
        <f>VLOOKUP(A6,'Classement Surp'!$B$2:$B$149,1,0)</f>
        <v>Le_Pictavien</v>
      </c>
      <c r="E6" s="125" t="str">
        <f t="shared" si="2"/>
        <v/>
      </c>
      <c r="F6" s="120" t="str">
        <f>VLOOKUP(A6,'Classement Général'!$B$2:$B$146,1,0)</f>
        <v>Le_Pictavien</v>
      </c>
    </row>
    <row r="7" ht="14.25" customHeight="1">
      <c r="A7" s="118" t="str">
        <f>IFERROR(__xludf.DUMMYFUNCTION("""COMPUTED_VALUE"""),"PocketBike")</f>
        <v>PocketBike</v>
      </c>
      <c r="B7" s="103">
        <v>6.0</v>
      </c>
      <c r="C7" s="183">
        <f t="shared" si="1"/>
        <v>408.4130115</v>
      </c>
      <c r="D7" s="124" t="str">
        <f>VLOOKUP(A7,'Classement Surp'!$B$2:$B$149,1,0)</f>
        <v>PocketBike</v>
      </c>
      <c r="E7" s="125" t="str">
        <f t="shared" si="2"/>
        <v/>
      </c>
      <c r="F7" s="120" t="str">
        <f>VLOOKUP(A7,'Classement Général'!$B$2:$B$146,1,0)</f>
        <v>PocketBike</v>
      </c>
    </row>
    <row r="8" ht="14.25" customHeight="1">
      <c r="A8" s="118" t="str">
        <f>IFERROR(__xludf.DUMMYFUNCTION("""COMPUTED_VALUE"""),"karibette86")</f>
        <v>karibette86</v>
      </c>
      <c r="B8" s="103">
        <v>7.0</v>
      </c>
      <c r="C8" s="183">
        <f t="shared" si="1"/>
        <v>385.267789</v>
      </c>
      <c r="D8" s="124" t="str">
        <f>VLOOKUP(A8,'Classement Surp'!$B$2:$B$149,1,0)</f>
        <v>karibette86</v>
      </c>
      <c r="E8" s="125" t="str">
        <f t="shared" si="2"/>
        <v/>
      </c>
      <c r="F8" s="120" t="str">
        <f>VLOOKUP(A8,'Classement Général'!$B$2:$B$146,1,0)</f>
        <v>karibette86</v>
      </c>
    </row>
    <row r="9" ht="14.25" customHeight="1">
      <c r="A9" s="118" t="str">
        <f>IFERROR(__xludf.DUMMYFUNCTION("""COMPUTED_VALUE"""),"erniedog56x")</f>
        <v>erniedog56x</v>
      </c>
      <c r="B9" s="103">
        <v>8.0</v>
      </c>
      <c r="C9" s="183">
        <f t="shared" si="1"/>
        <v>365.1663827</v>
      </c>
      <c r="D9" s="124" t="str">
        <f>VLOOKUP(A9,'Classement Surp'!$B$2:$B$149,1,0)</f>
        <v>erniedog56x</v>
      </c>
      <c r="E9" s="125" t="str">
        <f t="shared" si="2"/>
        <v/>
      </c>
      <c r="F9" s="120" t="str">
        <f>VLOOKUP(A9,'Classement Général'!$B$2:$B$146,1,0)</f>
        <v>erniedog56x</v>
      </c>
    </row>
    <row r="10" ht="14.25" customHeight="1">
      <c r="A10" s="118" t="str">
        <f>IFERROR(__xludf.DUMMYFUNCTION("""COMPUTED_VALUE"""),"Butterfly-as")</f>
        <v>Butterfly-as</v>
      </c>
      <c r="B10" s="103">
        <v>9.0</v>
      </c>
      <c r="C10" s="183">
        <f t="shared" si="1"/>
        <v>347.3344146</v>
      </c>
      <c r="D10" s="124" t="str">
        <f>VLOOKUP(A10,'Classement Surp'!$B$2:$B$149,1,0)</f>
        <v>Butterfly-as</v>
      </c>
      <c r="E10" s="125" t="str">
        <f t="shared" si="2"/>
        <v/>
      </c>
      <c r="F10" s="120" t="str">
        <f>VLOOKUP(A10,'Classement Général'!$B$2:$B$146,1,0)</f>
        <v>Butterfly-as</v>
      </c>
    </row>
    <row r="11" ht="14.25" customHeight="1">
      <c r="A11" s="118" t="str">
        <f>IFERROR(__xludf.DUMMYFUNCTION("""COMPUTED_VALUE"""),"Marypops64")</f>
        <v>Marypops64</v>
      </c>
      <c r="B11" s="103">
        <v>10.0</v>
      </c>
      <c r="C11" s="183">
        <f t="shared" si="1"/>
        <v>331.2569998</v>
      </c>
      <c r="D11" s="124" t="str">
        <f>VLOOKUP(A11,'Classement Surp'!$B$2:$B$149,1,0)</f>
        <v>marypops64</v>
      </c>
      <c r="E11" s="125" t="str">
        <f t="shared" si="2"/>
        <v/>
      </c>
      <c r="F11" s="120" t="str">
        <f>VLOOKUP(A11,'Classement Général'!$B$2:$B$146,1,0)</f>
        <v>marypops64</v>
      </c>
    </row>
    <row r="12" ht="14.25" customHeight="1">
      <c r="A12" s="118" t="str">
        <f>IFERROR(__xludf.DUMMYFUNCTION("""COMPUTED_VALUE"""),"Blochedu86")</f>
        <v>Blochedu86</v>
      </c>
      <c r="B12" s="103">
        <v>11.0</v>
      </c>
      <c r="C12" s="183">
        <f t="shared" si="1"/>
        <v>316.575183</v>
      </c>
      <c r="D12" s="124" t="str">
        <f>VLOOKUP(A12,'Classement Surp'!$B$2:$B$149,1,0)</f>
        <v>Blochedu86</v>
      </c>
      <c r="E12" s="125" t="str">
        <f t="shared" si="2"/>
        <v/>
      </c>
      <c r="F12" s="120" t="str">
        <f>VLOOKUP(A12,'Classement Général'!$B$2:$B$146,1,0)</f>
        <v>Blochedu86</v>
      </c>
    </row>
    <row r="13" ht="14.25" customHeight="1">
      <c r="A13" s="118" t="str">
        <f>IFERROR(__xludf.DUMMYFUNCTION("""COMPUTED_VALUE"""),".choco")</f>
        <v>.choco</v>
      </c>
      <c r="B13" s="103">
        <v>12.0</v>
      </c>
      <c r="C13" s="183">
        <f t="shared" si="1"/>
        <v>303.0291506</v>
      </c>
      <c r="D13" s="124" t="str">
        <f>VLOOKUP(A13,'Classement Surp'!$B$2:$B$149,1,0)</f>
        <v>.choco</v>
      </c>
      <c r="E13" s="125" t="str">
        <f t="shared" si="2"/>
        <v/>
      </c>
      <c r="F13" s="120" t="str">
        <f>VLOOKUP(A13,'Classement Général'!$B$2:$B$146,1,0)</f>
        <v>.choco</v>
      </c>
    </row>
    <row r="14" ht="14.25" customHeight="1">
      <c r="A14" s="118" t="str">
        <f>IFERROR(__xludf.DUMMYFUNCTION("""COMPUTED_VALUE"""),"FridAKahlo")</f>
        <v>FridAKahlo</v>
      </c>
      <c r="B14" s="103">
        <v>13.0</v>
      </c>
      <c r="C14" s="183">
        <f t="shared" si="1"/>
        <v>290.4250312</v>
      </c>
      <c r="D14" s="124" t="str">
        <f>VLOOKUP(A14,'Classement Surp'!$B$2:$B$149,1,0)</f>
        <v>FridAKahlo</v>
      </c>
      <c r="E14" s="125" t="str">
        <f t="shared" si="2"/>
        <v/>
      </c>
      <c r="F14" s="120" t="str">
        <f>VLOOKUP(A14,'Classement Général'!$B$2:$B$146,1,0)</f>
        <v>FridAKahlo</v>
      </c>
    </row>
    <row r="15" ht="14.25" customHeight="1">
      <c r="A15" s="118" t="str">
        <f>IFERROR(__xludf.DUMMYFUNCTION("""COMPUTED_VALUE"""),"tyman")</f>
        <v>tyman</v>
      </c>
      <c r="B15" s="103">
        <v>14.0</v>
      </c>
      <c r="C15" s="183">
        <f t="shared" si="1"/>
        <v>278.6144603</v>
      </c>
      <c r="D15" s="124" t="str">
        <f>VLOOKUP(A15,'Classement Surp'!$B$2:$B$149,1,0)</f>
        <v>tyman</v>
      </c>
      <c r="E15" s="125" t="str">
        <f t="shared" si="2"/>
        <v/>
      </c>
      <c r="F15" s="120" t="str">
        <f>VLOOKUP(A15,'Classement Général'!$B$2:$B$146,1,0)</f>
        <v>#N/A</v>
      </c>
    </row>
    <row r="16" ht="14.25" customHeight="1">
      <c r="A16" s="118" t="str">
        <f>IFERROR(__xludf.DUMMYFUNCTION("""COMPUTED_VALUE"""),"ariba")</f>
        <v>ariba</v>
      </c>
      <c r="B16" s="103">
        <v>15.0</v>
      </c>
      <c r="C16" s="183">
        <f t="shared" si="1"/>
        <v>267.481458</v>
      </c>
      <c r="D16" s="124" t="str">
        <f>VLOOKUP(A16,'Classement Surp'!$B$2:$B$149,1,0)</f>
        <v>ariba</v>
      </c>
      <c r="E16" s="125" t="str">
        <f t="shared" si="2"/>
        <v/>
      </c>
      <c r="F16" s="120" t="str">
        <f>VLOOKUP(A16,'Classement Général'!$B$2:$B$146,1,0)</f>
        <v>ariba</v>
      </c>
    </row>
    <row r="17" ht="14.25" customHeight="1">
      <c r="A17" s="118" t="str">
        <f>IFERROR(__xludf.DUMMYFUNCTION("""COMPUTED_VALUE"""),"Mako Lemore")</f>
        <v>Mako Lemore</v>
      </c>
      <c r="B17" s="103">
        <v>16.0</v>
      </c>
      <c r="C17" s="183">
        <f t="shared" si="1"/>
        <v>256.9336978</v>
      </c>
      <c r="D17" s="124" t="str">
        <f>VLOOKUP(A17,'Classement Surp'!$B$2:$B$149,1,0)</f>
        <v>Mako Lemore</v>
      </c>
      <c r="E17" s="125" t="str">
        <f t="shared" si="2"/>
        <v/>
      </c>
      <c r="F17" s="120" t="str">
        <f>VLOOKUP(A17,'Classement Général'!$B$2:$B$146,1,0)</f>
        <v>Mako Lemore</v>
      </c>
    </row>
    <row r="18" ht="14.25" customHeight="1">
      <c r="A18" s="118" t="str">
        <f>IFERROR(__xludf.DUMMYFUNCTION("""COMPUTED_VALUE"""),"Tontonzgueg")</f>
        <v>Tontonzgueg</v>
      </c>
      <c r="B18" s="103">
        <v>17.0</v>
      </c>
      <c r="C18" s="183">
        <f t="shared" si="1"/>
        <v>246.8965192</v>
      </c>
      <c r="D18" s="124" t="str">
        <f>VLOOKUP(A18,'Classement Surp'!$B$2:$B$149,1,0)</f>
        <v>TontonZgueg</v>
      </c>
      <c r="E18" s="125" t="str">
        <f t="shared" si="2"/>
        <v/>
      </c>
      <c r="F18" s="120" t="str">
        <f>VLOOKUP(A18,'Classement Général'!$B$2:$B$146,1,0)</f>
        <v>Tontonzgueg</v>
      </c>
    </row>
    <row r="19" ht="14.25" customHeight="1">
      <c r="A19" s="118" t="str">
        <f>IFERROR(__xludf.DUMMYFUNCTION("""COMPUTED_VALUE"""),". BARBAPAPA66")</f>
        <v>. BARBAPAPA66</v>
      </c>
      <c r="B19" s="103">
        <v>18.0</v>
      </c>
      <c r="C19" s="183">
        <f t="shared" si="1"/>
        <v>237.3087146</v>
      </c>
      <c r="D19" s="124" t="str">
        <f>VLOOKUP(A19,'Classement Surp'!$B$2:$B$149,1,0)</f>
        <v>. BARBAPAPA66</v>
      </c>
      <c r="E19" s="125" t="str">
        <f t="shared" si="2"/>
        <v/>
      </c>
      <c r="F19" s="120" t="str">
        <f>VLOOKUP(A19,'Classement Général'!$B$2:$B$146,1,0)</f>
        <v>. BARBAPAPA66</v>
      </c>
    </row>
    <row r="20" ht="14.25" customHeight="1">
      <c r="A20" s="118" t="str">
        <f>IFERROR(__xludf.DUMMYFUNCTION("""COMPUTED_VALUE"""),"chatouill86")</f>
        <v>chatouill86</v>
      </c>
      <c r="B20" s="103">
        <v>19.0</v>
      </c>
      <c r="C20" s="183">
        <f t="shared" si="1"/>
        <v>228.1194956</v>
      </c>
      <c r="D20" s="124" t="str">
        <f>VLOOKUP(A20,'Classement Surp'!$B$2:$B$149,1,0)</f>
        <v>chatouill86</v>
      </c>
      <c r="E20" s="125" t="str">
        <f t="shared" si="2"/>
        <v/>
      </c>
      <c r="F20" s="120" t="str">
        <f>VLOOKUP(A20,'Classement Général'!$B$2:$B$146,1,0)</f>
        <v>chatouill86</v>
      </c>
      <c r="J20" s="129" t="s">
        <v>234</v>
      </c>
    </row>
    <row r="21" ht="14.25" customHeight="1">
      <c r="A21" s="118" t="str">
        <f>IFERROR(__xludf.DUMMYFUNCTION("""COMPUTED_VALUE"""),"VietNems86")</f>
        <v>VietNems86</v>
      </c>
      <c r="B21" s="103">
        <v>20.0</v>
      </c>
      <c r="C21" s="183">
        <f t="shared" si="1"/>
        <v>219.2862654</v>
      </c>
      <c r="D21" s="124" t="str">
        <f>VLOOKUP(A21,'Classement Surp'!$B$2:$B$149,1,0)</f>
        <v>VietNems86</v>
      </c>
      <c r="E21" s="125" t="str">
        <f t="shared" si="2"/>
        <v/>
      </c>
      <c r="F21" s="120" t="str">
        <f>VLOOKUP(A21,'Classement Général'!$B$2:$B$146,1,0)</f>
        <v>VietNems86</v>
      </c>
      <c r="J21" s="129" t="s">
        <v>238</v>
      </c>
    </row>
    <row r="22" ht="14.25" customHeight="1">
      <c r="A22" s="118" t="str">
        <f>IFERROR(__xludf.DUMMYFUNCTION("""COMPUTED_VALUE"""),"8kinder6")</f>
        <v>8kinder6</v>
      </c>
      <c r="B22" s="103">
        <v>21.0</v>
      </c>
      <c r="C22" s="183">
        <f t="shared" si="1"/>
        <v>210.7729545</v>
      </c>
      <c r="D22" s="124" t="str">
        <f>VLOOKUP(A22,'Classement Surp'!$B$2:$B$149,1,0)</f>
        <v>8kinder6</v>
      </c>
      <c r="E22" s="125" t="str">
        <f t="shared" si="2"/>
        <v/>
      </c>
      <c r="F22" s="120" t="str">
        <f>VLOOKUP(A22,'Classement Général'!$B$2:$B$146,1,0)</f>
        <v>8kinder6</v>
      </c>
      <c r="J22" s="129" t="s">
        <v>243</v>
      </c>
    </row>
    <row r="23" ht="14.25" customHeight="1">
      <c r="A23" s="118" t="str">
        <f>IFERROR(__xludf.DUMMYFUNCTION("""COMPUTED_VALUE"""),"_Sale-Bet_")</f>
        <v>_Sale-Bet_</v>
      </c>
      <c r="B23" s="103">
        <v>22.0</v>
      </c>
      <c r="C23" s="183">
        <f t="shared" si="1"/>
        <v>202.5487561</v>
      </c>
      <c r="D23" s="124" t="str">
        <f>VLOOKUP(A23,'Classement Surp'!$B$2:$B$149,1,0)</f>
        <v>_Sale-Bet_</v>
      </c>
      <c r="E23" s="125" t="str">
        <f t="shared" si="2"/>
        <v/>
      </c>
      <c r="F23" s="120" t="str">
        <f>VLOOKUP(A23,'Classement Général'!$B$2:$B$146,1,0)</f>
        <v>_Sale-Bet_</v>
      </c>
      <c r="J23" s="129" t="s">
        <v>243</v>
      </c>
    </row>
    <row r="24" ht="14.25" customHeight="1">
      <c r="A24" s="118" t="str">
        <f>IFERROR(__xludf.DUMMYFUNCTION("""COMPUTED_VALUE"""),"Modoriya")</f>
        <v>Modoriya</v>
      </c>
      <c r="B24" s="103">
        <v>23.0</v>
      </c>
      <c r="C24" s="183">
        <f t="shared" si="1"/>
        <v>194.5871531</v>
      </c>
      <c r="D24" s="124" t="str">
        <f>VLOOKUP(A24,'Classement Surp'!$B$2:$B$149,1,0)</f>
        <v>Modoriya</v>
      </c>
      <c r="E24" s="125" t="str">
        <f t="shared" si="2"/>
        <v/>
      </c>
      <c r="F24" s="120" t="str">
        <f>VLOOKUP(A24,'Classement Général'!$B$2:$B$146,1,0)</f>
        <v>Modoriya</v>
      </c>
    </row>
    <row r="25" ht="14.25" customHeight="1">
      <c r="A25" s="118" t="str">
        <f>IFERROR(__xludf.DUMMYFUNCTION("""COMPUTED_VALUE"""),"imberbe")</f>
        <v>imberbe</v>
      </c>
      <c r="B25" s="103">
        <v>24.0</v>
      </c>
      <c r="C25" s="183">
        <f t="shared" si="1"/>
        <v>186.8651594</v>
      </c>
      <c r="D25" s="124" t="str">
        <f>VLOOKUP(A25,'Classement Surp'!$B$2:$B$149,1,0)</f>
        <v>imberbe</v>
      </c>
      <c r="E25" s="125" t="str">
        <f t="shared" si="2"/>
        <v/>
      </c>
      <c r="F25" s="120" t="str">
        <f>VLOOKUP(A25,'Classement Général'!$B$2:$B$146,1,0)</f>
        <v>imberbe</v>
      </c>
    </row>
    <row r="26" ht="14.25" customHeight="1">
      <c r="A26" s="118" t="str">
        <f>IFERROR(__xludf.DUMMYFUNCTION("""COMPUTED_VALUE"""),"Elfy")</f>
        <v>Elfy</v>
      </c>
      <c r="B26" s="103">
        <v>25.0</v>
      </c>
      <c r="C26" s="183">
        <f t="shared" si="1"/>
        <v>179.3627204</v>
      </c>
      <c r="D26" s="124" t="str">
        <f>VLOOKUP(A26,'Classement Surp'!$B$2:$B$149,1,0)</f>
        <v>Elfy</v>
      </c>
      <c r="E26" s="125" t="str">
        <f t="shared" si="2"/>
        <v/>
      </c>
      <c r="F26" s="120" t="str">
        <f>VLOOKUP(A26,'Classement Général'!$B$2:$B$146,1,0)</f>
        <v>Elfy</v>
      </c>
    </row>
    <row r="27" ht="14.25" customHeight="1">
      <c r="A27" s="118" t="str">
        <f>IFERROR(__xludf.DUMMYFUNCTION("""COMPUTED_VALUE"""),"BBH 75")</f>
        <v>BBH 75</v>
      </c>
      <c r="B27" s="103">
        <v>26.0</v>
      </c>
      <c r="C27" s="183">
        <f t="shared" si="1"/>
        <v>172.0622363</v>
      </c>
      <c r="D27" s="124" t="str">
        <f>VLOOKUP(A27,'Classement Surp'!$B$2:$B$149,1,0)</f>
        <v>BBH 75</v>
      </c>
      <c r="E27" s="125" t="str">
        <f t="shared" si="2"/>
        <v/>
      </c>
      <c r="F27" s="120" t="str">
        <f>VLOOKUP(A27,'Classement Général'!$B$2:$B$146,1,0)</f>
        <v>BBH 75</v>
      </c>
    </row>
    <row r="28" ht="14.25" customHeight="1">
      <c r="A28" s="118" t="str">
        <f>IFERROR(__xludf.DUMMYFUNCTION("""COMPUTED_VALUE"""),"Steprou86")</f>
        <v>Steprou86</v>
      </c>
      <c r="B28" s="103">
        <v>27.0</v>
      </c>
      <c r="C28" s="183">
        <f t="shared" si="1"/>
        <v>164.9481769</v>
      </c>
      <c r="D28" s="124" t="str">
        <f>VLOOKUP(A28,'Classement Surp'!$B$2:$B$149,1,0)</f>
        <v>Steprou86</v>
      </c>
      <c r="E28" s="125" t="str">
        <f t="shared" si="2"/>
        <v/>
      </c>
      <c r="F28" s="120" t="str">
        <f>VLOOKUP(A28,'Classement Général'!$B$2:$B$146,1,0)</f>
        <v>Steprou86</v>
      </c>
    </row>
    <row r="29" ht="14.25" customHeight="1">
      <c r="A29" s="118" t="str">
        <f>IFERROR(__xludf.DUMMYFUNCTION("""COMPUTED_VALUE"""),"christ86000")</f>
        <v>christ86000</v>
      </c>
      <c r="B29" s="103">
        <v>28.0</v>
      </c>
      <c r="C29" s="183">
        <f t="shared" si="1"/>
        <v>158.0067704</v>
      </c>
      <c r="D29" s="124" t="str">
        <f>VLOOKUP(A29,'Classement Surp'!$B$2:$B$149,1,0)</f>
        <v>christ86000</v>
      </c>
      <c r="E29" s="125" t="str">
        <f t="shared" si="2"/>
        <v/>
      </c>
      <c r="F29" s="120" t="str">
        <f>VLOOKUP(A29,'Classement Général'!$B$2:$B$146,1,0)</f>
        <v>christ86000</v>
      </c>
    </row>
    <row r="30" ht="14.25" customHeight="1">
      <c r="A30" s="118" t="str">
        <f>IFERROR(__xludf.DUMMYFUNCTION("""COMPUTED_VALUE"""),"cassius-86")</f>
        <v>cassius-86</v>
      </c>
      <c r="B30" s="103">
        <v>29.0</v>
      </c>
      <c r="C30" s="183">
        <f t="shared" si="1"/>
        <v>151.2257469</v>
      </c>
      <c r="D30" s="124" t="str">
        <f>VLOOKUP(A30,'Classement Surp'!$B$2:$B$149,1,0)</f>
        <v>cassius-86</v>
      </c>
      <c r="E30" s="125" t="str">
        <f t="shared" si="2"/>
        <v/>
      </c>
      <c r="F30" s="120" t="str">
        <f>VLOOKUP(A30,'Classement Général'!$B$2:$B$146,1,0)</f>
        <v>cassius-86</v>
      </c>
    </row>
    <row r="31" ht="14.25" customHeight="1">
      <c r="A31" s="118" t="str">
        <f>IFERROR(__xludf.DUMMYFUNCTION("""COMPUTED_VALUE"""),"Belussac")</f>
        <v>Belussac</v>
      </c>
      <c r="B31" s="103">
        <v>30.0</v>
      </c>
      <c r="C31" s="183">
        <f t="shared" si="1"/>
        <v>144.5941281</v>
      </c>
      <c r="D31" s="124" t="str">
        <f>VLOOKUP(A31,'Classement Surp'!$B$2:$B$149,1,0)</f>
        <v>belussac</v>
      </c>
      <c r="E31" s="125" t="str">
        <f t="shared" si="2"/>
        <v/>
      </c>
      <c r="F31" s="120" t="str">
        <f>VLOOKUP(A31,'Classement Général'!$B$2:$B$146,1,0)</f>
        <v>belussac</v>
      </c>
    </row>
    <row r="32" ht="14.25" customHeight="1">
      <c r="A32" s="118" t="str">
        <f>IFERROR(__xludf.DUMMYFUNCTION("""COMPUTED_VALUE"""),"Vaillant 86")</f>
        <v>Vaillant 86</v>
      </c>
      <c r="B32" s="103">
        <v>31.0</v>
      </c>
      <c r="C32" s="183">
        <f t="shared" si="1"/>
        <v>138.1020517</v>
      </c>
      <c r="D32" s="124" t="str">
        <f>VLOOKUP(A32,'Classement Surp'!$B$2:$B$149,1,0)</f>
        <v>Vaillant 86</v>
      </c>
      <c r="E32" s="125" t="str">
        <f t="shared" si="2"/>
        <v/>
      </c>
      <c r="F32" s="120" t="str">
        <f>VLOOKUP(A32,'Classement Général'!$B$2:$B$146,1,0)</f>
        <v>Vaillant 86</v>
      </c>
    </row>
    <row r="33" ht="14.25" customHeight="1">
      <c r="A33" s="118" t="str">
        <f>IFERROR(__xludf.DUMMYFUNCTION("""COMPUTED_VALUE"""),"gregmoore")</f>
        <v>gregmoore</v>
      </c>
      <c r="B33" s="103">
        <v>32.0</v>
      </c>
      <c r="C33" s="183">
        <f t="shared" si="1"/>
        <v>131.7406253</v>
      </c>
      <c r="D33" s="124" t="str">
        <f>VLOOKUP(A33,'Classement Surp'!$B$2:$B$149,1,0)</f>
        <v>gregmoore</v>
      </c>
      <c r="E33" s="125" t="str">
        <f t="shared" si="2"/>
        <v/>
      </c>
      <c r="F33" s="120" t="str">
        <f>VLOOKUP(A33,'Classement Général'!$B$2:$B$146,1,0)</f>
        <v>gregmoore</v>
      </c>
    </row>
    <row r="34" ht="14.25" customHeight="1">
      <c r="A34" s="118" t="str">
        <f>IFERROR(__xludf.DUMMYFUNCTION("""COMPUTED_VALUE"""),"Legabodu86")</f>
        <v>Legabodu86</v>
      </c>
      <c r="B34" s="103">
        <v>33.0</v>
      </c>
      <c r="C34" s="183">
        <f t="shared" si="1"/>
        <v>125.5018024</v>
      </c>
      <c r="D34" s="124" t="str">
        <f>VLOOKUP(A34,'Classement Surp'!$B$2:$B$149,1,0)</f>
        <v>Legabodu86</v>
      </c>
      <c r="E34" s="125" t="str">
        <f t="shared" si="2"/>
        <v/>
      </c>
      <c r="F34" s="120" t="str">
        <f>VLOOKUP(A34,'Classement Général'!$B$2:$B$146,1,0)</f>
        <v>Legabodu86</v>
      </c>
    </row>
    <row r="35" ht="14.25" customHeight="1">
      <c r="A35" s="118" t="str">
        <f>IFERROR(__xludf.DUMMYFUNCTION("""COMPUTED_VALUE"""),"vicmackey86")</f>
        <v>vicmackey86</v>
      </c>
      <c r="B35" s="103">
        <v>34.0</v>
      </c>
      <c r="C35" s="183">
        <f t="shared" si="1"/>
        <v>119.3782788</v>
      </c>
      <c r="D35" s="124" t="str">
        <f>VLOOKUP(A35,'Classement Surp'!$B$2:$B$149,1,0)</f>
        <v>vicmackey86</v>
      </c>
      <c r="E35" s="125" t="str">
        <f t="shared" si="2"/>
        <v/>
      </c>
      <c r="F35" s="120" t="str">
        <f>VLOOKUP(A35,'Classement Général'!$B$2:$B$146,1,0)</f>
        <v>vicmackey86</v>
      </c>
    </row>
    <row r="36" ht="14.25" customHeight="1">
      <c r="A36" s="118" t="str">
        <f>IFERROR(__xludf.DUMMYFUNCTION("""COMPUTED_VALUE"""),"fiodor86")</f>
        <v>fiodor86</v>
      </c>
      <c r="B36" s="103">
        <v>35.0</v>
      </c>
      <c r="C36" s="183">
        <f t="shared" si="1"/>
        <v>113.3634034</v>
      </c>
      <c r="D36" s="124" t="str">
        <f>VLOOKUP(A36,'Classement Surp'!$B$2:$B$149,1,0)</f>
        <v>fiodor86</v>
      </c>
      <c r="E36" s="125" t="str">
        <f t="shared" si="2"/>
        <v/>
      </c>
      <c r="F36" s="120" t="str">
        <f>VLOOKUP(A36,'Classement Général'!$B$2:$B$146,1,0)</f>
        <v>fiodor86</v>
      </c>
    </row>
    <row r="37" ht="14.25" customHeight="1">
      <c r="A37" s="118" t="str">
        <f>IFERROR(__xludf.DUMMYFUNCTION("""COMPUTED_VALUE"""),"Phil1308")</f>
        <v>Phil1308</v>
      </c>
      <c r="B37" s="103">
        <v>36.0</v>
      </c>
      <c r="C37" s="183">
        <f t="shared" si="1"/>
        <v>107.4511025</v>
      </c>
      <c r="D37" s="124" t="str">
        <f>VLOOKUP(A37,'Classement Surp'!$B$2:$B$149,1,0)</f>
        <v>Phil1308</v>
      </c>
      <c r="E37" s="125" t="str">
        <f t="shared" si="2"/>
        <v/>
      </c>
      <c r="F37" s="120" t="str">
        <f>VLOOKUP(A37,'Classement Général'!$B$2:$B$146,1,0)</f>
        <v>Phil1308</v>
      </c>
    </row>
    <row r="38" ht="14.25" customHeight="1">
      <c r="A38" s="118" t="str">
        <f>IFERROR(__xludf.DUMMYFUNCTION("""COMPUTED_VALUE"""),"suricatebiker")</f>
        <v>suricatebiker</v>
      </c>
      <c r="B38" s="103">
        <v>37.0</v>
      </c>
      <c r="C38" s="183">
        <f t="shared" si="1"/>
        <v>101.6358143</v>
      </c>
      <c r="D38" s="124" t="str">
        <f>VLOOKUP(A38,'Classement Surp'!$B$2:$B$149,1,0)</f>
        <v>suricatebiker</v>
      </c>
      <c r="E38" s="125" t="str">
        <f t="shared" si="2"/>
        <v/>
      </c>
      <c r="F38" s="120" t="str">
        <f>VLOOKUP(A38,'Classement Général'!$B$2:$B$146,1,0)</f>
        <v>#N/A</v>
      </c>
    </row>
    <row r="39" ht="14.25" customHeight="1">
      <c r="A39" s="118" t="str">
        <f>IFERROR(__xludf.DUMMYFUNCTION("""COMPUTED_VALUE"""),"Kevfurious")</f>
        <v>Kevfurious</v>
      </c>
      <c r="B39" s="103">
        <v>38.0</v>
      </c>
      <c r="C39" s="183">
        <f t="shared" si="1"/>
        <v>95.91243304</v>
      </c>
      <c r="D39" s="124" t="str">
        <f>VLOOKUP(A39,'Classement Surp'!$B$2:$B$149,1,0)</f>
        <v>Kevfurious</v>
      </c>
      <c r="E39" s="125" t="str">
        <f t="shared" si="2"/>
        <v/>
      </c>
      <c r="F39" s="120" t="str">
        <f>VLOOKUP(A39,'Classement Général'!$B$2:$B$146,1,0)</f>
        <v>Kevfurious</v>
      </c>
    </row>
    <row r="40" ht="14.25" customHeight="1">
      <c r="A40" s="118" t="str">
        <f>IFERROR(__xludf.DUMMYFUNCTION("""COMPUTED_VALUE"""),"Presci")</f>
        <v>Presci</v>
      </c>
      <c r="B40" s="103">
        <v>39.0</v>
      </c>
      <c r="C40" s="183">
        <f t="shared" si="1"/>
        <v>90.27626019</v>
      </c>
      <c r="D40" s="124" t="str">
        <f>VLOOKUP(A40,'Classement Surp'!$B$2:$B$149,1,0)</f>
        <v>Presci</v>
      </c>
      <c r="E40" s="125" t="str">
        <f t="shared" si="2"/>
        <v/>
      </c>
      <c r="F40" s="120" t="str">
        <f>VLOOKUP(A40,'Classement Général'!$B$2:$B$146,1,0)</f>
        <v>Presci</v>
      </c>
    </row>
    <row r="41" ht="14.25" customHeight="1">
      <c r="A41" s="118" t="str">
        <f>IFERROR(__xludf.DUMMYFUNCTION("""COMPUTED_VALUE"""),"Lepetitjeton")</f>
        <v>Lepetitjeton</v>
      </c>
      <c r="B41" s="103">
        <v>40.0</v>
      </c>
      <c r="C41" s="183">
        <f t="shared" si="1"/>
        <v>84.72296181</v>
      </c>
      <c r="D41" s="124" t="str">
        <f>VLOOKUP(A41,'Classement Surp'!$B$2:$B$149,1,0)</f>
        <v>Lepetitjeton</v>
      </c>
      <c r="E41" s="125" t="str">
        <f t="shared" si="2"/>
        <v/>
      </c>
      <c r="F41" s="120" t="str">
        <f>VLOOKUP(A41,'Classement Général'!$B$2:$B$146,1,0)</f>
        <v>#N/A</v>
      </c>
    </row>
    <row r="42" ht="14.25" customHeight="1">
      <c r="A42" s="118" t="str">
        <f>IFERROR(__xludf.DUMMYFUNCTION("""COMPUTED_VALUE"""),"rastamokett")</f>
        <v>rastamokett</v>
      </c>
      <c r="B42" s="103">
        <v>41.0</v>
      </c>
      <c r="C42" s="183">
        <f t="shared" si="1"/>
        <v>79.24853174</v>
      </c>
      <c r="D42" s="124" t="str">
        <f>VLOOKUP(A42,'Classement Surp'!$B$2:$B$149,1,0)</f>
        <v>rastamokett</v>
      </c>
      <c r="E42" s="125" t="str">
        <f t="shared" si="2"/>
        <v/>
      </c>
      <c r="F42" s="120" t="str">
        <f>VLOOKUP(A42,'Classement Général'!$B$2:$B$146,1,0)</f>
        <v>rastamokett</v>
      </c>
    </row>
    <row r="43" ht="14.25" customHeight="1">
      <c r="A43" s="118" t="str">
        <f>IFERROR(__xludf.DUMMYFUNCTION("""COMPUTED_VALUE"""),"hmnyocleaver")</f>
        <v>hmnyocleaver</v>
      </c>
      <c r="B43" s="103">
        <v>42.0</v>
      </c>
      <c r="C43" s="183">
        <f t="shared" si="1"/>
        <v>73.84925912</v>
      </c>
      <c r="D43" s="124" t="str">
        <f>VLOOKUP(A43,'Classement Surp'!$B$2:$B$149,1,0)</f>
        <v>hmnyocleaver</v>
      </c>
      <c r="E43" s="125" t="str">
        <f t="shared" si="2"/>
        <v/>
      </c>
      <c r="F43" s="120" t="str">
        <f>VLOOKUP(A43,'Classement Général'!$B$2:$B$146,1,0)</f>
        <v>hmnyocleaver</v>
      </c>
    </row>
    <row r="44" ht="14.25" customHeight="1">
      <c r="A44" s="118" t="str">
        <f>IFERROR(__xludf.DUMMYFUNCTION("""COMPUTED_VALUE"""),"DonnesTchips")</f>
        <v>DonnesTchips</v>
      </c>
      <c r="B44" s="103">
        <v>43.0</v>
      </c>
      <c r="C44" s="183">
        <f t="shared" si="1"/>
        <v>68.52169982</v>
      </c>
      <c r="D44" s="124" t="str">
        <f>VLOOKUP(A44,'Classement Surp'!$B$2:$B$149,1,0)</f>
        <v>DonnesTchips</v>
      </c>
      <c r="E44" s="125" t="str">
        <f t="shared" si="2"/>
        <v/>
      </c>
      <c r="F44" s="120" t="str">
        <f>VLOOKUP(A44,'Classement Général'!$B$2:$B$146,1,0)</f>
        <v>DonnesTchips</v>
      </c>
    </row>
    <row r="45" ht="14.25" customHeight="1">
      <c r="A45" s="118" t="str">
        <f>IFERROR(__xludf.DUMMYFUNCTION("""COMPUTED_VALUE"""),"NezuKO-demon")</f>
        <v>NezuKO-demon</v>
      </c>
      <c r="B45" s="103">
        <v>44.0</v>
      </c>
      <c r="C45" s="183">
        <f t="shared" si="1"/>
        <v>63.26265136</v>
      </c>
      <c r="D45" s="124" t="str">
        <f>VLOOKUP(A45,'Classement Surp'!$B$2:$B$149,1,0)</f>
        <v>NezuKO-demon</v>
      </c>
      <c r="E45" s="125" t="str">
        <f t="shared" si="2"/>
        <v/>
      </c>
      <c r="F45" s="120" t="str">
        <f>VLOOKUP(A45,'Classement Général'!$B$2:$B$146,1,0)</f>
        <v>NezuKO-demon</v>
      </c>
    </row>
    <row r="46" ht="14.25" customHeight="1">
      <c r="A46" s="118" t="str">
        <f>IFERROR(__xludf.DUMMYFUNCTION("""COMPUTED_VALUE"""),"immond")</f>
        <v>immond</v>
      </c>
      <c r="B46" s="103">
        <v>45.0</v>
      </c>
      <c r="C46" s="183">
        <f t="shared" si="1"/>
        <v>58.06913059</v>
      </c>
      <c r="D46" s="124" t="str">
        <f>VLOOKUP(A46,'Classement Surp'!$B$2:$B$149,1,0)</f>
        <v>immond</v>
      </c>
      <c r="E46" s="125" t="str">
        <f t="shared" si="2"/>
        <v/>
      </c>
      <c r="F46" s="120" t="str">
        <f>VLOOKUP(A46,'Classement Général'!$B$2:$B$146,1,0)</f>
        <v>immond</v>
      </c>
    </row>
    <row r="47" ht="14.25" customHeight="1">
      <c r="A47" s="118" t="str">
        <f>IFERROR(__xludf.DUMMYFUNCTION("""COMPUTED_VALUE"""),"StephBoss05")</f>
        <v>StephBoss05</v>
      </c>
      <c r="B47" s="103">
        <v>46.0</v>
      </c>
      <c r="C47" s="183">
        <f t="shared" si="1"/>
        <v>52.93835396</v>
      </c>
      <c r="D47" s="124" t="str">
        <f>VLOOKUP(A47,'Classement Surp'!$B$2:$B$149,1,0)</f>
        <v>StephBoss05</v>
      </c>
      <c r="E47" s="125" t="str">
        <f t="shared" si="2"/>
        <v/>
      </c>
      <c r="F47" s="120" t="str">
        <f>VLOOKUP(A47,'Classement Général'!$B$2:$B$146,1,0)</f>
        <v>StephBoss05</v>
      </c>
    </row>
    <row r="48" ht="14.25" customHeight="1">
      <c r="A48" s="118" t="str">
        <f>IFERROR(__xludf.DUMMYFUNCTION("""COMPUTED_VALUE"""),"PSGJM")</f>
        <v>PSGJM</v>
      </c>
      <c r="B48" s="103">
        <v>47.0</v>
      </c>
      <c r="C48" s="183">
        <f t="shared" si="1"/>
        <v>47.86771997</v>
      </c>
      <c r="D48" s="124" t="str">
        <f>VLOOKUP(A48,'Classement Surp'!$B$2:$B$149,1,0)</f>
        <v>PSGJM</v>
      </c>
      <c r="E48" s="125" t="str">
        <f t="shared" si="2"/>
        <v/>
      </c>
      <c r="F48" s="120" t="str">
        <f>VLOOKUP(A48,'Classement Général'!$B$2:$B$146,1,0)</f>
        <v>PSGJM</v>
      </c>
    </row>
    <row r="49" ht="14.25" customHeight="1">
      <c r="A49" s="118" t="str">
        <f>IFERROR(__xludf.DUMMYFUNCTION("""COMPUTED_VALUE"""),"Kiki Bazaar")</f>
        <v>Kiki Bazaar</v>
      </c>
      <c r="B49" s="103">
        <v>48.0</v>
      </c>
      <c r="C49" s="183">
        <f t="shared" si="1"/>
        <v>42.85479346</v>
      </c>
      <c r="D49" s="124" t="str">
        <f>VLOOKUP(A49,'Classement Surp'!$B$2:$B$149,1,0)</f>
        <v>Kiki Bazaar</v>
      </c>
      <c r="E49" s="125" t="str">
        <f t="shared" si="2"/>
        <v/>
      </c>
      <c r="F49" s="120" t="str">
        <f>VLOOKUP(A49,'Classement Général'!$B$2:$B$146,1,0)</f>
        <v>Kiki Bazaar</v>
      </c>
    </row>
    <row r="50" ht="14.25" customHeight="1">
      <c r="A50" s="118" t="str">
        <f>IFERROR(__xludf.DUMMYFUNCTION("""COMPUTED_VALUE"""),"m86600b")</f>
        <v>m86600b</v>
      </c>
      <c r="B50" s="103">
        <v>49.0</v>
      </c>
      <c r="C50" s="183">
        <f t="shared" si="1"/>
        <v>37.89729158</v>
      </c>
      <c r="D50" s="124" t="str">
        <f>VLOOKUP(A50,'Classement Surp'!$B$2:$B$149,1,0)</f>
        <v>m86600b</v>
      </c>
      <c r="E50" s="125" t="str">
        <f t="shared" si="2"/>
        <v/>
      </c>
      <c r="F50" s="120" t="str">
        <f>VLOOKUP(A50,'Classement Général'!$B$2:$B$146,1,0)</f>
        <v>m86600b</v>
      </c>
    </row>
    <row r="51" ht="14.25" customHeight="1">
      <c r="A51" s="118" t="str">
        <f>IFERROR(__xludf.DUMMYFUNCTION("""COMPUTED_VALUE"""),"--WondeR--")</f>
        <v>--WondeR--</v>
      </c>
      <c r="B51" s="103">
        <v>50.0</v>
      </c>
      <c r="C51" s="183">
        <f t="shared" si="1"/>
        <v>32.99307127</v>
      </c>
      <c r="D51" s="124" t="str">
        <f>VLOOKUP(A51,'Classement Surp'!$B$2:$B$149,1,0)</f>
        <v>--WondeR--</v>
      </c>
      <c r="E51" s="125" t="str">
        <f t="shared" si="2"/>
        <v/>
      </c>
      <c r="F51" s="120" t="str">
        <f>VLOOKUP(A51,'Classement Général'!$B$2:$B$146,1,0)</f>
        <v>--WondeR--</v>
      </c>
    </row>
    <row r="52" ht="14.25" customHeight="1">
      <c r="A52" s="118" t="str">
        <f>IFERROR(__xludf.DUMMYFUNCTION("""COMPUTED_VALUE"""),"Redblood92")</f>
        <v>Redblood92</v>
      </c>
      <c r="B52" s="103">
        <v>51.0</v>
      </c>
      <c r="C52" s="183">
        <f t="shared" si="1"/>
        <v>28.14011789</v>
      </c>
      <c r="D52" s="124" t="str">
        <f>VLOOKUP(A52,'Classement Surp'!$B$2:$B$149,1,0)</f>
        <v>Redblood92</v>
      </c>
      <c r="E52" s="125" t="str">
        <f t="shared" si="2"/>
        <v/>
      </c>
      <c r="F52" s="120" t="str">
        <f>VLOOKUP(A52,'Classement Général'!$B$2:$B$146,1,0)</f>
        <v>Redblood92</v>
      </c>
    </row>
    <row r="53" ht="14.25" customHeight="1">
      <c r="A53" s="118" t="str">
        <f>IFERROR(__xludf.DUMMYFUNCTION("""COMPUTED_VALUE"""),"sonic86")</f>
        <v>sonic86</v>
      </c>
      <c r="B53" s="103">
        <v>52.0</v>
      </c>
      <c r="C53" s="183">
        <f t="shared" si="1"/>
        <v>23.33653511</v>
      </c>
      <c r="D53" s="124" t="str">
        <f>VLOOKUP(A53,'Classement Surp'!$B$2:$B$149,1,0)</f>
        <v>sonic86</v>
      </c>
      <c r="E53" s="125" t="str">
        <f t="shared" si="2"/>
        <v/>
      </c>
      <c r="F53" s="120" t="str">
        <f>VLOOKUP(A53,'Classement Général'!$B$2:$B$146,1,0)</f>
        <v>sonic86</v>
      </c>
    </row>
    <row r="54" ht="14.25" customHeight="1">
      <c r="A54" s="118" t="str">
        <f>IFERROR(__xludf.DUMMYFUNCTION("""COMPUTED_VALUE"""),"Fistipanda")</f>
        <v>Fistipanda</v>
      </c>
      <c r="B54" s="103">
        <v>53.0</v>
      </c>
      <c r="C54" s="183">
        <f t="shared" si="1"/>
        <v>18.58053566</v>
      </c>
      <c r="D54" s="124" t="str">
        <f>VLOOKUP(A54,'Classement Surp'!$B$2:$B$149,1,0)</f>
        <v>Fistipanda</v>
      </c>
      <c r="E54" s="125" t="str">
        <f t="shared" si="2"/>
        <v/>
      </c>
      <c r="F54" s="120" t="str">
        <f>VLOOKUP(A54,'Classement Général'!$B$2:$B$146,1,0)</f>
        <v>Fistipanda</v>
      </c>
    </row>
    <row r="55" ht="14.25" customHeight="1">
      <c r="A55" s="118" t="str">
        <f>IFERROR(__xludf.DUMMYFUNCTION("""COMPUTED_VALUE"""),"SINGE7")</f>
        <v>SINGE7</v>
      </c>
      <c r="B55" s="103">
        <v>54.0</v>
      </c>
      <c r="C55" s="183">
        <f t="shared" si="1"/>
        <v>13.87043307</v>
      </c>
      <c r="D55" s="124" t="str">
        <f>VLOOKUP(A55,'Classement Surp'!$B$2:$B$149,1,0)</f>
        <v>SINGE7</v>
      </c>
      <c r="E55" s="125" t="str">
        <f t="shared" si="2"/>
        <v/>
      </c>
      <c r="F55" s="120" t="str">
        <f>VLOOKUP(A55,'Classement Général'!$B$2:$B$146,1,0)</f>
        <v>SINGE7</v>
      </c>
    </row>
    <row r="56" ht="14.25" customHeight="1">
      <c r="A56" s="118" t="str">
        <f>IFERROR(__xludf.DUMMYFUNCTION("""COMPUTED_VALUE"""),"Mikalack")</f>
        <v>Mikalack</v>
      </c>
      <c r="B56" s="103">
        <v>55.0</v>
      </c>
      <c r="C56" s="183">
        <f t="shared" si="1"/>
        <v>9.204634106</v>
      </c>
      <c r="D56" s="124" t="str">
        <f>VLOOKUP(A56,'Classement Surp'!$B$2:$B$149,1,0)</f>
        <v>Mikalack</v>
      </c>
      <c r="E56" s="125" t="str">
        <f t="shared" si="2"/>
        <v/>
      </c>
      <c r="F56" s="120" t="str">
        <f>VLOOKUP(A56,'Classement Général'!$B$2:$B$146,1,0)</f>
        <v>Mikalack</v>
      </c>
    </row>
    <row r="57" ht="14.25" customHeight="1">
      <c r="A57" s="118" t="str">
        <f>IFERROR(__xludf.DUMMYFUNCTION("""COMPUTED_VALUE"""),"Cataleya86")</f>
        <v>Cataleya86</v>
      </c>
      <c r="B57" s="103">
        <v>56.0</v>
      </c>
      <c r="C57" s="183">
        <f t="shared" si="1"/>
        <v>4.581631958</v>
      </c>
      <c r="D57" s="124" t="str">
        <f>VLOOKUP(A57,'Classement Surp'!$B$2:$B$149,1,0)</f>
        <v>Cataleya86</v>
      </c>
      <c r="E57" s="125" t="str">
        <f t="shared" si="2"/>
        <v/>
      </c>
      <c r="F57" s="120" t="str">
        <f>VLOOKUP(A57,'Classement Général'!$B$2:$B$146,1,0)</f>
        <v>Cataleya86</v>
      </c>
    </row>
    <row r="58" ht="14.25" customHeight="1">
      <c r="A58" s="118"/>
      <c r="B58" s="103">
        <v>57.0</v>
      </c>
      <c r="C58" s="183">
        <f t="shared" si="1"/>
        <v>0</v>
      </c>
      <c r="D58" s="124" t="str">
        <f>VLOOKUP(A58,'Classement Surp'!$B$2:$B$149,1,0)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18"/>
      <c r="B59" s="103">
        <v>58.0</v>
      </c>
      <c r="C59" s="183">
        <f t="shared" si="1"/>
        <v>-4.541613873</v>
      </c>
      <c r="D59" s="124" t="str">
        <f>VLOOKUP(A59,'Classement Surp'!$B$2:$B$149,1,0)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18"/>
      <c r="B60" s="103">
        <v>59.0</v>
      </c>
      <c r="C60" s="183">
        <f t="shared" si="1"/>
        <v>-9.044492417</v>
      </c>
      <c r="D60" s="124" t="str">
        <f>VLOOKUP(A60,'Classement Surp'!$B$2:$B$149,1,0)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18"/>
      <c r="B61" s="103">
        <v>60.0</v>
      </c>
      <c r="C61" s="183">
        <f t="shared" si="1"/>
        <v>-13.50985377</v>
      </c>
      <c r="D61" s="124" t="str">
        <f>VLOOKUP(A61,'Classement Surp'!$B$2:$B$149,1,0)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18"/>
      <c r="B62" s="103">
        <v>61.0</v>
      </c>
      <c r="C62" s="183">
        <f t="shared" si="1"/>
        <v>-17.9388558</v>
      </c>
      <c r="D62" s="124" t="str">
        <f>VLOOKUP(A62,'Classement Surp'!$B$2:$B$149,1,0)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18"/>
      <c r="B63" s="103">
        <v>62.0</v>
      </c>
      <c r="C63" s="183">
        <f t="shared" si="1"/>
        <v>-22.33260004</v>
      </c>
      <c r="D63" s="124" t="str">
        <f>VLOOKUP(A63,'Classement Surp'!$B$2:$B$149,1,0)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18"/>
      <c r="B64" s="103">
        <v>63.0</v>
      </c>
      <c r="C64" s="183">
        <f t="shared" si="1"/>
        <v>-26.6921354</v>
      </c>
      <c r="D64" s="124" t="str">
        <f>VLOOKUP(A64,'Classement Surp'!$B$2:$B$149,1,0)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18"/>
      <c r="B65" s="103">
        <v>64.0</v>
      </c>
      <c r="C65" s="183">
        <f t="shared" si="1"/>
        <v>-31.01846146</v>
      </c>
      <c r="D65" s="124" t="str">
        <f>VLOOKUP(A65,'Classement Surp'!$B$2:$B$149,1,0)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18"/>
      <c r="B66" s="103">
        <v>65.0</v>
      </c>
      <c r="C66" s="183">
        <f t="shared" si="1"/>
        <v>-35.31253162</v>
      </c>
      <c r="D66" s="124" t="str">
        <f>VLOOKUP(A66,'Classement Surp'!$B$2:$B$149,1,0)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18"/>
      <c r="B67" s="103">
        <v>66.0</v>
      </c>
      <c r="C67" s="183">
        <f t="shared" si="1"/>
        <v>-39.5752559</v>
      </c>
      <c r="D67" s="124" t="str">
        <f>VLOOKUP(A67,'Classement Surp'!$B$2:$B$149,1,0)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18"/>
      <c r="B68" s="103">
        <v>67.0</v>
      </c>
      <c r="C68" s="183">
        <f t="shared" si="1"/>
        <v>-43.80750362</v>
      </c>
      <c r="D68" s="124" t="str">
        <f>VLOOKUP(A68,'Classement Surp'!$B$2:$B$149,1,0)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18"/>
      <c r="B69" s="103">
        <v>68.0</v>
      </c>
      <c r="C69" s="183">
        <f t="shared" si="1"/>
        <v>-48.01010582</v>
      </c>
      <c r="D69" s="124" t="str">
        <f>VLOOKUP(A69,'Classement Surp'!$B$2:$B$149,1,0)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18"/>
      <c r="B70" s="103">
        <v>69.0</v>
      </c>
      <c r="C70" s="183">
        <f t="shared" si="1"/>
        <v>-52.1838575</v>
      </c>
      <c r="D70" s="124" t="str">
        <f>VLOOKUP(A70,'Classement Surp'!$B$2:$B$149,1,0)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18"/>
      <c r="B71" s="103">
        <v>70.0</v>
      </c>
      <c r="C71" s="183">
        <f t="shared" si="1"/>
        <v>-56.32951974</v>
      </c>
      <c r="D71" s="124" t="str">
        <f>VLOOKUP(A71,'Classement Surp'!$B$2:$B$149,1,0)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18"/>
      <c r="B72" s="103">
        <v>71.0</v>
      </c>
      <c r="C72" s="183">
        <f t="shared" si="1"/>
        <v>-60.44782163</v>
      </c>
      <c r="D72" s="124" t="str">
        <f>VLOOKUP(A72,'Classement Surp'!$B$2:$B$149,1,0)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18"/>
      <c r="B73" s="103">
        <v>72.0</v>
      </c>
      <c r="C73" s="183">
        <f t="shared" si="1"/>
        <v>-64.53946205</v>
      </c>
      <c r="D73" s="124" t="str">
        <f>VLOOKUP(A73,'Classement Surp'!$B$2:$B$149,1,0)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18"/>
      <c r="B74" s="103">
        <v>73.0</v>
      </c>
      <c r="C74" s="183">
        <f t="shared" si="1"/>
        <v>-68.6051114</v>
      </c>
      <c r="D74" s="124" t="str">
        <f>VLOOKUP(A74,'Classement Surp'!$B$2:$B$149,1,0)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18"/>
      <c r="B75" s="103">
        <v>74.0</v>
      </c>
      <c r="C75" s="183">
        <f t="shared" si="1"/>
        <v>-72.64541309</v>
      </c>
      <c r="D75" s="124" t="str">
        <f>VLOOKUP(A75,'Classement Surp'!$B$2:$B$149,1,0)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18"/>
      <c r="B76" s="103">
        <v>75.0</v>
      </c>
      <c r="C76" s="183">
        <f t="shared" si="1"/>
        <v>-76.66098506</v>
      </c>
      <c r="D76" s="124" t="str">
        <f>VLOOKUP(A76,'Classement Surp'!$B$2:$B$149,1,0)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18"/>
      <c r="B77" s="103">
        <v>76.0</v>
      </c>
      <c r="C77" s="183">
        <f t="shared" si="1"/>
        <v>-80.65242112</v>
      </c>
      <c r="D77" s="124" t="str">
        <f>VLOOKUP(A77,'Classement Surp'!$B$2:$B$149,1,0)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18"/>
      <c r="B78" s="103">
        <v>77.0</v>
      </c>
      <c r="C78" s="183">
        <f t="shared" si="1"/>
        <v>-84.62029219</v>
      </c>
      <c r="D78" s="124" t="str">
        <f>VLOOKUP(A78,'Classement Surp'!$B$2:$B$149,1,0)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18"/>
      <c r="B79" s="103">
        <v>78.0</v>
      </c>
      <c r="C79" s="183">
        <f t="shared" si="1"/>
        <v>-88.5651475</v>
      </c>
      <c r="D79" s="124" t="str">
        <f>VLOOKUP(A79,'Classement Surp'!$B$2:$B$149,1,0)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18"/>
      <c r="B80" s="103">
        <v>79.0</v>
      </c>
      <c r="C80" s="183">
        <f t="shared" si="1"/>
        <v>-92.48751573</v>
      </c>
      <c r="D80" s="124" t="str">
        <f>VLOOKUP(A80,'Classement Surp'!$B$2:$B$149,1,0)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18"/>
      <c r="B81" s="103">
        <v>80.0</v>
      </c>
      <c r="C81" s="183">
        <f t="shared" si="1"/>
        <v>-96.38790601</v>
      </c>
      <c r="D81" s="124" t="str">
        <f>VLOOKUP(A81,'Classement Surp'!$B$2:$B$149,1,0)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18"/>
      <c r="B82" s="103">
        <v>81.0</v>
      </c>
      <c r="C82" s="183">
        <f t="shared" si="1"/>
        <v>-100.2668089</v>
      </c>
      <c r="D82" s="124" t="str">
        <f>VLOOKUP(A82,'Classement Surp'!$B$2:$B$149,1,0)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18"/>
      <c r="B83" s="103">
        <v>82.0</v>
      </c>
      <c r="C83" s="183">
        <f t="shared" si="1"/>
        <v>-104.1246973</v>
      </c>
      <c r="D83" s="124" t="str">
        <f>VLOOKUP(A83,'Classement Surp'!$B$2:$B$149,1,0)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18"/>
      <c r="B84" s="103">
        <v>83.0</v>
      </c>
      <c r="C84" s="183">
        <f t="shared" si="1"/>
        <v>-107.9620273</v>
      </c>
      <c r="D84" s="124" t="str">
        <f>VLOOKUP(A84,'Classement Surp'!$B$2:$B$149,1,0)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18"/>
      <c r="B85" s="103">
        <v>84.0</v>
      </c>
      <c r="C85" s="183">
        <f t="shared" si="1"/>
        <v>-111.7792391</v>
      </c>
      <c r="D85" s="124" t="str">
        <f>VLOOKUP(A85,'Classement Surp'!$B$2:$B$149,1,0)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18"/>
      <c r="B86" s="103">
        <v>85.0</v>
      </c>
      <c r="C86" s="183">
        <f t="shared" si="1"/>
        <v>-115.5767575</v>
      </c>
      <c r="D86" s="124" t="str">
        <f>VLOOKUP(A86,'Classement Surp'!$B$2:$B$149,1,0)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18"/>
      <c r="B87" s="103">
        <v>86.0</v>
      </c>
      <c r="C87" s="183">
        <f t="shared" si="1"/>
        <v>-119.3549929</v>
      </c>
      <c r="D87" s="124" t="str">
        <f>VLOOKUP(A87,'Classement Surp'!$B$2:$B$149,1,0)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18"/>
      <c r="B88" s="103">
        <v>87.0</v>
      </c>
      <c r="C88" s="183">
        <f t="shared" si="1"/>
        <v>-123.1143419</v>
      </c>
      <c r="D88" s="124" t="str">
        <f>VLOOKUP(A88,'Classement Surp'!$B$2:$B$149,1,0)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18"/>
      <c r="B89" s="103">
        <v>88.0</v>
      </c>
      <c r="C89" s="183">
        <f t="shared" si="1"/>
        <v>-126.8551876</v>
      </c>
      <c r="D89" s="124" t="str">
        <f>VLOOKUP(A89,'Classement Surp'!$B$2:$B$149,1,0)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18"/>
      <c r="B90" s="103">
        <v>89.0</v>
      </c>
      <c r="C90" s="183">
        <f t="shared" si="1"/>
        <v>-130.5779009</v>
      </c>
      <c r="D90" s="124" t="str">
        <f>VLOOKUP(A90,'Classement Surp'!$B$2:$B$149,1,0)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18"/>
      <c r="B91" s="103">
        <v>90.0</v>
      </c>
      <c r="C91" s="183">
        <f t="shared" si="1"/>
        <v>-134.2828403</v>
      </c>
      <c r="D91" s="124" t="str">
        <f>VLOOKUP(A91,'Classement Surp'!$B$2:$B$149,1,0)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18"/>
      <c r="B92" s="103">
        <v>91.0</v>
      </c>
      <c r="C92" s="183">
        <f t="shared" si="1"/>
        <v>-137.9703529</v>
      </c>
      <c r="D92" s="124" t="str">
        <f>VLOOKUP(A92,'Classement Surp'!$B$2:$B$149,1,0)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18"/>
      <c r="B93" s="103">
        <v>92.0</v>
      </c>
      <c r="C93" s="183">
        <f t="shared" si="1"/>
        <v>-141.6407748</v>
      </c>
      <c r="D93" s="124" t="str">
        <f>VLOOKUP(A93,'Classement Surp'!$B$2:$B$149,1,0)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18"/>
      <c r="B94" s="103">
        <v>93.0</v>
      </c>
      <c r="C94" s="183">
        <f t="shared" si="1"/>
        <v>-145.2944314</v>
      </c>
      <c r="D94" s="124" t="str">
        <f>VLOOKUP(A94,'Classement Surp'!$B$2:$B$149,1,0)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18"/>
      <c r="B95" s="103">
        <v>94.0</v>
      </c>
      <c r="C95" s="183">
        <f t="shared" si="1"/>
        <v>-148.9316383</v>
      </c>
      <c r="D95" s="124" t="str">
        <f>VLOOKUP(A95,'Classement Surp'!$B$2:$B$149,1,0)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18"/>
      <c r="B96" s="103">
        <v>95.0</v>
      </c>
      <c r="C96" s="183">
        <f t="shared" si="1"/>
        <v>-152.552701</v>
      </c>
      <c r="D96" s="124" t="str">
        <f>VLOOKUP(A96,'Classement Surp'!$B$2:$B$149,1,0)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18"/>
      <c r="B97" s="103">
        <v>96.0</v>
      </c>
      <c r="C97" s="183">
        <f t="shared" si="1"/>
        <v>-156.1579162</v>
      </c>
      <c r="D97" s="124" t="str">
        <f>VLOOKUP(A97,'Classement Surp'!$B$2:$B$149,1,0)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18"/>
      <c r="B98" s="103">
        <v>97.0</v>
      </c>
      <c r="C98" s="183">
        <f t="shared" si="1"/>
        <v>-159.7475712</v>
      </c>
      <c r="D98" s="124" t="str">
        <f>VLOOKUP(A98,'Classement Surp'!$B$2:$B$149,1,0)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18"/>
      <c r="B99" s="103">
        <v>98.0</v>
      </c>
      <c r="C99" s="183">
        <f t="shared" si="1"/>
        <v>-163.3219453</v>
      </c>
      <c r="D99" s="124" t="str">
        <f>VLOOKUP(A99,'Classement Surp'!$B$2:$B$149,1,0)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18"/>
      <c r="B100" s="103">
        <v>99.0</v>
      </c>
      <c r="C100" s="183">
        <f t="shared" si="1"/>
        <v>-166.8813091</v>
      </c>
      <c r="D100" s="124" t="str">
        <f>VLOOKUP(A100,'Classement Surp'!$B$2:$B$149,1,0)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18"/>
      <c r="B101" s="103">
        <v>100.0</v>
      </c>
      <c r="C101" s="183">
        <f t="shared" si="1"/>
        <v>-170.4259258</v>
      </c>
      <c r="D101" s="124" t="str">
        <f>VLOOKUP(A101,'Classement Surp'!$B$2:$B$149,1,0)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18"/>
      <c r="B102" s="103">
        <v>101.0</v>
      </c>
      <c r="C102" s="183">
        <f t="shared" si="1"/>
        <v>-173.9560507</v>
      </c>
      <c r="D102" s="124" t="str">
        <f>VLOOKUP(A102,'Classement Surp'!$B$2:$B$149,1,0)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18"/>
      <c r="B103" s="103">
        <v>102.0</v>
      </c>
      <c r="C103" s="183">
        <f t="shared" si="1"/>
        <v>-177.471932</v>
      </c>
      <c r="D103" s="124" t="str">
        <f>VLOOKUP(A103,'Classement Surp'!$B$2:$B$149,1,0)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18"/>
      <c r="B104" s="103">
        <v>103.0</v>
      </c>
      <c r="C104" s="183">
        <f t="shared" si="1"/>
        <v>-180.9738109</v>
      </c>
      <c r="D104" s="124" t="str">
        <f>VLOOKUP(A104,'Classement Surp'!$B$2:$B$149,1,0)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18"/>
      <c r="B105" s="103">
        <v>104.0</v>
      </c>
      <c r="C105" s="183">
        <f t="shared" si="1"/>
        <v>-184.4619219</v>
      </c>
      <c r="D105" s="124" t="str">
        <f>VLOOKUP(A105,'Classement Surp'!$B$2:$B$149,1,0)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18"/>
      <c r="B106" s="103">
        <v>105.0</v>
      </c>
      <c r="C106" s="183">
        <f t="shared" si="1"/>
        <v>-187.9364932</v>
      </c>
      <c r="D106" s="124" t="str">
        <f>VLOOKUP(A106,'Classement Surp'!$B$2:$B$149,1,0)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18"/>
      <c r="B107" s="103">
        <v>106.0</v>
      </c>
      <c r="C107" s="183">
        <f t="shared" si="1"/>
        <v>-191.3977464</v>
      </c>
      <c r="D107" s="124" t="str">
        <f>VLOOKUP(A107,'Classement Surp'!$B$2:$B$149,1,0)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18"/>
      <c r="B108" s="103">
        <v>107.0</v>
      </c>
      <c r="C108" s="183">
        <f t="shared" si="1"/>
        <v>-194.8458975</v>
      </c>
      <c r="D108" s="124" t="str">
        <f>VLOOKUP(A108,'Classement Surp'!$B$2:$B$149,1,0)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18"/>
      <c r="B109" s="103">
        <v>108.0</v>
      </c>
      <c r="C109" s="183">
        <f t="shared" si="1"/>
        <v>-198.2811566</v>
      </c>
      <c r="D109" s="124" t="str">
        <f>VLOOKUP(A109,'Classement Surp'!$B$2:$B$149,1,0)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18"/>
      <c r="B110" s="103">
        <v>109.0</v>
      </c>
      <c r="C110" s="183">
        <f t="shared" si="1"/>
        <v>-201.7037281</v>
      </c>
      <c r="D110" s="124" t="str">
        <f>VLOOKUP(A110,'Classement Surp'!$B$2:$B$149,1,0)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18"/>
      <c r="B111" s="103">
        <v>110.0</v>
      </c>
      <c r="C111" s="183">
        <f t="shared" si="1"/>
        <v>-205.1138113</v>
      </c>
      <c r="D111" s="124" t="str">
        <f>VLOOKUP(A111,'Classement Surp'!$B$2:$B$149,1,0)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18"/>
      <c r="B112" s="103">
        <v>111.0</v>
      </c>
      <c r="C112" s="183">
        <f t="shared" si="1"/>
        <v>-208.5116002</v>
      </c>
      <c r="D112" s="124" t="str">
        <f>VLOOKUP(A112,'Classement Surp'!$B$2:$B$149,1,0)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18"/>
      <c r="B113" s="103">
        <v>112.0</v>
      </c>
      <c r="C113" s="183">
        <f t="shared" si="1"/>
        <v>-211.8972839</v>
      </c>
      <c r="D113" s="124" t="str">
        <f>VLOOKUP(A113,'Classement Surp'!$B$2:$B$149,1,0)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18"/>
      <c r="B114" s="103">
        <v>113.0</v>
      </c>
      <c r="C114" s="183">
        <f t="shared" si="1"/>
        <v>-215.2710466</v>
      </c>
      <c r="D114" s="124" t="str">
        <f>VLOOKUP(A114,'Classement Surp'!$B$2:$B$149,1,0)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18"/>
      <c r="B115" s="103">
        <v>114.0</v>
      </c>
      <c r="C115" s="183">
        <f t="shared" si="1"/>
        <v>-218.633068</v>
      </c>
      <c r="D115" s="124" t="str">
        <f>VLOOKUP(A115,'Classement Surp'!$B$2:$B$149,1,0)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18"/>
      <c r="B116" s="103">
        <v>115.0</v>
      </c>
      <c r="C116" s="183">
        <f t="shared" si="1"/>
        <v>-221.983523</v>
      </c>
      <c r="D116" s="124" t="str">
        <f>VLOOKUP(A116,'Classement Surp'!$B$2:$B$149,1,0)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18"/>
      <c r="B117" s="103">
        <v>116.0</v>
      </c>
      <c r="C117" s="183">
        <f t="shared" si="1"/>
        <v>-225.3225827</v>
      </c>
      <c r="D117" s="124" t="str">
        <f>VLOOKUP(A117,'Classement Surp'!$B$2:$B$149,1,0)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18"/>
      <c r="B118" s="103">
        <v>117.0</v>
      </c>
      <c r="C118" s="183">
        <f t="shared" si="1"/>
        <v>-228.6504135</v>
      </c>
      <c r="D118" s="124" t="str">
        <f>VLOOKUP(A118,'Classement Surp'!$B$2:$B$149,1,0)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18"/>
      <c r="B119" s="103">
        <v>118.0</v>
      </c>
      <c r="C119" s="183">
        <f t="shared" si="1"/>
        <v>-231.9671782</v>
      </c>
      <c r="D119" s="124" t="str">
        <f>VLOOKUP(A119,'Classement Surp'!$B$2:$B$149,1,0)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18"/>
      <c r="B120" s="103">
        <v>119.0</v>
      </c>
      <c r="C120" s="183">
        <f t="shared" si="1"/>
        <v>-235.2730353</v>
      </c>
      <c r="D120" s="124" t="str">
        <f>VLOOKUP(A120,'Classement Surp'!$B$2:$B$149,1,0)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18"/>
      <c r="B121" s="103">
        <v>120.0</v>
      </c>
      <c r="C121" s="183">
        <f t="shared" si="1"/>
        <v>-238.5681398</v>
      </c>
      <c r="D121" s="124" t="str">
        <f>VLOOKUP(A121,'Classement Surp'!$B$2:$B$149,1,0)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18"/>
      <c r="B122" s="103">
        <v>121.0</v>
      </c>
      <c r="C122" s="183">
        <f t="shared" si="1"/>
        <v>-241.8526429</v>
      </c>
      <c r="D122" s="124" t="str">
        <f>VLOOKUP(A122,'Classement Surp'!$B$2:$B$149,1,0)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18"/>
      <c r="B123" s="103">
        <v>122.0</v>
      </c>
      <c r="C123" s="183">
        <f t="shared" si="1"/>
        <v>-245.1266924</v>
      </c>
      <c r="D123" s="124" t="str">
        <f>VLOOKUP(A123,'Classement Surp'!$B$2:$B$149,1,0)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18"/>
      <c r="B124" s="103">
        <v>123.0</v>
      </c>
      <c r="C124" s="183">
        <f t="shared" si="1"/>
        <v>-248.3904326</v>
      </c>
      <c r="D124" s="124" t="str">
        <f>VLOOKUP(A124,'Classement Surp'!$B$2:$B$149,1,0)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18"/>
      <c r="B125" s="103">
        <v>124.0</v>
      </c>
      <c r="C125" s="183">
        <f t="shared" si="1"/>
        <v>-251.6440045</v>
      </c>
      <c r="D125" s="124" t="str">
        <f>VLOOKUP(A125,'Classement Surp'!$B$2:$B$149,1,0)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18"/>
      <c r="B126" s="103">
        <v>125.0</v>
      </c>
      <c r="C126" s="183">
        <f t="shared" si="1"/>
        <v>-254.8875458</v>
      </c>
      <c r="D126" s="124" t="str">
        <f>VLOOKUP(A126,'Classement Surp'!$B$2:$B$149,1,0)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18"/>
      <c r="B127" s="103">
        <v>126.0</v>
      </c>
      <c r="C127" s="183">
        <f t="shared" si="1"/>
        <v>-258.1211912</v>
      </c>
      <c r="D127" s="124" t="str">
        <f>VLOOKUP(A127,'Classement Surp'!$B$2:$B$149,1,0)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18"/>
      <c r="B128" s="103">
        <v>127.0</v>
      </c>
      <c r="C128" s="183">
        <f t="shared" si="1"/>
        <v>-261.3450724</v>
      </c>
      <c r="D128" s="124" t="str">
        <f>VLOOKUP(A128,'Classement Surp'!$B$2:$B$149,1,0)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18"/>
      <c r="B129" s="103">
        <v>128.0</v>
      </c>
      <c r="C129" s="183">
        <f t="shared" si="1"/>
        <v>-264.5593181</v>
      </c>
      <c r="D129" s="124" t="str">
        <f>VLOOKUP(A129,'Classement Surp'!$B$2:$B$149,1,0)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18"/>
      <c r="B130" s="103">
        <v>129.0</v>
      </c>
      <c r="C130" s="183">
        <f t="shared" si="1"/>
        <v>-267.7640542</v>
      </c>
      <c r="D130" s="124" t="str">
        <f>VLOOKUP(A130,'Classement Surp'!$B$2:$B$149,1,0)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18"/>
      <c r="B131" s="103">
        <v>130.0</v>
      </c>
      <c r="C131" s="183">
        <f t="shared" si="1"/>
        <v>-270.9594039</v>
      </c>
      <c r="D131" s="124" t="str">
        <f>VLOOKUP(A131,'Classement Surp'!$B$2:$B$149,1,0)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18"/>
      <c r="B132" s="103">
        <v>131.0</v>
      </c>
      <c r="C132" s="183">
        <f t="shared" si="1"/>
        <v>-274.1454877</v>
      </c>
      <c r="D132" s="124" t="str">
        <f>VLOOKUP(A132,'Classement Surp'!$B$2:$B$149,1,0)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18"/>
      <c r="B133" s="103">
        <v>132.0</v>
      </c>
      <c r="C133" s="183">
        <f t="shared" si="1"/>
        <v>-277.3224235</v>
      </c>
      <c r="D133" s="124" t="str">
        <f>VLOOKUP(A133,'Classement Surp'!$B$2:$B$149,1,0)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18"/>
      <c r="B134" s="103">
        <v>133.0</v>
      </c>
      <c r="C134" s="183">
        <f t="shared" si="1"/>
        <v>-280.4903267</v>
      </c>
      <c r="D134" s="124" t="str">
        <f>VLOOKUP(A134,'Classement Surp'!$B$2:$B$149,1,0)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18"/>
      <c r="B135" s="103">
        <v>134.0</v>
      </c>
      <c r="C135" s="183">
        <f t="shared" si="1"/>
        <v>-283.6493102</v>
      </c>
      <c r="D135" s="124" t="str">
        <f>VLOOKUP(A135,'Classement Surp'!$B$2:$B$149,1,0)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18"/>
      <c r="B136" s="103">
        <v>135.0</v>
      </c>
      <c r="C136" s="183">
        <f t="shared" si="1"/>
        <v>-286.7994848</v>
      </c>
      <c r="D136" s="124" t="str">
        <f>VLOOKUP(A136,'Classement Surp'!$B$2:$B$149,1,0)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18"/>
      <c r="B137" s="103">
        <v>136.0</v>
      </c>
      <c r="C137" s="183">
        <f t="shared" si="1"/>
        <v>-289.9409586</v>
      </c>
      <c r="D137" s="124" t="str">
        <f>VLOOKUP(A137,'Classement Surp'!$B$2:$B$149,1,0)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18"/>
      <c r="B138" s="103">
        <v>137.0</v>
      </c>
      <c r="C138" s="183">
        <f t="shared" si="1"/>
        <v>-293.0738378</v>
      </c>
      <c r="D138" s="124" t="str">
        <f>VLOOKUP(A138,'Classement Surp'!$B$2:$B$149,1,0)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18"/>
      <c r="B139" s="103">
        <v>138.0</v>
      </c>
      <c r="C139" s="183">
        <f t="shared" si="1"/>
        <v>-296.1982263</v>
      </c>
      <c r="D139" s="124" t="str">
        <f>VLOOKUP(A139,'Classement Surp'!$B$2:$B$149,1,0)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18"/>
      <c r="B140" s="103">
        <v>139.0</v>
      </c>
      <c r="C140" s="183">
        <f t="shared" si="1"/>
        <v>-299.3142258</v>
      </c>
      <c r="D140" s="124" t="str">
        <f>VLOOKUP(A140,'Classement Surp'!$B$2:$B$149,1,0)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18"/>
      <c r="B141" s="103">
        <v>140.0</v>
      </c>
      <c r="C141" s="183">
        <f t="shared" si="1"/>
        <v>-302.4219363</v>
      </c>
      <c r="D141" s="124" t="str">
        <f>VLOOKUP(A141,'Classement Surp'!$B$2:$B$149,1,0)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18"/>
      <c r="B142" s="103">
        <v>141.0</v>
      </c>
      <c r="C142" s="183">
        <f t="shared" si="1"/>
        <v>-305.5214553</v>
      </c>
      <c r="D142" s="124" t="str">
        <f>VLOOKUP(A142,'Classement Surp'!$B$2:$B$149,1,0)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18"/>
      <c r="B143" s="103">
        <v>142.0</v>
      </c>
      <c r="C143" s="183">
        <f t="shared" si="1"/>
        <v>-308.6128789</v>
      </c>
      <c r="D143" s="124" t="str">
        <f>VLOOKUP(A143,'Classement Surp'!$B$2:$B$149,1,0)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18"/>
      <c r="B144" s="103">
        <v>143.0</v>
      </c>
      <c r="C144" s="183">
        <f t="shared" si="1"/>
        <v>-311.6963008</v>
      </c>
      <c r="D144" s="124" t="str">
        <f>VLOOKUP(A144,'Classement Surp'!$B$2:$B$149,1,0)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18"/>
      <c r="B145" s="103">
        <v>144.0</v>
      </c>
      <c r="C145" s="183">
        <f t="shared" si="1"/>
        <v>-314.7718132</v>
      </c>
      <c r="D145" s="124" t="str">
        <f>VLOOKUP(A145,'Classement Surp'!$B$2:$B$149,1,0)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18"/>
      <c r="B146" s="103">
        <v>145.0</v>
      </c>
      <c r="C146" s="183">
        <f t="shared" si="1"/>
        <v>-317.8395066</v>
      </c>
      <c r="D146" s="124" t="str">
        <f>VLOOKUP(A146,'Classement Surp'!$B$2:$B$149,1,0)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18"/>
      <c r="B147" s="103">
        <v>146.0</v>
      </c>
      <c r="C147" s="183">
        <f t="shared" si="1"/>
        <v>-320.8994693</v>
      </c>
      <c r="D147" s="124" t="str">
        <f>VLOOKUP(A147,'Classement Surp'!$B$2:$B$149,1,0)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18"/>
      <c r="B148" s="103">
        <v>147.0</v>
      </c>
      <c r="C148" s="183">
        <f t="shared" si="1"/>
        <v>-323.9517885</v>
      </c>
      <c r="D148" s="124" t="str">
        <f>VLOOKUP(A148,'Classement Surp'!$B$2:$B$149,1,0)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18"/>
      <c r="B149" s="103">
        <v>148.0</v>
      </c>
      <c r="C149" s="183">
        <f t="shared" si="1"/>
        <v>-326.9965493</v>
      </c>
      <c r="D149" s="124" t="str">
        <f>VLOOKUP(A149,'Classement Surp'!$B$2:$B$149,1,0)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18"/>
      <c r="B150" s="103">
        <v>149.0</v>
      </c>
      <c r="C150" s="183">
        <f t="shared" si="1"/>
        <v>-330.0338354</v>
      </c>
      <c r="D150" s="124" t="str">
        <f>VLOOKUP(A150,'Classement Surp'!$B$2:$B$149,1,0)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18"/>
      <c r="B151" s="103">
        <v>150.0</v>
      </c>
      <c r="C151" s="183">
        <f t="shared" si="1"/>
        <v>-333.0637289</v>
      </c>
      <c r="D151" s="124" t="str">
        <f>VLOOKUP(A151,'Classement Surp'!$B$2:$B$149,1,0)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18"/>
      <c r="B152" s="103">
        <v>151.0</v>
      </c>
      <c r="C152" s="183">
        <f t="shared" si="1"/>
        <v>-336.0863104</v>
      </c>
      <c r="D152" s="124" t="str">
        <f>VLOOKUP(A152,'Classement Surp'!$B$2:$B$149,1,0)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18"/>
      <c r="B153" s="103">
        <v>152.0</v>
      </c>
      <c r="C153" s="183">
        <f t="shared" si="1"/>
        <v>-339.101659</v>
      </c>
      <c r="D153" s="124" t="str">
        <f>VLOOKUP(A153,'Classement Surp'!$B$2:$B$149,1,0)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18"/>
      <c r="B154" s="103">
        <v>153.0</v>
      </c>
      <c r="C154" s="183">
        <f t="shared" si="1"/>
        <v>-342.1098524</v>
      </c>
      <c r="D154" s="124" t="str">
        <f>VLOOKUP(A154,'Classement Surp'!$B$2:$B$149,1,0)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18"/>
      <c r="B155" s="103">
        <v>154.0</v>
      </c>
      <c r="C155" s="183">
        <f t="shared" si="1"/>
        <v>-345.1109667</v>
      </c>
      <c r="D155" s="124" t="str">
        <f>VLOOKUP(A155,'Classement Surp'!$B$2:$B$149,1,0)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18"/>
      <c r="B156" s="103">
        <v>155.0</v>
      </c>
      <c r="C156" s="183">
        <f t="shared" si="1"/>
        <v>-348.105077</v>
      </c>
      <c r="D156" s="124" t="str">
        <f>VLOOKUP(A156,'Classement Surp'!$B$2:$B$149,1,0)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18"/>
      <c r="B157" s="103">
        <v>156.0</v>
      </c>
      <c r="C157" s="183">
        <f t="shared" si="1"/>
        <v>-351.0922567</v>
      </c>
      <c r="D157" s="124" t="str">
        <f>VLOOKUP(A157,'Classement Surp'!$B$2:$B$149,1,0)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18"/>
      <c r="B158" s="103">
        <v>157.0</v>
      </c>
      <c r="C158" s="183">
        <f t="shared" si="1"/>
        <v>-354.072578</v>
      </c>
      <c r="D158" s="124" t="str">
        <f>VLOOKUP(A158,'Classement Surp'!$B$2:$B$149,1,0)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18"/>
      <c r="B159" s="103">
        <v>158.0</v>
      </c>
      <c r="C159" s="183">
        <f t="shared" si="1"/>
        <v>-357.046112</v>
      </c>
      <c r="D159" s="124" t="str">
        <f>VLOOKUP(A159,'Classement Surp'!$B$2:$B$149,1,0)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18"/>
      <c r="B160" s="103">
        <v>159.0</v>
      </c>
      <c r="C160" s="183">
        <f t="shared" si="1"/>
        <v>-360.0129283</v>
      </c>
      <c r="D160" s="124" t="str">
        <f>VLOOKUP(A160,'Classement Surp'!$B$2:$B$149,1,0)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84"/>
      <c r="B161" s="185">
        <v>160.0</v>
      </c>
      <c r="C161" s="186">
        <f t="shared" si="1"/>
        <v>-362.9730955</v>
      </c>
      <c r="D161" s="124" t="str">
        <f>VLOOKUP(A161,'Classement Surp'!$B$2:$B$149,1,0)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A162" s="187"/>
      <c r="B162" s="128"/>
    </row>
    <row r="163" ht="14.25" customHeight="1">
      <c r="A163" s="187"/>
      <c r="B163" s="128"/>
    </row>
    <row r="164" ht="14.25" customHeight="1">
      <c r="A164" s="187"/>
      <c r="B164" s="128"/>
    </row>
    <row r="165" ht="14.25" customHeight="1">
      <c r="A165" s="187"/>
      <c r="B165" s="128"/>
    </row>
    <row r="166" ht="14.25" customHeight="1">
      <c r="A166" s="187"/>
      <c r="B166" s="128"/>
    </row>
    <row r="167" ht="14.25" customHeight="1">
      <c r="A167" s="187"/>
      <c r="B167" s="128"/>
    </row>
    <row r="168" ht="14.25" customHeight="1">
      <c r="A168" s="187"/>
      <c r="B168" s="128"/>
    </row>
    <row r="169" ht="14.25" customHeight="1">
      <c r="A169" s="187"/>
      <c r="B169" s="128"/>
    </row>
    <row r="170" ht="14.25" customHeight="1">
      <c r="A170" s="187"/>
      <c r="B170" s="128"/>
    </row>
    <row r="171" ht="14.25" customHeight="1">
      <c r="A171" s="187"/>
      <c r="B171" s="128"/>
    </row>
    <row r="172" ht="14.25" customHeight="1">
      <c r="A172" s="187"/>
      <c r="B172" s="128"/>
    </row>
    <row r="173" ht="14.25" customHeight="1">
      <c r="A173" s="187"/>
      <c r="B173" s="128"/>
    </row>
    <row r="174" ht="14.25" customHeight="1">
      <c r="A174" s="187"/>
      <c r="B174" s="128"/>
    </row>
    <row r="175" ht="14.25" customHeight="1">
      <c r="A175" s="187"/>
      <c r="B175" s="128"/>
    </row>
    <row r="176" ht="14.25" customHeight="1">
      <c r="A176" s="187"/>
      <c r="B176" s="128"/>
    </row>
    <row r="177" ht="14.25" customHeight="1">
      <c r="A177" s="187"/>
      <c r="B177" s="128"/>
    </row>
    <row r="178" ht="14.25" customHeight="1">
      <c r="A178" s="187"/>
      <c r="B178" s="128"/>
    </row>
    <row r="179" ht="14.25" customHeight="1">
      <c r="A179" s="187"/>
      <c r="B179" s="128"/>
    </row>
    <row r="180" ht="14.25" customHeight="1">
      <c r="A180" s="187"/>
      <c r="B180" s="128"/>
    </row>
    <row r="181" ht="14.25" customHeight="1">
      <c r="A181" s="187"/>
      <c r="B181" s="128"/>
    </row>
    <row r="182" ht="14.25" customHeight="1">
      <c r="A182" s="187"/>
      <c r="B182" s="128"/>
    </row>
    <row r="183" ht="14.25" customHeight="1">
      <c r="A183" s="187"/>
      <c r="B183" s="128"/>
    </row>
    <row r="184" ht="14.25" customHeight="1">
      <c r="A184" s="187"/>
      <c r="B184" s="128"/>
    </row>
    <row r="185" ht="14.25" customHeight="1">
      <c r="A185" s="187"/>
      <c r="B185" s="128"/>
    </row>
    <row r="186" ht="14.25" customHeight="1">
      <c r="A186" s="187"/>
      <c r="B186" s="128"/>
    </row>
    <row r="187" ht="14.25" customHeight="1">
      <c r="A187" s="187"/>
      <c r="B187" s="128"/>
    </row>
    <row r="188" ht="14.25" customHeight="1">
      <c r="A188" s="187"/>
      <c r="B188" s="128"/>
    </row>
    <row r="189" ht="14.25" customHeight="1">
      <c r="A189" s="187"/>
      <c r="B189" s="128"/>
    </row>
    <row r="190" ht="14.25" customHeight="1">
      <c r="A190" s="187"/>
      <c r="B190" s="128"/>
    </row>
    <row r="191" ht="14.25" customHeight="1">
      <c r="A191" s="187"/>
      <c r="B191" s="128"/>
    </row>
    <row r="192" ht="14.25" customHeight="1">
      <c r="A192" s="187"/>
      <c r="B192" s="128"/>
    </row>
    <row r="193" ht="14.25" customHeight="1">
      <c r="A193" s="187"/>
      <c r="B193" s="128"/>
    </row>
    <row r="194" ht="14.25" customHeight="1">
      <c r="A194" s="187"/>
      <c r="B194" s="128"/>
    </row>
    <row r="195" ht="14.25" customHeight="1">
      <c r="A195" s="187"/>
      <c r="B195" s="128"/>
    </row>
    <row r="196" ht="14.25" customHeight="1">
      <c r="A196" s="187"/>
      <c r="B196" s="128"/>
    </row>
    <row r="197" ht="14.25" customHeight="1">
      <c r="A197" s="187"/>
      <c r="B197" s="128"/>
    </row>
    <row r="198" ht="14.25" customHeight="1">
      <c r="A198" s="187"/>
      <c r="B198" s="128"/>
    </row>
    <row r="199" ht="14.25" customHeight="1">
      <c r="A199" s="187"/>
      <c r="B199" s="128"/>
    </row>
    <row r="200" ht="14.25" customHeight="1">
      <c r="A200" s="187"/>
      <c r="B200" s="128"/>
    </row>
    <row r="201" ht="14.25" customHeight="1">
      <c r="A201" s="187"/>
      <c r="B201" s="128"/>
    </row>
    <row r="202" ht="14.25" customHeight="1">
      <c r="A202" s="187"/>
      <c r="B202" s="128"/>
    </row>
    <row r="203" ht="14.25" customHeight="1">
      <c r="A203" s="187"/>
      <c r="B203" s="128"/>
    </row>
    <row r="204" ht="14.25" customHeight="1">
      <c r="A204" s="187"/>
      <c r="B204" s="128"/>
    </row>
    <row r="205" ht="14.25" customHeight="1">
      <c r="A205" s="187"/>
      <c r="B205" s="128"/>
    </row>
    <row r="206" ht="14.25" customHeight="1">
      <c r="A206" s="187"/>
      <c r="B206" s="128"/>
    </row>
    <row r="207" ht="14.25" customHeight="1">
      <c r="A207" s="187"/>
      <c r="B207" s="128"/>
    </row>
    <row r="208" ht="14.25" customHeight="1">
      <c r="A208" s="187"/>
      <c r="B208" s="128"/>
    </row>
    <row r="209" ht="14.25" customHeight="1">
      <c r="A209" s="187"/>
      <c r="B209" s="128"/>
    </row>
    <row r="210" ht="14.25" customHeight="1">
      <c r="A210" s="187"/>
      <c r="B210" s="128"/>
    </row>
    <row r="211" ht="14.25" customHeight="1">
      <c r="A211" s="187"/>
      <c r="B211" s="128"/>
    </row>
    <row r="212" ht="14.25" customHeight="1">
      <c r="A212" s="187"/>
      <c r="B212" s="128"/>
    </row>
    <row r="213" ht="14.25" customHeight="1">
      <c r="A213" s="187"/>
      <c r="B213" s="128"/>
    </row>
    <row r="214" ht="14.25" customHeight="1">
      <c r="A214" s="187"/>
      <c r="B214" s="128"/>
    </row>
    <row r="215" ht="14.25" customHeight="1">
      <c r="A215" s="187"/>
      <c r="B215" s="128"/>
    </row>
    <row r="216" ht="14.25" customHeight="1">
      <c r="A216" s="187"/>
      <c r="B216" s="128"/>
    </row>
    <row r="217" ht="14.25" customHeight="1">
      <c r="A217" s="187"/>
      <c r="B217" s="128"/>
    </row>
    <row r="218" ht="14.25" customHeight="1">
      <c r="A218" s="187"/>
      <c r="B218" s="128"/>
    </row>
    <row r="219" ht="14.25" customHeight="1">
      <c r="A219" s="187"/>
      <c r="B219" s="128"/>
    </row>
    <row r="220" ht="14.25" customHeight="1">
      <c r="A220" s="187"/>
      <c r="B220" s="128"/>
    </row>
    <row r="221" ht="14.25" customHeight="1">
      <c r="A221" s="187"/>
      <c r="B221" s="128"/>
    </row>
    <row r="222" ht="14.25" customHeight="1">
      <c r="A222" s="187"/>
      <c r="B222" s="128"/>
    </row>
    <row r="223" ht="14.25" customHeight="1">
      <c r="A223" s="187"/>
      <c r="B223" s="128"/>
    </row>
    <row r="224" ht="14.25" customHeight="1">
      <c r="A224" s="187"/>
      <c r="B224" s="128"/>
    </row>
    <row r="225" ht="14.25" customHeight="1">
      <c r="A225" s="187"/>
      <c r="B225" s="128"/>
    </row>
    <row r="226" ht="14.25" customHeight="1">
      <c r="A226" s="187"/>
      <c r="B226" s="128"/>
    </row>
    <row r="227" ht="14.25" customHeight="1">
      <c r="A227" s="187"/>
      <c r="B227" s="128"/>
    </row>
    <row r="228" ht="14.25" customHeight="1">
      <c r="A228" s="187"/>
      <c r="B228" s="128"/>
    </row>
    <row r="229" ht="14.25" customHeight="1">
      <c r="A229" s="187"/>
      <c r="B229" s="128"/>
    </row>
    <row r="230" ht="14.25" customHeight="1">
      <c r="A230" s="187"/>
      <c r="B230" s="128"/>
    </row>
    <row r="231" ht="14.25" customHeight="1">
      <c r="A231" s="187"/>
      <c r="B231" s="128"/>
    </row>
    <row r="232" ht="14.25" customHeight="1">
      <c r="A232" s="187"/>
      <c r="B232" s="128"/>
    </row>
    <row r="233" ht="14.25" customHeight="1">
      <c r="A233" s="187"/>
      <c r="B233" s="128"/>
    </row>
    <row r="234" ht="14.25" customHeight="1">
      <c r="A234" s="187"/>
      <c r="B234" s="128"/>
    </row>
    <row r="235" ht="14.25" customHeight="1">
      <c r="A235" s="187"/>
      <c r="B235" s="128"/>
    </row>
    <row r="236" ht="14.25" customHeight="1">
      <c r="A236" s="187"/>
      <c r="B236" s="128"/>
    </row>
    <row r="237" ht="14.25" customHeight="1">
      <c r="A237" s="187"/>
      <c r="B237" s="128"/>
    </row>
    <row r="238" ht="14.25" customHeight="1">
      <c r="A238" s="187"/>
      <c r="B238" s="128"/>
    </row>
    <row r="239" ht="14.25" customHeight="1">
      <c r="A239" s="187"/>
      <c r="B239" s="128"/>
    </row>
    <row r="240" ht="14.25" customHeight="1">
      <c r="A240" s="187"/>
      <c r="B240" s="128"/>
    </row>
    <row r="241" ht="14.25" customHeight="1">
      <c r="A241" s="187"/>
      <c r="B241" s="128"/>
    </row>
    <row r="242" ht="14.25" customHeight="1">
      <c r="A242" s="187"/>
      <c r="B242" s="128"/>
    </row>
    <row r="243" ht="14.25" customHeight="1">
      <c r="A243" s="187"/>
      <c r="B243" s="128"/>
    </row>
    <row r="244" ht="14.25" customHeight="1">
      <c r="A244" s="187"/>
      <c r="B244" s="128"/>
    </row>
    <row r="245" ht="14.25" customHeight="1">
      <c r="A245" s="187"/>
      <c r="B245" s="128"/>
    </row>
    <row r="246" ht="14.25" customHeight="1">
      <c r="A246" s="187"/>
      <c r="B246" s="128"/>
    </row>
    <row r="247" ht="14.25" customHeight="1">
      <c r="A247" s="187"/>
      <c r="B247" s="128"/>
    </row>
    <row r="248" ht="14.25" customHeight="1">
      <c r="A248" s="187"/>
      <c r="B248" s="128"/>
    </row>
    <row r="249" ht="14.25" customHeight="1">
      <c r="A249" s="187"/>
      <c r="B249" s="128"/>
    </row>
    <row r="250" ht="14.25" customHeight="1">
      <c r="A250" s="187"/>
      <c r="B250" s="128"/>
    </row>
    <row r="251" ht="14.25" customHeight="1">
      <c r="A251" s="187"/>
      <c r="B251" s="128"/>
    </row>
    <row r="252" ht="14.25" customHeight="1">
      <c r="A252" s="187"/>
      <c r="B252" s="128"/>
    </row>
    <row r="253" ht="14.25" customHeight="1">
      <c r="A253" s="187"/>
      <c r="B253" s="128"/>
    </row>
    <row r="254" ht="14.25" customHeight="1">
      <c r="A254" s="187"/>
      <c r="B254" s="128"/>
    </row>
    <row r="255" ht="14.25" customHeight="1">
      <c r="A255" s="187"/>
      <c r="B255" s="128"/>
    </row>
    <row r="256" ht="14.25" customHeight="1">
      <c r="A256" s="187"/>
      <c r="B256" s="128"/>
    </row>
    <row r="257" ht="14.25" customHeight="1">
      <c r="A257" s="187"/>
      <c r="B257" s="128"/>
    </row>
    <row r="258" ht="14.25" customHeight="1">
      <c r="A258" s="187"/>
      <c r="B258" s="128"/>
    </row>
    <row r="259" ht="14.25" customHeight="1">
      <c r="A259" s="187"/>
      <c r="B259" s="128"/>
    </row>
    <row r="260" ht="14.25" customHeight="1">
      <c r="A260" s="187"/>
      <c r="B260" s="128"/>
    </row>
    <row r="261" ht="14.25" customHeight="1">
      <c r="A261" s="187"/>
      <c r="B261" s="128"/>
    </row>
    <row r="262" ht="14.25" customHeight="1">
      <c r="A262" s="187"/>
      <c r="B262" s="128"/>
    </row>
    <row r="263" ht="14.25" customHeight="1">
      <c r="A263" s="187"/>
      <c r="B263" s="128"/>
    </row>
    <row r="264" ht="14.25" customHeight="1">
      <c r="A264" s="187"/>
      <c r="B264" s="128"/>
    </row>
    <row r="265" ht="14.25" customHeight="1">
      <c r="A265" s="187"/>
      <c r="B265" s="128"/>
    </row>
    <row r="266" ht="14.25" customHeight="1">
      <c r="A266" s="187"/>
      <c r="B266" s="128"/>
    </row>
    <row r="267" ht="14.25" customHeight="1">
      <c r="A267" s="187"/>
      <c r="B267" s="128"/>
    </row>
    <row r="268" ht="14.25" customHeight="1">
      <c r="A268" s="187"/>
      <c r="B268" s="128"/>
    </row>
    <row r="269" ht="14.25" customHeight="1">
      <c r="A269" s="187"/>
      <c r="B269" s="128"/>
    </row>
    <row r="270" ht="14.25" customHeight="1">
      <c r="A270" s="187"/>
      <c r="B270" s="128"/>
    </row>
    <row r="271" ht="14.25" customHeight="1">
      <c r="A271" s="187"/>
      <c r="B271" s="128"/>
    </row>
    <row r="272" ht="14.25" customHeight="1">
      <c r="A272" s="187"/>
      <c r="B272" s="128"/>
    </row>
    <row r="273" ht="14.25" customHeight="1">
      <c r="A273" s="187"/>
      <c r="B273" s="128"/>
    </row>
    <row r="274" ht="14.25" customHeight="1">
      <c r="A274" s="187"/>
      <c r="B274" s="128"/>
    </row>
    <row r="275" ht="14.25" customHeight="1">
      <c r="A275" s="187"/>
      <c r="B275" s="128"/>
    </row>
    <row r="276" ht="14.25" customHeight="1">
      <c r="A276" s="187"/>
      <c r="B276" s="128"/>
    </row>
    <row r="277" ht="14.25" customHeight="1">
      <c r="A277" s="187"/>
      <c r="B277" s="128"/>
    </row>
    <row r="278" ht="14.25" customHeight="1">
      <c r="A278" s="187"/>
      <c r="B278" s="128"/>
    </row>
    <row r="279" ht="14.25" customHeight="1">
      <c r="A279" s="187"/>
      <c r="B279" s="128"/>
    </row>
    <row r="280" ht="14.25" customHeight="1">
      <c r="A280" s="187"/>
      <c r="B280" s="128"/>
    </row>
    <row r="281" ht="14.25" customHeight="1">
      <c r="A281" s="187"/>
      <c r="B281" s="128"/>
    </row>
    <row r="282" ht="14.25" customHeight="1">
      <c r="A282" s="187"/>
      <c r="B282" s="128"/>
    </row>
    <row r="283" ht="14.25" customHeight="1">
      <c r="A283" s="187"/>
      <c r="B283" s="128"/>
    </row>
    <row r="284" ht="14.25" customHeight="1">
      <c r="A284" s="187"/>
      <c r="B284" s="128"/>
    </row>
    <row r="285" ht="14.25" customHeight="1">
      <c r="A285" s="187"/>
      <c r="B285" s="128"/>
    </row>
    <row r="286" ht="14.25" customHeight="1">
      <c r="A286" s="187"/>
      <c r="B286" s="128"/>
    </row>
    <row r="287" ht="14.25" customHeight="1">
      <c r="A287" s="187"/>
      <c r="B287" s="128"/>
    </row>
    <row r="288" ht="14.25" customHeight="1">
      <c r="A288" s="187"/>
      <c r="B288" s="128"/>
    </row>
    <row r="289" ht="14.25" customHeight="1">
      <c r="A289" s="187"/>
      <c r="B289" s="128"/>
    </row>
    <row r="290" ht="14.25" customHeight="1">
      <c r="A290" s="187"/>
      <c r="B290" s="128"/>
    </row>
    <row r="291" ht="14.25" customHeight="1">
      <c r="A291" s="187"/>
      <c r="B291" s="128"/>
    </row>
    <row r="292" ht="14.25" customHeight="1">
      <c r="A292" s="187"/>
      <c r="B292" s="128"/>
    </row>
    <row r="293" ht="14.25" customHeight="1">
      <c r="A293" s="187"/>
      <c r="B293" s="128"/>
    </row>
    <row r="294" ht="14.25" customHeight="1">
      <c r="A294" s="187"/>
      <c r="B294" s="128"/>
    </row>
    <row r="295" ht="14.25" customHeight="1">
      <c r="A295" s="187"/>
      <c r="B295" s="128"/>
    </row>
    <row r="296" ht="14.25" customHeight="1">
      <c r="A296" s="187"/>
      <c r="B296" s="128"/>
    </row>
    <row r="297" ht="14.25" customHeight="1">
      <c r="A297" s="187"/>
      <c r="B297" s="128"/>
    </row>
    <row r="298" ht="14.25" customHeight="1">
      <c r="A298" s="187"/>
      <c r="B298" s="128"/>
    </row>
    <row r="299" ht="14.25" customHeight="1">
      <c r="A299" s="187"/>
      <c r="B299" s="128"/>
    </row>
    <row r="300" ht="14.25" customHeight="1">
      <c r="A300" s="187"/>
      <c r="B300" s="128"/>
    </row>
    <row r="301" ht="14.25" customHeight="1">
      <c r="A301" s="187"/>
      <c r="B301" s="128"/>
    </row>
    <row r="302" ht="14.25" customHeight="1">
      <c r="A302" s="187"/>
      <c r="B302" s="128"/>
    </row>
    <row r="303" ht="14.25" customHeight="1">
      <c r="A303" s="187"/>
      <c r="B303" s="128"/>
    </row>
    <row r="304" ht="14.25" customHeight="1">
      <c r="A304" s="187"/>
      <c r="B304" s="128"/>
    </row>
    <row r="305" ht="14.25" customHeight="1">
      <c r="A305" s="187"/>
      <c r="B305" s="128"/>
    </row>
    <row r="306" ht="14.25" customHeight="1">
      <c r="A306" s="187"/>
      <c r="B306" s="128"/>
    </row>
    <row r="307" ht="14.25" customHeight="1">
      <c r="A307" s="187"/>
      <c r="B307" s="128"/>
    </row>
    <row r="308" ht="14.25" customHeight="1">
      <c r="A308" s="187"/>
      <c r="B308" s="128"/>
    </row>
    <row r="309" ht="14.25" customHeight="1">
      <c r="A309" s="187"/>
      <c r="B309" s="128"/>
    </row>
    <row r="310" ht="14.25" customHeight="1">
      <c r="A310" s="187"/>
      <c r="B310" s="128"/>
    </row>
    <row r="311" ht="14.25" customHeight="1">
      <c r="A311" s="187"/>
      <c r="B311" s="128"/>
    </row>
    <row r="312" ht="14.25" customHeight="1">
      <c r="A312" s="187"/>
      <c r="B312" s="128"/>
    </row>
    <row r="313" ht="14.25" customHeight="1">
      <c r="A313" s="187"/>
      <c r="B313" s="128"/>
    </row>
    <row r="314" ht="14.25" customHeight="1">
      <c r="A314" s="187"/>
      <c r="B314" s="128"/>
    </row>
    <row r="315" ht="14.25" customHeight="1">
      <c r="A315" s="187"/>
      <c r="B315" s="128"/>
    </row>
    <row r="316" ht="14.25" customHeight="1">
      <c r="A316" s="187"/>
      <c r="B316" s="128"/>
    </row>
    <row r="317" ht="14.25" customHeight="1">
      <c r="A317" s="187"/>
      <c r="B317" s="128"/>
    </row>
    <row r="318" ht="14.25" customHeight="1">
      <c r="A318" s="187"/>
      <c r="B318" s="128"/>
    </row>
    <row r="319" ht="14.25" customHeight="1">
      <c r="A319" s="187"/>
      <c r="B319" s="128"/>
    </row>
    <row r="320" ht="14.25" customHeight="1">
      <c r="A320" s="187"/>
      <c r="B320" s="128"/>
    </row>
    <row r="321" ht="14.25" customHeight="1">
      <c r="A321" s="187"/>
      <c r="B321" s="128"/>
    </row>
    <row r="322" ht="14.25" customHeight="1">
      <c r="A322" s="187"/>
      <c r="B322" s="128"/>
    </row>
    <row r="323" ht="14.25" customHeight="1">
      <c r="A323" s="187"/>
      <c r="B323" s="128"/>
    </row>
    <row r="324" ht="14.25" customHeight="1">
      <c r="A324" s="187"/>
      <c r="B324" s="128"/>
    </row>
    <row r="325" ht="14.25" customHeight="1">
      <c r="A325" s="187"/>
      <c r="B325" s="128"/>
    </row>
    <row r="326" ht="14.25" customHeight="1">
      <c r="A326" s="187"/>
      <c r="B326" s="128"/>
    </row>
    <row r="327" ht="14.25" customHeight="1">
      <c r="A327" s="187"/>
      <c r="B327" s="128"/>
    </row>
    <row r="328" ht="14.25" customHeight="1">
      <c r="A328" s="187"/>
      <c r="B328" s="128"/>
    </row>
    <row r="329" ht="14.25" customHeight="1">
      <c r="A329" s="187"/>
      <c r="B329" s="128"/>
    </row>
    <row r="330" ht="14.25" customHeight="1">
      <c r="A330" s="187"/>
      <c r="B330" s="128"/>
    </row>
    <row r="331" ht="14.25" customHeight="1">
      <c r="A331" s="187"/>
      <c r="B331" s="128"/>
    </row>
    <row r="332" ht="14.25" customHeight="1">
      <c r="A332" s="187"/>
      <c r="B332" s="128"/>
    </row>
    <row r="333" ht="14.25" customHeight="1">
      <c r="A333" s="187"/>
      <c r="B333" s="128"/>
    </row>
    <row r="334" ht="14.25" customHeight="1">
      <c r="A334" s="187"/>
      <c r="B334" s="128"/>
    </row>
    <row r="335" ht="14.25" customHeight="1">
      <c r="A335" s="187"/>
      <c r="B335" s="128"/>
    </row>
    <row r="336" ht="14.25" customHeight="1">
      <c r="A336" s="187"/>
      <c r="B336" s="128"/>
    </row>
    <row r="337" ht="14.25" customHeight="1">
      <c r="A337" s="187"/>
      <c r="B337" s="128"/>
    </row>
    <row r="338" ht="14.25" customHeight="1">
      <c r="A338" s="187"/>
      <c r="B338" s="128"/>
    </row>
    <row r="339" ht="14.25" customHeight="1">
      <c r="A339" s="187"/>
      <c r="B339" s="128"/>
    </row>
    <row r="340" ht="14.25" customHeight="1">
      <c r="A340" s="187"/>
      <c r="B340" s="128"/>
    </row>
    <row r="341" ht="14.25" customHeight="1">
      <c r="A341" s="187"/>
      <c r="B341" s="128"/>
    </row>
    <row r="342" ht="14.25" customHeight="1">
      <c r="A342" s="187"/>
      <c r="B342" s="128"/>
    </row>
    <row r="343" ht="14.25" customHeight="1">
      <c r="A343" s="187"/>
      <c r="B343" s="128"/>
    </row>
    <row r="344" ht="14.25" customHeight="1">
      <c r="A344" s="187"/>
      <c r="B344" s="128"/>
    </row>
    <row r="345" ht="14.25" customHeight="1">
      <c r="A345" s="187"/>
      <c r="B345" s="128"/>
    </row>
    <row r="346" ht="14.25" customHeight="1">
      <c r="A346" s="187"/>
      <c r="B346" s="128"/>
    </row>
    <row r="347" ht="14.25" customHeight="1">
      <c r="A347" s="187"/>
      <c r="B347" s="128"/>
    </row>
    <row r="348" ht="14.25" customHeight="1">
      <c r="A348" s="187"/>
      <c r="B348" s="128"/>
    </row>
    <row r="349" ht="14.25" customHeight="1">
      <c r="A349" s="187"/>
      <c r="B349" s="128"/>
    </row>
    <row r="350" ht="14.25" customHeight="1">
      <c r="A350" s="187"/>
      <c r="B350" s="128"/>
    </row>
    <row r="351" ht="14.25" customHeight="1">
      <c r="A351" s="187"/>
      <c r="B351" s="128"/>
    </row>
    <row r="352" ht="14.25" customHeight="1">
      <c r="A352" s="187"/>
      <c r="B352" s="128"/>
    </row>
    <row r="353" ht="14.25" customHeight="1">
      <c r="A353" s="187"/>
      <c r="B353" s="128"/>
    </row>
    <row r="354" ht="14.25" customHeight="1">
      <c r="A354" s="187"/>
      <c r="B354" s="128"/>
    </row>
    <row r="355" ht="14.25" customHeight="1">
      <c r="A355" s="187"/>
      <c r="B355" s="128"/>
    </row>
    <row r="356" ht="14.25" customHeight="1">
      <c r="A356" s="187"/>
      <c r="B356" s="128"/>
    </row>
    <row r="357" ht="14.25" customHeight="1">
      <c r="A357" s="187"/>
      <c r="B357" s="128"/>
    </row>
    <row r="358" ht="14.25" customHeight="1">
      <c r="A358" s="187"/>
      <c r="B358" s="128"/>
    </row>
    <row r="359" ht="14.25" customHeight="1">
      <c r="A359" s="187"/>
      <c r="B359" s="128"/>
    </row>
    <row r="360" ht="14.25" customHeight="1">
      <c r="A360" s="187"/>
      <c r="B360" s="128"/>
    </row>
    <row r="361" ht="14.25" customHeight="1">
      <c r="A361" s="187"/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3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41</v>
      </c>
    </row>
    <row r="2" ht="14.25" customHeight="1">
      <c r="A2" s="118" t="str">
        <f>IFERROR(__xludf.DUMMYFUNCTION(" IMPORTRANGE(""https://docs.google.com/spreadsheets/d/1Rlq8yD31TF5CGIxQdjR1YrPYA1xOyYEA8hlavccFYOI/edit#gid=1444344404"",""Surprise!A2:A161"")"),"christ86000")</f>
        <v>christ86000</v>
      </c>
      <c r="B2" s="103">
        <v>1.0</v>
      </c>
      <c r="C2" s="183">
        <f t="shared" ref="C2:C161" si="1">260*(1-(B2/($H$1+1)))*POWER((SQRT(($H$1+1)/B2)),1/2)</f>
        <v>646.1304924</v>
      </c>
      <c r="D2" s="124" t="str">
        <f>VLOOKUP(A2,'Classement Surp'!$B$2:$B$149,1,0)</f>
        <v>christ86000</v>
      </c>
      <c r="E2" s="125" t="str">
        <f t="shared" ref="E2:E161" si="2">IF(D2=A2,"","erreur")</f>
        <v/>
      </c>
      <c r="F2" s="120" t="str">
        <f>VLOOKUP(A2,'Classement Général'!$B$2:$B$146,1,0)</f>
        <v>christ86000</v>
      </c>
    </row>
    <row r="3" ht="14.25" customHeight="1">
      <c r="A3" s="118" t="str">
        <f>IFERROR(__xludf.DUMMYFUNCTION("""COMPUTED_VALUE"""),"Pachavi")</f>
        <v>Pachavi</v>
      </c>
      <c r="B3" s="103">
        <v>2.0</v>
      </c>
      <c r="C3" s="183">
        <f t="shared" si="1"/>
        <v>530.0768925</v>
      </c>
      <c r="D3" s="124" t="str">
        <f>VLOOKUP(A3,'Classement Surp'!$B$2:$B$149,1,0)</f>
        <v>Pachavi</v>
      </c>
      <c r="E3" s="125" t="str">
        <f t="shared" si="2"/>
        <v/>
      </c>
      <c r="F3" s="120" t="str">
        <f>VLOOKUP(A3,'Classement Général'!$B$2:$B$146,1,0)</f>
        <v>Pachavi</v>
      </c>
    </row>
    <row r="4" ht="14.25" customHeight="1">
      <c r="A4" s="118" t="str">
        <f>IFERROR(__xludf.DUMMYFUNCTION("""COMPUTED_VALUE"""),"Kevfurious")</f>
        <v>Kevfurious</v>
      </c>
      <c r="B4" s="103">
        <v>3.0</v>
      </c>
      <c r="C4" s="183">
        <f t="shared" si="1"/>
        <v>467.0040786</v>
      </c>
      <c r="D4" s="124" t="str">
        <f>VLOOKUP(A4,'Classement Surp'!$B$2:$B$149,1,0)</f>
        <v>Kevfurious</v>
      </c>
      <c r="E4" s="125" t="str">
        <f t="shared" si="2"/>
        <v/>
      </c>
      <c r="F4" s="120" t="str">
        <f>VLOOKUP(A4,'Classement Général'!$B$2:$B$146,1,0)</f>
        <v>Kevfurious</v>
      </c>
    </row>
    <row r="5" ht="14.25" customHeight="1">
      <c r="A5" s="118" t="str">
        <f>IFERROR(__xludf.DUMMYFUNCTION("""COMPUTED_VALUE"""),".choco")</f>
        <v>.choco</v>
      </c>
      <c r="B5" s="103">
        <v>4.0</v>
      </c>
      <c r="C5" s="183">
        <f t="shared" si="1"/>
        <v>423.4527708</v>
      </c>
      <c r="D5" s="124" t="str">
        <f>VLOOKUP(A5,'Classement Surp'!$B$2:$B$149,1,0)</f>
        <v>.choco</v>
      </c>
      <c r="E5" s="125" t="str">
        <f t="shared" si="2"/>
        <v/>
      </c>
      <c r="F5" s="120" t="str">
        <f>VLOOKUP(A5,'Classement Général'!$B$2:$B$146,1,0)</f>
        <v>.choco</v>
      </c>
    </row>
    <row r="6" ht="14.25" customHeight="1">
      <c r="A6" s="118" t="str">
        <f>IFERROR(__xludf.DUMMYFUNCTION("""COMPUTED_VALUE"""),"Or&amp;l1")</f>
        <v>Or&amp;l1</v>
      </c>
      <c r="B6" s="103">
        <v>5.0</v>
      </c>
      <c r="C6" s="183">
        <f t="shared" si="1"/>
        <v>389.9380389</v>
      </c>
      <c r="D6" s="124" t="str">
        <f>VLOOKUP(A6,'Classement Surp'!$B$2:$B$149,1,0)</f>
        <v>Or&amp;l1</v>
      </c>
      <c r="E6" s="125" t="str">
        <f t="shared" si="2"/>
        <v/>
      </c>
      <c r="F6" s="120" t="str">
        <f>VLOOKUP(A6,'Classement Général'!$B$2:$B$146,1,0)</f>
        <v>Or&amp;l1</v>
      </c>
    </row>
    <row r="7" ht="14.25" customHeight="1">
      <c r="A7" s="118" t="str">
        <f>IFERROR(__xludf.DUMMYFUNCTION("""COMPUTED_VALUE"""),"Le_Pictavien")</f>
        <v>Le_Pictavien</v>
      </c>
      <c r="B7" s="103">
        <v>6.0</v>
      </c>
      <c r="C7" s="183">
        <f t="shared" si="1"/>
        <v>362.4942052</v>
      </c>
      <c r="D7" s="124" t="str">
        <f>VLOOKUP(A7,'Classement Surp'!$B$2:$B$149,1,0)</f>
        <v>Le_Pictavien</v>
      </c>
      <c r="E7" s="125" t="str">
        <f t="shared" si="2"/>
        <v/>
      </c>
      <c r="F7" s="120" t="str">
        <f>VLOOKUP(A7,'Classement Général'!$B$2:$B$146,1,0)</f>
        <v>Le_Pictavien</v>
      </c>
    </row>
    <row r="8" ht="14.25" customHeight="1">
      <c r="A8" s="118" t="str">
        <f>IFERROR(__xludf.DUMMYFUNCTION("""COMPUTED_VALUE"""),"NezuKO-demon")</f>
        <v>NezuKO-demon</v>
      </c>
      <c r="B8" s="103">
        <v>7.0</v>
      </c>
      <c r="C8" s="183">
        <f t="shared" si="1"/>
        <v>339.101659</v>
      </c>
      <c r="D8" s="124" t="str">
        <f>VLOOKUP(A8,'Classement Surp'!$B$2:$B$149,1,0)</f>
        <v>NezuKO-demon</v>
      </c>
      <c r="E8" s="125" t="str">
        <f t="shared" si="2"/>
        <v/>
      </c>
      <c r="F8" s="120" t="str">
        <f>VLOOKUP(A8,'Classement Général'!$B$2:$B$146,1,0)</f>
        <v>NezuKO-demon</v>
      </c>
    </row>
    <row r="9" ht="14.25" customHeight="1">
      <c r="A9" s="118" t="str">
        <f>IFERROR(__xludf.DUMMYFUNCTION("""COMPUTED_VALUE"""),"Jennyyy8")</f>
        <v>Jennyyy8</v>
      </c>
      <c r="B9" s="103">
        <v>8.0</v>
      </c>
      <c r="C9" s="183">
        <f t="shared" si="1"/>
        <v>318.5978205</v>
      </c>
      <c r="D9" s="124" t="str">
        <f>VLOOKUP(A9,'Classement Surp'!$B$2:$B$149,1,0)</f>
        <v>Jennyyy8</v>
      </c>
      <c r="E9" s="125" t="str">
        <f t="shared" si="2"/>
        <v/>
      </c>
      <c r="F9" s="120" t="str">
        <f>VLOOKUP(A9,'Classement Général'!$B$2:$B$146,1,0)</f>
        <v>Jennyyy8</v>
      </c>
    </row>
    <row r="10" ht="14.25" customHeight="1">
      <c r="A10" s="118" t="str">
        <f>IFERROR(__xludf.DUMMYFUNCTION("""COMPUTED_VALUE"""),"PSGJM")</f>
        <v>PSGJM</v>
      </c>
      <c r="B10" s="103">
        <v>9.0</v>
      </c>
      <c r="C10" s="183">
        <f t="shared" si="1"/>
        <v>300.2546159</v>
      </c>
      <c r="D10" s="124" t="str">
        <f>VLOOKUP(A10,'Classement Surp'!$B$2:$B$149,1,0)</f>
        <v>PSGJM</v>
      </c>
      <c r="E10" s="125" t="str">
        <f t="shared" si="2"/>
        <v/>
      </c>
      <c r="F10" s="120" t="str">
        <f>VLOOKUP(A10,'Classement Général'!$B$2:$B$146,1,0)</f>
        <v>PSGJM</v>
      </c>
    </row>
    <row r="11" ht="14.25" customHeight="1">
      <c r="A11" s="118" t="str">
        <f>IFERROR(__xludf.DUMMYFUNCTION("""COMPUTED_VALUE"""),"Ju")</f>
        <v>Ju</v>
      </c>
      <c r="B11" s="103">
        <v>10.0</v>
      </c>
      <c r="C11" s="183">
        <f t="shared" si="1"/>
        <v>283.5870262</v>
      </c>
      <c r="D11" s="124" t="str">
        <f>VLOOKUP(A11,'Classement Surp'!$B$2:$B$149,1,0)</f>
        <v>#N/A</v>
      </c>
      <c r="E11" s="125" t="str">
        <f t="shared" si="2"/>
        <v>#N/A</v>
      </c>
      <c r="F11" s="120" t="str">
        <f>VLOOKUP(A11,'Classement Général'!$B$2:$B$146,1,0)</f>
        <v>Ju</v>
      </c>
    </row>
    <row r="12" ht="14.25" customHeight="1">
      <c r="A12" s="118" t="str">
        <f>IFERROR(__xludf.DUMMYFUNCTION("""COMPUTED_VALUE"""),"Gabus (!)")</f>
        <v>Gabus (!)</v>
      </c>
      <c r="B12" s="103">
        <v>11.0</v>
      </c>
      <c r="C12" s="183">
        <f t="shared" si="1"/>
        <v>268.256283</v>
      </c>
      <c r="D12" s="124" t="str">
        <f>VLOOKUP(A12,'Classement Surp'!$B$2:$B$149,1,0)</f>
        <v>#N/A</v>
      </c>
      <c r="E12" s="125" t="str">
        <f t="shared" si="2"/>
        <v>#N/A</v>
      </c>
      <c r="F12" s="120" t="str">
        <f>VLOOKUP(A12,'Classement Général'!$B$2:$B$146,1,0)</f>
        <v>#N/A</v>
      </c>
    </row>
    <row r="13" ht="14.25" customHeight="1">
      <c r="A13" s="118" t="str">
        <f>IFERROR(__xludf.DUMMYFUNCTION("""COMPUTED_VALUE"""),"Vaillant 86")</f>
        <v>Vaillant 86</v>
      </c>
      <c r="B13" s="103">
        <v>12.0</v>
      </c>
      <c r="C13" s="183">
        <f t="shared" si="1"/>
        <v>254.0167314</v>
      </c>
      <c r="D13" s="124" t="str">
        <f>VLOOKUP(A13,'Classement Surp'!$B$2:$B$149,1,0)</f>
        <v>Vaillant 86</v>
      </c>
      <c r="E13" s="125" t="str">
        <f t="shared" si="2"/>
        <v/>
      </c>
      <c r="F13" s="120" t="str">
        <f>VLOOKUP(A13,'Classement Général'!$B$2:$B$146,1,0)</f>
        <v>Vaillant 86</v>
      </c>
    </row>
    <row r="14" ht="14.25" customHeight="1">
      <c r="A14" s="118" t="str">
        <f>IFERROR(__xludf.DUMMYFUNCTION("""COMPUTED_VALUE"""),"ElDaÃl")</f>
        <v>ElDaÃ_x008f_l</v>
      </c>
      <c r="B14" s="103">
        <v>13.0</v>
      </c>
      <c r="C14" s="183">
        <f t="shared" si="1"/>
        <v>240.6847312</v>
      </c>
      <c r="D14" s="124" t="str">
        <f>VLOOKUP(A14,'Classement Surp'!$B$2:$B$149,1,0)</f>
        <v>#N/A</v>
      </c>
      <c r="E14" s="125" t="str">
        <f t="shared" si="2"/>
        <v>#N/A</v>
      </c>
      <c r="F14" s="120" t="str">
        <f>VLOOKUP(A14,'Classement Général'!$B$2:$B$146,1,0)</f>
        <v>#N/A</v>
      </c>
    </row>
    <row r="15" ht="14.25" customHeight="1">
      <c r="A15" s="118" t="str">
        <f>IFERROR(__xludf.DUMMYFUNCTION("""COMPUTED_VALUE"""),"Redblood92")</f>
        <v>Redblood92</v>
      </c>
      <c r="B15" s="103">
        <v>14.0</v>
      </c>
      <c r="C15" s="183">
        <f t="shared" si="1"/>
        <v>228.1194956</v>
      </c>
      <c r="D15" s="124" t="str">
        <f>VLOOKUP(A15,'Classement Surp'!$B$2:$B$149,1,0)</f>
        <v>Redblood92</v>
      </c>
      <c r="E15" s="125" t="str">
        <f t="shared" si="2"/>
        <v/>
      </c>
      <c r="F15" s="120" t="str">
        <f>VLOOKUP(A15,'Classement Général'!$B$2:$B$146,1,0)</f>
        <v>Redblood92</v>
      </c>
    </row>
    <row r="16" ht="14.25" customHeight="1">
      <c r="A16" s="118" t="str">
        <f>IFERROR(__xludf.DUMMYFUNCTION("""COMPUTED_VALUE"""),"Elfy")</f>
        <v>Elfy</v>
      </c>
      <c r="B16" s="103">
        <v>15.0</v>
      </c>
      <c r="C16" s="183">
        <f t="shared" si="1"/>
        <v>216.210773</v>
      </c>
      <c r="D16" s="124" t="str">
        <f>VLOOKUP(A16,'Classement Surp'!$B$2:$B$149,1,0)</f>
        <v>Elfy</v>
      </c>
      <c r="E16" s="125" t="str">
        <f t="shared" si="2"/>
        <v/>
      </c>
      <c r="F16" s="120" t="str">
        <f>VLOOKUP(A16,'Classement Général'!$B$2:$B$146,1,0)</f>
        <v>Elfy</v>
      </c>
    </row>
    <row r="17" ht="14.25" customHeight="1">
      <c r="A17" s="118" t="str">
        <f>IFERROR(__xludf.DUMMYFUNCTION("""COMPUTED_VALUE"""),"FridAKahlo")</f>
        <v>FridAKahlo</v>
      </c>
      <c r="B17" s="103">
        <v>16.0</v>
      </c>
      <c r="C17" s="183">
        <f t="shared" si="1"/>
        <v>204.8706439</v>
      </c>
      <c r="D17" s="124" t="str">
        <f>VLOOKUP(A17,'Classement Surp'!$B$2:$B$149,1,0)</f>
        <v>FridAKahlo</v>
      </c>
      <c r="E17" s="125" t="str">
        <f t="shared" si="2"/>
        <v/>
      </c>
      <c r="F17" s="120" t="str">
        <f>VLOOKUP(A17,'Classement Général'!$B$2:$B$146,1,0)</f>
        <v>FridAKahlo</v>
      </c>
    </row>
    <row r="18" ht="14.25" customHeight="1">
      <c r="A18" s="118" t="str">
        <f>IFERROR(__xludf.DUMMYFUNCTION("""COMPUTED_VALUE"""),"Patgaret")</f>
        <v>Patgaret</v>
      </c>
      <c r="B18" s="103">
        <v>17.0</v>
      </c>
      <c r="C18" s="183">
        <f t="shared" si="1"/>
        <v>194.0278889</v>
      </c>
      <c r="D18" s="124" t="str">
        <f>VLOOKUP(A18,'Classement Surp'!$B$2:$B$149,1,0)</f>
        <v>Patgaret</v>
      </c>
      <c r="E18" s="125" t="str">
        <f t="shared" si="2"/>
        <v/>
      </c>
      <c r="F18" s="120" t="str">
        <f>VLOOKUP(A18,'Classement Général'!$B$2:$B$146,1,0)</f>
        <v>Patgaret</v>
      </c>
    </row>
    <row r="19" ht="14.25" customHeight="1">
      <c r="A19" s="118" t="str">
        <f>IFERROR(__xludf.DUMMYFUNCTION("""COMPUTED_VALUE"""),"Bratake")</f>
        <v>Bratake</v>
      </c>
      <c r="B19" s="103">
        <v>18.0</v>
      </c>
      <c r="C19" s="183">
        <f t="shared" si="1"/>
        <v>183.624022</v>
      </c>
      <c r="D19" s="124" t="str">
        <f>VLOOKUP(A19,'Classement Surp'!$B$2:$B$149,1,0)</f>
        <v>Bratake</v>
      </c>
      <c r="E19" s="125" t="str">
        <f t="shared" si="2"/>
        <v/>
      </c>
      <c r="F19" s="120" t="str">
        <f>VLOOKUP(A19,'Classement Général'!$B$2:$B$146,1,0)</f>
        <v>Bratake</v>
      </c>
    </row>
    <row r="20" ht="14.25" customHeight="1">
      <c r="A20" s="118" t="str">
        <f>IFERROR(__xludf.DUMMYFUNCTION("""COMPUTED_VALUE"""),"--WondeR--")</f>
        <v>--WondeR--</v>
      </c>
      <c r="B20" s="103">
        <v>19.0</v>
      </c>
      <c r="C20" s="183">
        <f t="shared" si="1"/>
        <v>173.6104313</v>
      </c>
      <c r="D20" s="124" t="str">
        <f>VLOOKUP(A20,'Classement Surp'!$B$2:$B$149,1,0)</f>
        <v>--WondeR--</v>
      </c>
      <c r="E20" s="125" t="str">
        <f t="shared" si="2"/>
        <v/>
      </c>
      <c r="F20" s="120" t="str">
        <f>VLOOKUP(A20,'Classement Général'!$B$2:$B$146,1,0)</f>
        <v>--WondeR--</v>
      </c>
    </row>
    <row r="21" ht="14.25" customHeight="1">
      <c r="A21" s="118" t="str">
        <f>IFERROR(__xludf.DUMMYFUNCTION("""COMPUTED_VALUE"""),"_Sale-Bet_")</f>
        <v>_Sale-Bet_</v>
      </c>
      <c r="B21" s="103">
        <v>20.0</v>
      </c>
      <c r="C21" s="183">
        <f t="shared" si="1"/>
        <v>163.9462782</v>
      </c>
      <c r="D21" s="124" t="str">
        <f>VLOOKUP(A21,'Classement Surp'!$B$2:$B$149,1,0)</f>
        <v>_Sale-Bet_</v>
      </c>
      <c r="E21" s="125" t="str">
        <f t="shared" si="2"/>
        <v/>
      </c>
      <c r="F21" s="120" t="str">
        <f>VLOOKUP(A21,'Classement Général'!$B$2:$B$146,1,0)</f>
        <v>_Sale-Bet_</v>
      </c>
    </row>
    <row r="22" ht="14.25" customHeight="1">
      <c r="A22" s="118" t="str">
        <f>IFERROR(__xludf.DUMMYFUNCTION("""COMPUTED_VALUE"""),"pablo")</f>
        <v>pablo</v>
      </c>
      <c r="B22" s="103">
        <v>21.0</v>
      </c>
      <c r="C22" s="183">
        <f t="shared" si="1"/>
        <v>154.596925</v>
      </c>
      <c r="D22" s="124" t="str">
        <f>VLOOKUP(A22,'Classement Surp'!$B$2:$B$149,1,0)</f>
        <v>pablo</v>
      </c>
      <c r="E22" s="125" t="str">
        <f t="shared" si="2"/>
        <v/>
      </c>
      <c r="F22" s="120" t="str">
        <f>VLOOKUP(A22,'Classement Général'!$B$2:$B$146,1,0)</f>
        <v>pablo</v>
      </c>
    </row>
    <row r="23" ht="14.25" customHeight="1">
      <c r="A23" s="118" t="str">
        <f>IFERROR(__xludf.DUMMYFUNCTION("""COMPUTED_VALUE"""),"jejehehe")</f>
        <v>jejehehe</v>
      </c>
      <c r="B23" s="103">
        <v>22.0</v>
      </c>
      <c r="C23" s="183">
        <f t="shared" si="1"/>
        <v>145.5327399</v>
      </c>
      <c r="D23" s="124" t="str">
        <f>VLOOKUP(A23,'Classement Surp'!$B$2:$B$149,1,0)</f>
        <v>jejehehe</v>
      </c>
      <c r="E23" s="125" t="str">
        <f t="shared" si="2"/>
        <v/>
      </c>
      <c r="F23" s="120" t="str">
        <f>VLOOKUP(A23,'Classement Général'!$B$2:$B$146,1,0)</f>
        <v>jejehehe</v>
      </c>
    </row>
    <row r="24" ht="14.25" customHeight="1">
      <c r="A24" s="118" t="str">
        <f>IFERROR(__xludf.DUMMYFUNCTION("""COMPUTED_VALUE"""),"Phil1308")</f>
        <v>Phil1308</v>
      </c>
      <c r="B24" s="103">
        <v>23.0</v>
      </c>
      <c r="C24" s="183">
        <f t="shared" si="1"/>
        <v>136.7281766</v>
      </c>
      <c r="D24" s="124" t="str">
        <f>VLOOKUP(A24,'Classement Surp'!$B$2:$B$149,1,0)</f>
        <v>Phil1308</v>
      </c>
      <c r="E24" s="125" t="str">
        <f t="shared" si="2"/>
        <v/>
      </c>
      <c r="F24" s="120" t="str">
        <f>VLOOKUP(A24,'Classement Général'!$B$2:$B$146,1,0)</f>
        <v>Phil1308</v>
      </c>
    </row>
    <row r="25" ht="14.25" customHeight="1">
      <c r="A25" s="118" t="str">
        <f>IFERROR(__xludf.DUMMYFUNCTION("""COMPUTED_VALUE"""),"waddle")</f>
        <v>waddle</v>
      </c>
      <c r="B25" s="103">
        <v>24.0</v>
      </c>
      <c r="C25" s="183">
        <f t="shared" si="1"/>
        <v>128.1610553</v>
      </c>
      <c r="D25" s="124" t="str">
        <f>VLOOKUP(A25,'Classement Surp'!$B$2:$B$149,1,0)</f>
        <v>#N/A</v>
      </c>
      <c r="E25" s="125" t="str">
        <f t="shared" si="2"/>
        <v>#N/A</v>
      </c>
      <c r="F25" s="120" t="str">
        <f>VLOOKUP(A25,'Classement Général'!$B$2:$B$146,1,0)</f>
        <v>#N/A</v>
      </c>
    </row>
    <row r="26" ht="14.25" customHeight="1">
      <c r="A26" s="118" t="str">
        <f>IFERROR(__xludf.DUMMYFUNCTION("""COMPUTED_VALUE"""),"Legabodu86")</f>
        <v>Legabodu86</v>
      </c>
      <c r="B26" s="103">
        <v>25.0</v>
      </c>
      <c r="C26" s="183">
        <f t="shared" si="1"/>
        <v>119.8119949</v>
      </c>
      <c r="D26" s="124" t="str">
        <f>VLOOKUP(A26,'Classement Surp'!$B$2:$B$149,1,0)</f>
        <v>Legabodu86</v>
      </c>
      <c r="E26" s="125" t="str">
        <f t="shared" si="2"/>
        <v/>
      </c>
      <c r="F26" s="120" t="str">
        <f>VLOOKUP(A26,'Classement Général'!$B$2:$B$146,1,0)</f>
        <v>Legabodu86</v>
      </c>
    </row>
    <row r="27" ht="14.25" customHeight="1">
      <c r="A27" s="118" t="str">
        <f>IFERROR(__xludf.DUMMYFUNCTION("""COMPUTED_VALUE"""),"Garou du 86")</f>
        <v>Garou du 86</v>
      </c>
      <c r="B27" s="103">
        <v>26.0</v>
      </c>
      <c r="C27" s="183">
        <f t="shared" si="1"/>
        <v>111.6639601</v>
      </c>
      <c r="D27" s="124" t="str">
        <f>VLOOKUP(A27,'Classement Surp'!$B$2:$B$149,1,0)</f>
        <v>Garou du 86</v>
      </c>
      <c r="E27" s="125" t="str">
        <f t="shared" si="2"/>
        <v/>
      </c>
      <c r="F27" s="120" t="str">
        <f>VLOOKUP(A27,'Classement Général'!$B$2:$B$146,1,0)</f>
        <v>Garou du 86</v>
      </c>
    </row>
    <row r="28" ht="14.25" customHeight="1">
      <c r="A28" s="118" t="str">
        <f>IFERROR(__xludf.DUMMYFUNCTION("""COMPUTED_VALUE"""),"KKPTETYO")</f>
        <v>KKPTETYO</v>
      </c>
      <c r="B28" s="103">
        <v>27.0</v>
      </c>
      <c r="C28" s="183">
        <f t="shared" si="1"/>
        <v>103.7018963</v>
      </c>
      <c r="D28" s="124" t="str">
        <f>VLOOKUP(A28,'Classement Surp'!$B$2:$B$149,1,0)</f>
        <v>KKPTETYO</v>
      </c>
      <c r="E28" s="125" t="str">
        <f t="shared" si="2"/>
        <v/>
      </c>
      <c r="F28" s="120" t="str">
        <f>VLOOKUP(A28,'Classement Général'!$B$2:$B$146,1,0)</f>
        <v>KKPTETYO</v>
      </c>
    </row>
    <row r="29" ht="14.25" customHeight="1">
      <c r="A29" s="118" t="str">
        <f>IFERROR(__xludf.DUMMYFUNCTION("""COMPUTED_VALUE"""),"Presci")</f>
        <v>Presci</v>
      </c>
      <c r="B29" s="103">
        <v>28.0</v>
      </c>
      <c r="C29" s="183">
        <f t="shared" si="1"/>
        <v>95.91243304</v>
      </c>
      <c r="D29" s="124" t="str">
        <f>VLOOKUP(A29,'Classement Surp'!$B$2:$B$149,1,0)</f>
        <v>Presci</v>
      </c>
      <c r="E29" s="125" t="str">
        <f t="shared" si="2"/>
        <v/>
      </c>
      <c r="F29" s="120" t="str">
        <f>VLOOKUP(A29,'Classement Général'!$B$2:$B$146,1,0)</f>
        <v>Presci</v>
      </c>
    </row>
    <row r="30" ht="14.25" customHeight="1">
      <c r="A30" s="118" t="str">
        <f>IFERROR(__xludf.DUMMYFUNCTION("""COMPUTED_VALUE"""),"rastamokett")</f>
        <v>rastamokett</v>
      </c>
      <c r="B30" s="103">
        <v>29.0</v>
      </c>
      <c r="C30" s="183">
        <f t="shared" si="1"/>
        <v>88.28364038</v>
      </c>
      <c r="D30" s="124" t="str">
        <f>VLOOKUP(A30,'Classement Surp'!$B$2:$B$149,1,0)</f>
        <v>rastamokett</v>
      </c>
      <c r="E30" s="125" t="str">
        <f t="shared" si="2"/>
        <v/>
      </c>
      <c r="F30" s="120" t="str">
        <f>VLOOKUP(A30,'Classement Général'!$B$2:$B$146,1,0)</f>
        <v>rastamokett</v>
      </c>
    </row>
    <row r="31" ht="14.25" customHeight="1">
      <c r="A31" s="118" t="str">
        <f>IFERROR(__xludf.DUMMYFUNCTION("""COMPUTED_VALUE"""),". BARBAPAPA66")</f>
        <v>. BARBAPAPA66</v>
      </c>
      <c r="B31" s="103">
        <v>30.0</v>
      </c>
      <c r="C31" s="183">
        <f t="shared" si="1"/>
        <v>80.80482844</v>
      </c>
      <c r="D31" s="124" t="str">
        <f>VLOOKUP(A31,'Classement Surp'!$B$2:$B$149,1,0)</f>
        <v>. BARBAPAPA66</v>
      </c>
      <c r="E31" s="125" t="str">
        <f t="shared" si="2"/>
        <v/>
      </c>
      <c r="F31" s="120" t="str">
        <f>VLOOKUP(A31,'Classement Général'!$B$2:$B$146,1,0)</f>
        <v>. BARBAPAPA66</v>
      </c>
    </row>
    <row r="32" ht="14.25" customHeight="1">
      <c r="A32" s="118" t="str">
        <f>IFERROR(__xludf.DUMMYFUNCTION("""COMPUTED_VALUE"""),"ariba")</f>
        <v>ariba</v>
      </c>
      <c r="B32" s="103">
        <v>31.0</v>
      </c>
      <c r="C32" s="183">
        <f t="shared" si="1"/>
        <v>73.46638017</v>
      </c>
      <c r="D32" s="124" t="str">
        <f>VLOOKUP(A32,'Classement Surp'!$B$2:$B$149,1,0)</f>
        <v>ariba</v>
      </c>
      <c r="E32" s="125" t="str">
        <f t="shared" si="2"/>
        <v/>
      </c>
      <c r="F32" s="120" t="str">
        <f>VLOOKUP(A32,'Classement Général'!$B$2:$B$146,1,0)</f>
        <v>ariba</v>
      </c>
    </row>
    <row r="33" ht="14.25" customHeight="1">
      <c r="A33" s="118" t="str">
        <f>IFERROR(__xludf.DUMMYFUNCTION("""COMPUTED_VALUE"""),"_VisMaVie_")</f>
        <v>_VisMaVie_</v>
      </c>
      <c r="B33" s="103">
        <v>32.0</v>
      </c>
      <c r="C33" s="183">
        <f t="shared" si="1"/>
        <v>66.25961157</v>
      </c>
      <c r="D33" s="124" t="str">
        <f>VLOOKUP(A33,'Classement Surp'!$B$2:$B$149,1,0)</f>
        <v>_VisMaVie_</v>
      </c>
      <c r="E33" s="125" t="str">
        <f t="shared" si="2"/>
        <v/>
      </c>
      <c r="F33" s="120" t="str">
        <f>VLOOKUP(A33,'Classement Général'!$B$2:$B$146,1,0)</f>
        <v>_VisMaVie_</v>
      </c>
    </row>
    <row r="34" ht="14.25" customHeight="1">
      <c r="A34" s="118" t="str">
        <f>IFERROR(__xludf.DUMMYFUNCTION("""COMPUTED_VALUE"""),"immond")</f>
        <v>immond</v>
      </c>
      <c r="B34" s="103">
        <v>33.0</v>
      </c>
      <c r="C34" s="183">
        <f t="shared" si="1"/>
        <v>59.1766539</v>
      </c>
      <c r="D34" s="124" t="str">
        <f>VLOOKUP(A34,'Classement Surp'!$B$2:$B$149,1,0)</f>
        <v>immond</v>
      </c>
      <c r="E34" s="125" t="str">
        <f t="shared" si="2"/>
        <v/>
      </c>
      <c r="F34" s="120" t="str">
        <f>VLOOKUP(A34,'Classement Général'!$B$2:$B$146,1,0)</f>
        <v>immond</v>
      </c>
    </row>
    <row r="35" ht="14.25" customHeight="1">
      <c r="A35" s="118" t="str">
        <f>IFERROR(__xludf.DUMMYFUNCTION("""COMPUTED_VALUE"""),"chatouill86")</f>
        <v>chatouill86</v>
      </c>
      <c r="B35" s="103">
        <v>34.0</v>
      </c>
      <c r="C35" s="183">
        <f t="shared" si="1"/>
        <v>52.21035401</v>
      </c>
      <c r="D35" s="124" t="str">
        <f>VLOOKUP(A35,'Classement Surp'!$B$2:$B$149,1,0)</f>
        <v>chatouill86</v>
      </c>
      <c r="E35" s="125" t="str">
        <f t="shared" si="2"/>
        <v/>
      </c>
      <c r="F35" s="120" t="str">
        <f>VLOOKUP(A35,'Classement Général'!$B$2:$B$146,1,0)</f>
        <v>chatouill86</v>
      </c>
    </row>
    <row r="36" ht="14.25" customHeight="1">
      <c r="A36" s="118" t="str">
        <f>IFERROR(__xludf.DUMMYFUNCTION("""COMPUTED_VALUE"""),"Butterfly-as")</f>
        <v>Butterfly-as</v>
      </c>
      <c r="B36" s="103">
        <v>35.0</v>
      </c>
      <c r="C36" s="183">
        <f t="shared" si="1"/>
        <v>45.35418937</v>
      </c>
      <c r="D36" s="124" t="str">
        <f>VLOOKUP(A36,'Classement Surp'!$B$2:$B$149,1,0)</f>
        <v>Butterfly-as</v>
      </c>
      <c r="E36" s="125" t="str">
        <f t="shared" si="2"/>
        <v/>
      </c>
      <c r="F36" s="120" t="str">
        <f>VLOOKUP(A36,'Classement Général'!$B$2:$B$146,1,0)</f>
        <v>Butterfly-as</v>
      </c>
    </row>
    <row r="37" ht="14.25" customHeight="1">
      <c r="A37" s="118" t="str">
        <f>IFERROR(__xludf.DUMMYFUNCTION("""COMPUTED_VALUE"""),"Like_A_Fish")</f>
        <v>Like_A_Fish</v>
      </c>
      <c r="B37" s="103">
        <v>36.0</v>
      </c>
      <c r="C37" s="183">
        <f t="shared" si="1"/>
        <v>38.60219545</v>
      </c>
      <c r="D37" s="124" t="str">
        <f>VLOOKUP(A37,'Classement Surp'!$B$2:$B$149,1,0)</f>
        <v>Like_A_Fish</v>
      </c>
      <c r="E37" s="125" t="str">
        <f t="shared" si="2"/>
        <v/>
      </c>
      <c r="F37" s="120" t="str">
        <f>VLOOKUP(A37,'Classement Général'!$B$2:$B$146,1,0)</f>
        <v>Like_A_Fish</v>
      </c>
    </row>
    <row r="38" ht="14.25" customHeight="1">
      <c r="A38" s="118" t="str">
        <f>IFERROR(__xludf.DUMMYFUNCTION("""COMPUTED_VALUE"""),"8kinder6")</f>
        <v>8kinder6</v>
      </c>
      <c r="B38" s="103">
        <v>37.0</v>
      </c>
      <c r="C38" s="183">
        <f t="shared" si="1"/>
        <v>31.9489032</v>
      </c>
      <c r="D38" s="124" t="str">
        <f>VLOOKUP(A38,'Classement Surp'!$B$2:$B$149,1,0)</f>
        <v>8kinder6</v>
      </c>
      <c r="E38" s="125" t="str">
        <f t="shared" si="2"/>
        <v/>
      </c>
      <c r="F38" s="120" t="str">
        <f>VLOOKUP(A38,'Classement Général'!$B$2:$B$146,1,0)</f>
        <v>8kinder6</v>
      </c>
    </row>
    <row r="39" ht="14.25" customHeight="1">
      <c r="A39" s="118" t="str">
        <f>IFERROR(__xludf.DUMMYFUNCTION("""COMPUTED_VALUE"""),"Kiki Bazaar")</f>
        <v>Kiki Bazaar</v>
      </c>
      <c r="B39" s="103">
        <v>38.0</v>
      </c>
      <c r="C39" s="183">
        <f t="shared" si="1"/>
        <v>25.3892851</v>
      </c>
      <c r="D39" s="124" t="str">
        <f>VLOOKUP(A39,'Classement Surp'!$B$2:$B$149,1,0)</f>
        <v>Kiki Bazaar</v>
      </c>
      <c r="E39" s="125" t="str">
        <f t="shared" si="2"/>
        <v/>
      </c>
      <c r="F39" s="120" t="str">
        <f>VLOOKUP(A39,'Classement Général'!$B$2:$B$146,1,0)</f>
        <v>Kiki Bazaar</v>
      </c>
    </row>
    <row r="40" ht="14.25" customHeight="1">
      <c r="A40" s="118" t="str">
        <f>IFERROR(__xludf.DUMMYFUNCTION("""COMPUTED_VALUE"""),"cassius-86")</f>
        <v>cassius-86</v>
      </c>
      <c r="B40" s="103">
        <v>39.0</v>
      </c>
      <c r="C40" s="183">
        <f t="shared" si="1"/>
        <v>18.91870839</v>
      </c>
      <c r="D40" s="124" t="str">
        <f>VLOOKUP(A40,'Classement Surp'!$B$2:$B$149,1,0)</f>
        <v>cassius-86</v>
      </c>
      <c r="E40" s="125" t="str">
        <f t="shared" si="2"/>
        <v/>
      </c>
      <c r="F40" s="120" t="str">
        <f>VLOOKUP(A40,'Classement Général'!$B$2:$B$146,1,0)</f>
        <v>cassius-86</v>
      </c>
    </row>
    <row r="41" ht="14.25" customHeight="1">
      <c r="A41" s="118" t="str">
        <f>IFERROR(__xludf.DUMMYFUNCTION("""COMPUTED_VALUE"""),"suricatebiker")</f>
        <v>suricatebiker</v>
      </c>
      <c r="B41" s="103">
        <v>40.0</v>
      </c>
      <c r="C41" s="183">
        <f t="shared" si="1"/>
        <v>12.53289433</v>
      </c>
      <c r="D41" s="124" t="str">
        <f>VLOOKUP(A41,'Classement Surp'!$B$2:$B$149,1,0)</f>
        <v>suricatebiker</v>
      </c>
      <c r="E41" s="125" t="str">
        <f t="shared" si="2"/>
        <v/>
      </c>
      <c r="F41" s="120" t="str">
        <f>VLOOKUP(A41,'Classement Général'!$B$2:$B$146,1,0)</f>
        <v>#N/A</v>
      </c>
    </row>
    <row r="42" ht="14.25" customHeight="1">
      <c r="A42" s="118" t="str">
        <f>IFERROR(__xludf.DUMMYFUNCTION("""COMPUTED_VALUE"""),"Mitch")</f>
        <v>Mitch</v>
      </c>
      <c r="B42" s="103">
        <v>41.0</v>
      </c>
      <c r="C42" s="183">
        <f t="shared" si="1"/>
        <v>6.227882582</v>
      </c>
      <c r="D42" s="124" t="str">
        <f>VLOOKUP(A42,'Classement Surp'!$B$2:$B$149,1,0)</f>
        <v>Mitch</v>
      </c>
      <c r="E42" s="125" t="str">
        <f t="shared" si="2"/>
        <v/>
      </c>
      <c r="F42" s="120" t="str">
        <f>VLOOKUP(A42,'Classement Général'!$B$2:$B$146,1,0)</f>
        <v>Mitch</v>
      </c>
    </row>
    <row r="43" ht="14.25" customHeight="1">
      <c r="A43" s="118"/>
      <c r="B43" s="103">
        <v>42.0</v>
      </c>
      <c r="C43" s="183">
        <f t="shared" si="1"/>
        <v>0</v>
      </c>
      <c r="D43" s="124" t="str">
        <f>VLOOKUP(A43,'Classement Surp'!$B$2:$B$149,1,0)</f>
        <v>#N/A</v>
      </c>
      <c r="E43" s="125" t="str">
        <f t="shared" si="2"/>
        <v>#N/A</v>
      </c>
      <c r="F43" s="120" t="str">
        <f>VLOOKUP(A43,'Classement Général'!$B$2:$B$146,1,0)</f>
        <v>#N/A</v>
      </c>
    </row>
    <row r="44" ht="14.25" customHeight="1">
      <c r="A44" s="118"/>
      <c r="B44" s="103">
        <v>43.0</v>
      </c>
      <c r="C44" s="183">
        <f t="shared" si="1"/>
        <v>-6.154166846</v>
      </c>
      <c r="D44" s="124" t="str">
        <f>VLOOKUP(A44,'Classement Surp'!$B$2:$B$149,1,0)</f>
        <v>#N/A</v>
      </c>
      <c r="E44" s="125" t="str">
        <f t="shared" si="2"/>
        <v>#N/A</v>
      </c>
      <c r="F44" s="120" t="str">
        <f>VLOOKUP(A44,'Classement Général'!$B$2:$B$146,1,0)</f>
        <v>#N/A</v>
      </c>
    </row>
    <row r="45" ht="14.25" customHeight="1">
      <c r="A45" s="118"/>
      <c r="B45" s="103">
        <v>44.0</v>
      </c>
      <c r="C45" s="183">
        <f t="shared" si="1"/>
        <v>-12.23779593</v>
      </c>
      <c r="D45" s="124" t="str">
        <f>VLOOKUP(A45,'Classement Surp'!$B$2:$B$149,1,0)</f>
        <v>#N/A</v>
      </c>
      <c r="E45" s="125" t="str">
        <f t="shared" si="2"/>
        <v>#N/A</v>
      </c>
      <c r="F45" s="120" t="str">
        <f>VLOOKUP(A45,'Classement Général'!$B$2:$B$146,1,0)</f>
        <v>#N/A</v>
      </c>
    </row>
    <row r="46" ht="14.25" customHeight="1">
      <c r="A46" s="118"/>
      <c r="B46" s="103">
        <v>45.0</v>
      </c>
      <c r="C46" s="183">
        <f t="shared" si="1"/>
        <v>-18.25385122</v>
      </c>
      <c r="D46" s="124" t="str">
        <f>VLOOKUP(A46,'Classement Surp'!$B$2:$B$149,1,0)</f>
        <v>#N/A</v>
      </c>
      <c r="E46" s="125" t="str">
        <f t="shared" si="2"/>
        <v>#N/A</v>
      </c>
      <c r="F46" s="120" t="str">
        <f>VLOOKUP(A46,'Classement Général'!$B$2:$B$146,1,0)</f>
        <v>#N/A</v>
      </c>
    </row>
    <row r="47" ht="14.25" customHeight="1">
      <c r="A47" s="118"/>
      <c r="B47" s="103">
        <v>46.0</v>
      </c>
      <c r="C47" s="183">
        <f t="shared" si="1"/>
        <v>-24.2051018</v>
      </c>
      <c r="D47" s="124" t="str">
        <f>VLOOKUP(A47,'Classement Surp'!$B$2:$B$149,1,0)</f>
        <v>#N/A</v>
      </c>
      <c r="E47" s="125" t="str">
        <f t="shared" si="2"/>
        <v>#N/A</v>
      </c>
      <c r="F47" s="120" t="str">
        <f>VLOOKUP(A47,'Classement Général'!$B$2:$B$146,1,0)</f>
        <v>#N/A</v>
      </c>
    </row>
    <row r="48" ht="14.25" customHeight="1">
      <c r="A48" s="118"/>
      <c r="B48" s="103">
        <v>47.0</v>
      </c>
      <c r="C48" s="183">
        <f t="shared" si="1"/>
        <v>-30.09413882</v>
      </c>
      <c r="D48" s="124" t="str">
        <f>VLOOKUP(A48,'Classement Surp'!$B$2:$B$149,1,0)</f>
        <v>#N/A</v>
      </c>
      <c r="E48" s="125" t="str">
        <f t="shared" si="2"/>
        <v>#N/A</v>
      </c>
      <c r="F48" s="120" t="str">
        <f>VLOOKUP(A48,'Classement Général'!$B$2:$B$146,1,0)</f>
        <v>#N/A</v>
      </c>
    </row>
    <row r="49" ht="14.25" customHeight="1">
      <c r="A49" s="118"/>
      <c r="B49" s="103">
        <v>48.0</v>
      </c>
      <c r="C49" s="183">
        <f t="shared" si="1"/>
        <v>-35.92339066</v>
      </c>
      <c r="D49" s="124" t="str">
        <f>VLOOKUP(A49,'Classement Surp'!$B$2:$B$149,1,0)</f>
        <v>#N/A</v>
      </c>
      <c r="E49" s="125" t="str">
        <f t="shared" si="2"/>
        <v>#N/A</v>
      </c>
      <c r="F49" s="120" t="str">
        <f>VLOOKUP(A49,'Classement Général'!$B$2:$B$146,1,0)</f>
        <v>#N/A</v>
      </c>
    </row>
    <row r="50" ht="14.25" customHeight="1">
      <c r="A50" s="118"/>
      <c r="B50" s="103">
        <v>49.0</v>
      </c>
      <c r="C50" s="183">
        <f t="shared" si="1"/>
        <v>-41.69513652</v>
      </c>
      <c r="D50" s="124" t="str">
        <f>VLOOKUP(A50,'Classement Surp'!$B$2:$B$149,1,0)</f>
        <v>#N/A</v>
      </c>
      <c r="E50" s="125" t="str">
        <f t="shared" si="2"/>
        <v>#N/A</v>
      </c>
      <c r="F50" s="120" t="str">
        <f>VLOOKUP(A50,'Classement Général'!$B$2:$B$146,1,0)</f>
        <v>#N/A</v>
      </c>
    </row>
    <row r="51" ht="14.25" customHeight="1">
      <c r="A51" s="118"/>
      <c r="B51" s="103">
        <v>50.0</v>
      </c>
      <c r="C51" s="183">
        <f t="shared" si="1"/>
        <v>-47.4115186</v>
      </c>
      <c r="D51" s="124" t="str">
        <f>VLOOKUP(A51,'Classement Surp'!$B$2:$B$149,1,0)</f>
        <v>#N/A</v>
      </c>
      <c r="E51" s="125" t="str">
        <f t="shared" si="2"/>
        <v>#N/A</v>
      </c>
      <c r="F51" s="120" t="str">
        <f>VLOOKUP(A51,'Classement Général'!$B$2:$B$146,1,0)</f>
        <v>#N/A</v>
      </c>
    </row>
    <row r="52" ht="14.25" customHeight="1">
      <c r="A52" s="118"/>
      <c r="B52" s="103">
        <v>51.0</v>
      </c>
      <c r="C52" s="183">
        <f t="shared" si="1"/>
        <v>-53.07455305</v>
      </c>
      <c r="D52" s="124" t="str">
        <f>VLOOKUP(A52,'Classement Surp'!$B$2:$B$149,1,0)</f>
        <v>#N/A</v>
      </c>
      <c r="E52" s="125" t="str">
        <f t="shared" si="2"/>
        <v>#N/A</v>
      </c>
      <c r="F52" s="120" t="str">
        <f>VLOOKUP(A52,'Classement Général'!$B$2:$B$146,1,0)</f>
        <v>#N/A</v>
      </c>
    </row>
    <row r="53" ht="14.25" customHeight="1">
      <c r="A53" s="118"/>
      <c r="B53" s="103">
        <v>52.0</v>
      </c>
      <c r="C53" s="183">
        <f t="shared" si="1"/>
        <v>-58.68613986</v>
      </c>
      <c r="D53" s="124" t="str">
        <f>VLOOKUP(A53,'Classement Surp'!$B$2:$B$149,1,0)</f>
        <v>#N/A</v>
      </c>
      <c r="E53" s="125" t="str">
        <f t="shared" si="2"/>
        <v>#N/A</v>
      </c>
      <c r="F53" s="120" t="str">
        <f>VLOOKUP(A53,'Classement Général'!$B$2:$B$146,1,0)</f>
        <v>#N/A</v>
      </c>
    </row>
    <row r="54" ht="14.25" customHeight="1">
      <c r="A54" s="118"/>
      <c r="B54" s="103">
        <v>53.0</v>
      </c>
      <c r="C54" s="183">
        <f t="shared" si="1"/>
        <v>-64.24807175</v>
      </c>
      <c r="D54" s="124" t="str">
        <f>VLOOKUP(A54,'Classement Surp'!$B$2:$B$149,1,0)</f>
        <v>#N/A</v>
      </c>
      <c r="E54" s="125" t="str">
        <f t="shared" si="2"/>
        <v>#N/A</v>
      </c>
      <c r="F54" s="120" t="str">
        <f>VLOOKUP(A54,'Classement Général'!$B$2:$B$146,1,0)</f>
        <v>#N/A</v>
      </c>
    </row>
    <row r="55" ht="14.25" customHeight="1">
      <c r="A55" s="118"/>
      <c r="B55" s="103">
        <v>54.0</v>
      </c>
      <c r="C55" s="183">
        <f t="shared" si="1"/>
        <v>-69.76204231</v>
      </c>
      <c r="D55" s="124" t="str">
        <f>VLOOKUP(A55,'Classement Surp'!$B$2:$B$149,1,0)</f>
        <v>#N/A</v>
      </c>
      <c r="E55" s="125" t="str">
        <f t="shared" si="2"/>
        <v>#N/A</v>
      </c>
      <c r="F55" s="120" t="str">
        <f>VLOOKUP(A55,'Classement Général'!$B$2:$B$146,1,0)</f>
        <v>#N/A</v>
      </c>
    </row>
    <row r="56" ht="14.25" customHeight="1">
      <c r="A56" s="118"/>
      <c r="B56" s="103">
        <v>55.0</v>
      </c>
      <c r="C56" s="183">
        <f t="shared" si="1"/>
        <v>-75.22965326</v>
      </c>
      <c r="D56" s="124" t="str">
        <f>VLOOKUP(A56,'Classement Surp'!$B$2:$B$149,1,0)</f>
        <v>#N/A</v>
      </c>
      <c r="E56" s="125" t="str">
        <f t="shared" si="2"/>
        <v>#N/A</v>
      </c>
      <c r="F56" s="120" t="str">
        <f>VLOOKUP(A56,'Classement Général'!$B$2:$B$146,1,0)</f>
        <v>#N/A</v>
      </c>
    </row>
    <row r="57" ht="14.25" customHeight="1">
      <c r="A57" s="118"/>
      <c r="B57" s="103">
        <v>56.0</v>
      </c>
      <c r="C57" s="183">
        <f t="shared" si="1"/>
        <v>-80.65242112</v>
      </c>
      <c r="D57" s="124" t="str">
        <f>VLOOKUP(A57,'Classement Surp'!$B$2:$B$149,1,0)</f>
        <v>#N/A</v>
      </c>
      <c r="E57" s="125" t="str">
        <f t="shared" si="2"/>
        <v>#N/A</v>
      </c>
      <c r="F57" s="120" t="str">
        <f>VLOOKUP(A57,'Classement Général'!$B$2:$B$146,1,0)</f>
        <v>#N/A</v>
      </c>
    </row>
    <row r="58" ht="14.25" customHeight="1">
      <c r="A58" s="118"/>
      <c r="B58" s="103">
        <v>57.0</v>
      </c>
      <c r="C58" s="183">
        <f t="shared" si="1"/>
        <v>-86.03178332</v>
      </c>
      <c r="D58" s="124" t="str">
        <f>VLOOKUP(A58,'Classement Surp'!$B$2:$B$149,1,0)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18"/>
      <c r="B59" s="103">
        <v>58.0</v>
      </c>
      <c r="C59" s="183">
        <f t="shared" si="1"/>
        <v>-91.36910366</v>
      </c>
      <c r="D59" s="124" t="str">
        <f>VLOOKUP(A59,'Classement Surp'!$B$2:$B$149,1,0)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18"/>
      <c r="B60" s="103">
        <v>59.0</v>
      </c>
      <c r="C60" s="183">
        <f t="shared" si="1"/>
        <v>-96.66567739</v>
      </c>
      <c r="D60" s="124" t="str">
        <f>VLOOKUP(A60,'Classement Surp'!$B$2:$B$149,1,0)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18"/>
      <c r="B61" s="103">
        <v>60.0</v>
      </c>
      <c r="C61" s="183">
        <f t="shared" si="1"/>
        <v>-101.9227359</v>
      </c>
      <c r="D61" s="124" t="str">
        <f>VLOOKUP(A61,'Classement Surp'!$B$2:$B$149,1,0)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18"/>
      <c r="B62" s="103">
        <v>61.0</v>
      </c>
      <c r="C62" s="183">
        <f t="shared" si="1"/>
        <v>-107.1414507</v>
      </c>
      <c r="D62" s="124" t="str">
        <f>VLOOKUP(A62,'Classement Surp'!$B$2:$B$149,1,0)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18"/>
      <c r="B63" s="103">
        <v>62.0</v>
      </c>
      <c r="C63" s="183">
        <f t="shared" si="1"/>
        <v>-112.3229377</v>
      </c>
      <c r="D63" s="124" t="str">
        <f>VLOOKUP(A63,'Classement Surp'!$B$2:$B$149,1,0)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18"/>
      <c r="B64" s="103">
        <v>63.0</v>
      </c>
      <c r="C64" s="183">
        <f t="shared" si="1"/>
        <v>-117.4682605</v>
      </c>
      <c r="D64" s="124" t="str">
        <f>VLOOKUP(A64,'Classement Surp'!$B$2:$B$149,1,0)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18"/>
      <c r="B65" s="103">
        <v>64.0</v>
      </c>
      <c r="C65" s="183">
        <f t="shared" si="1"/>
        <v>-122.5784337</v>
      </c>
      <c r="D65" s="124" t="str">
        <f>VLOOKUP(A65,'Classement Surp'!$B$2:$B$149,1,0)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18"/>
      <c r="B66" s="103">
        <v>65.0</v>
      </c>
      <c r="C66" s="183">
        <f t="shared" si="1"/>
        <v>-127.654426</v>
      </c>
      <c r="D66" s="124" t="str">
        <f>VLOOKUP(A66,'Classement Surp'!$B$2:$B$149,1,0)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18"/>
      <c r="B67" s="103">
        <v>66.0</v>
      </c>
      <c r="C67" s="183">
        <f t="shared" si="1"/>
        <v>-132.697163</v>
      </c>
      <c r="D67" s="124" t="str">
        <f>VLOOKUP(A67,'Classement Surp'!$B$2:$B$149,1,0)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18"/>
      <c r="B68" s="103">
        <v>67.0</v>
      </c>
      <c r="C68" s="183">
        <f t="shared" si="1"/>
        <v>-137.7075299</v>
      </c>
      <c r="D68" s="124" t="str">
        <f>VLOOKUP(A68,'Classement Surp'!$B$2:$B$149,1,0)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18"/>
      <c r="B69" s="103">
        <v>68.0</v>
      </c>
      <c r="C69" s="183">
        <f t="shared" si="1"/>
        <v>-142.6863734</v>
      </c>
      <c r="D69" s="124" t="str">
        <f>VLOOKUP(A69,'Classement Surp'!$B$2:$B$149,1,0)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18"/>
      <c r="B70" s="103">
        <v>69.0</v>
      </c>
      <c r="C70" s="183">
        <f t="shared" si="1"/>
        <v>-147.6345048</v>
      </c>
      <c r="D70" s="124" t="str">
        <f>VLOOKUP(A70,'Classement Surp'!$B$2:$B$149,1,0)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18"/>
      <c r="B71" s="103">
        <v>70.0</v>
      </c>
      <c r="C71" s="183">
        <f t="shared" si="1"/>
        <v>-152.552701</v>
      </c>
      <c r="D71" s="124" t="str">
        <f>VLOOKUP(A71,'Classement Surp'!$B$2:$B$149,1,0)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18"/>
      <c r="B72" s="103">
        <v>71.0</v>
      </c>
      <c r="C72" s="183">
        <f t="shared" si="1"/>
        <v>-157.4417074</v>
      </c>
      <c r="D72" s="124" t="str">
        <f>VLOOKUP(A72,'Classement Surp'!$B$2:$B$149,1,0)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18"/>
      <c r="B73" s="103">
        <v>72.0</v>
      </c>
      <c r="C73" s="183">
        <f t="shared" si="1"/>
        <v>-162.3022389</v>
      </c>
      <c r="D73" s="124" t="str">
        <f>VLOOKUP(A73,'Classement Surp'!$B$2:$B$149,1,0)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18"/>
      <c r="B74" s="103">
        <v>73.0</v>
      </c>
      <c r="C74" s="183">
        <f t="shared" si="1"/>
        <v>-167.134982</v>
      </c>
      <c r="D74" s="124" t="str">
        <f>VLOOKUP(A74,'Classement Surp'!$B$2:$B$149,1,0)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18"/>
      <c r="B75" s="103">
        <v>74.0</v>
      </c>
      <c r="C75" s="183">
        <f t="shared" si="1"/>
        <v>-171.9405963</v>
      </c>
      <c r="D75" s="124" t="str">
        <f>VLOOKUP(A75,'Classement Surp'!$B$2:$B$149,1,0)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18"/>
      <c r="B76" s="103">
        <v>75.0</v>
      </c>
      <c r="C76" s="183">
        <f t="shared" si="1"/>
        <v>-176.7197157</v>
      </c>
      <c r="D76" s="124" t="str">
        <f>VLOOKUP(A76,'Classement Surp'!$B$2:$B$149,1,0)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18"/>
      <c r="B77" s="103">
        <v>76.0</v>
      </c>
      <c r="C77" s="183">
        <f t="shared" si="1"/>
        <v>-181.47295</v>
      </c>
      <c r="D77" s="124" t="str">
        <f>VLOOKUP(A77,'Classement Surp'!$B$2:$B$149,1,0)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18"/>
      <c r="B78" s="103">
        <v>77.0</v>
      </c>
      <c r="C78" s="183">
        <f t="shared" si="1"/>
        <v>-186.200886</v>
      </c>
      <c r="D78" s="124" t="str">
        <f>VLOOKUP(A78,'Classement Surp'!$B$2:$B$149,1,0)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18"/>
      <c r="B79" s="103">
        <v>78.0</v>
      </c>
      <c r="C79" s="183">
        <f t="shared" si="1"/>
        <v>-190.9040888</v>
      </c>
      <c r="D79" s="124" t="str">
        <f>VLOOKUP(A79,'Classement Surp'!$B$2:$B$149,1,0)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18"/>
      <c r="B80" s="103">
        <v>79.0</v>
      </c>
      <c r="C80" s="183">
        <f t="shared" si="1"/>
        <v>-195.5831027</v>
      </c>
      <c r="D80" s="124" t="str">
        <f>VLOOKUP(A80,'Classement Surp'!$B$2:$B$149,1,0)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18"/>
      <c r="B81" s="103">
        <v>80.0</v>
      </c>
      <c r="C81" s="183">
        <f t="shared" si="1"/>
        <v>-200.2384524</v>
      </c>
      <c r="D81" s="124" t="str">
        <f>VLOOKUP(A81,'Classement Surp'!$B$2:$B$149,1,0)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18"/>
      <c r="B82" s="103">
        <v>81.0</v>
      </c>
      <c r="C82" s="183">
        <f t="shared" si="1"/>
        <v>-204.8706439</v>
      </c>
      <c r="D82" s="124" t="str">
        <f>VLOOKUP(A82,'Classement Surp'!$B$2:$B$149,1,0)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18"/>
      <c r="B83" s="103">
        <v>82.0</v>
      </c>
      <c r="C83" s="183">
        <f t="shared" si="1"/>
        <v>-209.4801655</v>
      </c>
      <c r="D83" s="124" t="str">
        <f>VLOOKUP(A83,'Classement Surp'!$B$2:$B$149,1,0)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18"/>
      <c r="B84" s="103">
        <v>83.0</v>
      </c>
      <c r="C84" s="183">
        <f t="shared" si="1"/>
        <v>-214.0674885</v>
      </c>
      <c r="D84" s="124" t="str">
        <f>VLOOKUP(A84,'Classement Surp'!$B$2:$B$149,1,0)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18"/>
      <c r="B85" s="103">
        <v>84.0</v>
      </c>
      <c r="C85" s="183">
        <f t="shared" si="1"/>
        <v>-218.633068</v>
      </c>
      <c r="D85" s="124" t="str">
        <f>VLOOKUP(A85,'Classement Surp'!$B$2:$B$149,1,0)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18"/>
      <c r="B86" s="103">
        <v>85.0</v>
      </c>
      <c r="C86" s="183">
        <f t="shared" si="1"/>
        <v>-223.1773438</v>
      </c>
      <c r="D86" s="124" t="str">
        <f>VLOOKUP(A86,'Classement Surp'!$B$2:$B$149,1,0)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18"/>
      <c r="B87" s="103">
        <v>86.0</v>
      </c>
      <c r="C87" s="183">
        <f t="shared" si="1"/>
        <v>-227.700741</v>
      </c>
      <c r="D87" s="124" t="str">
        <f>VLOOKUP(A87,'Classement Surp'!$B$2:$B$149,1,0)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18"/>
      <c r="B88" s="103">
        <v>87.0</v>
      </c>
      <c r="C88" s="183">
        <f t="shared" si="1"/>
        <v>-232.2036707</v>
      </c>
      <c r="D88" s="124" t="str">
        <f>VLOOKUP(A88,'Classement Surp'!$B$2:$B$149,1,0)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18"/>
      <c r="B89" s="103">
        <v>88.0</v>
      </c>
      <c r="C89" s="183">
        <f t="shared" si="1"/>
        <v>-236.6865307</v>
      </c>
      <c r="D89" s="124" t="str">
        <f>VLOOKUP(A89,'Classement Surp'!$B$2:$B$149,1,0)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18"/>
      <c r="B90" s="103">
        <v>89.0</v>
      </c>
      <c r="C90" s="183">
        <f t="shared" si="1"/>
        <v>-241.1497058</v>
      </c>
      <c r="D90" s="124" t="str">
        <f>VLOOKUP(A90,'Classement Surp'!$B$2:$B$149,1,0)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18"/>
      <c r="B91" s="103">
        <v>90.0</v>
      </c>
      <c r="C91" s="183">
        <f t="shared" si="1"/>
        <v>-245.5935689</v>
      </c>
      <c r="D91" s="124" t="str">
        <f>VLOOKUP(A91,'Classement Surp'!$B$2:$B$149,1,0)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18"/>
      <c r="B92" s="103">
        <v>91.0</v>
      </c>
      <c r="C92" s="183">
        <f t="shared" si="1"/>
        <v>-250.0184809</v>
      </c>
      <c r="D92" s="124" t="str">
        <f>VLOOKUP(A92,'Classement Surp'!$B$2:$B$149,1,0)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18"/>
      <c r="B93" s="103">
        <v>92.0</v>
      </c>
      <c r="C93" s="183">
        <f t="shared" si="1"/>
        <v>-254.4247917</v>
      </c>
      <c r="D93" s="124" t="str">
        <f>VLOOKUP(A93,'Classement Surp'!$B$2:$B$149,1,0)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18"/>
      <c r="B94" s="103">
        <v>93.0</v>
      </c>
      <c r="C94" s="183">
        <f t="shared" si="1"/>
        <v>-258.8128405</v>
      </c>
      <c r="D94" s="124" t="str">
        <f>VLOOKUP(A94,'Classement Surp'!$B$2:$B$149,1,0)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18"/>
      <c r="B95" s="103">
        <v>94.0</v>
      </c>
      <c r="C95" s="183">
        <f t="shared" si="1"/>
        <v>-263.1829559</v>
      </c>
      <c r="D95" s="124" t="str">
        <f>VLOOKUP(A95,'Classement Surp'!$B$2:$B$149,1,0)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18"/>
      <c r="B96" s="103">
        <v>95.0</v>
      </c>
      <c r="C96" s="183">
        <f t="shared" si="1"/>
        <v>-267.5354572</v>
      </c>
      <c r="D96" s="124" t="str">
        <f>VLOOKUP(A96,'Classement Surp'!$B$2:$B$149,1,0)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18"/>
      <c r="B97" s="103">
        <v>96.0</v>
      </c>
      <c r="C97" s="183">
        <f t="shared" si="1"/>
        <v>-271.8706539</v>
      </c>
      <c r="D97" s="124" t="str">
        <f>VLOOKUP(A97,'Classement Surp'!$B$2:$B$149,1,0)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18"/>
      <c r="B98" s="103">
        <v>97.0</v>
      </c>
      <c r="C98" s="183">
        <f t="shared" si="1"/>
        <v>-276.1888464</v>
      </c>
      <c r="D98" s="124" t="str">
        <f>VLOOKUP(A98,'Classement Surp'!$B$2:$B$149,1,0)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18"/>
      <c r="B99" s="103">
        <v>98.0</v>
      </c>
      <c r="C99" s="183">
        <f t="shared" si="1"/>
        <v>-280.4903267</v>
      </c>
      <c r="D99" s="124" t="str">
        <f>VLOOKUP(A99,'Classement Surp'!$B$2:$B$149,1,0)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18"/>
      <c r="B100" s="103">
        <v>99.0</v>
      </c>
      <c r="C100" s="183">
        <f t="shared" si="1"/>
        <v>-284.7753781</v>
      </c>
      <c r="D100" s="124" t="str">
        <f>VLOOKUP(A100,'Classement Surp'!$B$2:$B$149,1,0)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18"/>
      <c r="B101" s="103">
        <v>100.0</v>
      </c>
      <c r="C101" s="183">
        <f t="shared" si="1"/>
        <v>-289.0442762</v>
      </c>
      <c r="D101" s="124" t="str">
        <f>VLOOKUP(A101,'Classement Surp'!$B$2:$B$149,1,0)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18"/>
      <c r="B102" s="103">
        <v>101.0</v>
      </c>
      <c r="C102" s="183">
        <f t="shared" si="1"/>
        <v>-293.2972888</v>
      </c>
      <c r="D102" s="124" t="str">
        <f>VLOOKUP(A102,'Classement Surp'!$B$2:$B$149,1,0)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18"/>
      <c r="B103" s="103">
        <v>102.0</v>
      </c>
      <c r="C103" s="183">
        <f t="shared" si="1"/>
        <v>-297.534676</v>
      </c>
      <c r="D103" s="124" t="str">
        <f>VLOOKUP(A103,'Classement Surp'!$B$2:$B$149,1,0)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18"/>
      <c r="B104" s="103">
        <v>103.0</v>
      </c>
      <c r="C104" s="183">
        <f t="shared" si="1"/>
        <v>-301.7566912</v>
      </c>
      <c r="D104" s="124" t="str">
        <f>VLOOKUP(A104,'Classement Surp'!$B$2:$B$149,1,0)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18"/>
      <c r="B105" s="103">
        <v>104.0</v>
      </c>
      <c r="C105" s="183">
        <f t="shared" si="1"/>
        <v>-305.9635807</v>
      </c>
      <c r="D105" s="124" t="str">
        <f>VLOOKUP(A105,'Classement Surp'!$B$2:$B$149,1,0)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18"/>
      <c r="B106" s="103">
        <v>105.0</v>
      </c>
      <c r="C106" s="183">
        <f t="shared" si="1"/>
        <v>-310.1555842</v>
      </c>
      <c r="D106" s="124" t="str">
        <f>VLOOKUP(A106,'Classement Surp'!$B$2:$B$149,1,0)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18"/>
      <c r="B107" s="103">
        <v>106.0</v>
      </c>
      <c r="C107" s="183">
        <f t="shared" si="1"/>
        <v>-314.3329351</v>
      </c>
      <c r="D107" s="124" t="str">
        <f>VLOOKUP(A107,'Classement Surp'!$B$2:$B$149,1,0)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18"/>
      <c r="B108" s="103">
        <v>107.0</v>
      </c>
      <c r="C108" s="183">
        <f t="shared" si="1"/>
        <v>-318.4958607</v>
      </c>
      <c r="D108" s="124" t="str">
        <f>VLOOKUP(A108,'Classement Surp'!$B$2:$B$149,1,0)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18"/>
      <c r="B109" s="103">
        <v>108.0</v>
      </c>
      <c r="C109" s="183">
        <f t="shared" si="1"/>
        <v>-322.6445822</v>
      </c>
      <c r="D109" s="124" t="str">
        <f>VLOOKUP(A109,'Classement Surp'!$B$2:$B$149,1,0)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18"/>
      <c r="B110" s="103">
        <v>109.0</v>
      </c>
      <c r="C110" s="183">
        <f t="shared" si="1"/>
        <v>-326.7793152</v>
      </c>
      <c r="D110" s="124" t="str">
        <f>VLOOKUP(A110,'Classement Surp'!$B$2:$B$149,1,0)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18"/>
      <c r="B111" s="103">
        <v>110.0</v>
      </c>
      <c r="C111" s="183">
        <f t="shared" si="1"/>
        <v>-330.90027</v>
      </c>
      <c r="D111" s="124" t="str">
        <f>VLOOKUP(A111,'Classement Surp'!$B$2:$B$149,1,0)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18"/>
      <c r="B112" s="103">
        <v>111.0</v>
      </c>
      <c r="C112" s="183">
        <f t="shared" si="1"/>
        <v>-335.0076514</v>
      </c>
      <c r="D112" s="124" t="str">
        <f>VLOOKUP(A112,'Classement Surp'!$B$2:$B$149,1,0)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18"/>
      <c r="B113" s="103">
        <v>112.0</v>
      </c>
      <c r="C113" s="183">
        <f t="shared" si="1"/>
        <v>-339.101659</v>
      </c>
      <c r="D113" s="124" t="str">
        <f>VLOOKUP(A113,'Classement Surp'!$B$2:$B$149,1,0)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18"/>
      <c r="B114" s="103">
        <v>113.0</v>
      </c>
      <c r="C114" s="183">
        <f t="shared" si="1"/>
        <v>-343.1824877</v>
      </c>
      <c r="D114" s="124" t="str">
        <f>VLOOKUP(A114,'Classement Surp'!$B$2:$B$149,1,0)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18"/>
      <c r="B115" s="103">
        <v>114.0</v>
      </c>
      <c r="C115" s="183">
        <f t="shared" si="1"/>
        <v>-347.2503273</v>
      </c>
      <c r="D115" s="124" t="str">
        <f>VLOOKUP(A115,'Classement Surp'!$B$2:$B$149,1,0)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18"/>
      <c r="B116" s="103">
        <v>115.0</v>
      </c>
      <c r="C116" s="183">
        <f t="shared" si="1"/>
        <v>-351.3053634</v>
      </c>
      <c r="D116" s="124" t="str">
        <f>VLOOKUP(A116,'Classement Surp'!$B$2:$B$149,1,0)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18"/>
      <c r="B117" s="103">
        <v>116.0</v>
      </c>
      <c r="C117" s="183">
        <f t="shared" si="1"/>
        <v>-355.3477767</v>
      </c>
      <c r="D117" s="124" t="str">
        <f>VLOOKUP(A117,'Classement Surp'!$B$2:$B$149,1,0)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18"/>
      <c r="B118" s="103">
        <v>117.0</v>
      </c>
      <c r="C118" s="183">
        <f t="shared" si="1"/>
        <v>-359.3777441</v>
      </c>
      <c r="D118" s="124" t="str">
        <f>VLOOKUP(A118,'Classement Surp'!$B$2:$B$149,1,0)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18"/>
      <c r="B119" s="103">
        <v>118.0</v>
      </c>
      <c r="C119" s="183">
        <f t="shared" si="1"/>
        <v>-363.3954377</v>
      </c>
      <c r="D119" s="124" t="str">
        <f>VLOOKUP(A119,'Classement Surp'!$B$2:$B$149,1,0)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18"/>
      <c r="B120" s="103">
        <v>119.0</v>
      </c>
      <c r="C120" s="183">
        <f t="shared" si="1"/>
        <v>-367.4010262</v>
      </c>
      <c r="D120" s="124" t="str">
        <f>VLOOKUP(A120,'Classement Surp'!$B$2:$B$149,1,0)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18"/>
      <c r="B121" s="103">
        <v>120.0</v>
      </c>
      <c r="C121" s="183">
        <f t="shared" si="1"/>
        <v>-371.3946739</v>
      </c>
      <c r="D121" s="124" t="str">
        <f>VLOOKUP(A121,'Classement Surp'!$B$2:$B$149,1,0)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18"/>
      <c r="B122" s="103">
        <v>121.0</v>
      </c>
      <c r="C122" s="183">
        <f t="shared" si="1"/>
        <v>-375.3765417</v>
      </c>
      <c r="D122" s="124" t="str">
        <f>VLOOKUP(A122,'Classement Surp'!$B$2:$B$149,1,0)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18"/>
      <c r="B123" s="103">
        <v>122.0</v>
      </c>
      <c r="C123" s="183">
        <f t="shared" si="1"/>
        <v>-379.3467865</v>
      </c>
      <c r="D123" s="124" t="str">
        <f>VLOOKUP(A123,'Classement Surp'!$B$2:$B$149,1,0)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18"/>
      <c r="B124" s="103">
        <v>123.0</v>
      </c>
      <c r="C124" s="183">
        <f t="shared" si="1"/>
        <v>-383.305562</v>
      </c>
      <c r="D124" s="124" t="str">
        <f>VLOOKUP(A124,'Classement Surp'!$B$2:$B$149,1,0)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18"/>
      <c r="B125" s="103">
        <v>124.0</v>
      </c>
      <c r="C125" s="183">
        <f t="shared" si="1"/>
        <v>-387.2530182</v>
      </c>
      <c r="D125" s="124" t="str">
        <f>VLOOKUP(A125,'Classement Surp'!$B$2:$B$149,1,0)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18"/>
      <c r="B126" s="103">
        <v>125.0</v>
      </c>
      <c r="C126" s="183">
        <f t="shared" si="1"/>
        <v>-391.1893018</v>
      </c>
      <c r="D126" s="124" t="str">
        <f>VLOOKUP(A126,'Classement Surp'!$B$2:$B$149,1,0)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18"/>
      <c r="B127" s="103">
        <v>126.0</v>
      </c>
      <c r="C127" s="183">
        <f t="shared" si="1"/>
        <v>-395.1145565</v>
      </c>
      <c r="D127" s="124" t="str">
        <f>VLOOKUP(A127,'Classement Surp'!$B$2:$B$149,1,0)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18"/>
      <c r="B128" s="103">
        <v>127.0</v>
      </c>
      <c r="C128" s="183">
        <f t="shared" si="1"/>
        <v>-399.0289227</v>
      </c>
      <c r="D128" s="124" t="str">
        <f>VLOOKUP(A128,'Classement Surp'!$B$2:$B$149,1,0)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18"/>
      <c r="B129" s="103">
        <v>128.0</v>
      </c>
      <c r="C129" s="183">
        <f t="shared" si="1"/>
        <v>-402.9325377</v>
      </c>
      <c r="D129" s="124" t="str">
        <f>VLOOKUP(A129,'Classement Surp'!$B$2:$B$149,1,0)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18"/>
      <c r="B130" s="103">
        <v>129.0</v>
      </c>
      <c r="C130" s="183">
        <f t="shared" si="1"/>
        <v>-406.8255359</v>
      </c>
      <c r="D130" s="124" t="str">
        <f>VLOOKUP(A130,'Classement Surp'!$B$2:$B$149,1,0)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18"/>
      <c r="B131" s="103">
        <v>130.0</v>
      </c>
      <c r="C131" s="183">
        <f t="shared" si="1"/>
        <v>-410.7080491</v>
      </c>
      <c r="D131" s="124" t="str">
        <f>VLOOKUP(A131,'Classement Surp'!$B$2:$B$149,1,0)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18"/>
      <c r="B132" s="103">
        <v>131.0</v>
      </c>
      <c r="C132" s="183">
        <f t="shared" si="1"/>
        <v>-414.5802059</v>
      </c>
      <c r="D132" s="124" t="str">
        <f>VLOOKUP(A132,'Classement Surp'!$B$2:$B$149,1,0)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18"/>
      <c r="B133" s="103">
        <v>132.0</v>
      </c>
      <c r="C133" s="183">
        <f t="shared" si="1"/>
        <v>-418.4421326</v>
      </c>
      <c r="D133" s="124" t="str">
        <f>VLOOKUP(A133,'Classement Surp'!$B$2:$B$149,1,0)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18"/>
      <c r="B134" s="103">
        <v>133.0</v>
      </c>
      <c r="C134" s="183">
        <f t="shared" si="1"/>
        <v>-422.2939526</v>
      </c>
      <c r="D134" s="124" t="str">
        <f>VLOOKUP(A134,'Classement Surp'!$B$2:$B$149,1,0)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18"/>
      <c r="B135" s="103">
        <v>134.0</v>
      </c>
      <c r="C135" s="183">
        <f t="shared" si="1"/>
        <v>-426.135787</v>
      </c>
      <c r="D135" s="124" t="str">
        <f>VLOOKUP(A135,'Classement Surp'!$B$2:$B$149,1,0)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18"/>
      <c r="B136" s="103">
        <v>135.0</v>
      </c>
      <c r="C136" s="183">
        <f t="shared" si="1"/>
        <v>-429.9677543</v>
      </c>
      <c r="D136" s="124" t="str">
        <f>VLOOKUP(A136,'Classement Surp'!$B$2:$B$149,1,0)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18"/>
      <c r="B137" s="103">
        <v>136.0</v>
      </c>
      <c r="C137" s="183">
        <f t="shared" si="1"/>
        <v>-433.7899705</v>
      </c>
      <c r="D137" s="124" t="str">
        <f>VLOOKUP(A137,'Classement Surp'!$B$2:$B$149,1,0)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18"/>
      <c r="B138" s="103">
        <v>137.0</v>
      </c>
      <c r="C138" s="183">
        <f t="shared" si="1"/>
        <v>-437.6025496</v>
      </c>
      <c r="D138" s="124" t="str">
        <f>VLOOKUP(A138,'Classement Surp'!$B$2:$B$149,1,0)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18"/>
      <c r="B139" s="103">
        <v>138.0</v>
      </c>
      <c r="C139" s="183">
        <f t="shared" si="1"/>
        <v>-441.405603</v>
      </c>
      <c r="D139" s="124" t="str">
        <f>VLOOKUP(A139,'Classement Surp'!$B$2:$B$149,1,0)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18"/>
      <c r="B140" s="103">
        <v>139.0</v>
      </c>
      <c r="C140" s="183">
        <f t="shared" si="1"/>
        <v>-445.1992401</v>
      </c>
      <c r="D140" s="124" t="str">
        <f>VLOOKUP(A140,'Classement Surp'!$B$2:$B$149,1,0)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18"/>
      <c r="B141" s="103">
        <v>140.0</v>
      </c>
      <c r="C141" s="183">
        <f t="shared" si="1"/>
        <v>-448.9835681</v>
      </c>
      <c r="D141" s="124" t="str">
        <f>VLOOKUP(A141,'Classement Surp'!$B$2:$B$149,1,0)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18"/>
      <c r="B142" s="103">
        <v>141.0</v>
      </c>
      <c r="C142" s="183">
        <f t="shared" si="1"/>
        <v>-452.758692</v>
      </c>
      <c r="D142" s="124" t="str">
        <f>VLOOKUP(A142,'Classement Surp'!$B$2:$B$149,1,0)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18"/>
      <c r="B143" s="103">
        <v>142.0</v>
      </c>
      <c r="C143" s="183">
        <f t="shared" si="1"/>
        <v>-456.5247151</v>
      </c>
      <c r="D143" s="124" t="str">
        <f>VLOOKUP(A143,'Classement Surp'!$B$2:$B$149,1,0)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18"/>
      <c r="B144" s="103">
        <v>143.0</v>
      </c>
      <c r="C144" s="183">
        <f t="shared" si="1"/>
        <v>-460.2817383</v>
      </c>
      <c r="D144" s="124" t="str">
        <f>VLOOKUP(A144,'Classement Surp'!$B$2:$B$149,1,0)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18"/>
      <c r="B145" s="103">
        <v>144.0</v>
      </c>
      <c r="C145" s="183">
        <f t="shared" si="1"/>
        <v>-464.029861</v>
      </c>
      <c r="D145" s="124" t="str">
        <f>VLOOKUP(A145,'Classement Surp'!$B$2:$B$149,1,0)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18"/>
      <c r="B146" s="103">
        <v>145.0</v>
      </c>
      <c r="C146" s="183">
        <f t="shared" si="1"/>
        <v>-467.7691804</v>
      </c>
      <c r="D146" s="124" t="str">
        <f>VLOOKUP(A146,'Classement Surp'!$B$2:$B$149,1,0)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18"/>
      <c r="B147" s="103">
        <v>146.0</v>
      </c>
      <c r="C147" s="183">
        <f t="shared" si="1"/>
        <v>-471.499792</v>
      </c>
      <c r="D147" s="124" t="str">
        <f>VLOOKUP(A147,'Classement Surp'!$B$2:$B$149,1,0)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18"/>
      <c r="B148" s="103">
        <v>147.0</v>
      </c>
      <c r="C148" s="183">
        <f t="shared" si="1"/>
        <v>-475.2217897</v>
      </c>
      <c r="D148" s="124" t="str">
        <f>VLOOKUP(A148,'Classement Surp'!$B$2:$B$149,1,0)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18"/>
      <c r="B149" s="103">
        <v>148.0</v>
      </c>
      <c r="C149" s="183">
        <f t="shared" si="1"/>
        <v>-478.9352654</v>
      </c>
      <c r="D149" s="124" t="str">
        <f>VLOOKUP(A149,'Classement Surp'!$B$2:$B$149,1,0)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18"/>
      <c r="B150" s="103">
        <v>149.0</v>
      </c>
      <c r="C150" s="183">
        <f t="shared" si="1"/>
        <v>-482.6403094</v>
      </c>
      <c r="D150" s="124" t="str">
        <f>VLOOKUP(A150,'Classement Surp'!$B$2:$B$149,1,0)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18"/>
      <c r="B151" s="103">
        <v>150.0</v>
      </c>
      <c r="C151" s="183">
        <f t="shared" si="1"/>
        <v>-486.3370105</v>
      </c>
      <c r="D151" s="124" t="str">
        <f>VLOOKUP(A151,'Classement Surp'!$B$2:$B$149,1,0)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18"/>
      <c r="B152" s="103">
        <v>151.0</v>
      </c>
      <c r="C152" s="183">
        <f t="shared" si="1"/>
        <v>-490.0254558</v>
      </c>
      <c r="D152" s="124" t="str">
        <f>VLOOKUP(A152,'Classement Surp'!$B$2:$B$149,1,0)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18"/>
      <c r="B153" s="103">
        <v>152.0</v>
      </c>
      <c r="C153" s="183">
        <f t="shared" si="1"/>
        <v>-493.7057307</v>
      </c>
      <c r="D153" s="124" t="str">
        <f>VLOOKUP(A153,'Classement Surp'!$B$2:$B$149,1,0)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18"/>
      <c r="B154" s="103">
        <v>153.0</v>
      </c>
      <c r="C154" s="183">
        <f t="shared" si="1"/>
        <v>-497.3779194</v>
      </c>
      <c r="D154" s="124" t="str">
        <f>VLOOKUP(A154,'Classement Surp'!$B$2:$B$149,1,0)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18"/>
      <c r="B155" s="103">
        <v>154.0</v>
      </c>
      <c r="C155" s="183">
        <f t="shared" si="1"/>
        <v>-501.0421043</v>
      </c>
      <c r="D155" s="124" t="str">
        <f>VLOOKUP(A155,'Classement Surp'!$B$2:$B$149,1,0)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18"/>
      <c r="B156" s="103">
        <v>155.0</v>
      </c>
      <c r="C156" s="183">
        <f t="shared" si="1"/>
        <v>-504.6983665</v>
      </c>
      <c r="D156" s="124" t="str">
        <f>VLOOKUP(A156,'Classement Surp'!$B$2:$B$149,1,0)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18"/>
      <c r="B157" s="103">
        <v>156.0</v>
      </c>
      <c r="C157" s="183">
        <f t="shared" si="1"/>
        <v>-508.3467858</v>
      </c>
      <c r="D157" s="124" t="str">
        <f>VLOOKUP(A157,'Classement Surp'!$B$2:$B$149,1,0)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18"/>
      <c r="B158" s="103">
        <v>157.0</v>
      </c>
      <c r="C158" s="183">
        <f t="shared" si="1"/>
        <v>-511.9874404</v>
      </c>
      <c r="D158" s="124" t="str">
        <f>VLOOKUP(A158,'Classement Surp'!$B$2:$B$149,1,0)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18"/>
      <c r="B159" s="103">
        <v>158.0</v>
      </c>
      <c r="C159" s="183">
        <f t="shared" si="1"/>
        <v>-515.6204074</v>
      </c>
      <c r="D159" s="124" t="str">
        <f>VLOOKUP(A159,'Classement Surp'!$B$2:$B$149,1,0)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18"/>
      <c r="B160" s="103">
        <v>159.0</v>
      </c>
      <c r="C160" s="183">
        <f t="shared" si="1"/>
        <v>-519.2457623</v>
      </c>
      <c r="D160" s="124" t="str">
        <f>VLOOKUP(A160,'Classement Surp'!$B$2:$B$149,1,0)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84"/>
      <c r="B161" s="185">
        <v>160.0</v>
      </c>
      <c r="C161" s="186">
        <f t="shared" si="1"/>
        <v>-522.8635796</v>
      </c>
      <c r="D161" s="124" t="str">
        <f>VLOOKUP(A161,'Classement Surp'!$B$2:$B$149,1,0)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A162" s="187"/>
      <c r="B162" s="128"/>
    </row>
    <row r="163" ht="14.25" customHeight="1">
      <c r="A163" s="187"/>
      <c r="B163" s="128"/>
    </row>
    <row r="164" ht="14.25" customHeight="1">
      <c r="A164" s="187"/>
      <c r="B164" s="128"/>
    </row>
    <row r="165" ht="14.25" customHeight="1">
      <c r="A165" s="187"/>
      <c r="B165" s="128"/>
    </row>
    <row r="166" ht="14.25" customHeight="1">
      <c r="A166" s="187"/>
      <c r="B166" s="128"/>
    </row>
    <row r="167" ht="14.25" customHeight="1">
      <c r="A167" s="187"/>
      <c r="B167" s="128"/>
    </row>
    <row r="168" ht="14.25" customHeight="1">
      <c r="A168" s="187"/>
      <c r="B168" s="128"/>
    </row>
    <row r="169" ht="14.25" customHeight="1">
      <c r="A169" s="187"/>
      <c r="B169" s="128"/>
    </row>
    <row r="170" ht="14.25" customHeight="1">
      <c r="A170" s="187"/>
      <c r="B170" s="128"/>
    </row>
    <row r="171" ht="14.25" customHeight="1">
      <c r="A171" s="187"/>
      <c r="B171" s="128"/>
    </row>
    <row r="172" ht="14.25" customHeight="1">
      <c r="A172" s="187"/>
      <c r="B172" s="128"/>
    </row>
    <row r="173" ht="14.25" customHeight="1">
      <c r="A173" s="187"/>
      <c r="B173" s="128"/>
    </row>
    <row r="174" ht="14.25" customHeight="1">
      <c r="A174" s="187"/>
      <c r="B174" s="128"/>
    </row>
    <row r="175" ht="14.25" customHeight="1">
      <c r="A175" s="187"/>
      <c r="B175" s="128"/>
    </row>
    <row r="176" ht="14.25" customHeight="1">
      <c r="A176" s="187"/>
      <c r="B176" s="128"/>
    </row>
    <row r="177" ht="14.25" customHeight="1">
      <c r="A177" s="187"/>
      <c r="B177" s="128"/>
    </row>
    <row r="178" ht="14.25" customHeight="1">
      <c r="A178" s="187"/>
      <c r="B178" s="128"/>
    </row>
    <row r="179" ht="14.25" customHeight="1">
      <c r="A179" s="187"/>
      <c r="B179" s="128"/>
    </row>
    <row r="180" ht="14.25" customHeight="1">
      <c r="A180" s="187"/>
      <c r="B180" s="128"/>
    </row>
    <row r="181" ht="14.25" customHeight="1">
      <c r="A181" s="187"/>
      <c r="B181" s="128"/>
    </row>
    <row r="182" ht="14.25" customHeight="1">
      <c r="A182" s="187"/>
      <c r="B182" s="128"/>
    </row>
    <row r="183" ht="14.25" customHeight="1">
      <c r="A183" s="187"/>
      <c r="B183" s="128"/>
    </row>
    <row r="184" ht="14.25" customHeight="1">
      <c r="A184" s="187"/>
      <c r="B184" s="128"/>
    </row>
    <row r="185" ht="14.25" customHeight="1">
      <c r="A185" s="187"/>
      <c r="B185" s="128"/>
    </row>
    <row r="186" ht="14.25" customHeight="1">
      <c r="A186" s="187"/>
      <c r="B186" s="128"/>
    </row>
    <row r="187" ht="14.25" customHeight="1">
      <c r="A187" s="187"/>
      <c r="B187" s="128"/>
    </row>
    <row r="188" ht="14.25" customHeight="1">
      <c r="A188" s="187"/>
      <c r="B188" s="128"/>
    </row>
    <row r="189" ht="14.25" customHeight="1">
      <c r="A189" s="187"/>
      <c r="B189" s="128"/>
    </row>
    <row r="190" ht="14.25" customHeight="1">
      <c r="A190" s="187"/>
      <c r="B190" s="128"/>
    </row>
    <row r="191" ht="14.25" customHeight="1">
      <c r="A191" s="187"/>
      <c r="B191" s="128"/>
    </row>
    <row r="192" ht="14.25" customHeight="1">
      <c r="A192" s="187"/>
      <c r="B192" s="128"/>
    </row>
    <row r="193" ht="14.25" customHeight="1">
      <c r="A193" s="187"/>
      <c r="B193" s="128"/>
    </row>
    <row r="194" ht="14.25" customHeight="1">
      <c r="A194" s="187"/>
      <c r="B194" s="128"/>
    </row>
    <row r="195" ht="14.25" customHeight="1">
      <c r="A195" s="187"/>
      <c r="B195" s="128"/>
    </row>
    <row r="196" ht="14.25" customHeight="1">
      <c r="A196" s="187"/>
      <c r="B196" s="128"/>
    </row>
    <row r="197" ht="14.25" customHeight="1">
      <c r="A197" s="187"/>
      <c r="B197" s="128"/>
    </row>
    <row r="198" ht="14.25" customHeight="1">
      <c r="A198" s="187"/>
      <c r="B198" s="128"/>
    </row>
    <row r="199" ht="14.25" customHeight="1">
      <c r="A199" s="187"/>
      <c r="B199" s="128"/>
    </row>
    <row r="200" ht="14.25" customHeight="1">
      <c r="A200" s="187"/>
      <c r="B200" s="128"/>
    </row>
    <row r="201" ht="14.25" customHeight="1">
      <c r="A201" s="187"/>
      <c r="B201" s="128"/>
    </row>
    <row r="202" ht="14.25" customHeight="1">
      <c r="A202" s="187"/>
      <c r="B202" s="128"/>
    </row>
    <row r="203" ht="14.25" customHeight="1">
      <c r="A203" s="187"/>
      <c r="B203" s="128"/>
    </row>
    <row r="204" ht="14.25" customHeight="1">
      <c r="A204" s="187"/>
      <c r="B204" s="128"/>
    </row>
    <row r="205" ht="14.25" customHeight="1">
      <c r="A205" s="187"/>
      <c r="B205" s="128"/>
    </row>
    <row r="206" ht="14.25" customHeight="1">
      <c r="A206" s="187"/>
      <c r="B206" s="128"/>
    </row>
    <row r="207" ht="14.25" customHeight="1">
      <c r="A207" s="187"/>
      <c r="B207" s="128"/>
    </row>
    <row r="208" ht="14.25" customHeight="1">
      <c r="A208" s="187"/>
      <c r="B208" s="128"/>
    </row>
    <row r="209" ht="14.25" customHeight="1">
      <c r="A209" s="187"/>
      <c r="B209" s="128"/>
    </row>
    <row r="210" ht="14.25" customHeight="1">
      <c r="A210" s="187"/>
      <c r="B210" s="128"/>
    </row>
    <row r="211" ht="14.25" customHeight="1">
      <c r="A211" s="187"/>
      <c r="B211" s="128"/>
    </row>
    <row r="212" ht="14.25" customHeight="1">
      <c r="A212" s="187"/>
      <c r="B212" s="128"/>
    </row>
    <row r="213" ht="14.25" customHeight="1">
      <c r="A213" s="187"/>
      <c r="B213" s="128"/>
    </row>
    <row r="214" ht="14.25" customHeight="1">
      <c r="A214" s="187"/>
      <c r="B214" s="128"/>
    </row>
    <row r="215" ht="14.25" customHeight="1">
      <c r="A215" s="187"/>
      <c r="B215" s="128"/>
    </row>
    <row r="216" ht="14.25" customHeight="1">
      <c r="A216" s="187"/>
      <c r="B216" s="128"/>
    </row>
    <row r="217" ht="14.25" customHeight="1">
      <c r="A217" s="187"/>
      <c r="B217" s="128"/>
    </row>
    <row r="218" ht="14.25" customHeight="1">
      <c r="A218" s="187"/>
      <c r="B218" s="128"/>
    </row>
    <row r="219" ht="14.25" customHeight="1">
      <c r="A219" s="187"/>
      <c r="B219" s="128"/>
    </row>
    <row r="220" ht="14.25" customHeight="1">
      <c r="A220" s="187"/>
      <c r="B220" s="128"/>
    </row>
    <row r="221" ht="14.25" customHeight="1">
      <c r="A221" s="187"/>
      <c r="B221" s="128"/>
    </row>
    <row r="222" ht="14.25" customHeight="1">
      <c r="A222" s="187"/>
      <c r="B222" s="128"/>
    </row>
    <row r="223" ht="14.25" customHeight="1">
      <c r="A223" s="187"/>
      <c r="B223" s="128"/>
    </row>
    <row r="224" ht="14.25" customHeight="1">
      <c r="A224" s="187"/>
      <c r="B224" s="128"/>
    </row>
    <row r="225" ht="14.25" customHeight="1">
      <c r="A225" s="187"/>
      <c r="B225" s="128"/>
    </row>
    <row r="226" ht="14.25" customHeight="1">
      <c r="A226" s="187"/>
      <c r="B226" s="128"/>
    </row>
    <row r="227" ht="14.25" customHeight="1">
      <c r="A227" s="187"/>
      <c r="B227" s="128"/>
    </row>
    <row r="228" ht="14.25" customHeight="1">
      <c r="A228" s="187"/>
      <c r="B228" s="128"/>
    </row>
    <row r="229" ht="14.25" customHeight="1">
      <c r="A229" s="187"/>
      <c r="B229" s="128"/>
    </row>
    <row r="230" ht="14.25" customHeight="1">
      <c r="A230" s="187"/>
      <c r="B230" s="128"/>
    </row>
    <row r="231" ht="14.25" customHeight="1">
      <c r="A231" s="187"/>
      <c r="B231" s="128"/>
    </row>
    <row r="232" ht="14.25" customHeight="1">
      <c r="A232" s="187"/>
      <c r="B232" s="128"/>
    </row>
    <row r="233" ht="14.25" customHeight="1">
      <c r="A233" s="187"/>
      <c r="B233" s="128"/>
    </row>
    <row r="234" ht="14.25" customHeight="1">
      <c r="A234" s="187"/>
      <c r="B234" s="128"/>
    </row>
    <row r="235" ht="14.25" customHeight="1">
      <c r="A235" s="187"/>
      <c r="B235" s="128"/>
    </row>
    <row r="236" ht="14.25" customHeight="1">
      <c r="A236" s="187"/>
      <c r="B236" s="128"/>
    </row>
    <row r="237" ht="14.25" customHeight="1">
      <c r="A237" s="187"/>
      <c r="B237" s="128"/>
    </row>
    <row r="238" ht="14.25" customHeight="1">
      <c r="A238" s="187"/>
      <c r="B238" s="128"/>
    </row>
    <row r="239" ht="14.25" customHeight="1">
      <c r="A239" s="187"/>
      <c r="B239" s="128"/>
    </row>
    <row r="240" ht="14.25" customHeight="1">
      <c r="A240" s="187"/>
      <c r="B240" s="128"/>
    </row>
    <row r="241" ht="14.25" customHeight="1">
      <c r="A241" s="187"/>
      <c r="B241" s="128"/>
    </row>
    <row r="242" ht="14.25" customHeight="1">
      <c r="A242" s="187"/>
      <c r="B242" s="128"/>
    </row>
    <row r="243" ht="14.25" customHeight="1">
      <c r="A243" s="187"/>
      <c r="B243" s="128"/>
    </row>
    <row r="244" ht="14.25" customHeight="1">
      <c r="A244" s="187"/>
      <c r="B244" s="128"/>
    </row>
    <row r="245" ht="14.25" customHeight="1">
      <c r="A245" s="187"/>
      <c r="B245" s="128"/>
    </row>
    <row r="246" ht="14.25" customHeight="1">
      <c r="A246" s="187"/>
      <c r="B246" s="128"/>
    </row>
    <row r="247" ht="14.25" customHeight="1">
      <c r="A247" s="187"/>
      <c r="B247" s="128"/>
    </row>
    <row r="248" ht="14.25" customHeight="1">
      <c r="A248" s="187"/>
      <c r="B248" s="128"/>
    </row>
    <row r="249" ht="14.25" customHeight="1">
      <c r="A249" s="187"/>
      <c r="B249" s="128"/>
    </row>
    <row r="250" ht="14.25" customHeight="1">
      <c r="A250" s="187"/>
      <c r="B250" s="128"/>
    </row>
    <row r="251" ht="14.25" customHeight="1">
      <c r="A251" s="187"/>
      <c r="B251" s="128"/>
    </row>
    <row r="252" ht="14.25" customHeight="1">
      <c r="A252" s="187"/>
      <c r="B252" s="128"/>
    </row>
    <row r="253" ht="14.25" customHeight="1">
      <c r="A253" s="187"/>
      <c r="B253" s="128"/>
    </row>
    <row r="254" ht="14.25" customHeight="1">
      <c r="A254" s="187"/>
      <c r="B254" s="128"/>
    </row>
    <row r="255" ht="14.25" customHeight="1">
      <c r="A255" s="187"/>
      <c r="B255" s="128"/>
    </row>
    <row r="256" ht="14.25" customHeight="1">
      <c r="A256" s="187"/>
      <c r="B256" s="128"/>
    </row>
    <row r="257" ht="14.25" customHeight="1">
      <c r="A257" s="187"/>
      <c r="B257" s="128"/>
    </row>
    <row r="258" ht="14.25" customHeight="1">
      <c r="A258" s="187"/>
      <c r="B258" s="128"/>
    </row>
    <row r="259" ht="14.25" customHeight="1">
      <c r="A259" s="187"/>
      <c r="B259" s="128"/>
    </row>
    <row r="260" ht="14.25" customHeight="1">
      <c r="A260" s="187"/>
      <c r="B260" s="128"/>
    </row>
    <row r="261" ht="14.25" customHeight="1">
      <c r="A261" s="187"/>
      <c r="B261" s="128"/>
    </row>
    <row r="262" ht="14.25" customHeight="1">
      <c r="A262" s="187"/>
      <c r="B262" s="128"/>
    </row>
    <row r="263" ht="14.25" customHeight="1">
      <c r="A263" s="187"/>
      <c r="B263" s="128"/>
    </row>
    <row r="264" ht="14.25" customHeight="1">
      <c r="A264" s="187"/>
      <c r="B264" s="128"/>
    </row>
    <row r="265" ht="14.25" customHeight="1">
      <c r="A265" s="187"/>
      <c r="B265" s="128"/>
    </row>
    <row r="266" ht="14.25" customHeight="1">
      <c r="A266" s="187"/>
      <c r="B266" s="128"/>
    </row>
    <row r="267" ht="14.25" customHeight="1">
      <c r="A267" s="187"/>
      <c r="B267" s="128"/>
    </row>
    <row r="268" ht="14.25" customHeight="1">
      <c r="A268" s="187"/>
      <c r="B268" s="128"/>
    </row>
    <row r="269" ht="14.25" customHeight="1">
      <c r="A269" s="187"/>
      <c r="B269" s="128"/>
    </row>
    <row r="270" ht="14.25" customHeight="1">
      <c r="A270" s="187"/>
      <c r="B270" s="128"/>
    </row>
    <row r="271" ht="14.25" customHeight="1">
      <c r="A271" s="187"/>
      <c r="B271" s="128"/>
    </row>
    <row r="272" ht="14.25" customHeight="1">
      <c r="A272" s="187"/>
      <c r="B272" s="128"/>
    </row>
    <row r="273" ht="14.25" customHeight="1">
      <c r="A273" s="187"/>
      <c r="B273" s="128"/>
    </row>
    <row r="274" ht="14.25" customHeight="1">
      <c r="A274" s="187"/>
      <c r="B274" s="128"/>
    </row>
    <row r="275" ht="14.25" customHeight="1">
      <c r="A275" s="187"/>
      <c r="B275" s="128"/>
    </row>
    <row r="276" ht="14.25" customHeight="1">
      <c r="A276" s="187"/>
      <c r="B276" s="128"/>
    </row>
    <row r="277" ht="14.25" customHeight="1">
      <c r="A277" s="187"/>
      <c r="B277" s="128"/>
    </row>
    <row r="278" ht="14.25" customHeight="1">
      <c r="A278" s="187"/>
      <c r="B278" s="128"/>
    </row>
    <row r="279" ht="14.25" customHeight="1">
      <c r="A279" s="187"/>
      <c r="B279" s="128"/>
    </row>
    <row r="280" ht="14.25" customHeight="1">
      <c r="A280" s="187"/>
      <c r="B280" s="128"/>
    </row>
    <row r="281" ht="14.25" customHeight="1">
      <c r="A281" s="187"/>
      <c r="B281" s="128"/>
    </row>
    <row r="282" ht="14.25" customHeight="1">
      <c r="A282" s="187"/>
      <c r="B282" s="128"/>
    </row>
    <row r="283" ht="14.25" customHeight="1">
      <c r="A283" s="187"/>
      <c r="B283" s="128"/>
    </row>
    <row r="284" ht="14.25" customHeight="1">
      <c r="A284" s="187"/>
      <c r="B284" s="128"/>
    </row>
    <row r="285" ht="14.25" customHeight="1">
      <c r="A285" s="187"/>
      <c r="B285" s="128"/>
    </row>
    <row r="286" ht="14.25" customHeight="1">
      <c r="A286" s="187"/>
      <c r="B286" s="128"/>
    </row>
    <row r="287" ht="14.25" customHeight="1">
      <c r="A287" s="187"/>
      <c r="B287" s="128"/>
    </row>
    <row r="288" ht="14.25" customHeight="1">
      <c r="A288" s="187"/>
      <c r="B288" s="128"/>
    </row>
    <row r="289" ht="14.25" customHeight="1">
      <c r="A289" s="187"/>
      <c r="B289" s="128"/>
    </row>
    <row r="290" ht="14.25" customHeight="1">
      <c r="A290" s="187"/>
      <c r="B290" s="128"/>
    </row>
    <row r="291" ht="14.25" customHeight="1">
      <c r="A291" s="187"/>
      <c r="B291" s="128"/>
    </row>
    <row r="292" ht="14.25" customHeight="1">
      <c r="A292" s="187"/>
      <c r="B292" s="128"/>
    </row>
    <row r="293" ht="14.25" customHeight="1">
      <c r="A293" s="187"/>
      <c r="B293" s="128"/>
    </row>
    <row r="294" ht="14.25" customHeight="1">
      <c r="A294" s="187"/>
      <c r="B294" s="128"/>
    </row>
    <row r="295" ht="14.25" customHeight="1">
      <c r="A295" s="187"/>
      <c r="B295" s="128"/>
    </row>
    <row r="296" ht="14.25" customHeight="1">
      <c r="A296" s="187"/>
      <c r="B296" s="128"/>
    </row>
    <row r="297" ht="14.25" customHeight="1">
      <c r="A297" s="187"/>
      <c r="B297" s="128"/>
    </row>
    <row r="298" ht="14.25" customHeight="1">
      <c r="A298" s="187"/>
      <c r="B298" s="128"/>
    </row>
    <row r="299" ht="14.25" customHeight="1">
      <c r="A299" s="187"/>
      <c r="B299" s="128"/>
    </row>
    <row r="300" ht="14.25" customHeight="1">
      <c r="A300" s="187"/>
      <c r="B300" s="128"/>
    </row>
    <row r="301" ht="14.25" customHeight="1">
      <c r="A301" s="187"/>
      <c r="B301" s="128"/>
    </row>
    <row r="302" ht="14.25" customHeight="1">
      <c r="A302" s="187"/>
      <c r="B302" s="128"/>
    </row>
    <row r="303" ht="14.25" customHeight="1">
      <c r="A303" s="187"/>
      <c r="B303" s="128"/>
    </row>
    <row r="304" ht="14.25" customHeight="1">
      <c r="A304" s="187"/>
      <c r="B304" s="128"/>
    </row>
    <row r="305" ht="14.25" customHeight="1">
      <c r="A305" s="187"/>
      <c r="B305" s="128"/>
    </row>
    <row r="306" ht="14.25" customHeight="1">
      <c r="A306" s="187"/>
      <c r="B306" s="128"/>
    </row>
    <row r="307" ht="14.25" customHeight="1">
      <c r="A307" s="187"/>
      <c r="B307" s="128"/>
    </row>
    <row r="308" ht="14.25" customHeight="1">
      <c r="A308" s="187"/>
      <c r="B308" s="128"/>
    </row>
    <row r="309" ht="14.25" customHeight="1">
      <c r="A309" s="187"/>
      <c r="B309" s="128"/>
    </row>
    <row r="310" ht="14.25" customHeight="1">
      <c r="A310" s="187"/>
      <c r="B310" s="128"/>
    </row>
    <row r="311" ht="14.25" customHeight="1">
      <c r="A311" s="187"/>
      <c r="B311" s="128"/>
    </row>
    <row r="312" ht="14.25" customHeight="1">
      <c r="A312" s="187"/>
      <c r="B312" s="128"/>
    </row>
    <row r="313" ht="14.25" customHeight="1">
      <c r="A313" s="187"/>
      <c r="B313" s="128"/>
    </row>
    <row r="314" ht="14.25" customHeight="1">
      <c r="A314" s="187"/>
      <c r="B314" s="128"/>
    </row>
    <row r="315" ht="14.25" customHeight="1">
      <c r="A315" s="187"/>
      <c r="B315" s="128"/>
    </row>
    <row r="316" ht="14.25" customHeight="1">
      <c r="A316" s="187"/>
      <c r="B316" s="128"/>
    </row>
    <row r="317" ht="14.25" customHeight="1">
      <c r="A317" s="187"/>
      <c r="B317" s="128"/>
    </row>
    <row r="318" ht="14.25" customHeight="1">
      <c r="A318" s="187"/>
      <c r="B318" s="128"/>
    </row>
    <row r="319" ht="14.25" customHeight="1">
      <c r="A319" s="187"/>
      <c r="B319" s="128"/>
    </row>
    <row r="320" ht="14.25" customHeight="1">
      <c r="A320" s="187"/>
      <c r="B320" s="128"/>
    </row>
    <row r="321" ht="14.25" customHeight="1">
      <c r="A321" s="187"/>
      <c r="B321" s="128"/>
    </row>
    <row r="322" ht="14.25" customHeight="1">
      <c r="A322" s="187"/>
      <c r="B322" s="128"/>
    </row>
    <row r="323" ht="14.25" customHeight="1">
      <c r="A323" s="187"/>
      <c r="B323" s="128"/>
    </row>
    <row r="324" ht="14.25" customHeight="1">
      <c r="A324" s="187"/>
      <c r="B324" s="128"/>
    </row>
    <row r="325" ht="14.25" customHeight="1">
      <c r="A325" s="187"/>
      <c r="B325" s="128"/>
    </row>
    <row r="326" ht="14.25" customHeight="1">
      <c r="A326" s="187"/>
      <c r="B326" s="128"/>
    </row>
    <row r="327" ht="14.25" customHeight="1">
      <c r="A327" s="187"/>
      <c r="B327" s="128"/>
    </row>
    <row r="328" ht="14.25" customHeight="1">
      <c r="A328" s="187"/>
      <c r="B328" s="128"/>
    </row>
    <row r="329" ht="14.25" customHeight="1">
      <c r="A329" s="187"/>
      <c r="B329" s="128"/>
    </row>
    <row r="330" ht="14.25" customHeight="1">
      <c r="A330" s="187"/>
      <c r="B330" s="128"/>
    </row>
    <row r="331" ht="14.25" customHeight="1">
      <c r="A331" s="187"/>
      <c r="B331" s="128"/>
    </row>
    <row r="332" ht="14.25" customHeight="1">
      <c r="A332" s="187"/>
      <c r="B332" s="128"/>
    </row>
    <row r="333" ht="14.25" customHeight="1">
      <c r="A333" s="187"/>
      <c r="B333" s="128"/>
    </row>
    <row r="334" ht="14.25" customHeight="1">
      <c r="A334" s="187"/>
      <c r="B334" s="128"/>
    </row>
    <row r="335" ht="14.25" customHeight="1">
      <c r="A335" s="187"/>
      <c r="B335" s="128"/>
    </row>
    <row r="336" ht="14.25" customHeight="1">
      <c r="A336" s="187"/>
      <c r="B336" s="128"/>
    </row>
    <row r="337" ht="14.25" customHeight="1">
      <c r="A337" s="187"/>
      <c r="B337" s="128"/>
    </row>
    <row r="338" ht="14.25" customHeight="1">
      <c r="A338" s="187"/>
      <c r="B338" s="128"/>
    </row>
    <row r="339" ht="14.25" customHeight="1">
      <c r="A339" s="187"/>
      <c r="B339" s="128"/>
    </row>
    <row r="340" ht="14.25" customHeight="1">
      <c r="A340" s="187"/>
      <c r="B340" s="128"/>
    </row>
    <row r="341" ht="14.25" customHeight="1">
      <c r="A341" s="187"/>
      <c r="B341" s="128"/>
    </row>
    <row r="342" ht="14.25" customHeight="1">
      <c r="A342" s="187"/>
      <c r="B342" s="128"/>
    </row>
    <row r="343" ht="14.25" customHeight="1">
      <c r="A343" s="187"/>
      <c r="B343" s="128"/>
    </row>
    <row r="344" ht="14.25" customHeight="1">
      <c r="A344" s="187"/>
      <c r="B344" s="128"/>
    </row>
    <row r="345" ht="14.25" customHeight="1">
      <c r="A345" s="187"/>
      <c r="B345" s="128"/>
    </row>
    <row r="346" ht="14.25" customHeight="1">
      <c r="A346" s="187"/>
      <c r="B346" s="128"/>
    </row>
    <row r="347" ht="14.25" customHeight="1">
      <c r="A347" s="187"/>
      <c r="B347" s="128"/>
    </row>
    <row r="348" ht="14.25" customHeight="1">
      <c r="A348" s="187"/>
      <c r="B348" s="128"/>
    </row>
    <row r="349" ht="14.25" customHeight="1">
      <c r="A349" s="187"/>
      <c r="B349" s="128"/>
    </row>
    <row r="350" ht="14.25" customHeight="1">
      <c r="A350" s="187"/>
      <c r="B350" s="128"/>
    </row>
    <row r="351" ht="14.25" customHeight="1">
      <c r="A351" s="187"/>
      <c r="B351" s="128"/>
    </row>
    <row r="352" ht="14.25" customHeight="1">
      <c r="A352" s="187"/>
      <c r="B352" s="128"/>
    </row>
    <row r="353" ht="14.25" customHeight="1">
      <c r="A353" s="187"/>
      <c r="B353" s="128"/>
    </row>
    <row r="354" ht="14.25" customHeight="1">
      <c r="A354" s="187"/>
      <c r="B354" s="128"/>
    </row>
    <row r="355" ht="14.25" customHeight="1">
      <c r="A355" s="187"/>
      <c r="B355" s="128"/>
    </row>
    <row r="356" ht="14.25" customHeight="1">
      <c r="A356" s="187"/>
      <c r="B356" s="128"/>
    </row>
    <row r="357" ht="14.25" customHeight="1">
      <c r="A357" s="187"/>
      <c r="B357" s="128"/>
    </row>
    <row r="358" ht="14.25" customHeight="1">
      <c r="A358" s="187"/>
      <c r="B358" s="128"/>
    </row>
    <row r="359" ht="14.25" customHeight="1">
      <c r="A359" s="187"/>
      <c r="B359" s="128"/>
    </row>
    <row r="360" ht="14.25" customHeight="1">
      <c r="A360" s="187"/>
      <c r="B360" s="128"/>
    </row>
    <row r="361" ht="14.25" customHeight="1">
      <c r="A361" s="187"/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3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44</v>
      </c>
    </row>
    <row r="2" ht="14.25" customHeight="1">
      <c r="A2" s="118" t="str">
        <f>IFERROR(__xludf.DUMMYFUNCTION(" IMPORTRANGE(""https://docs.google.com/spreadsheets/d/1Vq9aGQ8UUTI-TtFXQSTrrP2gNobLHC_d2NJAYiLotPA/edit#gid=1444344404"",""Surprise!A2:A161"")"),"immond")</f>
        <v>immond</v>
      </c>
      <c r="B2" s="103">
        <v>1.0</v>
      </c>
      <c r="C2" s="183">
        <f t="shared" ref="C2:C161" si="1">260*(1-(B2/($H$1+1)))*POWER((SQRT(($H$1+1)/B2)),1/2)</f>
        <v>658.4406563</v>
      </c>
      <c r="D2" s="124" t="str">
        <f>VLOOKUP(A2,'Classement Surp'!$B$2:$B$149,1,0)</f>
        <v>immond</v>
      </c>
      <c r="E2" s="125" t="str">
        <f t="shared" ref="E2:E161" si="2">IF(D2=A2,"","erreur")</f>
        <v/>
      </c>
      <c r="F2" s="120" t="str">
        <f>VLOOKUP(A2,'Classement Général'!$B$2:$B$146,1,0)</f>
        <v>immond</v>
      </c>
    </row>
    <row r="3" ht="14.25" customHeight="1">
      <c r="A3" s="118" t="str">
        <f>IFERROR(__xludf.DUMMYFUNCTION("""COMPUTED_VALUE"""),"KINCHUNK")</f>
        <v>KINCHUNK</v>
      </c>
      <c r="B3" s="103">
        <v>2.0</v>
      </c>
      <c r="C3" s="183">
        <f t="shared" si="1"/>
        <v>541.0967424</v>
      </c>
      <c r="D3" s="124" t="str">
        <f>VLOOKUP(A3,'Classement Surp'!$B$2:$B$149,1,0)</f>
        <v>KINCHUNK</v>
      </c>
      <c r="E3" s="125" t="str">
        <f t="shared" si="2"/>
        <v/>
      </c>
      <c r="F3" s="120" t="str">
        <f>VLOOKUP(A3,'Classement Général'!$B$2:$B$146,1,0)</f>
        <v>KINCHUNK</v>
      </c>
    </row>
    <row r="4" ht="14.25" customHeight="1">
      <c r="A4" s="118" t="str">
        <f>IFERROR(__xludf.DUMMYFUNCTION("""COMPUTED_VALUE"""),"sonic86")</f>
        <v>sonic86</v>
      </c>
      <c r="B4" s="103">
        <v>3.0</v>
      </c>
      <c r="C4" s="183">
        <f t="shared" si="1"/>
        <v>477.5654936</v>
      </c>
      <c r="D4" s="124" t="str">
        <f>VLOOKUP(A4,'Classement Surp'!$B$2:$B$149,1,0)</f>
        <v>sonic86</v>
      </c>
      <c r="E4" s="125" t="str">
        <f t="shared" si="2"/>
        <v/>
      </c>
      <c r="F4" s="120" t="str">
        <f>VLOOKUP(A4,'Classement Général'!$B$2:$B$146,1,0)</f>
        <v>sonic86</v>
      </c>
    </row>
    <row r="5" ht="14.25" customHeight="1">
      <c r="A5" s="118" t="str">
        <f>IFERROR(__xludf.DUMMYFUNCTION("""COMPUTED_VALUE"""),". BARBAPAPA66")</f>
        <v>. BARBAPAPA66</v>
      </c>
      <c r="B5" s="103">
        <v>4.0</v>
      </c>
      <c r="C5" s="183">
        <f t="shared" si="1"/>
        <v>433.8432267</v>
      </c>
      <c r="D5" s="124" t="str">
        <f>VLOOKUP(A5,'Classement Surp'!$B$2:$B$149,1,0)</f>
        <v>. BARBAPAPA66</v>
      </c>
      <c r="E5" s="125" t="str">
        <f t="shared" si="2"/>
        <v/>
      </c>
      <c r="F5" s="120" t="str">
        <f>VLOOKUP(A5,'Classement Général'!$B$2:$B$146,1,0)</f>
        <v>. BARBAPAPA66</v>
      </c>
    </row>
    <row r="6" ht="14.25" customHeight="1">
      <c r="A6" s="118" t="str">
        <f>IFERROR(__xludf.DUMMYFUNCTION("""COMPUTED_VALUE"""),"_Sale-Bet_")</f>
        <v>_Sale-Bet_</v>
      </c>
      <c r="B6" s="103">
        <v>5.0</v>
      </c>
      <c r="C6" s="183">
        <f t="shared" si="1"/>
        <v>400.2961866</v>
      </c>
      <c r="D6" s="124" t="str">
        <f>VLOOKUP(A6,'Classement Surp'!$B$2:$B$149,1,0)</f>
        <v>_Sale-Bet_</v>
      </c>
      <c r="E6" s="125" t="str">
        <f t="shared" si="2"/>
        <v/>
      </c>
      <c r="F6" s="120" t="str">
        <f>VLOOKUP(A6,'Classement Général'!$B$2:$B$146,1,0)</f>
        <v>_Sale-Bet_</v>
      </c>
    </row>
    <row r="7" ht="14.25" customHeight="1">
      <c r="A7" s="118" t="str">
        <f>IFERROR(__xludf.DUMMYFUNCTION("""COMPUTED_VALUE"""),"chiffon")</f>
        <v>chiffon</v>
      </c>
      <c r="B7" s="103">
        <v>6.0</v>
      </c>
      <c r="C7" s="183">
        <f t="shared" si="1"/>
        <v>372.8986036</v>
      </c>
      <c r="D7" s="124" t="str">
        <f>VLOOKUP(A7,'Classement Surp'!$B$2:$B$149,1,0)</f>
        <v>chiffon</v>
      </c>
      <c r="E7" s="125" t="str">
        <f t="shared" si="2"/>
        <v/>
      </c>
      <c r="F7" s="120" t="str">
        <f>VLOOKUP(A7,'Classement Général'!$B$2:$B$146,1,0)</f>
        <v>chiffon</v>
      </c>
    </row>
    <row r="8" ht="14.25" customHeight="1">
      <c r="A8" s="118" t="str">
        <f>IFERROR(__xludf.DUMMYFUNCTION("""COMPUTED_VALUE"""),"8kinder6")</f>
        <v>8kinder6</v>
      </c>
      <c r="B8" s="103">
        <v>7.0</v>
      </c>
      <c r="C8" s="183">
        <f t="shared" si="1"/>
        <v>349.6013083</v>
      </c>
      <c r="D8" s="124" t="str">
        <f>VLOOKUP(A8,'Classement Surp'!$B$2:$B$149,1,0)</f>
        <v>8kinder6</v>
      </c>
      <c r="E8" s="125" t="str">
        <f t="shared" si="2"/>
        <v/>
      </c>
      <c r="F8" s="120" t="str">
        <f>VLOOKUP(A8,'Classement Général'!$B$2:$B$146,1,0)</f>
        <v>8kinder6</v>
      </c>
    </row>
    <row r="9" ht="14.25" customHeight="1">
      <c r="A9" s="118" t="str">
        <f>IFERROR(__xludf.DUMMYFUNCTION("""COMPUTED_VALUE"""),"christ86000")</f>
        <v>christ86000</v>
      </c>
      <c r="B9" s="103">
        <v>8.0</v>
      </c>
      <c r="C9" s="183">
        <f t="shared" si="1"/>
        <v>329.2252908</v>
      </c>
      <c r="D9" s="124" t="str">
        <f>VLOOKUP(A9,'Classement Surp'!$B$2:$B$149,1,0)</f>
        <v>christ86000</v>
      </c>
      <c r="E9" s="125" t="str">
        <f t="shared" si="2"/>
        <v/>
      </c>
      <c r="F9" s="120" t="str">
        <f>VLOOKUP(A9,'Classement Général'!$B$2:$B$146,1,0)</f>
        <v>christ86000</v>
      </c>
    </row>
    <row r="10" ht="14.25" customHeight="1">
      <c r="A10" s="118" t="str">
        <f>IFERROR(__xludf.DUMMYFUNCTION("""COMPUTED_VALUE"""),".choco")</f>
        <v>.choco</v>
      </c>
      <c r="B10" s="103">
        <v>9.0</v>
      </c>
      <c r="C10" s="183">
        <f t="shared" si="1"/>
        <v>311.0325465</v>
      </c>
      <c r="D10" s="124" t="str">
        <f>VLOOKUP(A10,'Classement Surp'!$B$2:$B$149,1,0)</f>
        <v>.choco</v>
      </c>
      <c r="E10" s="125" t="str">
        <f t="shared" si="2"/>
        <v/>
      </c>
      <c r="F10" s="120" t="str">
        <f>VLOOKUP(A10,'Classement Général'!$B$2:$B$146,1,0)</f>
        <v>.choco</v>
      </c>
    </row>
    <row r="11" ht="14.25" customHeight="1">
      <c r="A11" s="118" t="str">
        <f>IFERROR(__xludf.DUMMYFUNCTION("""COMPUTED_VALUE"""),"Vaillant 86")</f>
        <v>Vaillant 86</v>
      </c>
      <c r="B11" s="103">
        <v>10.0</v>
      </c>
      <c r="C11" s="183">
        <f t="shared" si="1"/>
        <v>294.5316748</v>
      </c>
      <c r="D11" s="124" t="str">
        <f>VLOOKUP(A11,'Classement Surp'!$B$2:$B$149,1,0)</f>
        <v>Vaillant 86</v>
      </c>
      <c r="E11" s="125" t="str">
        <f t="shared" si="2"/>
        <v/>
      </c>
      <c r="F11" s="120" t="str">
        <f>VLOOKUP(A11,'Classement Général'!$B$2:$B$146,1,0)</f>
        <v>Vaillant 86</v>
      </c>
    </row>
    <row r="12" ht="14.25" customHeight="1">
      <c r="A12" s="118" t="str">
        <f>IFERROR(__xludf.DUMMYFUNCTION("""COMPUTED_VALUE"""),"Dirty Bazaar")</f>
        <v>Dirty Bazaar</v>
      </c>
      <c r="B12" s="103">
        <v>11.0</v>
      </c>
      <c r="C12" s="183">
        <f t="shared" si="1"/>
        <v>279.379611</v>
      </c>
      <c r="D12" s="124" t="str">
        <f>VLOOKUP(A12,'Classement Surp'!$B$2:$B$149,1,0)</f>
        <v>Dirty Bazaar</v>
      </c>
      <c r="E12" s="125" t="str">
        <f t="shared" si="2"/>
        <v/>
      </c>
      <c r="F12" s="120" t="str">
        <f>VLOOKUP(A12,'Classement Général'!$B$2:$B$146,1,0)</f>
        <v>Dirty Bazaar</v>
      </c>
    </row>
    <row r="13" ht="14.25" customHeight="1">
      <c r="A13" s="118" t="str">
        <f>IFERROR(__xludf.DUMMYFUNCTION("""COMPUTED_VALUE"""),"Bratake")</f>
        <v>Bratake</v>
      </c>
      <c r="B13" s="103">
        <v>12.0</v>
      </c>
      <c r="C13" s="183">
        <f t="shared" si="1"/>
        <v>265.3276992</v>
      </c>
      <c r="D13" s="124" t="str">
        <f>VLOOKUP(A13,'Classement Surp'!$B$2:$B$149,1,0)</f>
        <v>Bratake</v>
      </c>
      <c r="E13" s="125" t="str">
        <f t="shared" si="2"/>
        <v/>
      </c>
      <c r="F13" s="120" t="str">
        <f>VLOOKUP(A13,'Classement Général'!$B$2:$B$146,1,0)</f>
        <v>Bratake</v>
      </c>
    </row>
    <row r="14" ht="14.25" customHeight="1">
      <c r="A14" s="118" t="str">
        <f>IFERROR(__xludf.DUMMYFUNCTION("""COMPUTED_VALUE"""),"jejehehe")</f>
        <v>jejehehe</v>
      </c>
      <c r="B14" s="103">
        <v>13.0</v>
      </c>
      <c r="C14" s="183">
        <f t="shared" si="1"/>
        <v>252.1901401</v>
      </c>
      <c r="D14" s="124" t="str">
        <f>VLOOKUP(A14,'Classement Surp'!$B$2:$B$149,1,0)</f>
        <v>jejehehe</v>
      </c>
      <c r="E14" s="125" t="str">
        <f t="shared" si="2"/>
        <v/>
      </c>
      <c r="F14" s="120" t="str">
        <f>VLOOKUP(A14,'Classement Général'!$B$2:$B$146,1,0)</f>
        <v>jejehehe</v>
      </c>
    </row>
    <row r="15" ht="14.25" customHeight="1">
      <c r="A15" s="118" t="str">
        <f>IFERROR(__xludf.DUMMYFUNCTION("""COMPUTED_VALUE"""),"BRUNOWINNER")</f>
        <v>BRUNOWINNER</v>
      </c>
      <c r="B15" s="103">
        <v>14.0</v>
      </c>
      <c r="C15" s="183">
        <f t="shared" si="1"/>
        <v>239.8245551</v>
      </c>
      <c r="D15" s="124" t="str">
        <f>VLOOKUP(A15,'Classement Surp'!$B$2:$B$149,1,0)</f>
        <v>BRUNOWINNER</v>
      </c>
      <c r="E15" s="125" t="str">
        <f t="shared" si="2"/>
        <v/>
      </c>
      <c r="F15" s="120" t="str">
        <f>VLOOKUP(A15,'Classement Général'!$B$2:$B$146,1,0)</f>
        <v>BRUNOWINNER</v>
      </c>
      <c r="J15" s="130" t="s">
        <v>117</v>
      </c>
    </row>
    <row r="16" ht="14.25" customHeight="1">
      <c r="A16" s="118" t="str">
        <f>IFERROR(__xludf.DUMMYFUNCTION("""COMPUTED_VALUE"""),"karibette86")</f>
        <v>karibette86</v>
      </c>
      <c r="B16" s="103">
        <v>15.0</v>
      </c>
      <c r="C16" s="183">
        <f t="shared" si="1"/>
        <v>228.1194956</v>
      </c>
      <c r="D16" s="124" t="str">
        <f>VLOOKUP(A16,'Classement Surp'!$B$2:$B$149,1,0)</f>
        <v>karibette86</v>
      </c>
      <c r="E16" s="125" t="str">
        <f t="shared" si="2"/>
        <v/>
      </c>
      <c r="F16" s="120" t="str">
        <f>VLOOKUP(A16,'Classement Général'!$B$2:$B$146,1,0)</f>
        <v>karibette86</v>
      </c>
      <c r="J16" s="130" t="s">
        <v>126</v>
      </c>
    </row>
    <row r="17" ht="14.25" customHeight="1">
      <c r="A17" s="118" t="str">
        <f>IFERROR(__xludf.DUMMYFUNCTION("""COMPUTED_VALUE"""),"Le_Pictavien")</f>
        <v>Le_Pictavien</v>
      </c>
      <c r="B17" s="103">
        <v>16.0</v>
      </c>
      <c r="C17" s="183">
        <f t="shared" si="1"/>
        <v>216.9861254</v>
      </c>
      <c r="D17" s="124" t="str">
        <f>VLOOKUP(A17,'Classement Surp'!$B$2:$B$149,1,0)</f>
        <v>Le_Pictavien</v>
      </c>
      <c r="E17" s="125" t="str">
        <f t="shared" si="2"/>
        <v/>
      </c>
      <c r="F17" s="120" t="str">
        <f>VLOOKUP(A17,'Classement Général'!$B$2:$B$146,1,0)</f>
        <v>Le_Pictavien</v>
      </c>
      <c r="J17" s="130" t="s">
        <v>139</v>
      </c>
    </row>
    <row r="18" ht="14.25" customHeight="1">
      <c r="A18" s="118" t="str">
        <f>IFERROR(__xludf.DUMMYFUNCTION("""COMPUTED_VALUE"""),"Garou du 86")</f>
        <v>Garou du 86</v>
      </c>
      <c r="B18" s="103">
        <v>17.0</v>
      </c>
      <c r="C18" s="183">
        <f t="shared" si="1"/>
        <v>206.3525137</v>
      </c>
      <c r="D18" s="124" t="str">
        <f>VLOOKUP(A18,'Classement Surp'!$B$2:$B$149,1,0)</f>
        <v>Garou du 86</v>
      </c>
      <c r="E18" s="125" t="str">
        <f t="shared" si="2"/>
        <v/>
      </c>
      <c r="F18" s="120" t="str">
        <f>VLOOKUP(A18,'Classement Général'!$B$2:$B$146,1,0)</f>
        <v>Garou du 86</v>
      </c>
      <c r="J18" s="130" t="s">
        <v>147</v>
      </c>
    </row>
    <row r="19" ht="14.25" customHeight="1">
      <c r="A19" s="118" t="str">
        <f>IFERROR(__xludf.DUMMYFUNCTION("""COMPUTED_VALUE"""),"Kiki Bazaar")</f>
        <v>Kiki Bazaar</v>
      </c>
      <c r="B19" s="103">
        <v>18.0</v>
      </c>
      <c r="C19" s="183">
        <f t="shared" si="1"/>
        <v>196.159615</v>
      </c>
      <c r="D19" s="124" t="str">
        <f>VLOOKUP(A19,'Classement Surp'!$B$2:$B$149,1,0)</f>
        <v>Kiki Bazaar</v>
      </c>
      <c r="E19" s="125" t="str">
        <f t="shared" si="2"/>
        <v/>
      </c>
      <c r="F19" s="120" t="str">
        <f>VLOOKUP(A19,'Classement Général'!$B$2:$B$146,1,0)</f>
        <v>Kiki Bazaar</v>
      </c>
      <c r="J19" s="130" t="s">
        <v>151</v>
      </c>
    </row>
    <row r="20" ht="14.25" customHeight="1">
      <c r="A20" s="118" t="str">
        <f>IFERROR(__xludf.DUMMYFUNCTION("""COMPUTED_VALUE"""),"Jo")</f>
        <v>Jo</v>
      </c>
      <c r="B20" s="103">
        <v>19.0</v>
      </c>
      <c r="C20" s="183">
        <f t="shared" si="1"/>
        <v>186.3583731</v>
      </c>
      <c r="D20" s="124" t="str">
        <f>VLOOKUP(A20,'Classement Surp'!$B$2:$B$149,1,0)</f>
        <v>Jo</v>
      </c>
      <c r="E20" s="125" t="str">
        <f t="shared" si="2"/>
        <v/>
      </c>
      <c r="F20" s="120" t="str">
        <f>VLOOKUP(A20,'Classement Général'!$B$2:$B$146,1,0)</f>
        <v>Jo</v>
      </c>
    </row>
    <row r="21" ht="14.25" customHeight="1">
      <c r="A21" s="118" t="str">
        <f>IFERROR(__xludf.DUMMYFUNCTION("""COMPUTED_VALUE"""),"ledids")</f>
        <v>ledids</v>
      </c>
      <c r="B21" s="103">
        <v>20.0</v>
      </c>
      <c r="C21" s="183">
        <f t="shared" si="1"/>
        <v>176.9075925</v>
      </c>
      <c r="D21" s="124" t="str">
        <f>VLOOKUP(A21,'Classement Surp'!$B$2:$B$149,1,0)</f>
        <v>ledids</v>
      </c>
      <c r="E21" s="125" t="str">
        <f t="shared" si="2"/>
        <v/>
      </c>
      <c r="F21" s="120" t="str">
        <f>VLOOKUP(A21,'Classement Général'!$B$2:$B$146,1,0)</f>
        <v>ledids</v>
      </c>
    </row>
    <row r="22" ht="14.25" customHeight="1">
      <c r="A22" s="118" t="str">
        <f>IFERROR(__xludf.DUMMYFUNCTION("""COMPUTED_VALUE"""),"Phil1308")</f>
        <v>Phil1308</v>
      </c>
      <c r="B22" s="103">
        <v>21.0</v>
      </c>
      <c r="C22" s="183">
        <f t="shared" si="1"/>
        <v>167.7723473</v>
      </c>
      <c r="D22" s="124" t="str">
        <f>VLOOKUP(A22,'Classement Surp'!$B$2:$B$149,1,0)</f>
        <v>Phil1308</v>
      </c>
      <c r="E22" s="125" t="str">
        <f t="shared" si="2"/>
        <v/>
      </c>
      <c r="F22" s="120" t="str">
        <f>VLOOKUP(A22,'Classement Général'!$B$2:$B$146,1,0)</f>
        <v>Phil1308</v>
      </c>
    </row>
    <row r="23" ht="14.25" customHeight="1">
      <c r="A23" s="118" t="str">
        <f>IFERROR(__xludf.DUMMYFUNCTION("""COMPUTED_VALUE"""),"erniedog56x")</f>
        <v>erniedog56x</v>
      </c>
      <c r="B23" s="103">
        <v>22.0</v>
      </c>
      <c r="C23" s="183">
        <f t="shared" si="1"/>
        <v>158.9227708</v>
      </c>
      <c r="D23" s="124" t="str">
        <f>VLOOKUP(A23,'Classement Surp'!$B$2:$B$149,1,0)</f>
        <v>erniedog56x</v>
      </c>
      <c r="E23" s="125" t="str">
        <f t="shared" si="2"/>
        <v/>
      </c>
      <c r="F23" s="120" t="str">
        <f>VLOOKUP(A23,'Classement Général'!$B$2:$B$146,1,0)</f>
        <v>erniedog56x</v>
      </c>
    </row>
    <row r="24" ht="14.25" customHeight="1">
      <c r="A24" s="118" t="str">
        <f>IFERROR(__xludf.DUMMYFUNCTION("""COMPUTED_VALUE"""),"Elfy")</f>
        <v>Elfy</v>
      </c>
      <c r="B24" s="103">
        <v>23.0</v>
      </c>
      <c r="C24" s="183">
        <f t="shared" si="1"/>
        <v>150.3331247</v>
      </c>
      <c r="D24" s="124" t="str">
        <f>VLOOKUP(A24,'Classement Surp'!$B$2:$B$149,1,0)</f>
        <v>Elfy</v>
      </c>
      <c r="E24" s="125" t="str">
        <f t="shared" si="2"/>
        <v/>
      </c>
      <c r="F24" s="120" t="str">
        <f>VLOOKUP(A24,'Classement Général'!$B$2:$B$146,1,0)</f>
        <v>Elfy</v>
      </c>
    </row>
    <row r="25" ht="14.25" customHeight="1">
      <c r="A25" s="118" t="str">
        <f>IFERROR(__xludf.DUMMYFUNCTION("""COMPUTED_VALUE"""),"Fistipanda")</f>
        <v>Fistipanda</v>
      </c>
      <c r="B25" s="103">
        <v>24.0</v>
      </c>
      <c r="C25" s="183">
        <f t="shared" si="1"/>
        <v>141.9810707</v>
      </c>
      <c r="D25" s="124" t="str">
        <f>VLOOKUP(A25,'Classement Surp'!$B$2:$B$149,1,0)</f>
        <v>Fistipanda</v>
      </c>
      <c r="E25" s="125" t="str">
        <f t="shared" si="2"/>
        <v/>
      </c>
      <c r="F25" s="120" t="str">
        <f>VLOOKUP(A25,'Classement Général'!$B$2:$B$146,1,0)</f>
        <v>Fistipanda</v>
      </c>
    </row>
    <row r="26" ht="14.25" customHeight="1">
      <c r="A26" s="118" t="str">
        <f>IFERROR(__xludf.DUMMYFUNCTION("""COMPUTED_VALUE"""),"cassius-86")</f>
        <v>cassius-86</v>
      </c>
      <c r="B26" s="103">
        <v>25.0</v>
      </c>
      <c r="C26" s="183">
        <f t="shared" si="1"/>
        <v>133.847097</v>
      </c>
      <c r="D26" s="124" t="str">
        <f>VLOOKUP(A26,'Classement Surp'!$B$2:$B$149,1,0)</f>
        <v>cassius-86</v>
      </c>
      <c r="E26" s="125" t="str">
        <f t="shared" si="2"/>
        <v/>
      </c>
      <c r="F26" s="120" t="str">
        <f>VLOOKUP(A26,'Classement Général'!$B$2:$B$146,1,0)</f>
        <v>cassius-86</v>
      </c>
    </row>
    <row r="27" ht="14.25" customHeight="1">
      <c r="A27" s="118" t="str">
        <f>IFERROR(__xludf.DUMMYFUNCTION("""COMPUTED_VALUE"""),"Mako Lemore")</f>
        <v>Mako Lemore</v>
      </c>
      <c r="B27" s="103">
        <v>26.0</v>
      </c>
      <c r="C27" s="183">
        <f t="shared" si="1"/>
        <v>125.9140597</v>
      </c>
      <c r="D27" s="124" t="str">
        <f>VLOOKUP(A27,'Classement Surp'!$B$2:$B$149,1,0)</f>
        <v>Mako Lemore</v>
      </c>
      <c r="E27" s="125" t="str">
        <f t="shared" si="2"/>
        <v/>
      </c>
      <c r="F27" s="120" t="str">
        <f>VLOOKUP(A27,'Classement Général'!$B$2:$B$146,1,0)</f>
        <v>Mako Lemore</v>
      </c>
    </row>
    <row r="28" ht="14.25" customHeight="1">
      <c r="A28" s="118" t="str">
        <f>IFERROR(__xludf.DUMMYFUNCTION("""COMPUTED_VALUE"""),"Odile2Raise")</f>
        <v>Odile2Raise</v>
      </c>
      <c r="B28" s="103">
        <v>27.0</v>
      </c>
      <c r="C28" s="183">
        <f t="shared" si="1"/>
        <v>118.1668141</v>
      </c>
      <c r="D28" s="124" t="str">
        <f>VLOOKUP(A28,'Classement Surp'!$B$2:$B$149,1,0)</f>
        <v>Odile2Raise</v>
      </c>
      <c r="E28" s="125" t="str">
        <f t="shared" si="2"/>
        <v/>
      </c>
      <c r="F28" s="120" t="str">
        <f>VLOOKUP(A28,'Classement Général'!$B$2:$B$146,1,0)</f>
        <v>Odile2Raise</v>
      </c>
    </row>
    <row r="29" ht="14.25" customHeight="1">
      <c r="A29" s="118" t="str">
        <f>IFERROR(__xludf.DUMMYFUNCTION("""COMPUTED_VALUE"""),"Redblood92")</f>
        <v>Redblood92</v>
      </c>
      <c r="B29" s="103">
        <v>28.0</v>
      </c>
      <c r="C29" s="183">
        <f t="shared" si="1"/>
        <v>110.5919145</v>
      </c>
      <c r="D29" s="124" t="str">
        <f>VLOOKUP(A29,'Classement Surp'!$B$2:$B$149,1,0)</f>
        <v>Redblood92</v>
      </c>
      <c r="E29" s="125" t="str">
        <f t="shared" si="2"/>
        <v/>
      </c>
      <c r="F29" s="120" t="str">
        <f>VLOOKUP(A29,'Classement Général'!$B$2:$B$146,1,0)</f>
        <v>Redblood92</v>
      </c>
    </row>
    <row r="30" ht="14.25" customHeight="1">
      <c r="A30" s="118" t="str">
        <f>IFERROR(__xludf.DUMMYFUNCTION("""COMPUTED_VALUE"""),"FridAKahlo")</f>
        <v>FridAKahlo</v>
      </c>
      <c r="B30" s="103">
        <v>29.0</v>
      </c>
      <c r="C30" s="183">
        <f t="shared" si="1"/>
        <v>103.1773682</v>
      </c>
      <c r="D30" s="124" t="str">
        <f>VLOOKUP(A30,'Classement Surp'!$B$2:$B$149,1,0)</f>
        <v>FridAKahlo</v>
      </c>
      <c r="E30" s="125" t="str">
        <f t="shared" si="2"/>
        <v/>
      </c>
      <c r="F30" s="120" t="str">
        <f>VLOOKUP(A30,'Classement Général'!$B$2:$B$146,1,0)</f>
        <v>FridAKahlo</v>
      </c>
    </row>
    <row r="31" ht="14.25" customHeight="1">
      <c r="A31" s="118" t="str">
        <f>IFERROR(__xludf.DUMMYFUNCTION("""COMPUTED_VALUE"""),"Mitch")</f>
        <v>Mitch</v>
      </c>
      <c r="B31" s="103">
        <v>30.0</v>
      </c>
      <c r="C31" s="183">
        <f t="shared" si="1"/>
        <v>95.91243304</v>
      </c>
      <c r="D31" s="124" t="str">
        <f>VLOOKUP(A31,'Classement Surp'!$B$2:$B$149,1,0)</f>
        <v>Mitch</v>
      </c>
      <c r="E31" s="125" t="str">
        <f t="shared" si="2"/>
        <v/>
      </c>
      <c r="F31" s="120" t="str">
        <f>VLOOKUP(A31,'Classement Général'!$B$2:$B$146,1,0)</f>
        <v>Mitch</v>
      </c>
    </row>
    <row r="32" ht="14.25" customHeight="1">
      <c r="A32" s="118" t="str">
        <f>IFERROR(__xludf.DUMMYFUNCTION("""COMPUTED_VALUE"""),"Or&amp;l1")</f>
        <v>Or&amp;l1</v>
      </c>
      <c r="B32" s="103">
        <v>31.0</v>
      </c>
      <c r="C32" s="183">
        <f t="shared" si="1"/>
        <v>88.78744831</v>
      </c>
      <c r="D32" s="124" t="str">
        <f>VLOOKUP(A32,'Classement Surp'!$B$2:$B$149,1,0)</f>
        <v>Or&amp;l1</v>
      </c>
      <c r="E32" s="125" t="str">
        <f t="shared" si="2"/>
        <v/>
      </c>
      <c r="F32" s="120" t="str">
        <f>VLOOKUP(A32,'Classement Général'!$B$2:$B$146,1,0)</f>
        <v>Or&amp;l1</v>
      </c>
    </row>
    <row r="33" ht="14.25" customHeight="1">
      <c r="A33" s="118" t="str">
        <f>IFERROR(__xludf.DUMMYFUNCTION("""COMPUTED_VALUE"""),"Cataleya86")</f>
        <v>Cataleya86</v>
      </c>
      <c r="B33" s="103">
        <v>32.0</v>
      </c>
      <c r="C33" s="183">
        <f t="shared" si="1"/>
        <v>81.79369361</v>
      </c>
      <c r="D33" s="124" t="str">
        <f>VLOOKUP(A33,'Classement Surp'!$B$2:$B$149,1,0)</f>
        <v>Cataleya86</v>
      </c>
      <c r="E33" s="125" t="str">
        <f t="shared" si="2"/>
        <v/>
      </c>
      <c r="F33" s="120" t="str">
        <f>VLOOKUP(A33,'Classement Général'!$B$2:$B$146,1,0)</f>
        <v>Cataleya86</v>
      </c>
    </row>
    <row r="34" ht="14.25" customHeight="1">
      <c r="A34" s="118" t="str">
        <f>IFERROR(__xludf.DUMMYFUNCTION("""COMPUTED_VALUE"""),"ElDaÏl")</f>
        <v>ElDaÏl</v>
      </c>
      <c r="B34" s="103">
        <v>33.0</v>
      </c>
      <c r="C34" s="183">
        <f t="shared" si="1"/>
        <v>74.92326999</v>
      </c>
      <c r="D34" s="124" t="str">
        <f>VLOOKUP(A34,'Classement Surp'!$B$2:$B$149,1,0)</f>
        <v>ElDaÏl</v>
      </c>
      <c r="E34" s="125" t="str">
        <f t="shared" si="2"/>
        <v/>
      </c>
      <c r="F34" s="120" t="str">
        <f>VLOOKUP(A34,'Classement Général'!$B$2:$B$146,1,0)</f>
        <v>ElDaÏl</v>
      </c>
    </row>
    <row r="35" ht="14.25" customHeight="1">
      <c r="A35" s="118" t="str">
        <f>IFERROR(__xludf.DUMMYFUNCTION("""COMPUTED_VALUE"""),"Legabodu86")</f>
        <v>Legabodu86</v>
      </c>
      <c r="B35" s="103">
        <v>34.0</v>
      </c>
      <c r="C35" s="183">
        <f t="shared" si="1"/>
        <v>68.16899927</v>
      </c>
      <c r="D35" s="124" t="str">
        <f>VLOOKUP(A35,'Classement Surp'!$B$2:$B$149,1,0)</f>
        <v>Legabodu86</v>
      </c>
      <c r="E35" s="125" t="str">
        <f t="shared" si="2"/>
        <v/>
      </c>
      <c r="F35" s="120" t="str">
        <f>VLOOKUP(A35,'Classement Général'!$B$2:$B$146,1,0)</f>
        <v>Legabodu86</v>
      </c>
    </row>
    <row r="36" ht="14.25" customHeight="1">
      <c r="A36" s="118" t="str">
        <f>IFERROR(__xludf.DUMMYFUNCTION("""COMPUTED_VALUE"""),"pablo")</f>
        <v>pablo</v>
      </c>
      <c r="B36" s="103">
        <v>35.0</v>
      </c>
      <c r="C36" s="183">
        <f t="shared" si="1"/>
        <v>61.5243383</v>
      </c>
      <c r="D36" s="124" t="str">
        <f>VLOOKUP(A36,'Classement Surp'!$B$2:$B$149,1,0)</f>
        <v>pablo</v>
      </c>
      <c r="E36" s="125" t="str">
        <f t="shared" si="2"/>
        <v/>
      </c>
      <c r="F36" s="120" t="str">
        <f>VLOOKUP(A36,'Classement Général'!$B$2:$B$146,1,0)</f>
        <v>pablo</v>
      </c>
    </row>
    <row r="37" ht="14.25" customHeight="1">
      <c r="A37" s="118" t="str">
        <f>IFERROR(__xludf.DUMMYFUNCTION("""COMPUTED_VALUE"""),"NezuKO-demon")</f>
        <v>NezuKO-demon</v>
      </c>
      <c r="B37" s="103">
        <v>36.0</v>
      </c>
      <c r="C37" s="183">
        <f t="shared" si="1"/>
        <v>54.9833057</v>
      </c>
      <c r="D37" s="124" t="str">
        <f>VLOOKUP(A37,'Classement Surp'!$B$2:$B$149,1,0)</f>
        <v>NezuKO-demon</v>
      </c>
      <c r="E37" s="125" t="str">
        <f t="shared" si="2"/>
        <v/>
      </c>
      <c r="F37" s="120" t="str">
        <f>VLOOKUP(A37,'Classement Général'!$B$2:$B$146,1,0)</f>
        <v>NezuKO-demon</v>
      </c>
    </row>
    <row r="38" ht="14.25" customHeight="1">
      <c r="A38" s="118" t="str">
        <f>IFERROR(__xludf.DUMMYFUNCTION("""COMPUTED_VALUE"""),"S.coco")</f>
        <v>S.coco</v>
      </c>
      <c r="B38" s="103">
        <v>37.0</v>
      </c>
      <c r="C38" s="183">
        <f t="shared" si="1"/>
        <v>48.54041875</v>
      </c>
      <c r="D38" s="124" t="str">
        <f>VLOOKUP(A38,'Classement Surp'!$B$2:$B$149,1,0)</f>
        <v>S.coco</v>
      </c>
      <c r="E38" s="125" t="str">
        <f t="shared" si="2"/>
        <v/>
      </c>
      <c r="F38" s="120" t="str">
        <f>VLOOKUP(A38,'Classement Général'!$B$2:$B$146,1,0)</f>
        <v>S.coco</v>
      </c>
    </row>
    <row r="39" ht="14.25" customHeight="1">
      <c r="A39" s="118" t="str">
        <f>IFERROR(__xludf.DUMMYFUNCTION("""COMPUTED_VALUE"""),"Patgaret")</f>
        <v>Patgaret</v>
      </c>
      <c r="B39" s="103">
        <v>38.0</v>
      </c>
      <c r="C39" s="183">
        <f t="shared" si="1"/>
        <v>42.19063904</v>
      </c>
      <c r="D39" s="124" t="str">
        <f>VLOOKUP(A39,'Classement Surp'!$B$2:$B$149,1,0)</f>
        <v>Patgaret</v>
      </c>
      <c r="E39" s="125" t="str">
        <f t="shared" si="2"/>
        <v/>
      </c>
      <c r="F39" s="120" t="str">
        <f>VLOOKUP(A39,'Classement Général'!$B$2:$B$146,1,0)</f>
        <v>Patgaret</v>
      </c>
    </row>
    <row r="40" ht="14.25" customHeight="1">
      <c r="A40" s="118" t="str">
        <f>IFERROR(__xludf.DUMMYFUNCTION("""COMPUTED_VALUE"""),"Rod_John_VI")</f>
        <v>Rod_John_VI</v>
      </c>
      <c r="B40" s="103">
        <v>39.0</v>
      </c>
      <c r="C40" s="183">
        <f t="shared" si="1"/>
        <v>35.92932525</v>
      </c>
      <c r="D40" s="124" t="str">
        <f>VLOOKUP(A40,'Classement Surp'!$B$2:$B$149,1,0)</f>
        <v>Rod_John_VI</v>
      </c>
      <c r="E40" s="125" t="str">
        <f t="shared" si="2"/>
        <v/>
      </c>
      <c r="F40" s="120" t="str">
        <f>VLOOKUP(A40,'Classement Général'!$B$2:$B$146,1,0)</f>
        <v>Rod_John_VI</v>
      </c>
    </row>
    <row r="41" ht="14.25" customHeight="1">
      <c r="A41" s="118" t="str">
        <f>IFERROR(__xludf.DUMMYFUNCTION("""COMPUTED_VALUE"""),"Mikalack")</f>
        <v>Mikalack</v>
      </c>
      <c r="B41" s="103">
        <v>40.0</v>
      </c>
      <c r="C41" s="183">
        <f t="shared" si="1"/>
        <v>29.75219208</v>
      </c>
      <c r="D41" s="124" t="str">
        <f>VLOOKUP(A41,'Classement Surp'!$B$2:$B$149,1,0)</f>
        <v>Mikalack</v>
      </c>
      <c r="E41" s="125" t="str">
        <f t="shared" si="2"/>
        <v/>
      </c>
      <c r="F41" s="120" t="str">
        <f>VLOOKUP(A41,'Classement Général'!$B$2:$B$146,1,0)</f>
        <v>Mikalack</v>
      </c>
    </row>
    <row r="42" ht="14.25" customHeight="1">
      <c r="A42" s="118" t="str">
        <f>IFERROR(__xludf.DUMMYFUNCTION("""COMPUTED_VALUE"""),"PrendmAmAin")</f>
        <v>PrendmAmAin</v>
      </c>
      <c r="B42" s="103">
        <v>41.0</v>
      </c>
      <c r="C42" s="183">
        <f t="shared" si="1"/>
        <v>23.65527438</v>
      </c>
      <c r="D42" s="124" t="str">
        <f>VLOOKUP(A42,'Classement Surp'!$B$2:$B$149,1,0)</f>
        <v>PrendmAmAin</v>
      </c>
      <c r="E42" s="125" t="str">
        <f t="shared" si="2"/>
        <v/>
      </c>
      <c r="F42" s="120" t="str">
        <f>VLOOKUP(A42,'Classement Général'!$B$2:$B$146,1,0)</f>
        <v>PrendmAmAin</v>
      </c>
    </row>
    <row r="43" ht="14.25" customHeight="1">
      <c r="A43" s="118" t="str">
        <f>IFERROR(__xludf.DUMMYFUNCTION("""COMPUTED_VALUE"""),"kiki86 x")</f>
        <v>kiki86 x</v>
      </c>
      <c r="B43" s="103">
        <v>42.0</v>
      </c>
      <c r="C43" s="183">
        <f t="shared" si="1"/>
        <v>17.63489567</v>
      </c>
      <c r="D43" s="124" t="str">
        <f>VLOOKUP(A43,'Classement Surp'!$B$2:$B$149,1,0)</f>
        <v>kiki86 x</v>
      </c>
      <c r="E43" s="125" t="str">
        <f t="shared" si="2"/>
        <v/>
      </c>
      <c r="F43" s="120" t="str">
        <f>VLOOKUP(A43,'Classement Général'!$B$2:$B$146,1,0)</f>
        <v>kiki86 x</v>
      </c>
    </row>
    <row r="44" ht="14.25" customHeight="1">
      <c r="A44" s="118" t="str">
        <f>IFERROR(__xludf.DUMMYFUNCTION("""COMPUTED_VALUE"""),"LEGOLEGOTE")</f>
        <v>LEGOLEGOTE</v>
      </c>
      <c r="B44" s="103">
        <v>43.0</v>
      </c>
      <c r="C44" s="183">
        <f t="shared" si="1"/>
        <v>11.68764049</v>
      </c>
      <c r="D44" s="124" t="str">
        <f>VLOOKUP(A44,'Classement Surp'!$B$2:$B$149,1,0)</f>
        <v>LEGOLEGOTE</v>
      </c>
      <c r="E44" s="125" t="str">
        <f t="shared" si="2"/>
        <v/>
      </c>
      <c r="F44" s="120" t="str">
        <f>VLOOKUP(A44,'Classement Général'!$B$2:$B$146,1,0)</f>
        <v>LEGOLEGOTE</v>
      </c>
    </row>
    <row r="45" ht="14.25" customHeight="1">
      <c r="A45" s="118" t="str">
        <f>IFERROR(__xludf.DUMMYFUNCTION("""COMPUTED_VALUE"""),"vicdolu86(!)")</f>
        <v>vicdolu86(!)</v>
      </c>
      <c r="B45" s="103">
        <v>44.0</v>
      </c>
      <c r="C45" s="183">
        <f t="shared" si="1"/>
        <v>5.810329926</v>
      </c>
      <c r="D45" s="124" t="str">
        <f>VLOOKUP(A45,'Classement Surp'!$B$2:$B$149,1,0)</f>
        <v>vicdolu86(!)</v>
      </c>
      <c r="E45" s="125" t="str">
        <f t="shared" si="2"/>
        <v/>
      </c>
      <c r="F45" s="120" t="str">
        <f>VLOOKUP(A45,'Classement Général'!$B$2:$B$146,1,0)</f>
        <v>vicdolu86(!)</v>
      </c>
    </row>
    <row r="46" ht="14.25" customHeight="1">
      <c r="A46" s="118"/>
      <c r="B46" s="103">
        <v>45.0</v>
      </c>
      <c r="C46" s="183">
        <f t="shared" si="1"/>
        <v>0</v>
      </c>
      <c r="D46" s="124" t="str">
        <f>VLOOKUP(A46,'Classement Surp'!$B$2:$B$149,1,0)</f>
        <v>#N/A</v>
      </c>
      <c r="E46" s="125" t="str">
        <f t="shared" si="2"/>
        <v>#N/A</v>
      </c>
      <c r="F46" s="120" t="str">
        <f>VLOOKUP(A46,'Classement Général'!$B$2:$B$146,1,0)</f>
        <v>#N/A</v>
      </c>
    </row>
    <row r="47" ht="14.25" customHeight="1">
      <c r="A47" s="118"/>
      <c r="B47" s="103">
        <v>46.0</v>
      </c>
      <c r="C47" s="183">
        <f t="shared" si="1"/>
        <v>-5.74611753</v>
      </c>
      <c r="D47" s="124" t="str">
        <f>VLOOKUP(A47,'Classement Surp'!$B$2:$B$149,1,0)</f>
        <v>#N/A</v>
      </c>
      <c r="E47" s="125" t="str">
        <f t="shared" si="2"/>
        <v>#N/A</v>
      </c>
      <c r="F47" s="120" t="str">
        <f>VLOOKUP(A47,'Classement Général'!$B$2:$B$146,1,0)</f>
        <v>#N/A</v>
      </c>
    </row>
    <row r="48" ht="14.25" customHeight="1">
      <c r="A48" s="118"/>
      <c r="B48" s="103">
        <v>47.0</v>
      </c>
      <c r="C48" s="183">
        <f t="shared" si="1"/>
        <v>-11.43061228</v>
      </c>
      <c r="D48" s="124" t="str">
        <f>VLOOKUP(A48,'Classement Surp'!$B$2:$B$149,1,0)</f>
        <v>#N/A</v>
      </c>
      <c r="E48" s="125" t="str">
        <f t="shared" si="2"/>
        <v>#N/A</v>
      </c>
      <c r="F48" s="120" t="str">
        <f>VLOOKUP(A48,'Classement Général'!$B$2:$B$146,1,0)</f>
        <v>#N/A</v>
      </c>
    </row>
    <row r="49" ht="14.25" customHeight="1">
      <c r="A49" s="118"/>
      <c r="B49" s="103">
        <v>48.0</v>
      </c>
      <c r="C49" s="183">
        <f t="shared" si="1"/>
        <v>-17.05591048</v>
      </c>
      <c r="D49" s="124" t="str">
        <f>VLOOKUP(A49,'Classement Surp'!$B$2:$B$149,1,0)</f>
        <v>#N/A</v>
      </c>
      <c r="E49" s="125" t="str">
        <f t="shared" si="2"/>
        <v>#N/A</v>
      </c>
      <c r="F49" s="120" t="str">
        <f>VLOOKUP(A49,'Classement Général'!$B$2:$B$146,1,0)</f>
        <v>#N/A</v>
      </c>
    </row>
    <row r="50" ht="14.25" customHeight="1">
      <c r="A50" s="118"/>
      <c r="B50" s="103">
        <v>49.0</v>
      </c>
      <c r="C50" s="183">
        <f t="shared" si="1"/>
        <v>-22.6242887</v>
      </c>
      <c r="D50" s="124" t="str">
        <f>VLOOKUP(A50,'Classement Surp'!$B$2:$B$149,1,0)</f>
        <v>#N/A</v>
      </c>
      <c r="E50" s="125" t="str">
        <f t="shared" si="2"/>
        <v>#N/A</v>
      </c>
      <c r="F50" s="120" t="str">
        <f>VLOOKUP(A50,'Classement Général'!$B$2:$B$146,1,0)</f>
        <v>#N/A</v>
      </c>
    </row>
    <row r="51" ht="14.25" customHeight="1">
      <c r="A51" s="118"/>
      <c r="B51" s="103">
        <v>50.0</v>
      </c>
      <c r="C51" s="183">
        <f t="shared" si="1"/>
        <v>-28.13788601</v>
      </c>
      <c r="D51" s="124" t="str">
        <f>VLOOKUP(A51,'Classement Surp'!$B$2:$B$149,1,0)</f>
        <v>#N/A</v>
      </c>
      <c r="E51" s="125" t="str">
        <f t="shared" si="2"/>
        <v>#N/A</v>
      </c>
      <c r="F51" s="120" t="str">
        <f>VLOOKUP(A51,'Classement Général'!$B$2:$B$146,1,0)</f>
        <v>#N/A</v>
      </c>
    </row>
    <row r="52" ht="14.25" customHeight="1">
      <c r="A52" s="118"/>
      <c r="B52" s="103">
        <v>51.0</v>
      </c>
      <c r="C52" s="183">
        <f t="shared" si="1"/>
        <v>-33.59871509</v>
      </c>
      <c r="D52" s="124" t="str">
        <f>VLOOKUP(A52,'Classement Surp'!$B$2:$B$149,1,0)</f>
        <v>#N/A</v>
      </c>
      <c r="E52" s="125" t="str">
        <f t="shared" si="2"/>
        <v>#N/A</v>
      </c>
      <c r="F52" s="120" t="str">
        <f>VLOOKUP(A52,'Classement Général'!$B$2:$B$146,1,0)</f>
        <v>#N/A</v>
      </c>
    </row>
    <row r="53" ht="14.25" customHeight="1">
      <c r="A53" s="118"/>
      <c r="B53" s="103">
        <v>52.0</v>
      </c>
      <c r="C53" s="183">
        <f t="shared" si="1"/>
        <v>-39.00867211</v>
      </c>
      <c r="D53" s="124" t="str">
        <f>VLOOKUP(A53,'Classement Surp'!$B$2:$B$149,1,0)</f>
        <v>#N/A</v>
      </c>
      <c r="E53" s="125" t="str">
        <f t="shared" si="2"/>
        <v>#N/A</v>
      </c>
      <c r="F53" s="120" t="str">
        <f>VLOOKUP(A53,'Classement Général'!$B$2:$B$146,1,0)</f>
        <v>#N/A</v>
      </c>
    </row>
    <row r="54" ht="14.25" customHeight="1">
      <c r="A54" s="118"/>
      <c r="B54" s="103">
        <v>53.0</v>
      </c>
      <c r="C54" s="183">
        <f t="shared" si="1"/>
        <v>-44.36954572</v>
      </c>
      <c r="D54" s="124" t="str">
        <f>VLOOKUP(A54,'Classement Surp'!$B$2:$B$149,1,0)</f>
        <v>#N/A</v>
      </c>
      <c r="E54" s="125" t="str">
        <f t="shared" si="2"/>
        <v>#N/A</v>
      </c>
      <c r="F54" s="120" t="str">
        <f>VLOOKUP(A54,'Classement Général'!$B$2:$B$146,1,0)</f>
        <v>#N/A</v>
      </c>
    </row>
    <row r="55" ht="14.25" customHeight="1">
      <c r="A55" s="118"/>
      <c r="B55" s="103">
        <v>54.0</v>
      </c>
      <c r="C55" s="183">
        <f t="shared" si="1"/>
        <v>-49.68302519</v>
      </c>
      <c r="D55" s="124" t="str">
        <f>VLOOKUP(A55,'Classement Surp'!$B$2:$B$149,1,0)</f>
        <v>#N/A</v>
      </c>
      <c r="E55" s="125" t="str">
        <f t="shared" si="2"/>
        <v>#N/A</v>
      </c>
      <c r="F55" s="120" t="str">
        <f>VLOOKUP(A55,'Classement Général'!$B$2:$B$146,1,0)</f>
        <v>#N/A</v>
      </c>
    </row>
    <row r="56" ht="14.25" customHeight="1">
      <c r="A56" s="118"/>
      <c r="B56" s="103">
        <v>55.0</v>
      </c>
      <c r="C56" s="183">
        <f t="shared" si="1"/>
        <v>-54.95070773</v>
      </c>
      <c r="D56" s="124" t="str">
        <f>VLOOKUP(A56,'Classement Surp'!$B$2:$B$149,1,0)</f>
        <v>#N/A</v>
      </c>
      <c r="E56" s="125" t="str">
        <f t="shared" si="2"/>
        <v>#N/A</v>
      </c>
      <c r="F56" s="120" t="str">
        <f>VLOOKUP(A56,'Classement Général'!$B$2:$B$146,1,0)</f>
        <v>#N/A</v>
      </c>
    </row>
    <row r="57" ht="14.25" customHeight="1">
      <c r="A57" s="118"/>
      <c r="B57" s="103">
        <v>56.0</v>
      </c>
      <c r="C57" s="183">
        <f t="shared" si="1"/>
        <v>-60.17410521</v>
      </c>
      <c r="D57" s="124" t="str">
        <f>VLOOKUP(A57,'Classement Surp'!$B$2:$B$149,1,0)</f>
        <v>#N/A</v>
      </c>
      <c r="E57" s="125" t="str">
        <f t="shared" si="2"/>
        <v>#N/A</v>
      </c>
      <c r="F57" s="120" t="str">
        <f>VLOOKUP(A57,'Classement Général'!$B$2:$B$146,1,0)</f>
        <v>#N/A</v>
      </c>
    </row>
    <row r="58" ht="14.25" customHeight="1">
      <c r="A58" s="118"/>
      <c r="B58" s="103">
        <v>57.0</v>
      </c>
      <c r="C58" s="183">
        <f t="shared" si="1"/>
        <v>-65.35465024</v>
      </c>
      <c r="D58" s="124" t="str">
        <f>VLOOKUP(A58,'Classement Surp'!$B$2:$B$149,1,0)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18"/>
      <c r="B59" s="103">
        <v>58.0</v>
      </c>
      <c r="C59" s="183">
        <f t="shared" si="1"/>
        <v>-70.49370172</v>
      </c>
      <c r="D59" s="124" t="str">
        <f>VLOOKUP(A59,'Classement Surp'!$B$2:$B$149,1,0)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18"/>
      <c r="B60" s="103">
        <v>59.0</v>
      </c>
      <c r="C60" s="183">
        <f t="shared" si="1"/>
        <v>-75.59254992</v>
      </c>
      <c r="D60" s="124" t="str">
        <f>VLOOKUP(A60,'Classement Surp'!$B$2:$B$149,1,0)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18"/>
      <c r="B61" s="103">
        <v>60.0</v>
      </c>
      <c r="C61" s="183">
        <f t="shared" si="1"/>
        <v>-80.65242112</v>
      </c>
      <c r="D61" s="124" t="str">
        <f>VLOOKUP(A61,'Classement Surp'!$B$2:$B$149,1,0)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18"/>
      <c r="B62" s="103">
        <v>61.0</v>
      </c>
      <c r="C62" s="183">
        <f t="shared" si="1"/>
        <v>-85.67448185</v>
      </c>
      <c r="D62" s="124" t="str">
        <f>VLOOKUP(A62,'Classement Surp'!$B$2:$B$149,1,0)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18"/>
      <c r="B63" s="103">
        <v>62.0</v>
      </c>
      <c r="C63" s="183">
        <f t="shared" si="1"/>
        <v>-90.65984279</v>
      </c>
      <c r="D63" s="124" t="str">
        <f>VLOOKUP(A63,'Classement Surp'!$B$2:$B$149,1,0)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18"/>
      <c r="B64" s="103">
        <v>63.0</v>
      </c>
      <c r="C64" s="183">
        <f t="shared" si="1"/>
        <v>-95.60956238</v>
      </c>
      <c r="D64" s="124" t="str">
        <f>VLOOKUP(A64,'Classement Surp'!$B$2:$B$149,1,0)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18"/>
      <c r="B65" s="103">
        <v>64.0</v>
      </c>
      <c r="C65" s="183">
        <f t="shared" si="1"/>
        <v>-100.5246501</v>
      </c>
      <c r="D65" s="124" t="str">
        <f>VLOOKUP(A65,'Classement Surp'!$B$2:$B$149,1,0)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18"/>
      <c r="B66" s="103">
        <v>65.0</v>
      </c>
      <c r="C66" s="183">
        <f t="shared" si="1"/>
        <v>-105.4060695</v>
      </c>
      <c r="D66" s="124" t="str">
        <f>VLOOKUP(A66,'Classement Surp'!$B$2:$B$149,1,0)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18"/>
      <c r="B67" s="103">
        <v>66.0</v>
      </c>
      <c r="C67" s="183">
        <f t="shared" si="1"/>
        <v>-110.254741</v>
      </c>
      <c r="D67" s="124" t="str">
        <f>VLOOKUP(A67,'Classement Surp'!$B$2:$B$149,1,0)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18"/>
      <c r="B68" s="103">
        <v>67.0</v>
      </c>
      <c r="C68" s="183">
        <f t="shared" si="1"/>
        <v>-115.0715446</v>
      </c>
      <c r="D68" s="124" t="str">
        <f>VLOOKUP(A68,'Classement Surp'!$B$2:$B$149,1,0)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18"/>
      <c r="B69" s="103">
        <v>68.0</v>
      </c>
      <c r="C69" s="183">
        <f t="shared" si="1"/>
        <v>-119.8573222</v>
      </c>
      <c r="D69" s="124" t="str">
        <f>VLOOKUP(A69,'Classement Surp'!$B$2:$B$149,1,0)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18"/>
      <c r="B70" s="103">
        <v>69.0</v>
      </c>
      <c r="C70" s="183">
        <f t="shared" si="1"/>
        <v>-124.6128795</v>
      </c>
      <c r="D70" s="124" t="str">
        <f>VLOOKUP(A70,'Classement Surp'!$B$2:$B$149,1,0)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18"/>
      <c r="B71" s="103">
        <v>70.0</v>
      </c>
      <c r="C71" s="183">
        <f t="shared" si="1"/>
        <v>-129.3389888</v>
      </c>
      <c r="D71" s="124" t="str">
        <f>VLOOKUP(A71,'Classement Surp'!$B$2:$B$149,1,0)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18"/>
      <c r="B72" s="103">
        <v>71.0</v>
      </c>
      <c r="C72" s="183">
        <f t="shared" si="1"/>
        <v>-134.0363903</v>
      </c>
      <c r="D72" s="124" t="str">
        <f>VLOOKUP(A72,'Classement Surp'!$B$2:$B$149,1,0)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18"/>
      <c r="B73" s="103">
        <v>72.0</v>
      </c>
      <c r="C73" s="183">
        <f t="shared" si="1"/>
        <v>-138.705794</v>
      </c>
      <c r="D73" s="124" t="str">
        <f>VLOOKUP(A73,'Classement Surp'!$B$2:$B$149,1,0)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18"/>
      <c r="B74" s="103">
        <v>73.0</v>
      </c>
      <c r="C74" s="183">
        <f t="shared" si="1"/>
        <v>-143.3478815</v>
      </c>
      <c r="D74" s="124" t="str">
        <f>VLOOKUP(A74,'Classement Surp'!$B$2:$B$149,1,0)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18"/>
      <c r="B75" s="103">
        <v>74.0</v>
      </c>
      <c r="C75" s="183">
        <f t="shared" si="1"/>
        <v>-147.9633074</v>
      </c>
      <c r="D75" s="124" t="str">
        <f>VLOOKUP(A75,'Classement Surp'!$B$2:$B$149,1,0)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18"/>
      <c r="B76" s="103">
        <v>75.0</v>
      </c>
      <c r="C76" s="183">
        <f t="shared" si="1"/>
        <v>-152.552701</v>
      </c>
      <c r="D76" s="124" t="str">
        <f>VLOOKUP(A76,'Classement Surp'!$B$2:$B$149,1,0)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18"/>
      <c r="B77" s="103">
        <v>76.0</v>
      </c>
      <c r="C77" s="183">
        <f t="shared" si="1"/>
        <v>-157.1166673</v>
      </c>
      <c r="D77" s="124" t="str">
        <f>VLOOKUP(A77,'Classement Surp'!$B$2:$B$149,1,0)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18"/>
      <c r="B78" s="103">
        <v>77.0</v>
      </c>
      <c r="C78" s="183">
        <f t="shared" si="1"/>
        <v>-161.6557883</v>
      </c>
      <c r="D78" s="124" t="str">
        <f>VLOOKUP(A78,'Classement Surp'!$B$2:$B$149,1,0)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18"/>
      <c r="B79" s="103">
        <v>78.0</v>
      </c>
      <c r="C79" s="183">
        <f t="shared" si="1"/>
        <v>-166.1706244</v>
      </c>
      <c r="D79" s="124" t="str">
        <f>VLOOKUP(A79,'Classement Surp'!$B$2:$B$149,1,0)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18"/>
      <c r="B80" s="103">
        <v>79.0</v>
      </c>
      <c r="C80" s="183">
        <f t="shared" si="1"/>
        <v>-170.6617155</v>
      </c>
      <c r="D80" s="124" t="str">
        <f>VLOOKUP(A80,'Classement Surp'!$B$2:$B$149,1,0)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18"/>
      <c r="B81" s="103">
        <v>80.0</v>
      </c>
      <c r="C81" s="183">
        <f t="shared" si="1"/>
        <v>-175.1295817</v>
      </c>
      <c r="D81" s="124" t="str">
        <f>VLOOKUP(A81,'Classement Surp'!$B$2:$B$149,1,0)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18"/>
      <c r="B82" s="103">
        <v>81.0</v>
      </c>
      <c r="C82" s="183">
        <f t="shared" si="1"/>
        <v>-179.5747244</v>
      </c>
      <c r="D82" s="124" t="str">
        <f>VLOOKUP(A82,'Classement Surp'!$B$2:$B$149,1,0)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18"/>
      <c r="B83" s="103">
        <v>82.0</v>
      </c>
      <c r="C83" s="183">
        <f t="shared" si="1"/>
        <v>-183.9976277</v>
      </c>
      <c r="D83" s="124" t="str">
        <f>VLOOKUP(A83,'Classement Surp'!$B$2:$B$149,1,0)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18"/>
      <c r="B84" s="103">
        <v>83.0</v>
      </c>
      <c r="C84" s="183">
        <f t="shared" si="1"/>
        <v>-188.3987583</v>
      </c>
      <c r="D84" s="124" t="str">
        <f>VLOOKUP(A84,'Classement Surp'!$B$2:$B$149,1,0)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18"/>
      <c r="B85" s="103">
        <v>84.0</v>
      </c>
      <c r="C85" s="183">
        <f t="shared" si="1"/>
        <v>-192.7785672</v>
      </c>
      <c r="D85" s="124" t="str">
        <f>VLOOKUP(A85,'Classement Surp'!$B$2:$B$149,1,0)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18"/>
      <c r="B86" s="103">
        <v>85.0</v>
      </c>
      <c r="C86" s="183">
        <f t="shared" si="1"/>
        <v>-197.1374899</v>
      </c>
      <c r="D86" s="124" t="str">
        <f>VLOOKUP(A86,'Classement Surp'!$B$2:$B$149,1,0)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18"/>
      <c r="B87" s="103">
        <v>86.0</v>
      </c>
      <c r="C87" s="183">
        <f t="shared" si="1"/>
        <v>-201.4759474</v>
      </c>
      <c r="D87" s="124" t="str">
        <f>VLOOKUP(A87,'Classement Surp'!$B$2:$B$149,1,0)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18"/>
      <c r="B88" s="103">
        <v>87.0</v>
      </c>
      <c r="C88" s="183">
        <f t="shared" si="1"/>
        <v>-205.7943465</v>
      </c>
      <c r="D88" s="124" t="str">
        <f>VLOOKUP(A88,'Classement Surp'!$B$2:$B$149,1,0)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18"/>
      <c r="B89" s="103">
        <v>88.0</v>
      </c>
      <c r="C89" s="183">
        <f t="shared" si="1"/>
        <v>-210.0930811</v>
      </c>
      <c r="D89" s="124" t="str">
        <f>VLOOKUP(A89,'Classement Surp'!$B$2:$B$149,1,0)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18"/>
      <c r="B90" s="103">
        <v>89.0</v>
      </c>
      <c r="C90" s="183">
        <f t="shared" si="1"/>
        <v>-214.372532</v>
      </c>
      <c r="D90" s="124" t="str">
        <f>VLOOKUP(A90,'Classement Surp'!$B$2:$B$149,1,0)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18"/>
      <c r="B91" s="103">
        <v>90.0</v>
      </c>
      <c r="C91" s="183">
        <f t="shared" si="1"/>
        <v>-218.633068</v>
      </c>
      <c r="D91" s="124" t="str">
        <f>VLOOKUP(A91,'Classement Surp'!$B$2:$B$149,1,0)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18"/>
      <c r="B92" s="103">
        <v>91.0</v>
      </c>
      <c r="C92" s="183">
        <f t="shared" si="1"/>
        <v>-222.8750462</v>
      </c>
      <c r="D92" s="124" t="str">
        <f>VLOOKUP(A92,'Classement Surp'!$B$2:$B$149,1,0)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18"/>
      <c r="B93" s="103">
        <v>92.0</v>
      </c>
      <c r="C93" s="183">
        <f t="shared" si="1"/>
        <v>-227.0988127</v>
      </c>
      <c r="D93" s="124" t="str">
        <f>VLOOKUP(A93,'Classement Surp'!$B$2:$B$149,1,0)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18"/>
      <c r="B94" s="103">
        <v>93.0</v>
      </c>
      <c r="C94" s="183">
        <f t="shared" si="1"/>
        <v>-231.3047029</v>
      </c>
      <c r="D94" s="124" t="str">
        <f>VLOOKUP(A94,'Classement Surp'!$B$2:$B$149,1,0)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18"/>
      <c r="B95" s="103">
        <v>94.0</v>
      </c>
      <c r="C95" s="183">
        <f t="shared" si="1"/>
        <v>-235.4930417</v>
      </c>
      <c r="D95" s="124" t="str">
        <f>VLOOKUP(A95,'Classement Surp'!$B$2:$B$149,1,0)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18"/>
      <c r="B96" s="103">
        <v>95.0</v>
      </c>
      <c r="C96" s="183">
        <f t="shared" si="1"/>
        <v>-239.6641447</v>
      </c>
      <c r="D96" s="124" t="str">
        <f>VLOOKUP(A96,'Classement Surp'!$B$2:$B$149,1,0)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18"/>
      <c r="B97" s="103">
        <v>96.0</v>
      </c>
      <c r="C97" s="183">
        <f t="shared" si="1"/>
        <v>-243.8183177</v>
      </c>
      <c r="D97" s="124" t="str">
        <f>VLOOKUP(A97,'Classement Surp'!$B$2:$B$149,1,0)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18"/>
      <c r="B98" s="103">
        <v>97.0</v>
      </c>
      <c r="C98" s="183">
        <f t="shared" si="1"/>
        <v>-247.9558578</v>
      </c>
      <c r="D98" s="124" t="str">
        <f>VLOOKUP(A98,'Classement Surp'!$B$2:$B$149,1,0)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18"/>
      <c r="B99" s="103">
        <v>98.0</v>
      </c>
      <c r="C99" s="183">
        <f t="shared" si="1"/>
        <v>-252.0770532</v>
      </c>
      <c r="D99" s="124" t="str">
        <f>VLOOKUP(A99,'Classement Surp'!$B$2:$B$149,1,0)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18"/>
      <c r="B100" s="103">
        <v>99.0</v>
      </c>
      <c r="C100" s="183">
        <f t="shared" si="1"/>
        <v>-256.182184</v>
      </c>
      <c r="D100" s="124" t="str">
        <f>VLOOKUP(A100,'Classement Surp'!$B$2:$B$149,1,0)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18"/>
      <c r="B101" s="103">
        <v>100.0</v>
      </c>
      <c r="C101" s="183">
        <f t="shared" si="1"/>
        <v>-260.2715222</v>
      </c>
      <c r="D101" s="124" t="str">
        <f>VLOOKUP(A101,'Classement Surp'!$B$2:$B$149,1,0)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18"/>
      <c r="B102" s="103">
        <v>101.0</v>
      </c>
      <c r="C102" s="183">
        <f t="shared" si="1"/>
        <v>-264.3453323</v>
      </c>
      <c r="D102" s="124" t="str">
        <f>VLOOKUP(A102,'Classement Surp'!$B$2:$B$149,1,0)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18"/>
      <c r="B103" s="103">
        <v>102.0</v>
      </c>
      <c r="C103" s="183">
        <f t="shared" si="1"/>
        <v>-268.4038712</v>
      </c>
      <c r="D103" s="124" t="str">
        <f>VLOOKUP(A103,'Classement Surp'!$B$2:$B$149,1,0)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18"/>
      <c r="B104" s="103">
        <v>103.0</v>
      </c>
      <c r="C104" s="183">
        <f t="shared" si="1"/>
        <v>-272.4473889</v>
      </c>
      <c r="D104" s="124" t="str">
        <f>VLOOKUP(A104,'Classement Surp'!$B$2:$B$149,1,0)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18"/>
      <c r="B105" s="103">
        <v>104.0</v>
      </c>
      <c r="C105" s="183">
        <f t="shared" si="1"/>
        <v>-276.4761285</v>
      </c>
      <c r="D105" s="124" t="str">
        <f>VLOOKUP(A105,'Classement Surp'!$B$2:$B$149,1,0)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18"/>
      <c r="B106" s="103">
        <v>105.0</v>
      </c>
      <c r="C106" s="183">
        <f t="shared" si="1"/>
        <v>-280.4903267</v>
      </c>
      <c r="D106" s="124" t="str">
        <f>VLOOKUP(A106,'Classement Surp'!$B$2:$B$149,1,0)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18"/>
      <c r="B107" s="103">
        <v>106.0</v>
      </c>
      <c r="C107" s="183">
        <f t="shared" si="1"/>
        <v>-284.4902136</v>
      </c>
      <c r="D107" s="124" t="str">
        <f>VLOOKUP(A107,'Classement Surp'!$B$2:$B$149,1,0)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18"/>
      <c r="B108" s="103">
        <v>107.0</v>
      </c>
      <c r="C108" s="183">
        <f t="shared" si="1"/>
        <v>-288.4760134</v>
      </c>
      <c r="D108" s="124" t="str">
        <f>VLOOKUP(A108,'Classement Surp'!$B$2:$B$149,1,0)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18"/>
      <c r="B109" s="103">
        <v>108.0</v>
      </c>
      <c r="C109" s="183">
        <f t="shared" si="1"/>
        <v>-292.4479445</v>
      </c>
      <c r="D109" s="124" t="str">
        <f>VLOOKUP(A109,'Classement Surp'!$B$2:$B$149,1,0)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18"/>
      <c r="B110" s="103">
        <v>109.0</v>
      </c>
      <c r="C110" s="183">
        <f t="shared" si="1"/>
        <v>-296.4062194</v>
      </c>
      <c r="D110" s="124" t="str">
        <f>VLOOKUP(A110,'Classement Surp'!$B$2:$B$149,1,0)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18"/>
      <c r="B111" s="103">
        <v>110.0</v>
      </c>
      <c r="C111" s="183">
        <f t="shared" si="1"/>
        <v>-300.3510455</v>
      </c>
      <c r="D111" s="124" t="str">
        <f>VLOOKUP(A111,'Classement Surp'!$B$2:$B$149,1,0)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18"/>
      <c r="B112" s="103">
        <v>111.0</v>
      </c>
      <c r="C112" s="183">
        <f t="shared" si="1"/>
        <v>-304.2826245</v>
      </c>
      <c r="D112" s="124" t="str">
        <f>VLOOKUP(A112,'Classement Surp'!$B$2:$B$149,1,0)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18"/>
      <c r="B113" s="103">
        <v>112.0</v>
      </c>
      <c r="C113" s="183">
        <f t="shared" si="1"/>
        <v>-308.2011534</v>
      </c>
      <c r="D113" s="124" t="str">
        <f>VLOOKUP(A113,'Classement Surp'!$B$2:$B$149,1,0)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18"/>
      <c r="B114" s="103">
        <v>113.0</v>
      </c>
      <c r="C114" s="183">
        <f t="shared" si="1"/>
        <v>-312.1068241</v>
      </c>
      <c r="D114" s="124" t="str">
        <f>VLOOKUP(A114,'Classement Surp'!$B$2:$B$149,1,0)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18"/>
      <c r="B115" s="103">
        <v>114.0</v>
      </c>
      <c r="C115" s="183">
        <f t="shared" si="1"/>
        <v>-315.9998239</v>
      </c>
      <c r="D115" s="124" t="str">
        <f>VLOOKUP(A115,'Classement Surp'!$B$2:$B$149,1,0)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18"/>
      <c r="B116" s="103">
        <v>115.0</v>
      </c>
      <c r="C116" s="183">
        <f t="shared" si="1"/>
        <v>-319.8803353</v>
      </c>
      <c r="D116" s="124" t="str">
        <f>VLOOKUP(A116,'Classement Surp'!$B$2:$B$149,1,0)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18"/>
      <c r="B117" s="103">
        <v>116.0</v>
      </c>
      <c r="C117" s="183">
        <f t="shared" si="1"/>
        <v>-323.7485366</v>
      </c>
      <c r="D117" s="124" t="str">
        <f>VLOOKUP(A117,'Classement Surp'!$B$2:$B$149,1,0)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18"/>
      <c r="B118" s="103">
        <v>117.0</v>
      </c>
      <c r="C118" s="183">
        <f t="shared" si="1"/>
        <v>-327.6046018</v>
      </c>
      <c r="D118" s="124" t="str">
        <f>VLOOKUP(A118,'Classement Surp'!$B$2:$B$149,1,0)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18"/>
      <c r="B119" s="103">
        <v>118.0</v>
      </c>
      <c r="C119" s="183">
        <f t="shared" si="1"/>
        <v>-331.4487007</v>
      </c>
      <c r="D119" s="124" t="str">
        <f>VLOOKUP(A119,'Classement Surp'!$B$2:$B$149,1,0)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18"/>
      <c r="B120" s="103">
        <v>119.0</v>
      </c>
      <c r="C120" s="183">
        <f t="shared" si="1"/>
        <v>-335.2809991</v>
      </c>
      <c r="D120" s="124" t="str">
        <f>VLOOKUP(A120,'Classement Surp'!$B$2:$B$149,1,0)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18"/>
      <c r="B121" s="103">
        <v>120.0</v>
      </c>
      <c r="C121" s="183">
        <f t="shared" si="1"/>
        <v>-339.101659</v>
      </c>
      <c r="D121" s="124" t="str">
        <f>VLOOKUP(A121,'Classement Surp'!$B$2:$B$149,1,0)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18"/>
      <c r="B122" s="103">
        <v>121.0</v>
      </c>
      <c r="C122" s="183">
        <f t="shared" si="1"/>
        <v>-342.9108386</v>
      </c>
      <c r="D122" s="124" t="str">
        <f>VLOOKUP(A122,'Classement Surp'!$B$2:$B$149,1,0)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18"/>
      <c r="B123" s="103">
        <v>122.0</v>
      </c>
      <c r="C123" s="183">
        <f t="shared" si="1"/>
        <v>-346.7086925</v>
      </c>
      <c r="D123" s="124" t="str">
        <f>VLOOKUP(A123,'Classement Surp'!$B$2:$B$149,1,0)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18"/>
      <c r="B124" s="103">
        <v>123.0</v>
      </c>
      <c r="C124" s="183">
        <f t="shared" si="1"/>
        <v>-350.4953717</v>
      </c>
      <c r="D124" s="124" t="str">
        <f>VLOOKUP(A124,'Classement Surp'!$B$2:$B$149,1,0)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18"/>
      <c r="B125" s="103">
        <v>124.0</v>
      </c>
      <c r="C125" s="183">
        <f t="shared" si="1"/>
        <v>-354.271024</v>
      </c>
      <c r="D125" s="124" t="str">
        <f>VLOOKUP(A125,'Classement Surp'!$B$2:$B$149,1,0)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18"/>
      <c r="B126" s="103">
        <v>125.0</v>
      </c>
      <c r="C126" s="183">
        <f t="shared" si="1"/>
        <v>-358.0357938</v>
      </c>
      <c r="D126" s="124" t="str">
        <f>VLOOKUP(A126,'Classement Surp'!$B$2:$B$149,1,0)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18"/>
      <c r="B127" s="103">
        <v>126.0</v>
      </c>
      <c r="C127" s="183">
        <f t="shared" si="1"/>
        <v>-361.7898222</v>
      </c>
      <c r="D127" s="124" t="str">
        <f>VLOOKUP(A127,'Classement Surp'!$B$2:$B$149,1,0)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18"/>
      <c r="B128" s="103">
        <v>127.0</v>
      </c>
      <c r="C128" s="183">
        <f t="shared" si="1"/>
        <v>-365.5332474</v>
      </c>
      <c r="D128" s="124" t="str">
        <f>VLOOKUP(A128,'Classement Surp'!$B$2:$B$149,1,0)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18"/>
      <c r="B129" s="103">
        <v>128.0</v>
      </c>
      <c r="C129" s="183">
        <f t="shared" si="1"/>
        <v>-369.2662046</v>
      </c>
      <c r="D129" s="124" t="str">
        <f>VLOOKUP(A129,'Classement Surp'!$B$2:$B$149,1,0)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18"/>
      <c r="B130" s="103">
        <v>129.0</v>
      </c>
      <c r="C130" s="183">
        <f t="shared" si="1"/>
        <v>-372.9888258</v>
      </c>
      <c r="D130" s="124" t="str">
        <f>VLOOKUP(A130,'Classement Surp'!$B$2:$B$149,1,0)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18"/>
      <c r="B131" s="103">
        <v>130.0</v>
      </c>
      <c r="C131" s="183">
        <f t="shared" si="1"/>
        <v>-376.7012404</v>
      </c>
      <c r="D131" s="124" t="str">
        <f>VLOOKUP(A131,'Classement Surp'!$B$2:$B$149,1,0)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18"/>
      <c r="B132" s="103">
        <v>131.0</v>
      </c>
      <c r="C132" s="183">
        <f t="shared" si="1"/>
        <v>-380.4035752</v>
      </c>
      <c r="D132" s="124" t="str">
        <f>VLOOKUP(A132,'Classement Surp'!$B$2:$B$149,1,0)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18"/>
      <c r="B133" s="103">
        <v>132.0</v>
      </c>
      <c r="C133" s="183">
        <f t="shared" si="1"/>
        <v>-384.095954</v>
      </c>
      <c r="D133" s="124" t="str">
        <f>VLOOKUP(A133,'Classement Surp'!$B$2:$B$149,1,0)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18"/>
      <c r="B134" s="103">
        <v>133.0</v>
      </c>
      <c r="C134" s="183">
        <f t="shared" si="1"/>
        <v>-387.7784984</v>
      </c>
      <c r="D134" s="124" t="str">
        <f>VLOOKUP(A134,'Classement Surp'!$B$2:$B$149,1,0)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18"/>
      <c r="B135" s="103">
        <v>134.0</v>
      </c>
      <c r="C135" s="183">
        <f t="shared" si="1"/>
        <v>-391.451327</v>
      </c>
      <c r="D135" s="124" t="str">
        <f>VLOOKUP(A135,'Classement Surp'!$B$2:$B$149,1,0)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18"/>
      <c r="B136" s="103">
        <v>135.0</v>
      </c>
      <c r="C136" s="183">
        <f t="shared" si="1"/>
        <v>-395.1145565</v>
      </c>
      <c r="D136" s="124" t="str">
        <f>VLOOKUP(A136,'Classement Surp'!$B$2:$B$149,1,0)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18"/>
      <c r="B137" s="103">
        <v>136.0</v>
      </c>
      <c r="C137" s="183">
        <f t="shared" si="1"/>
        <v>-398.7683009</v>
      </c>
      <c r="D137" s="124" t="str">
        <f>VLOOKUP(A137,'Classement Surp'!$B$2:$B$149,1,0)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18"/>
      <c r="B138" s="103">
        <v>137.0</v>
      </c>
      <c r="C138" s="183">
        <f t="shared" si="1"/>
        <v>-402.412672</v>
      </c>
      <c r="D138" s="124" t="str">
        <f>VLOOKUP(A138,'Classement Surp'!$B$2:$B$149,1,0)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18"/>
      <c r="B139" s="103">
        <v>138.0</v>
      </c>
      <c r="C139" s="183">
        <f t="shared" si="1"/>
        <v>-406.0477792</v>
      </c>
      <c r="D139" s="124" t="str">
        <f>VLOOKUP(A139,'Classement Surp'!$B$2:$B$149,1,0)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18"/>
      <c r="B140" s="103">
        <v>139.0</v>
      </c>
      <c r="C140" s="183">
        <f t="shared" si="1"/>
        <v>-409.6737301</v>
      </c>
      <c r="D140" s="124" t="str">
        <f>VLOOKUP(A140,'Classement Surp'!$B$2:$B$149,1,0)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18"/>
      <c r="B141" s="103">
        <v>140.0</v>
      </c>
      <c r="C141" s="183">
        <f t="shared" si="1"/>
        <v>-413.2906298</v>
      </c>
      <c r="D141" s="124" t="str">
        <f>VLOOKUP(A141,'Classement Surp'!$B$2:$B$149,1,0)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18"/>
      <c r="B142" s="103">
        <v>141.0</v>
      </c>
      <c r="C142" s="183">
        <f t="shared" si="1"/>
        <v>-416.8985816</v>
      </c>
      <c r="D142" s="124" t="str">
        <f>VLOOKUP(A142,'Classement Surp'!$B$2:$B$149,1,0)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18"/>
      <c r="B143" s="103">
        <v>142.0</v>
      </c>
      <c r="C143" s="183">
        <f t="shared" si="1"/>
        <v>-420.4976866</v>
      </c>
      <c r="D143" s="124" t="str">
        <f>VLOOKUP(A143,'Classement Surp'!$B$2:$B$149,1,0)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18"/>
      <c r="B144" s="103">
        <v>143.0</v>
      </c>
      <c r="C144" s="183">
        <f t="shared" si="1"/>
        <v>-424.0880441</v>
      </c>
      <c r="D144" s="124" t="str">
        <f>VLOOKUP(A144,'Classement Surp'!$B$2:$B$149,1,0)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18"/>
      <c r="B145" s="103">
        <v>144.0</v>
      </c>
      <c r="C145" s="183">
        <f t="shared" si="1"/>
        <v>-427.6697514</v>
      </c>
      <c r="D145" s="124" t="str">
        <f>VLOOKUP(A145,'Classement Surp'!$B$2:$B$149,1,0)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18"/>
      <c r="B146" s="103">
        <v>145.0</v>
      </c>
      <c r="C146" s="183">
        <f t="shared" si="1"/>
        <v>-431.2429042</v>
      </c>
      <c r="D146" s="124" t="str">
        <f>VLOOKUP(A146,'Classement Surp'!$B$2:$B$149,1,0)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18"/>
      <c r="B147" s="103">
        <v>146.0</v>
      </c>
      <c r="C147" s="183">
        <f t="shared" si="1"/>
        <v>-434.807596</v>
      </c>
      <c r="D147" s="124" t="str">
        <f>VLOOKUP(A147,'Classement Surp'!$B$2:$B$149,1,0)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18"/>
      <c r="B148" s="103">
        <v>147.0</v>
      </c>
      <c r="C148" s="183">
        <f t="shared" si="1"/>
        <v>-438.3639188</v>
      </c>
      <c r="D148" s="124" t="str">
        <f>VLOOKUP(A148,'Classement Surp'!$B$2:$B$149,1,0)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18"/>
      <c r="B149" s="103">
        <v>148.0</v>
      </c>
      <c r="C149" s="183">
        <f t="shared" si="1"/>
        <v>-441.911963</v>
      </c>
      <c r="D149" s="124" t="str">
        <f>VLOOKUP(A149,'Classement Surp'!$B$2:$B$149,1,0)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18"/>
      <c r="B150" s="103">
        <v>149.0</v>
      </c>
      <c r="C150" s="183">
        <f t="shared" si="1"/>
        <v>-445.4518171</v>
      </c>
      <c r="D150" s="124" t="str">
        <f>VLOOKUP(A150,'Classement Surp'!$B$2:$B$149,1,0)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18"/>
      <c r="B151" s="103">
        <v>150.0</v>
      </c>
      <c r="C151" s="183">
        <f t="shared" si="1"/>
        <v>-448.9835681</v>
      </c>
      <c r="D151" s="124" t="str">
        <f>VLOOKUP(A151,'Classement Surp'!$B$2:$B$149,1,0)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18"/>
      <c r="B152" s="103">
        <v>151.0</v>
      </c>
      <c r="C152" s="183">
        <f t="shared" si="1"/>
        <v>-452.5073014</v>
      </c>
      <c r="D152" s="124" t="str">
        <f>VLOOKUP(A152,'Classement Surp'!$B$2:$B$149,1,0)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18"/>
      <c r="B153" s="103">
        <v>152.0</v>
      </c>
      <c r="C153" s="183">
        <f t="shared" si="1"/>
        <v>-456.0231008</v>
      </c>
      <c r="D153" s="124" t="str">
        <f>VLOOKUP(A153,'Classement Surp'!$B$2:$B$149,1,0)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18"/>
      <c r="B154" s="103">
        <v>153.0</v>
      </c>
      <c r="C154" s="183">
        <f t="shared" si="1"/>
        <v>-459.5310489</v>
      </c>
      <c r="D154" s="124" t="str">
        <f>VLOOKUP(A154,'Classement Surp'!$B$2:$B$149,1,0)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18"/>
      <c r="B155" s="103">
        <v>154.0</v>
      </c>
      <c r="C155" s="183">
        <f t="shared" si="1"/>
        <v>-463.0312263</v>
      </c>
      <c r="D155" s="124" t="str">
        <f>VLOOKUP(A155,'Classement Surp'!$B$2:$B$149,1,0)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18"/>
      <c r="B156" s="103">
        <v>155.0</v>
      </c>
      <c r="C156" s="183">
        <f t="shared" si="1"/>
        <v>-466.5237128</v>
      </c>
      <c r="D156" s="124" t="str">
        <f>VLOOKUP(A156,'Classement Surp'!$B$2:$B$149,1,0)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18"/>
      <c r="B157" s="103">
        <v>156.0</v>
      </c>
      <c r="C157" s="183">
        <f t="shared" si="1"/>
        <v>-470.0085863</v>
      </c>
      <c r="D157" s="124" t="str">
        <f>VLOOKUP(A157,'Classement Surp'!$B$2:$B$149,1,0)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18"/>
      <c r="B158" s="103">
        <v>157.0</v>
      </c>
      <c r="C158" s="183">
        <f t="shared" si="1"/>
        <v>-473.4859235</v>
      </c>
      <c r="D158" s="124" t="str">
        <f>VLOOKUP(A158,'Classement Surp'!$B$2:$B$149,1,0)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18"/>
      <c r="B159" s="103">
        <v>158.0</v>
      </c>
      <c r="C159" s="183">
        <f t="shared" si="1"/>
        <v>-476.9558</v>
      </c>
      <c r="D159" s="124" t="str">
        <f>VLOOKUP(A159,'Classement Surp'!$B$2:$B$149,1,0)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18"/>
      <c r="B160" s="103">
        <v>159.0</v>
      </c>
      <c r="C160" s="183">
        <f t="shared" si="1"/>
        <v>-480.4182898</v>
      </c>
      <c r="D160" s="124" t="str">
        <f>VLOOKUP(A160,'Classement Surp'!$B$2:$B$149,1,0)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84"/>
      <c r="B161" s="185">
        <v>160.0</v>
      </c>
      <c r="C161" s="186">
        <f t="shared" si="1"/>
        <v>-483.8734658</v>
      </c>
      <c r="D161" s="124" t="str">
        <f>VLOOKUP(A161,'Classement Surp'!$B$2:$B$149,1,0)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A162" s="187"/>
      <c r="B162" s="128"/>
    </row>
    <row r="163" ht="14.25" customHeight="1">
      <c r="A163" s="187"/>
      <c r="B163" s="128"/>
    </row>
    <row r="164" ht="14.25" customHeight="1">
      <c r="A164" s="187"/>
      <c r="B164" s="128"/>
    </row>
    <row r="165" ht="14.25" customHeight="1">
      <c r="A165" s="187"/>
      <c r="B165" s="128"/>
    </row>
    <row r="166" ht="14.25" customHeight="1">
      <c r="A166" s="187"/>
      <c r="B166" s="128"/>
    </row>
    <row r="167" ht="14.25" customHeight="1">
      <c r="A167" s="187"/>
      <c r="B167" s="128"/>
    </row>
    <row r="168" ht="14.25" customHeight="1">
      <c r="A168" s="187"/>
      <c r="B168" s="128"/>
    </row>
    <row r="169" ht="14.25" customHeight="1">
      <c r="A169" s="187"/>
      <c r="B169" s="128"/>
    </row>
    <row r="170" ht="14.25" customHeight="1">
      <c r="A170" s="187"/>
      <c r="B170" s="128"/>
    </row>
    <row r="171" ht="14.25" customHeight="1">
      <c r="A171" s="187"/>
      <c r="B171" s="128"/>
    </row>
    <row r="172" ht="14.25" customHeight="1">
      <c r="A172" s="187"/>
      <c r="B172" s="128"/>
    </row>
    <row r="173" ht="14.25" customHeight="1">
      <c r="A173" s="187"/>
      <c r="B173" s="128"/>
    </row>
    <row r="174" ht="14.25" customHeight="1">
      <c r="A174" s="187"/>
      <c r="B174" s="128"/>
    </row>
    <row r="175" ht="14.25" customHeight="1">
      <c r="A175" s="187"/>
      <c r="B175" s="128"/>
    </row>
    <row r="176" ht="14.25" customHeight="1">
      <c r="A176" s="187"/>
      <c r="B176" s="128"/>
    </row>
    <row r="177" ht="14.25" customHeight="1">
      <c r="A177" s="187"/>
      <c r="B177" s="128"/>
    </row>
    <row r="178" ht="14.25" customHeight="1">
      <c r="A178" s="187"/>
      <c r="B178" s="128"/>
    </row>
    <row r="179" ht="14.25" customHeight="1">
      <c r="A179" s="187"/>
      <c r="B179" s="128"/>
    </row>
    <row r="180" ht="14.25" customHeight="1">
      <c r="A180" s="187"/>
      <c r="B180" s="128"/>
    </row>
    <row r="181" ht="14.25" customHeight="1">
      <c r="A181" s="187"/>
      <c r="B181" s="128"/>
    </row>
    <row r="182" ht="14.25" customHeight="1">
      <c r="A182" s="187"/>
      <c r="B182" s="128"/>
    </row>
    <row r="183" ht="14.25" customHeight="1">
      <c r="A183" s="187"/>
      <c r="B183" s="128"/>
    </row>
    <row r="184" ht="14.25" customHeight="1">
      <c r="A184" s="187"/>
      <c r="B184" s="128"/>
    </row>
    <row r="185" ht="14.25" customHeight="1">
      <c r="A185" s="187"/>
      <c r="B185" s="128"/>
    </row>
    <row r="186" ht="14.25" customHeight="1">
      <c r="A186" s="187"/>
      <c r="B186" s="128"/>
    </row>
    <row r="187" ht="14.25" customHeight="1">
      <c r="A187" s="187"/>
      <c r="B187" s="128"/>
    </row>
    <row r="188" ht="14.25" customHeight="1">
      <c r="A188" s="187"/>
      <c r="B188" s="128"/>
    </row>
    <row r="189" ht="14.25" customHeight="1">
      <c r="A189" s="187"/>
      <c r="B189" s="128"/>
    </row>
    <row r="190" ht="14.25" customHeight="1">
      <c r="A190" s="187"/>
      <c r="B190" s="128"/>
    </row>
    <row r="191" ht="14.25" customHeight="1">
      <c r="A191" s="187"/>
      <c r="B191" s="128"/>
    </row>
    <row r="192" ht="14.25" customHeight="1">
      <c r="A192" s="187"/>
      <c r="B192" s="128"/>
    </row>
    <row r="193" ht="14.25" customHeight="1">
      <c r="A193" s="187"/>
      <c r="B193" s="128"/>
    </row>
    <row r="194" ht="14.25" customHeight="1">
      <c r="A194" s="187"/>
      <c r="B194" s="128"/>
    </row>
    <row r="195" ht="14.25" customHeight="1">
      <c r="A195" s="187"/>
      <c r="B195" s="128"/>
    </row>
    <row r="196" ht="14.25" customHeight="1">
      <c r="A196" s="187"/>
      <c r="B196" s="128"/>
    </row>
    <row r="197" ht="14.25" customHeight="1">
      <c r="A197" s="187"/>
      <c r="B197" s="128"/>
    </row>
    <row r="198" ht="14.25" customHeight="1">
      <c r="A198" s="187"/>
      <c r="B198" s="128"/>
    </row>
    <row r="199" ht="14.25" customHeight="1">
      <c r="A199" s="187"/>
      <c r="B199" s="128"/>
    </row>
    <row r="200" ht="14.25" customHeight="1">
      <c r="A200" s="187"/>
      <c r="B200" s="128"/>
    </row>
    <row r="201" ht="14.25" customHeight="1">
      <c r="A201" s="187"/>
      <c r="B201" s="128"/>
    </row>
    <row r="202" ht="14.25" customHeight="1">
      <c r="A202" s="187"/>
      <c r="B202" s="128"/>
    </row>
    <row r="203" ht="14.25" customHeight="1">
      <c r="A203" s="187"/>
      <c r="B203" s="128"/>
    </row>
    <row r="204" ht="14.25" customHeight="1">
      <c r="A204" s="187"/>
      <c r="B204" s="128"/>
    </row>
    <row r="205" ht="14.25" customHeight="1">
      <c r="A205" s="187"/>
      <c r="B205" s="128"/>
    </row>
    <row r="206" ht="14.25" customHeight="1">
      <c r="A206" s="187"/>
      <c r="B206" s="128"/>
    </row>
    <row r="207" ht="14.25" customHeight="1">
      <c r="A207" s="187"/>
      <c r="B207" s="128"/>
    </row>
    <row r="208" ht="14.25" customHeight="1">
      <c r="A208" s="187"/>
      <c r="B208" s="128"/>
    </row>
    <row r="209" ht="14.25" customHeight="1">
      <c r="A209" s="187"/>
      <c r="B209" s="128"/>
    </row>
    <row r="210" ht="14.25" customHeight="1">
      <c r="A210" s="187"/>
      <c r="B210" s="128"/>
    </row>
    <row r="211" ht="14.25" customHeight="1">
      <c r="A211" s="187"/>
      <c r="B211" s="128"/>
    </row>
    <row r="212" ht="14.25" customHeight="1">
      <c r="A212" s="187"/>
      <c r="B212" s="128"/>
    </row>
    <row r="213" ht="14.25" customHeight="1">
      <c r="A213" s="187"/>
      <c r="B213" s="128"/>
    </row>
    <row r="214" ht="14.25" customHeight="1">
      <c r="A214" s="187"/>
      <c r="B214" s="128"/>
    </row>
    <row r="215" ht="14.25" customHeight="1">
      <c r="A215" s="187"/>
      <c r="B215" s="128"/>
    </row>
    <row r="216" ht="14.25" customHeight="1">
      <c r="A216" s="187"/>
      <c r="B216" s="128"/>
    </row>
    <row r="217" ht="14.25" customHeight="1">
      <c r="A217" s="187"/>
      <c r="B217" s="128"/>
    </row>
    <row r="218" ht="14.25" customHeight="1">
      <c r="A218" s="187"/>
      <c r="B218" s="128"/>
    </row>
    <row r="219" ht="14.25" customHeight="1">
      <c r="A219" s="187"/>
      <c r="B219" s="128"/>
    </row>
    <row r="220" ht="14.25" customHeight="1">
      <c r="A220" s="187"/>
      <c r="B220" s="128"/>
    </row>
    <row r="221" ht="14.25" customHeight="1">
      <c r="A221" s="187"/>
      <c r="B221" s="128"/>
    </row>
    <row r="222" ht="14.25" customHeight="1">
      <c r="A222" s="187"/>
      <c r="B222" s="128"/>
    </row>
    <row r="223" ht="14.25" customHeight="1">
      <c r="A223" s="187"/>
      <c r="B223" s="128"/>
    </row>
    <row r="224" ht="14.25" customHeight="1">
      <c r="A224" s="187"/>
      <c r="B224" s="128"/>
    </row>
    <row r="225" ht="14.25" customHeight="1">
      <c r="A225" s="187"/>
      <c r="B225" s="128"/>
    </row>
    <row r="226" ht="14.25" customHeight="1">
      <c r="A226" s="187"/>
      <c r="B226" s="128"/>
    </row>
    <row r="227" ht="14.25" customHeight="1">
      <c r="A227" s="187"/>
      <c r="B227" s="128"/>
    </row>
    <row r="228" ht="14.25" customHeight="1">
      <c r="A228" s="187"/>
      <c r="B228" s="128"/>
    </row>
    <row r="229" ht="14.25" customHeight="1">
      <c r="A229" s="187"/>
      <c r="B229" s="128"/>
    </row>
    <row r="230" ht="14.25" customHeight="1">
      <c r="A230" s="187"/>
      <c r="B230" s="128"/>
    </row>
    <row r="231" ht="14.25" customHeight="1">
      <c r="A231" s="187"/>
      <c r="B231" s="128"/>
    </row>
    <row r="232" ht="14.25" customHeight="1">
      <c r="A232" s="187"/>
      <c r="B232" s="128"/>
    </row>
    <row r="233" ht="14.25" customHeight="1">
      <c r="A233" s="187"/>
      <c r="B233" s="128"/>
    </row>
    <row r="234" ht="14.25" customHeight="1">
      <c r="A234" s="187"/>
      <c r="B234" s="128"/>
    </row>
    <row r="235" ht="14.25" customHeight="1">
      <c r="A235" s="187"/>
      <c r="B235" s="128"/>
    </row>
    <row r="236" ht="14.25" customHeight="1">
      <c r="A236" s="187"/>
      <c r="B236" s="128"/>
    </row>
    <row r="237" ht="14.25" customHeight="1">
      <c r="A237" s="187"/>
      <c r="B237" s="128"/>
    </row>
    <row r="238" ht="14.25" customHeight="1">
      <c r="A238" s="187"/>
      <c r="B238" s="128"/>
    </row>
    <row r="239" ht="14.25" customHeight="1">
      <c r="A239" s="187"/>
      <c r="B239" s="128"/>
    </row>
    <row r="240" ht="14.25" customHeight="1">
      <c r="A240" s="187"/>
      <c r="B240" s="128"/>
    </row>
    <row r="241" ht="14.25" customHeight="1">
      <c r="A241" s="187"/>
      <c r="B241" s="128"/>
    </row>
    <row r="242" ht="14.25" customHeight="1">
      <c r="A242" s="187"/>
      <c r="B242" s="128"/>
    </row>
    <row r="243" ht="14.25" customHeight="1">
      <c r="A243" s="187"/>
      <c r="B243" s="128"/>
    </row>
    <row r="244" ht="14.25" customHeight="1">
      <c r="A244" s="187"/>
      <c r="B244" s="128"/>
    </row>
    <row r="245" ht="14.25" customHeight="1">
      <c r="A245" s="187"/>
      <c r="B245" s="128"/>
    </row>
    <row r="246" ht="14.25" customHeight="1">
      <c r="A246" s="187"/>
      <c r="B246" s="128"/>
    </row>
    <row r="247" ht="14.25" customHeight="1">
      <c r="A247" s="187"/>
      <c r="B247" s="128"/>
    </row>
    <row r="248" ht="14.25" customHeight="1">
      <c r="A248" s="187"/>
      <c r="B248" s="128"/>
    </row>
    <row r="249" ht="14.25" customHeight="1">
      <c r="A249" s="187"/>
      <c r="B249" s="128"/>
    </row>
    <row r="250" ht="14.25" customHeight="1">
      <c r="A250" s="187"/>
      <c r="B250" s="128"/>
    </row>
    <row r="251" ht="14.25" customHeight="1">
      <c r="A251" s="187"/>
      <c r="B251" s="128"/>
    </row>
    <row r="252" ht="14.25" customHeight="1">
      <c r="A252" s="187"/>
      <c r="B252" s="128"/>
    </row>
    <row r="253" ht="14.25" customHeight="1">
      <c r="A253" s="187"/>
      <c r="B253" s="128"/>
    </row>
    <row r="254" ht="14.25" customHeight="1">
      <c r="A254" s="187"/>
      <c r="B254" s="128"/>
    </row>
    <row r="255" ht="14.25" customHeight="1">
      <c r="A255" s="187"/>
      <c r="B255" s="128"/>
    </row>
    <row r="256" ht="14.25" customHeight="1">
      <c r="A256" s="187"/>
      <c r="B256" s="128"/>
    </row>
    <row r="257" ht="14.25" customHeight="1">
      <c r="A257" s="187"/>
      <c r="B257" s="128"/>
    </row>
    <row r="258" ht="14.25" customHeight="1">
      <c r="A258" s="187"/>
      <c r="B258" s="128"/>
    </row>
    <row r="259" ht="14.25" customHeight="1">
      <c r="A259" s="187"/>
      <c r="B259" s="128"/>
    </row>
    <row r="260" ht="14.25" customHeight="1">
      <c r="A260" s="187"/>
      <c r="B260" s="128"/>
    </row>
    <row r="261" ht="14.25" customHeight="1">
      <c r="A261" s="187"/>
      <c r="B261" s="128"/>
    </row>
    <row r="262" ht="14.25" customHeight="1">
      <c r="A262" s="187"/>
      <c r="B262" s="128"/>
    </row>
    <row r="263" ht="14.25" customHeight="1">
      <c r="A263" s="187"/>
      <c r="B263" s="128"/>
    </row>
    <row r="264" ht="14.25" customHeight="1">
      <c r="A264" s="187"/>
      <c r="B264" s="128"/>
    </row>
    <row r="265" ht="14.25" customHeight="1">
      <c r="A265" s="187"/>
      <c r="B265" s="128"/>
    </row>
    <row r="266" ht="14.25" customHeight="1">
      <c r="A266" s="187"/>
      <c r="B266" s="128"/>
    </row>
    <row r="267" ht="14.25" customHeight="1">
      <c r="A267" s="187"/>
      <c r="B267" s="128"/>
    </row>
    <row r="268" ht="14.25" customHeight="1">
      <c r="A268" s="187"/>
      <c r="B268" s="128"/>
    </row>
    <row r="269" ht="14.25" customHeight="1">
      <c r="A269" s="187"/>
      <c r="B269" s="128"/>
    </row>
    <row r="270" ht="14.25" customHeight="1">
      <c r="A270" s="187"/>
      <c r="B270" s="128"/>
    </row>
    <row r="271" ht="14.25" customHeight="1">
      <c r="A271" s="187"/>
      <c r="B271" s="128"/>
    </row>
    <row r="272" ht="14.25" customHeight="1">
      <c r="A272" s="187"/>
      <c r="B272" s="128"/>
    </row>
    <row r="273" ht="14.25" customHeight="1">
      <c r="A273" s="187"/>
      <c r="B273" s="128"/>
    </row>
    <row r="274" ht="14.25" customHeight="1">
      <c r="A274" s="187"/>
      <c r="B274" s="128"/>
    </row>
    <row r="275" ht="14.25" customHeight="1">
      <c r="A275" s="187"/>
      <c r="B275" s="128"/>
    </row>
    <row r="276" ht="14.25" customHeight="1">
      <c r="A276" s="187"/>
      <c r="B276" s="128"/>
    </row>
    <row r="277" ht="14.25" customHeight="1">
      <c r="A277" s="187"/>
      <c r="B277" s="128"/>
    </row>
    <row r="278" ht="14.25" customHeight="1">
      <c r="A278" s="187"/>
      <c r="B278" s="128"/>
    </row>
    <row r="279" ht="14.25" customHeight="1">
      <c r="A279" s="187"/>
      <c r="B279" s="128"/>
    </row>
    <row r="280" ht="14.25" customHeight="1">
      <c r="A280" s="187"/>
      <c r="B280" s="128"/>
    </row>
    <row r="281" ht="14.25" customHeight="1">
      <c r="A281" s="187"/>
      <c r="B281" s="128"/>
    </row>
    <row r="282" ht="14.25" customHeight="1">
      <c r="A282" s="187"/>
      <c r="B282" s="128"/>
    </row>
    <row r="283" ht="14.25" customHeight="1">
      <c r="A283" s="187"/>
      <c r="B283" s="128"/>
    </row>
    <row r="284" ht="14.25" customHeight="1">
      <c r="A284" s="187"/>
      <c r="B284" s="128"/>
    </row>
    <row r="285" ht="14.25" customHeight="1">
      <c r="A285" s="187"/>
      <c r="B285" s="128"/>
    </row>
    <row r="286" ht="14.25" customHeight="1">
      <c r="A286" s="187"/>
      <c r="B286" s="128"/>
    </row>
    <row r="287" ht="14.25" customHeight="1">
      <c r="A287" s="187"/>
      <c r="B287" s="128"/>
    </row>
    <row r="288" ht="14.25" customHeight="1">
      <c r="A288" s="187"/>
      <c r="B288" s="128"/>
    </row>
    <row r="289" ht="14.25" customHeight="1">
      <c r="A289" s="187"/>
      <c r="B289" s="128"/>
    </row>
    <row r="290" ht="14.25" customHeight="1">
      <c r="A290" s="187"/>
      <c r="B290" s="128"/>
    </row>
    <row r="291" ht="14.25" customHeight="1">
      <c r="A291" s="187"/>
      <c r="B291" s="128"/>
    </row>
    <row r="292" ht="14.25" customHeight="1">
      <c r="A292" s="187"/>
      <c r="B292" s="128"/>
    </row>
    <row r="293" ht="14.25" customHeight="1">
      <c r="A293" s="187"/>
      <c r="B293" s="128"/>
    </row>
    <row r="294" ht="14.25" customHeight="1">
      <c r="A294" s="187"/>
      <c r="B294" s="128"/>
    </row>
    <row r="295" ht="14.25" customHeight="1">
      <c r="A295" s="187"/>
      <c r="B295" s="128"/>
    </row>
    <row r="296" ht="14.25" customHeight="1">
      <c r="A296" s="187"/>
      <c r="B296" s="128"/>
    </row>
    <row r="297" ht="14.25" customHeight="1">
      <c r="A297" s="187"/>
      <c r="B297" s="128"/>
    </row>
    <row r="298" ht="14.25" customHeight="1">
      <c r="A298" s="187"/>
      <c r="B298" s="128"/>
    </row>
    <row r="299" ht="14.25" customHeight="1">
      <c r="A299" s="187"/>
      <c r="B299" s="128"/>
    </row>
    <row r="300" ht="14.25" customHeight="1">
      <c r="A300" s="187"/>
      <c r="B300" s="128"/>
    </row>
    <row r="301" ht="14.25" customHeight="1">
      <c r="A301" s="187"/>
      <c r="B301" s="128"/>
    </row>
    <row r="302" ht="14.25" customHeight="1">
      <c r="A302" s="187"/>
      <c r="B302" s="128"/>
    </row>
    <row r="303" ht="14.25" customHeight="1">
      <c r="A303" s="187"/>
      <c r="B303" s="128"/>
    </row>
    <row r="304" ht="14.25" customHeight="1">
      <c r="A304" s="187"/>
      <c r="B304" s="128"/>
    </row>
    <row r="305" ht="14.25" customHeight="1">
      <c r="A305" s="187"/>
      <c r="B305" s="128"/>
    </row>
    <row r="306" ht="14.25" customHeight="1">
      <c r="A306" s="187"/>
      <c r="B306" s="128"/>
    </row>
    <row r="307" ht="14.25" customHeight="1">
      <c r="A307" s="187"/>
      <c r="B307" s="128"/>
    </row>
    <row r="308" ht="14.25" customHeight="1">
      <c r="A308" s="187"/>
      <c r="B308" s="128"/>
    </row>
    <row r="309" ht="14.25" customHeight="1">
      <c r="A309" s="187"/>
      <c r="B309" s="128"/>
    </row>
    <row r="310" ht="14.25" customHeight="1">
      <c r="A310" s="187"/>
      <c r="B310" s="128"/>
    </row>
    <row r="311" ht="14.25" customHeight="1">
      <c r="A311" s="187"/>
      <c r="B311" s="128"/>
    </row>
    <row r="312" ht="14.25" customHeight="1">
      <c r="A312" s="187"/>
      <c r="B312" s="128"/>
    </row>
    <row r="313" ht="14.25" customHeight="1">
      <c r="A313" s="187"/>
      <c r="B313" s="128"/>
    </row>
    <row r="314" ht="14.25" customHeight="1">
      <c r="A314" s="187"/>
      <c r="B314" s="128"/>
    </row>
    <row r="315" ht="14.25" customHeight="1">
      <c r="A315" s="187"/>
      <c r="B315" s="128"/>
    </row>
    <row r="316" ht="14.25" customHeight="1">
      <c r="A316" s="187"/>
      <c r="B316" s="128"/>
    </row>
    <row r="317" ht="14.25" customHeight="1">
      <c r="A317" s="187"/>
      <c r="B317" s="128"/>
    </row>
    <row r="318" ht="14.25" customHeight="1">
      <c r="A318" s="187"/>
      <c r="B318" s="128"/>
    </row>
    <row r="319" ht="14.25" customHeight="1">
      <c r="A319" s="187"/>
      <c r="B319" s="128"/>
    </row>
    <row r="320" ht="14.25" customHeight="1">
      <c r="A320" s="187"/>
      <c r="B320" s="128"/>
    </row>
    <row r="321" ht="14.25" customHeight="1">
      <c r="A321" s="187"/>
      <c r="B321" s="128"/>
    </row>
    <row r="322" ht="14.25" customHeight="1">
      <c r="A322" s="187"/>
      <c r="B322" s="128"/>
    </row>
    <row r="323" ht="14.25" customHeight="1">
      <c r="A323" s="187"/>
      <c r="B323" s="128"/>
    </row>
    <row r="324" ht="14.25" customHeight="1">
      <c r="A324" s="187"/>
      <c r="B324" s="128"/>
    </row>
    <row r="325" ht="14.25" customHeight="1">
      <c r="A325" s="187"/>
      <c r="B325" s="128"/>
    </row>
    <row r="326" ht="14.25" customHeight="1">
      <c r="A326" s="187"/>
      <c r="B326" s="128"/>
    </row>
    <row r="327" ht="14.25" customHeight="1">
      <c r="A327" s="187"/>
      <c r="B327" s="128"/>
    </row>
    <row r="328" ht="14.25" customHeight="1">
      <c r="A328" s="187"/>
      <c r="B328" s="128"/>
    </row>
    <row r="329" ht="14.25" customHeight="1">
      <c r="A329" s="187"/>
      <c r="B329" s="128"/>
    </row>
    <row r="330" ht="14.25" customHeight="1">
      <c r="A330" s="187"/>
      <c r="B330" s="128"/>
    </row>
    <row r="331" ht="14.25" customHeight="1">
      <c r="A331" s="187"/>
      <c r="B331" s="128"/>
    </row>
    <row r="332" ht="14.25" customHeight="1">
      <c r="A332" s="187"/>
      <c r="B332" s="128"/>
    </row>
    <row r="333" ht="14.25" customHeight="1">
      <c r="A333" s="187"/>
      <c r="B333" s="128"/>
    </row>
    <row r="334" ht="14.25" customHeight="1">
      <c r="A334" s="187"/>
      <c r="B334" s="128"/>
    </row>
    <row r="335" ht="14.25" customHeight="1">
      <c r="A335" s="187"/>
      <c r="B335" s="128"/>
    </row>
    <row r="336" ht="14.25" customHeight="1">
      <c r="A336" s="187"/>
      <c r="B336" s="128"/>
    </row>
    <row r="337" ht="14.25" customHeight="1">
      <c r="A337" s="187"/>
      <c r="B337" s="128"/>
    </row>
    <row r="338" ht="14.25" customHeight="1">
      <c r="A338" s="187"/>
      <c r="B338" s="128"/>
    </row>
    <row r="339" ht="14.25" customHeight="1">
      <c r="A339" s="187"/>
      <c r="B339" s="128"/>
    </row>
    <row r="340" ht="14.25" customHeight="1">
      <c r="A340" s="187"/>
      <c r="B340" s="128"/>
    </row>
    <row r="341" ht="14.25" customHeight="1">
      <c r="A341" s="187"/>
      <c r="B341" s="128"/>
    </row>
    <row r="342" ht="14.25" customHeight="1">
      <c r="A342" s="187"/>
      <c r="B342" s="128"/>
    </row>
    <row r="343" ht="14.25" customHeight="1">
      <c r="A343" s="187"/>
      <c r="B343" s="128"/>
    </row>
    <row r="344" ht="14.25" customHeight="1">
      <c r="A344" s="187"/>
      <c r="B344" s="128"/>
    </row>
    <row r="345" ht="14.25" customHeight="1">
      <c r="A345" s="187"/>
      <c r="B345" s="128"/>
    </row>
    <row r="346" ht="14.25" customHeight="1">
      <c r="A346" s="187"/>
      <c r="B346" s="128"/>
    </row>
    <row r="347" ht="14.25" customHeight="1">
      <c r="A347" s="187"/>
      <c r="B347" s="128"/>
    </row>
    <row r="348" ht="14.25" customHeight="1">
      <c r="A348" s="187"/>
      <c r="B348" s="128"/>
    </row>
    <row r="349" ht="14.25" customHeight="1">
      <c r="A349" s="187"/>
      <c r="B349" s="128"/>
    </row>
    <row r="350" ht="14.25" customHeight="1">
      <c r="A350" s="187"/>
      <c r="B350" s="128"/>
    </row>
    <row r="351" ht="14.25" customHeight="1">
      <c r="A351" s="187"/>
      <c r="B351" s="128"/>
    </row>
    <row r="352" ht="14.25" customHeight="1">
      <c r="A352" s="187"/>
      <c r="B352" s="128"/>
    </row>
    <row r="353" ht="14.25" customHeight="1">
      <c r="A353" s="187"/>
      <c r="B353" s="128"/>
    </row>
    <row r="354" ht="14.25" customHeight="1">
      <c r="A354" s="187"/>
      <c r="B354" s="128"/>
    </row>
    <row r="355" ht="14.25" customHeight="1">
      <c r="A355" s="187"/>
      <c r="B355" s="128"/>
    </row>
    <row r="356" ht="14.25" customHeight="1">
      <c r="A356" s="187"/>
      <c r="B356" s="128"/>
    </row>
    <row r="357" ht="14.25" customHeight="1">
      <c r="A357" s="187"/>
      <c r="B357" s="128"/>
    </row>
    <row r="358" ht="14.25" customHeight="1">
      <c r="A358" s="187"/>
      <c r="B358" s="128"/>
    </row>
    <row r="359" ht="14.25" customHeight="1">
      <c r="A359" s="187"/>
      <c r="B359" s="128"/>
    </row>
    <row r="360" ht="14.25" customHeight="1">
      <c r="A360" s="187"/>
      <c r="B360" s="128"/>
    </row>
    <row r="361" ht="14.25" customHeight="1">
      <c r="A361" s="187"/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3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49</v>
      </c>
    </row>
    <row r="2" ht="14.25" customHeight="1">
      <c r="A2" s="118" t="str">
        <f>IFERROR(__xludf.DUMMYFUNCTION(" IMPORTRANGE(""https://docs.google.com/spreadsheets/d/1dQqj0oypF48fPb7ucZjWvCx6OgISYsyhyhFw8ScZ9kQ/edit#gid=1444344404"",""Surprise!A2:A161"")"),"Garou du 86")</f>
        <v>Garou du 86</v>
      </c>
      <c r="B2" s="103">
        <v>1.0</v>
      </c>
      <c r="C2" s="183">
        <f t="shared" ref="C2:C161" si="1">260*(1-(B2/($H$1+1)))*POWER((SQRT(($H$1+1)/B2)),1/2)</f>
        <v>677.5508973</v>
      </c>
      <c r="D2" s="124" t="str">
        <f>VLOOKUP(A2,'Classement Surp'!$B$2:$B$149,1,0)</f>
        <v>Garou du 86</v>
      </c>
      <c r="E2" s="125" t="str">
        <f t="shared" ref="E2:E161" si="2">IF(D2=A2,"","erreur")</f>
        <v/>
      </c>
      <c r="F2" s="120" t="str">
        <f>VLOOKUP(A2,'Classement Général'!$B$2:$B$146,1,0)</f>
        <v>Garou du 86</v>
      </c>
    </row>
    <row r="3" ht="14.25" customHeight="1">
      <c r="A3" s="118" t="str">
        <f>IFERROR(__xludf.DUMMYFUNCTION("""COMPUTED_VALUE"""),"ag79")</f>
        <v>ag79</v>
      </c>
      <c r="B3" s="103">
        <v>2.0</v>
      </c>
      <c r="C3" s="183">
        <f t="shared" si="1"/>
        <v>558.1225672</v>
      </c>
      <c r="D3" s="124" t="str">
        <f>VLOOKUP(A3,'Classement Surp'!$B$2:$B$149,1,0)</f>
        <v>ag79</v>
      </c>
      <c r="E3" s="125" t="str">
        <f t="shared" si="2"/>
        <v/>
      </c>
      <c r="F3" s="120" t="str">
        <f>VLOOKUP(A3,'Classement Général'!$B$2:$B$146,1,0)</f>
        <v>#N/A</v>
      </c>
    </row>
    <row r="4" ht="14.25" customHeight="1">
      <c r="A4" s="118" t="str">
        <f>IFERROR(__xludf.DUMMYFUNCTION("""COMPUTED_VALUE"""),"vu")</f>
        <v>vu</v>
      </c>
      <c r="B4" s="103">
        <v>3.0</v>
      </c>
      <c r="C4" s="183">
        <f t="shared" si="1"/>
        <v>493.8139893</v>
      </c>
      <c r="D4" s="124" t="str">
        <f>VLOOKUP(A4,'Classement Surp'!$B$2:$B$149,1,0)</f>
        <v>vu</v>
      </c>
      <c r="E4" s="125" t="str">
        <f t="shared" si="2"/>
        <v/>
      </c>
      <c r="F4" s="120" t="str">
        <f>VLOOKUP(A4,'Classement Général'!$B$2:$B$146,1,0)</f>
        <v>vu</v>
      </c>
    </row>
    <row r="5" ht="14.25" customHeight="1">
      <c r="A5" s="118" t="str">
        <f>IFERROR(__xludf.DUMMYFUNCTION("""COMPUTED_VALUE"""),"Patgaret")</f>
        <v>Patgaret</v>
      </c>
      <c r="B5" s="103">
        <v>4.0</v>
      </c>
      <c r="C5" s="183">
        <f t="shared" si="1"/>
        <v>449.7681299</v>
      </c>
      <c r="D5" s="124" t="str">
        <f>VLOOKUP(A5,'Classement Surp'!$B$2:$B$149,1,0)</f>
        <v>Patgaret</v>
      </c>
      <c r="E5" s="125" t="str">
        <f t="shared" si="2"/>
        <v/>
      </c>
      <c r="F5" s="120" t="str">
        <f>VLOOKUP(A5,'Classement Général'!$B$2:$B$146,1,0)</f>
        <v>Patgaret</v>
      </c>
    </row>
    <row r="6" ht="14.25" customHeight="1">
      <c r="A6" s="118" t="str">
        <f>IFERROR(__xludf.DUMMYFUNCTION("""COMPUTED_VALUE"""),"rivertalk")</f>
        <v>rivertalk</v>
      </c>
      <c r="B6" s="103">
        <v>5.0</v>
      </c>
      <c r="C6" s="183">
        <f t="shared" si="1"/>
        <v>416.1173819</v>
      </c>
      <c r="D6" s="124" t="str">
        <f>VLOOKUP(A6,'Classement Surp'!$B$2:$B$149,1,0)</f>
        <v>rivertalk</v>
      </c>
      <c r="E6" s="125" t="str">
        <f t="shared" si="2"/>
        <v/>
      </c>
      <c r="F6" s="120" t="str">
        <f>VLOOKUP(A6,'Classement Général'!$B$2:$B$146,1,0)</f>
        <v>rivertalk</v>
      </c>
    </row>
    <row r="7" ht="14.25" customHeight="1">
      <c r="A7" s="118" t="str">
        <f>IFERROR(__xludf.DUMMYFUNCTION("""COMPUTED_VALUE"""),"Kantescino")</f>
        <v>Kantescino</v>
      </c>
      <c r="B7" s="103">
        <v>6.0</v>
      </c>
      <c r="C7" s="183">
        <f t="shared" si="1"/>
        <v>388.7413232</v>
      </c>
      <c r="D7" s="124" t="str">
        <f>VLOOKUP(A7,'Classement Surp'!$B$2:$B$149,1,0)</f>
        <v>Kantescino</v>
      </c>
      <c r="E7" s="125" t="str">
        <f t="shared" si="2"/>
        <v/>
      </c>
      <c r="F7" s="120" t="str">
        <f>VLOOKUP(A7,'Classement Général'!$B$2:$B$146,1,0)</f>
        <v>#N/A</v>
      </c>
      <c r="J7" s="130" t="s">
        <v>120</v>
      </c>
    </row>
    <row r="8" ht="14.25" customHeight="1">
      <c r="A8" s="118" t="str">
        <f>IFERROR(__xludf.DUMMYFUNCTION("""COMPUTED_VALUE"""),"FridAKahlo")</f>
        <v>FridAKahlo</v>
      </c>
      <c r="B8" s="103">
        <v>7.0</v>
      </c>
      <c r="C8" s="183">
        <f t="shared" si="1"/>
        <v>365.5441098</v>
      </c>
      <c r="D8" s="124" t="str">
        <f>VLOOKUP(A8,'Classement Surp'!$B$2:$B$149,1,0)</f>
        <v>FridAKahlo</v>
      </c>
      <c r="E8" s="125" t="str">
        <f t="shared" si="2"/>
        <v/>
      </c>
      <c r="F8" s="120" t="str">
        <f>VLOOKUP(A8,'Classement Général'!$B$2:$B$146,1,0)</f>
        <v>FridAKahlo</v>
      </c>
      <c r="J8" s="130" t="s">
        <v>123</v>
      </c>
    </row>
    <row r="9" ht="14.25" customHeight="1">
      <c r="A9" s="118" t="str">
        <f>IFERROR(__xludf.DUMMYFUNCTION("""COMPUTED_VALUE"""),"Royo86")</f>
        <v>Royo86</v>
      </c>
      <c r="B9" s="103">
        <v>8.0</v>
      </c>
      <c r="C9" s="183">
        <f t="shared" si="1"/>
        <v>345.3207205</v>
      </c>
      <c r="D9" s="124" t="str">
        <f>VLOOKUP(A9,'Classement Surp'!$B$2:$B$149,1,0)</f>
        <v>Royo86</v>
      </c>
      <c r="E9" s="125" t="str">
        <f t="shared" si="2"/>
        <v/>
      </c>
      <c r="F9" s="120" t="str">
        <f>VLOOKUP(A9,'Classement Général'!$B$2:$B$146,1,0)</f>
        <v>Royo86</v>
      </c>
      <c r="J9" s="130" t="s">
        <v>127</v>
      </c>
    </row>
    <row r="10" ht="14.25" customHeight="1">
      <c r="A10" s="118" t="str">
        <f>IFERROR(__xludf.DUMMYFUNCTION("""COMPUTED_VALUE"""),"8kinder6")</f>
        <v>8kinder6</v>
      </c>
      <c r="B10" s="103">
        <v>9.0</v>
      </c>
      <c r="C10" s="183">
        <f t="shared" si="1"/>
        <v>327.3173859</v>
      </c>
      <c r="D10" s="124" t="str">
        <f>VLOOKUP(A10,'Classement Surp'!$B$2:$B$149,1,0)</f>
        <v>8kinder6</v>
      </c>
      <c r="E10" s="125" t="str">
        <f t="shared" si="2"/>
        <v/>
      </c>
      <c r="F10" s="120" t="str">
        <f>VLOOKUP(A10,'Classement Général'!$B$2:$B$146,1,0)</f>
        <v>8kinder6</v>
      </c>
      <c r="J10" s="130" t="s">
        <v>128</v>
      </c>
    </row>
    <row r="11" ht="14.25" customHeight="1">
      <c r="A11" s="118" t="str">
        <f>IFERROR(__xludf.DUMMYFUNCTION("""COMPUTED_VALUE"""),"KamehamehAS")</f>
        <v>KamehamehAS</v>
      </c>
      <c r="B11" s="103">
        <v>10.0</v>
      </c>
      <c r="C11" s="183">
        <f t="shared" si="1"/>
        <v>311.0325465</v>
      </c>
      <c r="D11" s="124" t="str">
        <f>VLOOKUP(A11,'Classement Surp'!$B$2:$B$149,1,0)</f>
        <v>KamehamehAS</v>
      </c>
      <c r="E11" s="125" t="str">
        <f t="shared" si="2"/>
        <v/>
      </c>
      <c r="F11" s="120" t="str">
        <f>VLOOKUP(A11,'Classement Général'!$B$2:$B$146,1,0)</f>
        <v>KamehamehAS</v>
      </c>
      <c r="J11" s="130" t="s">
        <v>133</v>
      </c>
    </row>
    <row r="12" ht="14.25" customHeight="1">
      <c r="A12" s="118" t="str">
        <f>IFERROR(__xludf.DUMMYFUNCTION("""COMPUTED_VALUE"""),"Roussko")</f>
        <v>Roussko</v>
      </c>
      <c r="B12" s="103">
        <v>11.0</v>
      </c>
      <c r="C12" s="183">
        <f t="shared" si="1"/>
        <v>296.116277</v>
      </c>
      <c r="D12" s="124" t="str">
        <f>VLOOKUP(A12,'Classement Surp'!$B$2:$B$149,1,0)</f>
        <v>Roussko</v>
      </c>
      <c r="E12" s="125" t="str">
        <f t="shared" si="2"/>
        <v/>
      </c>
      <c r="F12" s="120" t="str">
        <f>VLOOKUP(A12,'Classement Général'!$B$2:$B$146,1,0)</f>
        <v>Roussko</v>
      </c>
      <c r="J12" s="130" t="s">
        <v>118</v>
      </c>
    </row>
    <row r="13" ht="14.25" customHeight="1">
      <c r="A13" s="118" t="str">
        <f>IFERROR(__xludf.DUMMYFUNCTION("""COMPUTED_VALUE"""),"SINGE7")</f>
        <v>SINGE7</v>
      </c>
      <c r="B13" s="103">
        <v>12.0</v>
      </c>
      <c r="C13" s="183">
        <f t="shared" si="1"/>
        <v>282.3151145</v>
      </c>
      <c r="D13" s="124" t="str">
        <f>VLOOKUP(A13,'Classement Surp'!$B$2:$B$149,1,0)</f>
        <v>SINGE7</v>
      </c>
      <c r="E13" s="125" t="str">
        <f t="shared" si="2"/>
        <v/>
      </c>
      <c r="F13" s="120" t="str">
        <f>VLOOKUP(A13,'Classement Général'!$B$2:$B$146,1,0)</f>
        <v>SINGE7</v>
      </c>
      <c r="J13" s="130" t="s">
        <v>140</v>
      </c>
    </row>
    <row r="14" ht="14.25" customHeight="1">
      <c r="A14" s="118" t="str">
        <f>IFERROR(__xludf.DUMMYFUNCTION("""COMPUTED_VALUE"""),"Le_Pictavien")</f>
        <v>Le_Pictavien</v>
      </c>
      <c r="B14" s="103">
        <v>13.0</v>
      </c>
      <c r="C14" s="183">
        <f t="shared" si="1"/>
        <v>269.4397896</v>
      </c>
      <c r="D14" s="124" t="str">
        <f>VLOOKUP(A14,'Classement Surp'!$B$2:$B$149,1,0)</f>
        <v>Le_Pictavien</v>
      </c>
      <c r="E14" s="125" t="str">
        <f t="shared" si="2"/>
        <v/>
      </c>
      <c r="F14" s="120" t="str">
        <f>VLOOKUP(A14,'Classement Général'!$B$2:$B$146,1,0)</f>
        <v>Le_Pictavien</v>
      </c>
      <c r="J14" s="130" t="s">
        <v>145</v>
      </c>
    </row>
    <row r="15" ht="14.25" customHeight="1">
      <c r="A15" s="118" t="str">
        <f>IFERROR(__xludf.DUMMYFUNCTION("""COMPUTED_VALUE"""),"Mitch")</f>
        <v>Mitch</v>
      </c>
      <c r="B15" s="103">
        <v>14.0</v>
      </c>
      <c r="C15" s="183">
        <f t="shared" si="1"/>
        <v>257.3453566</v>
      </c>
      <c r="D15" s="124" t="str">
        <f>VLOOKUP(A15,'Classement Surp'!$B$2:$B$149,1,0)</f>
        <v>Mitch</v>
      </c>
      <c r="E15" s="125" t="str">
        <f t="shared" si="2"/>
        <v/>
      </c>
      <c r="F15" s="120" t="str">
        <f>VLOOKUP(A15,'Classement Général'!$B$2:$B$146,1,0)</f>
        <v>Mitch</v>
      </c>
      <c r="J15" s="130" t="s">
        <v>131</v>
      </c>
    </row>
    <row r="16" ht="14.25" customHeight="1">
      <c r="A16" s="118" t="str">
        <f>IFERROR(__xludf.DUMMYFUNCTION("""COMPUTED_VALUE"""),"patrick86370")</f>
        <v>patrick86370</v>
      </c>
      <c r="B16" s="103">
        <v>15.0</v>
      </c>
      <c r="C16" s="183">
        <f t="shared" si="1"/>
        <v>245.9184282</v>
      </c>
      <c r="D16" s="124" t="str">
        <f>VLOOKUP(A16,'Classement Surp'!$B$2:$B$149,1,0)</f>
        <v>patrick86370</v>
      </c>
      <c r="E16" s="125" t="str">
        <f t="shared" si="2"/>
        <v/>
      </c>
      <c r="F16" s="120" t="str">
        <f>VLOOKUP(A16,'Classement Général'!$B$2:$B$146,1,0)</f>
        <v>patrick86370</v>
      </c>
      <c r="J16" s="130" t="s">
        <v>148</v>
      </c>
    </row>
    <row r="17" ht="14.25" customHeight="1">
      <c r="A17" s="118" t="str">
        <f>IFERROR(__xludf.DUMMYFUNCTION("""COMPUTED_VALUE"""),"Mistral86")</f>
        <v>Mistral86</v>
      </c>
      <c r="B17" s="103">
        <v>16.0</v>
      </c>
      <c r="C17" s="183">
        <f t="shared" si="1"/>
        <v>235.0686786</v>
      </c>
      <c r="D17" s="124" t="str">
        <f>VLOOKUP(A17,'Classement Surp'!$B$2:$B$149,1,0)</f>
        <v>Mistral86</v>
      </c>
      <c r="E17" s="125" t="str">
        <f t="shared" si="2"/>
        <v/>
      </c>
      <c r="F17" s="120" t="str">
        <f>VLOOKUP(A17,'Classement Général'!$B$2:$B$146,1,0)</f>
        <v>Mistral86</v>
      </c>
    </row>
    <row r="18" ht="14.25" customHeight="1">
      <c r="A18" s="118" t="str">
        <f>IFERROR(__xludf.DUMMYFUNCTION("""COMPUTED_VALUE"""),"Kiki Bazaar")</f>
        <v>Kiki Bazaar</v>
      </c>
      <c r="B18" s="103">
        <v>17.0</v>
      </c>
      <c r="C18" s="183">
        <f t="shared" si="1"/>
        <v>224.7230157</v>
      </c>
      <c r="D18" s="124" t="str">
        <f>VLOOKUP(A18,'Classement Surp'!$B$2:$B$149,1,0)</f>
        <v>Kiki Bazaar</v>
      </c>
      <c r="E18" s="125" t="str">
        <f t="shared" si="2"/>
        <v/>
      </c>
      <c r="F18" s="120" t="str">
        <f>VLOOKUP(A18,'Classement Général'!$B$2:$B$146,1,0)</f>
        <v>Kiki Bazaar</v>
      </c>
    </row>
    <row r="19" ht="14.25" customHeight="1">
      <c r="A19" s="118" t="str">
        <f>IFERROR(__xludf.DUMMYFUNCTION("""COMPUTED_VALUE"""),"NezuKO-demon")</f>
        <v>NezuKO-demon</v>
      </c>
      <c r="B19" s="103">
        <v>18.0</v>
      </c>
      <c r="C19" s="183">
        <f t="shared" si="1"/>
        <v>214.8214763</v>
      </c>
      <c r="D19" s="124" t="str">
        <f>VLOOKUP(A19,'Classement Surp'!$B$2:$B$149,1,0)</f>
        <v>NezuKO-demon</v>
      </c>
      <c r="E19" s="125" t="str">
        <f t="shared" si="2"/>
        <v/>
      </c>
      <c r="F19" s="120" t="str">
        <f>VLOOKUP(A19,'Classement Général'!$B$2:$B$146,1,0)</f>
        <v>NezuKO-demon</v>
      </c>
    </row>
    <row r="20" ht="14.25" customHeight="1">
      <c r="A20" s="118" t="str">
        <f>IFERROR(__xludf.DUMMYFUNCTION("""COMPUTED_VALUE"""),"Vaillant 86")</f>
        <v>Vaillant 86</v>
      </c>
      <c r="B20" s="103">
        <v>19.0</v>
      </c>
      <c r="C20" s="183">
        <f t="shared" si="1"/>
        <v>205.3142714</v>
      </c>
      <c r="D20" s="124" t="str">
        <f>VLOOKUP(A20,'Classement Surp'!$B$2:$B$149,1,0)</f>
        <v>Vaillant 86</v>
      </c>
      <c r="E20" s="125" t="str">
        <f t="shared" si="2"/>
        <v/>
      </c>
      <c r="F20" s="120" t="str">
        <f>VLOOKUP(A20,'Classement Général'!$B$2:$B$146,1,0)</f>
        <v>Vaillant 86</v>
      </c>
    </row>
    <row r="21" ht="14.25" customHeight="1">
      <c r="A21" s="118" t="str">
        <f>IFERROR(__xludf.DUMMYFUNCTION("""COMPUTED_VALUE"""),"fiodor86")</f>
        <v>fiodor86</v>
      </c>
      <c r="B21" s="103">
        <v>20.0</v>
      </c>
      <c r="C21" s="183">
        <f t="shared" si="1"/>
        <v>196.159615</v>
      </c>
      <c r="D21" s="124" t="str">
        <f>VLOOKUP(A21,'Classement Surp'!$B$2:$B$149,1,0)</f>
        <v>fiodor86</v>
      </c>
      <c r="E21" s="125" t="str">
        <f t="shared" si="2"/>
        <v/>
      </c>
      <c r="F21" s="120" t="str">
        <f>VLOOKUP(A21,'Classement Général'!$B$2:$B$146,1,0)</f>
        <v>fiodor86</v>
      </c>
    </row>
    <row r="22" ht="14.25" customHeight="1">
      <c r="A22" s="118" t="str">
        <f>IFERROR(__xludf.DUMMYFUNCTION("""COMPUTED_VALUE"""),"christ86000")</f>
        <v>christ86000</v>
      </c>
      <c r="B22" s="103">
        <v>21.0</v>
      </c>
      <c r="C22" s="183">
        <f t="shared" si="1"/>
        <v>187.3221005</v>
      </c>
      <c r="D22" s="124" t="str">
        <f>VLOOKUP(A22,'Classement Surp'!$B$2:$B$149,1,0)</f>
        <v>christ86000</v>
      </c>
      <c r="E22" s="125" t="str">
        <f t="shared" si="2"/>
        <v/>
      </c>
      <c r="F22" s="120" t="str">
        <f>VLOOKUP(A22,'Classement Général'!$B$2:$B$146,1,0)</f>
        <v>christ86000</v>
      </c>
    </row>
    <row r="23" ht="14.25" customHeight="1">
      <c r="A23" s="118" t="str">
        <f>IFERROR(__xludf.DUMMYFUNCTION("""COMPUTED_VALUE"""),"BRUNOWINNER")</f>
        <v>BRUNOWINNER</v>
      </c>
      <c r="B23" s="103">
        <v>22.0</v>
      </c>
      <c r="C23" s="183">
        <f t="shared" si="1"/>
        <v>178.7714678</v>
      </c>
      <c r="D23" s="124" t="str">
        <f>VLOOKUP(A23,'Classement Surp'!$B$2:$B$149,1,0)</f>
        <v>BRUNOWINNER</v>
      </c>
      <c r="E23" s="125" t="str">
        <f t="shared" si="2"/>
        <v/>
      </c>
      <c r="F23" s="120" t="str">
        <f>VLOOKUP(A23,'Classement Général'!$B$2:$B$146,1,0)</f>
        <v>BRUNOWINNER</v>
      </c>
    </row>
    <row r="24" ht="14.25" customHeight="1">
      <c r="A24" s="118" t="str">
        <f>IFERROR(__xludf.DUMMYFUNCTION("""COMPUTED_VALUE"""),"LeYug")</f>
        <v>LeYug</v>
      </c>
      <c r="B24" s="103">
        <v>23.0</v>
      </c>
      <c r="C24" s="183">
        <f t="shared" si="1"/>
        <v>170.4816539</v>
      </c>
      <c r="D24" s="124" t="str">
        <f>VLOOKUP(A24,'Classement Surp'!$B$2:$B$149,1,0)</f>
        <v>LeYug</v>
      </c>
      <c r="E24" s="125" t="str">
        <f t="shared" si="2"/>
        <v/>
      </c>
      <c r="F24" s="120" t="str">
        <f>VLOOKUP(A24,'Classement Général'!$B$2:$B$146,1,0)</f>
        <v>LeYug</v>
      </c>
    </row>
    <row r="25" ht="14.25" customHeight="1">
      <c r="A25" s="118" t="str">
        <f>IFERROR(__xludf.DUMMYFUNCTION("""COMPUTED_VALUE"""),"S.coco")</f>
        <v>S.coco</v>
      </c>
      <c r="B25" s="103">
        <v>24.0</v>
      </c>
      <c r="C25" s="183">
        <f t="shared" si="1"/>
        <v>162.4300516</v>
      </c>
      <c r="D25" s="124" t="str">
        <f>VLOOKUP(A25,'Classement Surp'!$B$2:$B$149,1,0)</f>
        <v>S.coco</v>
      </c>
      <c r="E25" s="125" t="str">
        <f t="shared" si="2"/>
        <v/>
      </c>
      <c r="F25" s="120" t="str">
        <f>VLOOKUP(A25,'Classement Général'!$B$2:$B$146,1,0)</f>
        <v>S.coco</v>
      </c>
    </row>
    <row r="26" ht="14.25" customHeight="1">
      <c r="A26" s="118" t="str">
        <f>IFERROR(__xludf.DUMMYFUNCTION("""COMPUTED_VALUE"""),"ceeme86")</f>
        <v>ceeme86</v>
      </c>
      <c r="B26" s="103">
        <v>25.0</v>
      </c>
      <c r="C26" s="183">
        <f t="shared" si="1"/>
        <v>154.596925</v>
      </c>
      <c r="D26" s="124" t="str">
        <f>VLOOKUP(A26,'Classement Surp'!$B$2:$B$149,1,0)</f>
        <v>ceeme86</v>
      </c>
      <c r="E26" s="125" t="str">
        <f t="shared" si="2"/>
        <v/>
      </c>
      <c r="F26" s="120" t="str">
        <f>VLOOKUP(A26,'Classement Général'!$B$2:$B$146,1,0)</f>
        <v>#N/A</v>
      </c>
    </row>
    <row r="27" ht="14.25" customHeight="1">
      <c r="A27" s="118" t="str">
        <f>IFERROR(__xludf.DUMMYFUNCTION("""COMPUTED_VALUE"""),"pablo")</f>
        <v>pablo</v>
      </c>
      <c r="B27" s="103">
        <v>26.0</v>
      </c>
      <c r="C27" s="183">
        <f t="shared" si="1"/>
        <v>146.9649426</v>
      </c>
      <c r="D27" s="124" t="str">
        <f>VLOOKUP(A27,'Classement Surp'!$B$2:$B$149,1,0)</f>
        <v>pablo</v>
      </c>
      <c r="E27" s="125" t="str">
        <f t="shared" si="2"/>
        <v/>
      </c>
      <c r="F27" s="120" t="str">
        <f>VLOOKUP(A27,'Classement Général'!$B$2:$B$146,1,0)</f>
        <v>pablo</v>
      </c>
    </row>
    <row r="28" ht="14.25" customHeight="1">
      <c r="A28" s="118" t="str">
        <f>IFERROR(__xludf.DUMMYFUNCTION("""COMPUTED_VALUE"""),"Phil1308")</f>
        <v>Phil1308</v>
      </c>
      <c r="B28" s="103">
        <v>27.0</v>
      </c>
      <c r="C28" s="183">
        <f t="shared" si="1"/>
        <v>139.5188024</v>
      </c>
      <c r="D28" s="124" t="str">
        <f>VLOOKUP(A28,'Classement Surp'!$B$2:$B$149,1,0)</f>
        <v>Phil1308</v>
      </c>
      <c r="E28" s="125" t="str">
        <f t="shared" si="2"/>
        <v/>
      </c>
      <c r="F28" s="120" t="str">
        <f>VLOOKUP(A28,'Classement Général'!$B$2:$B$146,1,0)</f>
        <v>Phil1308</v>
      </c>
    </row>
    <row r="29" ht="14.25" customHeight="1">
      <c r="A29" s="118" t="str">
        <f>IFERROR(__xludf.DUMMYFUNCTION("""COMPUTED_VALUE"""),"PrendmAmAin")</f>
        <v>PrendmAmAin</v>
      </c>
      <c r="B29" s="103">
        <v>28.0</v>
      </c>
      <c r="C29" s="183">
        <f t="shared" si="1"/>
        <v>132.2449259</v>
      </c>
      <c r="D29" s="124" t="str">
        <f>VLOOKUP(A29,'Classement Surp'!$B$2:$B$149,1,0)</f>
        <v>PrendmAmAin</v>
      </c>
      <c r="E29" s="125" t="str">
        <f t="shared" si="2"/>
        <v/>
      </c>
      <c r="F29" s="120" t="str">
        <f>VLOOKUP(A29,'Classement Général'!$B$2:$B$146,1,0)</f>
        <v>PrendmAmAin</v>
      </c>
    </row>
    <row r="30" ht="14.25" customHeight="1">
      <c r="A30" s="118" t="str">
        <f>IFERROR(__xludf.DUMMYFUNCTION("""COMPUTED_VALUE"""),".choco")</f>
        <v>.choco</v>
      </c>
      <c r="B30" s="103">
        <v>29.0</v>
      </c>
      <c r="C30" s="183">
        <f t="shared" si="1"/>
        <v>125.1312088</v>
      </c>
      <c r="D30" s="124" t="str">
        <f>VLOOKUP(A30,'Classement Surp'!$B$2:$B$149,1,0)</f>
        <v>.choco</v>
      </c>
      <c r="E30" s="125" t="str">
        <f t="shared" si="2"/>
        <v/>
      </c>
      <c r="F30" s="120" t="str">
        <f>VLOOKUP(A30,'Classement Général'!$B$2:$B$146,1,0)</f>
        <v>.choco</v>
      </c>
    </row>
    <row r="31" ht="14.25" customHeight="1">
      <c r="A31" s="118" t="str">
        <f>IFERROR(__xludf.DUMMYFUNCTION("""COMPUTED_VALUE"""),"Elfy")</f>
        <v>Elfy</v>
      </c>
      <c r="B31" s="103">
        <v>30.0</v>
      </c>
      <c r="C31" s="183">
        <f t="shared" si="1"/>
        <v>118.1668141</v>
      </c>
      <c r="D31" s="124" t="str">
        <f>VLOOKUP(A31,'Classement Surp'!$B$2:$B$149,1,0)</f>
        <v>Elfy</v>
      </c>
      <c r="E31" s="125" t="str">
        <f t="shared" si="2"/>
        <v/>
      </c>
      <c r="F31" s="120" t="str">
        <f>VLOOKUP(A31,'Classement Général'!$B$2:$B$146,1,0)</f>
        <v>Elfy</v>
      </c>
    </row>
    <row r="32" ht="14.25" customHeight="1">
      <c r="A32" s="118" t="str">
        <f>IFERROR(__xludf.DUMMYFUNCTION("""COMPUTED_VALUE"""),"Jennyyy8")</f>
        <v>Jennyyy8</v>
      </c>
      <c r="B32" s="103">
        <v>31.0</v>
      </c>
      <c r="C32" s="183">
        <f t="shared" si="1"/>
        <v>111.342001</v>
      </c>
      <c r="D32" s="124" t="str">
        <f>VLOOKUP(A32,'Classement Surp'!$B$2:$B$149,1,0)</f>
        <v>Jennyyy8</v>
      </c>
      <c r="E32" s="125" t="str">
        <f t="shared" si="2"/>
        <v/>
      </c>
      <c r="F32" s="120" t="str">
        <f>VLOOKUP(A32,'Classement Général'!$B$2:$B$146,1,0)</f>
        <v>Jennyyy8</v>
      </c>
    </row>
    <row r="33" ht="14.25" customHeight="1">
      <c r="A33" s="118" t="str">
        <f>IFERROR(__xludf.DUMMYFUNCTION("""COMPUTED_VALUE"""),"Jul")</f>
        <v>Jul</v>
      </c>
      <c r="B33" s="103">
        <v>32.0</v>
      </c>
      <c r="C33" s="183">
        <f t="shared" si="1"/>
        <v>104.6479813</v>
      </c>
      <c r="D33" s="124" t="str">
        <f>VLOOKUP(A33,'Classement Surp'!$B$2:$B$149,1,0)</f>
        <v>Jul</v>
      </c>
      <c r="E33" s="125" t="str">
        <f t="shared" si="2"/>
        <v/>
      </c>
      <c r="F33" s="120" t="str">
        <f>VLOOKUP(A33,'Classement Général'!$B$2:$B$146,1,0)</f>
        <v>Jul</v>
      </c>
    </row>
    <row r="34" ht="14.25" customHeight="1">
      <c r="A34" s="118" t="str">
        <f>IFERROR(__xludf.DUMMYFUNCTION("""COMPUTED_VALUE"""),"jejehehe")</f>
        <v>jejehehe</v>
      </c>
      <c r="B34" s="103">
        <v>33.0</v>
      </c>
      <c r="C34" s="183">
        <f t="shared" si="1"/>
        <v>98.07679857</v>
      </c>
      <c r="D34" s="124" t="str">
        <f>VLOOKUP(A34,'Classement Surp'!$B$2:$B$149,1,0)</f>
        <v>jejehehe</v>
      </c>
      <c r="E34" s="125" t="str">
        <f t="shared" si="2"/>
        <v/>
      </c>
      <c r="F34" s="120" t="str">
        <f>VLOOKUP(A34,'Classement Général'!$B$2:$B$146,1,0)</f>
        <v>jejehehe</v>
      </c>
    </row>
    <row r="35" ht="14.25" customHeight="1">
      <c r="A35" s="118" t="str">
        <f>IFERROR(__xludf.DUMMYFUNCTION("""COMPUTED_VALUE"""),"immond")</f>
        <v>immond</v>
      </c>
      <c r="B35" s="103">
        <v>34.0</v>
      </c>
      <c r="C35" s="183">
        <f t="shared" si="1"/>
        <v>91.62122584</v>
      </c>
      <c r="D35" s="124" t="str">
        <f>VLOOKUP(A35,'Classement Surp'!$B$2:$B$149,1,0)</f>
        <v>immond</v>
      </c>
      <c r="E35" s="125" t="str">
        <f t="shared" si="2"/>
        <v/>
      </c>
      <c r="F35" s="120" t="str">
        <f>VLOOKUP(A35,'Classement Général'!$B$2:$B$146,1,0)</f>
        <v>immond</v>
      </c>
    </row>
    <row r="36" ht="14.25" customHeight="1">
      <c r="A36" s="118" t="str">
        <f>IFERROR(__xludf.DUMMYFUNCTION("""COMPUTED_VALUE"""),"kiki86 x")</f>
        <v>kiki86 x</v>
      </c>
      <c r="B36" s="103">
        <v>35.0</v>
      </c>
      <c r="C36" s="183">
        <f t="shared" si="1"/>
        <v>85.27467889</v>
      </c>
      <c r="D36" s="124" t="str">
        <f>VLOOKUP(A36,'Classement Surp'!$B$2:$B$149,1,0)</f>
        <v>kiki86 x</v>
      </c>
      <c r="E36" s="125" t="str">
        <f t="shared" si="2"/>
        <v/>
      </c>
      <c r="F36" s="120" t="str">
        <f>VLOOKUP(A36,'Classement Général'!$B$2:$B$146,1,0)</f>
        <v>kiki86 x</v>
      </c>
    </row>
    <row r="37" ht="14.25" customHeight="1">
      <c r="A37" s="118" t="str">
        <f>IFERROR(__xludf.DUMMYFUNCTION("""COMPUTED_VALUE"""),"suricatebiker")</f>
        <v>suricatebiker</v>
      </c>
      <c r="B37" s="103">
        <v>36.0</v>
      </c>
      <c r="C37" s="183">
        <f t="shared" si="1"/>
        <v>79.03114158</v>
      </c>
      <c r="D37" s="124" t="str">
        <f>VLOOKUP(A37,'Classement Surp'!$B$2:$B$149,1,0)</f>
        <v>suricatebiker</v>
      </c>
      <c r="E37" s="125" t="str">
        <f t="shared" si="2"/>
        <v/>
      </c>
      <c r="F37" s="120" t="str">
        <f>VLOOKUP(A37,'Classement Général'!$B$2:$B$146,1,0)</f>
        <v>#N/A</v>
      </c>
    </row>
    <row r="38" ht="14.25" customHeight="1">
      <c r="A38" s="118" t="str">
        <f>IFERROR(__xludf.DUMMYFUNCTION("""COMPUTED_VALUE"""),"Presci")</f>
        <v>Presci</v>
      </c>
      <c r="B38" s="103">
        <v>37.0</v>
      </c>
      <c r="C38" s="183">
        <f t="shared" si="1"/>
        <v>72.88510202</v>
      </c>
      <c r="D38" s="124" t="str">
        <f>VLOOKUP(A38,'Classement Surp'!$B$2:$B$149,1,0)</f>
        <v>Presci</v>
      </c>
      <c r="E38" s="125" t="str">
        <f t="shared" si="2"/>
        <v/>
      </c>
      <c r="F38" s="120" t="str">
        <f>VLOOKUP(A38,'Classement Général'!$B$2:$B$146,1,0)</f>
        <v>Presci</v>
      </c>
    </row>
    <row r="39" ht="14.25" customHeight="1">
      <c r="A39" s="118" t="str">
        <f>IFERROR(__xludf.DUMMYFUNCTION("""COMPUTED_VALUE"""),"greg869")</f>
        <v>greg869</v>
      </c>
      <c r="B39" s="103">
        <v>38.0</v>
      </c>
      <c r="C39" s="183">
        <f t="shared" si="1"/>
        <v>66.83149736</v>
      </c>
      <c r="D39" s="124" t="str">
        <f>VLOOKUP(A39,'Classement Surp'!$B$2:$B$149,1,0)</f>
        <v>greg869</v>
      </c>
      <c r="E39" s="125" t="str">
        <f t="shared" si="2"/>
        <v/>
      </c>
      <c r="F39" s="120" t="str">
        <f>VLOOKUP(A39,'Classement Général'!$B$2:$B$146,1,0)</f>
        <v>greg869</v>
      </c>
    </row>
    <row r="40" ht="14.25" customHeight="1">
      <c r="A40" s="118" t="str">
        <f>IFERROR(__xludf.DUMMYFUNCTION("""COMPUTED_VALUE"""),"Fistipanda")</f>
        <v>Fistipanda</v>
      </c>
      <c r="B40" s="103">
        <v>39.0</v>
      </c>
      <c r="C40" s="183">
        <f t="shared" si="1"/>
        <v>60.86566595</v>
      </c>
      <c r="D40" s="124" t="str">
        <f>VLOOKUP(A40,'Classement Surp'!$B$2:$B$149,1,0)</f>
        <v>Fistipanda</v>
      </c>
      <c r="E40" s="125" t="str">
        <f t="shared" si="2"/>
        <v/>
      </c>
      <c r="F40" s="120" t="str">
        <f>VLOOKUP(A40,'Classement Général'!$B$2:$B$146,1,0)</f>
        <v>Fistipanda</v>
      </c>
    </row>
    <row r="41" ht="14.25" customHeight="1">
      <c r="A41" s="118" t="str">
        <f>IFERROR(__xludf.DUMMYFUNCTION("""COMPUTED_VALUE"""),"Mako Lemore")</f>
        <v>Mako Lemore</v>
      </c>
      <c r="B41" s="103">
        <v>40.0</v>
      </c>
      <c r="C41" s="183">
        <f t="shared" si="1"/>
        <v>54.9833057</v>
      </c>
      <c r="D41" s="124" t="str">
        <f>VLOOKUP(A41,'Classement Surp'!$B$2:$B$149,1,0)</f>
        <v>Mako Lemore</v>
      </c>
      <c r="E41" s="125" t="str">
        <f t="shared" si="2"/>
        <v/>
      </c>
      <c r="F41" s="120" t="str">
        <f>VLOOKUP(A41,'Classement Général'!$B$2:$B$146,1,0)</f>
        <v>Mako Lemore</v>
      </c>
    </row>
    <row r="42" ht="14.25" customHeight="1">
      <c r="A42" s="118" t="str">
        <f>IFERROR(__xludf.DUMMYFUNCTION("""COMPUTED_VALUE"""),"tyman")</f>
        <v>tyman</v>
      </c>
      <c r="B42" s="103">
        <v>41.0</v>
      </c>
      <c r="C42" s="183">
        <f t="shared" si="1"/>
        <v>49.18043774</v>
      </c>
      <c r="D42" s="124" t="str">
        <f>VLOOKUP(A42,'Classement Surp'!$B$2:$B$149,1,0)</f>
        <v>tyman</v>
      </c>
      <c r="E42" s="125" t="str">
        <f t="shared" si="2"/>
        <v/>
      </c>
      <c r="F42" s="120" t="str">
        <f>VLOOKUP(A42,'Classement Général'!$B$2:$B$146,1,0)</f>
        <v>#N/A</v>
      </c>
    </row>
    <row r="43" ht="14.25" customHeight="1">
      <c r="A43" s="118" t="str">
        <f>IFERROR(__xludf.DUMMYFUNCTION("""COMPUTED_VALUE"""),"gregmoore")</f>
        <v>gregmoore</v>
      </c>
      <c r="B43" s="103">
        <v>42.0</v>
      </c>
      <c r="C43" s="183">
        <f t="shared" si="1"/>
        <v>43.45337456</v>
      </c>
      <c r="D43" s="124" t="str">
        <f>VLOOKUP(A43,'Classement Surp'!$B$2:$B$149,1,0)</f>
        <v>gregmoore</v>
      </c>
      <c r="E43" s="125" t="str">
        <f t="shared" si="2"/>
        <v/>
      </c>
      <c r="F43" s="120" t="str">
        <f>VLOOKUP(A43,'Classement Général'!$B$2:$B$146,1,0)</f>
        <v>gregmoore</v>
      </c>
    </row>
    <row r="44" ht="14.25" customHeight="1">
      <c r="A44" s="118" t="str">
        <f>IFERROR(__xludf.DUMMYFUNCTION("""COMPUTED_VALUE"""),"DonnesTchips")</f>
        <v>DonnesTchips</v>
      </c>
      <c r="B44" s="103">
        <v>43.0</v>
      </c>
      <c r="C44" s="183">
        <f t="shared" si="1"/>
        <v>37.79869193</v>
      </c>
      <c r="D44" s="124" t="str">
        <f>VLOOKUP(A44,'Classement Surp'!$B$2:$B$149,1,0)</f>
        <v>DonnesTchips</v>
      </c>
      <c r="E44" s="125" t="str">
        <f t="shared" si="2"/>
        <v/>
      </c>
      <c r="F44" s="120" t="str">
        <f>VLOOKUP(A44,'Classement Général'!$B$2:$B$146,1,0)</f>
        <v>DonnesTchips</v>
      </c>
    </row>
    <row r="45" ht="14.25" customHeight="1">
      <c r="A45" s="118" t="str">
        <f>IFERROR(__xludf.DUMMYFUNCTION("""COMPUTED_VALUE"""),"rastamokett")</f>
        <v>rastamokett</v>
      </c>
      <c r="B45" s="103">
        <v>44.0</v>
      </c>
      <c r="C45" s="183">
        <f t="shared" si="1"/>
        <v>32.21320423</v>
      </c>
      <c r="D45" s="124" t="str">
        <f>VLOOKUP(A45,'Classement Surp'!$B$2:$B$149,1,0)</f>
        <v>rastamokett</v>
      </c>
      <c r="E45" s="125" t="str">
        <f t="shared" si="2"/>
        <v/>
      </c>
      <c r="F45" s="120" t="str">
        <f>VLOOKUP(A45,'Classement Général'!$B$2:$B$146,1,0)</f>
        <v>rastamokett</v>
      </c>
    </row>
    <row r="46" ht="14.25" customHeight="1">
      <c r="A46" s="118" t="str">
        <f>IFERROR(__xludf.DUMMYFUNCTION("""COMPUTED_VALUE"""),". BARBAPAPA66")</f>
        <v>. BARBAPAPA66</v>
      </c>
      <c r="B46" s="103">
        <v>45.0</v>
      </c>
      <c r="C46" s="183">
        <f t="shared" si="1"/>
        <v>26.6939425</v>
      </c>
      <c r="D46" s="124" t="str">
        <f>VLOOKUP(A46,'Classement Surp'!$B$2:$B$149,1,0)</f>
        <v>. BARBAPAPA66</v>
      </c>
      <c r="E46" s="125" t="str">
        <f t="shared" si="2"/>
        <v/>
      </c>
      <c r="F46" s="120" t="str">
        <f>VLOOKUP(A46,'Classement Général'!$B$2:$B$146,1,0)</f>
        <v>. BARBAPAPA66</v>
      </c>
    </row>
    <row r="47" ht="14.25" customHeight="1">
      <c r="A47" s="118" t="str">
        <f>IFERROR(__xludf.DUMMYFUNCTION("""COMPUTED_VALUE"""),"VietNems86")</f>
        <v>VietNems86</v>
      </c>
      <c r="B47" s="103">
        <v>46.0</v>
      </c>
      <c r="C47" s="183">
        <f t="shared" si="1"/>
        <v>21.23813505</v>
      </c>
      <c r="D47" s="124" t="str">
        <f>VLOOKUP(A47,'Classement Surp'!$B$2:$B$149,1,0)</f>
        <v>VietNems86</v>
      </c>
      <c r="E47" s="125" t="str">
        <f t="shared" si="2"/>
        <v/>
      </c>
      <c r="F47" s="120" t="str">
        <f>VLOOKUP(A47,'Classement Général'!$B$2:$B$146,1,0)</f>
        <v>VietNems86</v>
      </c>
    </row>
    <row r="48" ht="14.25" customHeight="1">
      <c r="A48" s="118" t="str">
        <f>IFERROR(__xludf.DUMMYFUNCTION("""COMPUTED_VALUE"""),"_Sale-Bet_")</f>
        <v>_Sale-Bet_</v>
      </c>
      <c r="B48" s="103">
        <v>47.0</v>
      </c>
      <c r="C48" s="183">
        <f t="shared" si="1"/>
        <v>15.84319016</v>
      </c>
      <c r="D48" s="124" t="str">
        <f>VLOOKUP(A48,'Classement Surp'!$B$2:$B$149,1,0)</f>
        <v>_Sale-Bet_</v>
      </c>
      <c r="E48" s="125" t="str">
        <f t="shared" si="2"/>
        <v/>
      </c>
      <c r="F48" s="120" t="str">
        <f>VLOOKUP(A48,'Classement Général'!$B$2:$B$146,1,0)</f>
        <v>_Sale-Bet_</v>
      </c>
    </row>
    <row r="49" ht="14.25" customHeight="1">
      <c r="A49" s="118" t="str">
        <f>IFERROR(__xludf.DUMMYFUNCTION("""COMPUTED_VALUE"""),"erniedog56x")</f>
        <v>erniedog56x</v>
      </c>
      <c r="B49" s="103">
        <v>48.0</v>
      </c>
      <c r="C49" s="183">
        <f t="shared" si="1"/>
        <v>10.50668062</v>
      </c>
      <c r="D49" s="124" t="str">
        <f>VLOOKUP(A49,'Classement Surp'!$B$2:$B$149,1,0)</f>
        <v>erniedog56x</v>
      </c>
      <c r="E49" s="125" t="str">
        <f t="shared" si="2"/>
        <v/>
      </c>
      <c r="F49" s="120" t="str">
        <f>VLOOKUP(A49,'Classement Général'!$B$2:$B$146,1,0)</f>
        <v>erniedog56x</v>
      </c>
    </row>
    <row r="50" ht="14.25" customHeight="1">
      <c r="A50" s="118" t="str">
        <f>IFERROR(__xludf.DUMMYFUNCTION("""COMPUTED_VALUE"""),"A_iniesta")</f>
        <v>A_iniesta</v>
      </c>
      <c r="B50" s="103">
        <v>49.0</v>
      </c>
      <c r="C50" s="183">
        <f t="shared" si="1"/>
        <v>5.226329956</v>
      </c>
      <c r="D50" s="124" t="str">
        <f>VLOOKUP(A50,'Classement Surp'!$B$2:$B$149,1,0)</f>
        <v>A_Iniesta</v>
      </c>
      <c r="E50" s="125" t="str">
        <f t="shared" si="2"/>
        <v/>
      </c>
      <c r="F50" s="120" t="str">
        <f>VLOOKUP(A50,'Classement Général'!$B$2:$B$146,1,0)</f>
        <v>A_iniesta</v>
      </c>
    </row>
    <row r="51" ht="14.25" customHeight="1">
      <c r="A51" s="118"/>
      <c r="B51" s="103">
        <v>50.0</v>
      </c>
      <c r="C51" s="183">
        <f t="shared" si="1"/>
        <v>0</v>
      </c>
      <c r="D51" s="124" t="str">
        <f>VLOOKUP(A51,'Classement Surp'!$B$2:$B$149,1,0)</f>
        <v>#N/A</v>
      </c>
      <c r="E51" s="125" t="str">
        <f t="shared" si="2"/>
        <v>#N/A</v>
      </c>
      <c r="F51" s="120" t="str">
        <f>VLOOKUP(A51,'Classement Général'!$B$2:$B$146,1,0)</f>
        <v>#N/A</v>
      </c>
    </row>
    <row r="52" ht="14.25" customHeight="1">
      <c r="A52" s="118"/>
      <c r="B52" s="103">
        <v>51.0</v>
      </c>
      <c r="C52" s="183">
        <f t="shared" si="1"/>
        <v>-5.174320203</v>
      </c>
      <c r="D52" s="124" t="str">
        <f>VLOOKUP(A52,'Classement Surp'!$B$2:$B$149,1,0)</f>
        <v>#N/A</v>
      </c>
      <c r="E52" s="125" t="str">
        <f t="shared" si="2"/>
        <v>#N/A</v>
      </c>
      <c r="F52" s="120" t="str">
        <f>VLOOKUP(A52,'Classement Général'!$B$2:$B$146,1,0)</f>
        <v>#N/A</v>
      </c>
    </row>
    <row r="53" ht="14.25" customHeight="1">
      <c r="A53" s="118"/>
      <c r="B53" s="103">
        <v>52.0</v>
      </c>
      <c r="C53" s="183">
        <f t="shared" si="1"/>
        <v>-10.29852445</v>
      </c>
      <c r="D53" s="124" t="str">
        <f>VLOOKUP(A53,'Classement Surp'!$B$2:$B$149,1,0)</f>
        <v>#N/A</v>
      </c>
      <c r="E53" s="125" t="str">
        <f t="shared" si="2"/>
        <v>#N/A</v>
      </c>
      <c r="F53" s="120" t="str">
        <f>VLOOKUP(A53,'Classement Général'!$B$2:$B$146,1,0)</f>
        <v>#N/A</v>
      </c>
    </row>
    <row r="54" ht="14.25" customHeight="1">
      <c r="A54" s="118"/>
      <c r="B54" s="103">
        <v>53.0</v>
      </c>
      <c r="C54" s="183">
        <f t="shared" si="1"/>
        <v>-15.37439844</v>
      </c>
      <c r="D54" s="124" t="str">
        <f>VLOOKUP(A54,'Classement Surp'!$B$2:$B$149,1,0)</f>
        <v>#N/A</v>
      </c>
      <c r="E54" s="125" t="str">
        <f t="shared" si="2"/>
        <v>#N/A</v>
      </c>
      <c r="F54" s="120" t="str">
        <f>VLOOKUP(A54,'Classement Général'!$B$2:$B$146,1,0)</f>
        <v>#N/A</v>
      </c>
    </row>
    <row r="55" ht="14.25" customHeight="1">
      <c r="A55" s="118"/>
      <c r="B55" s="103">
        <v>54.0</v>
      </c>
      <c r="C55" s="183">
        <f t="shared" si="1"/>
        <v>-20.40362796</v>
      </c>
      <c r="D55" s="124" t="str">
        <f>VLOOKUP(A55,'Classement Surp'!$B$2:$B$149,1,0)</f>
        <v>#N/A</v>
      </c>
      <c r="E55" s="125" t="str">
        <f t="shared" si="2"/>
        <v>#N/A</v>
      </c>
      <c r="F55" s="120" t="str">
        <f>VLOOKUP(A55,'Classement Général'!$B$2:$B$146,1,0)</f>
        <v>#N/A</v>
      </c>
    </row>
    <row r="56" ht="14.25" customHeight="1">
      <c r="A56" s="118"/>
      <c r="B56" s="103">
        <v>55.0</v>
      </c>
      <c r="C56" s="183">
        <f t="shared" si="1"/>
        <v>-25.38780633</v>
      </c>
      <c r="D56" s="124" t="str">
        <f>VLOOKUP(A56,'Classement Surp'!$B$2:$B$149,1,0)</f>
        <v>#N/A</v>
      </c>
      <c r="E56" s="125" t="str">
        <f t="shared" si="2"/>
        <v>#N/A</v>
      </c>
      <c r="F56" s="120" t="str">
        <f>VLOOKUP(A56,'Classement Général'!$B$2:$B$146,1,0)</f>
        <v>#N/A</v>
      </c>
    </row>
    <row r="57" ht="14.25" customHeight="1">
      <c r="A57" s="118"/>
      <c r="B57" s="103">
        <v>56.0</v>
      </c>
      <c r="C57" s="183">
        <f t="shared" si="1"/>
        <v>-30.32844113</v>
      </c>
      <c r="D57" s="124" t="str">
        <f>VLOOKUP(A57,'Classement Surp'!$B$2:$B$149,1,0)</f>
        <v>#N/A</v>
      </c>
      <c r="E57" s="125" t="str">
        <f t="shared" si="2"/>
        <v>#N/A</v>
      </c>
      <c r="F57" s="120" t="str">
        <f>VLOOKUP(A57,'Classement Général'!$B$2:$B$146,1,0)</f>
        <v>#N/A</v>
      </c>
    </row>
    <row r="58" ht="14.25" customHeight="1">
      <c r="A58" s="118"/>
      <c r="B58" s="103">
        <v>57.0</v>
      </c>
      <c r="C58" s="183">
        <f t="shared" si="1"/>
        <v>-35.22696037</v>
      </c>
      <c r="D58" s="124" t="str">
        <f>VLOOKUP(A58,'Classement Surp'!$B$2:$B$149,1,0)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18"/>
      <c r="B59" s="103">
        <v>58.0</v>
      </c>
      <c r="C59" s="183">
        <f t="shared" si="1"/>
        <v>-40.08471806</v>
      </c>
      <c r="D59" s="124" t="str">
        <f>VLOOKUP(A59,'Classement Surp'!$B$2:$B$149,1,0)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18"/>
      <c r="B60" s="103">
        <v>59.0</v>
      </c>
      <c r="C60" s="183">
        <f t="shared" si="1"/>
        <v>-44.90299936</v>
      </c>
      <c r="D60" s="124" t="str">
        <f>VLOOKUP(A60,'Classement Surp'!$B$2:$B$149,1,0)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18"/>
      <c r="B61" s="103">
        <v>60.0</v>
      </c>
      <c r="C61" s="183">
        <f t="shared" si="1"/>
        <v>-49.68302519</v>
      </c>
      <c r="D61" s="124" t="str">
        <f>VLOOKUP(A61,'Classement Surp'!$B$2:$B$149,1,0)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18"/>
      <c r="B62" s="103">
        <v>61.0</v>
      </c>
      <c r="C62" s="183">
        <f t="shared" si="1"/>
        <v>-54.42595661</v>
      </c>
      <c r="D62" s="124" t="str">
        <f>VLOOKUP(A62,'Classement Surp'!$B$2:$B$149,1,0)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18"/>
      <c r="B63" s="103">
        <v>62.0</v>
      </c>
      <c r="C63" s="183">
        <f t="shared" si="1"/>
        <v>-59.13289866</v>
      </c>
      <c r="D63" s="124" t="str">
        <f>VLOOKUP(A63,'Classement Surp'!$B$2:$B$149,1,0)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18"/>
      <c r="B64" s="103">
        <v>63.0</v>
      </c>
      <c r="C64" s="183">
        <f t="shared" si="1"/>
        <v>-63.80490401</v>
      </c>
      <c r="D64" s="124" t="str">
        <f>VLOOKUP(A64,'Classement Surp'!$B$2:$B$149,1,0)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18"/>
      <c r="B65" s="103">
        <v>64.0</v>
      </c>
      <c r="C65" s="183">
        <f t="shared" si="1"/>
        <v>-68.44297629</v>
      </c>
      <c r="D65" s="124" t="str">
        <f>VLOOKUP(A65,'Classement Surp'!$B$2:$B$149,1,0)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18"/>
      <c r="B66" s="103">
        <v>65.0</v>
      </c>
      <c r="C66" s="183">
        <f t="shared" si="1"/>
        <v>-73.04807314</v>
      </c>
      <c r="D66" s="124" t="str">
        <f>VLOOKUP(A66,'Classement Surp'!$B$2:$B$149,1,0)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18"/>
      <c r="B67" s="103">
        <v>66.0</v>
      </c>
      <c r="C67" s="183">
        <f t="shared" si="1"/>
        <v>-77.62110902</v>
      </c>
      <c r="D67" s="124" t="str">
        <f>VLOOKUP(A67,'Classement Surp'!$B$2:$B$149,1,0)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18"/>
      <c r="B68" s="103">
        <v>67.0</v>
      </c>
      <c r="C68" s="183">
        <f t="shared" si="1"/>
        <v>-82.16295786</v>
      </c>
      <c r="D68" s="124" t="str">
        <f>VLOOKUP(A68,'Classement Surp'!$B$2:$B$149,1,0)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18"/>
      <c r="B69" s="103">
        <v>68.0</v>
      </c>
      <c r="C69" s="183">
        <f t="shared" si="1"/>
        <v>-86.67445542</v>
      </c>
      <c r="D69" s="124" t="str">
        <f>VLOOKUP(A69,'Classement Surp'!$B$2:$B$149,1,0)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18"/>
      <c r="B70" s="103">
        <v>69.0</v>
      </c>
      <c r="C70" s="183">
        <f t="shared" si="1"/>
        <v>-91.15640158</v>
      </c>
      <c r="D70" s="124" t="str">
        <f>VLOOKUP(A70,'Classement Surp'!$B$2:$B$149,1,0)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18"/>
      <c r="B71" s="103">
        <v>70.0</v>
      </c>
      <c r="C71" s="183">
        <f t="shared" si="1"/>
        <v>-95.60956238</v>
      </c>
      <c r="D71" s="124" t="str">
        <f>VLOOKUP(A71,'Classement Surp'!$B$2:$B$149,1,0)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18"/>
      <c r="B72" s="103">
        <v>71.0</v>
      </c>
      <c r="C72" s="183">
        <f t="shared" si="1"/>
        <v>-100.034672</v>
      </c>
      <c r="D72" s="124" t="str">
        <f>VLOOKUP(A72,'Classement Surp'!$B$2:$B$149,1,0)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18"/>
      <c r="B73" s="103">
        <v>72.0</v>
      </c>
      <c r="C73" s="183">
        <f t="shared" si="1"/>
        <v>-104.4324343</v>
      </c>
      <c r="D73" s="124" t="str">
        <f>VLOOKUP(A73,'Classement Surp'!$B$2:$B$149,1,0)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18"/>
      <c r="B74" s="103">
        <v>73.0</v>
      </c>
      <c r="C74" s="183">
        <f t="shared" si="1"/>
        <v>-108.803525</v>
      </c>
      <c r="D74" s="124" t="str">
        <f>VLOOKUP(A74,'Classement Surp'!$B$2:$B$149,1,0)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18"/>
      <c r="B75" s="103">
        <v>74.0</v>
      </c>
      <c r="C75" s="183">
        <f t="shared" si="1"/>
        <v>-113.1485926</v>
      </c>
      <c r="D75" s="124" t="str">
        <f>VLOOKUP(A75,'Classement Surp'!$B$2:$B$149,1,0)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18"/>
      <c r="B76" s="103">
        <v>75.0</v>
      </c>
      <c r="C76" s="183">
        <f t="shared" si="1"/>
        <v>-117.4682605</v>
      </c>
      <c r="D76" s="124" t="str">
        <f>VLOOKUP(A76,'Classement Surp'!$B$2:$B$149,1,0)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18"/>
      <c r="B77" s="103">
        <v>76.0</v>
      </c>
      <c r="C77" s="183">
        <f t="shared" si="1"/>
        <v>-121.7631275</v>
      </c>
      <c r="D77" s="124" t="str">
        <f>VLOOKUP(A77,'Classement Surp'!$B$2:$B$149,1,0)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18"/>
      <c r="B78" s="103">
        <v>77.0</v>
      </c>
      <c r="C78" s="183">
        <f t="shared" si="1"/>
        <v>-126.0337701</v>
      </c>
      <c r="D78" s="124" t="str">
        <f>VLOOKUP(A78,'Classement Surp'!$B$2:$B$149,1,0)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18"/>
      <c r="B79" s="103">
        <v>78.0</v>
      </c>
      <c r="C79" s="183">
        <f t="shared" si="1"/>
        <v>-130.2807426</v>
      </c>
      <c r="D79" s="124" t="str">
        <f>VLOOKUP(A79,'Classement Surp'!$B$2:$B$149,1,0)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18"/>
      <c r="B80" s="103">
        <v>79.0</v>
      </c>
      <c r="C80" s="183">
        <f t="shared" si="1"/>
        <v>-134.5045791</v>
      </c>
      <c r="D80" s="124" t="str">
        <f>VLOOKUP(A80,'Classement Surp'!$B$2:$B$149,1,0)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18"/>
      <c r="B81" s="103">
        <v>80.0</v>
      </c>
      <c r="C81" s="183">
        <f t="shared" si="1"/>
        <v>-138.705794</v>
      </c>
      <c r="D81" s="124" t="str">
        <f>VLOOKUP(A81,'Classement Surp'!$B$2:$B$149,1,0)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18"/>
      <c r="B82" s="103">
        <v>81.0</v>
      </c>
      <c r="C82" s="183">
        <f t="shared" si="1"/>
        <v>-142.8848831</v>
      </c>
      <c r="D82" s="124" t="str">
        <f>VLOOKUP(A82,'Classement Surp'!$B$2:$B$149,1,0)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18"/>
      <c r="B83" s="103">
        <v>82.0</v>
      </c>
      <c r="C83" s="183">
        <f t="shared" si="1"/>
        <v>-147.0423246</v>
      </c>
      <c r="D83" s="124" t="str">
        <f>VLOOKUP(A83,'Classement Surp'!$B$2:$B$149,1,0)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18"/>
      <c r="B84" s="103">
        <v>83.0</v>
      </c>
      <c r="C84" s="183">
        <f t="shared" si="1"/>
        <v>-151.1785799</v>
      </c>
      <c r="D84" s="124" t="str">
        <f>VLOOKUP(A84,'Classement Surp'!$B$2:$B$149,1,0)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18"/>
      <c r="B85" s="103">
        <v>84.0</v>
      </c>
      <c r="C85" s="183">
        <f t="shared" si="1"/>
        <v>-155.2940943</v>
      </c>
      <c r="D85" s="124" t="str">
        <f>VLOOKUP(A85,'Classement Surp'!$B$2:$B$149,1,0)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18"/>
      <c r="B86" s="103">
        <v>85.0</v>
      </c>
      <c r="C86" s="183">
        <f t="shared" si="1"/>
        <v>-159.3892979</v>
      </c>
      <c r="D86" s="124" t="str">
        <f>VLOOKUP(A86,'Classement Surp'!$B$2:$B$149,1,0)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18"/>
      <c r="B87" s="103">
        <v>86.0</v>
      </c>
      <c r="C87" s="183">
        <f t="shared" si="1"/>
        <v>-163.4646062</v>
      </c>
      <c r="D87" s="124" t="str">
        <f>VLOOKUP(A87,'Classement Surp'!$B$2:$B$149,1,0)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18"/>
      <c r="B88" s="103">
        <v>87.0</v>
      </c>
      <c r="C88" s="183">
        <f t="shared" si="1"/>
        <v>-167.5204209</v>
      </c>
      <c r="D88" s="124" t="str">
        <f>VLOOKUP(A88,'Classement Surp'!$B$2:$B$149,1,0)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18"/>
      <c r="B89" s="103">
        <v>88.0</v>
      </c>
      <c r="C89" s="183">
        <f t="shared" si="1"/>
        <v>-171.5571304</v>
      </c>
      <c r="D89" s="124" t="str">
        <f>VLOOKUP(A89,'Classement Surp'!$B$2:$B$149,1,0)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18"/>
      <c r="B90" s="103">
        <v>89.0</v>
      </c>
      <c r="C90" s="183">
        <f t="shared" si="1"/>
        <v>-175.5751104</v>
      </c>
      <c r="D90" s="124" t="str">
        <f>VLOOKUP(A90,'Classement Surp'!$B$2:$B$149,1,0)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18"/>
      <c r="B91" s="103">
        <v>90.0</v>
      </c>
      <c r="C91" s="183">
        <f t="shared" si="1"/>
        <v>-179.5747244</v>
      </c>
      <c r="D91" s="124" t="str">
        <f>VLOOKUP(A91,'Classement Surp'!$B$2:$B$149,1,0)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18"/>
      <c r="B92" s="103">
        <v>91.0</v>
      </c>
      <c r="C92" s="183">
        <f t="shared" si="1"/>
        <v>-183.5563247</v>
      </c>
      <c r="D92" s="124" t="str">
        <f>VLOOKUP(A92,'Classement Surp'!$B$2:$B$149,1,0)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18"/>
      <c r="B93" s="103">
        <v>92.0</v>
      </c>
      <c r="C93" s="183">
        <f t="shared" si="1"/>
        <v>-187.5202521</v>
      </c>
      <c r="D93" s="124" t="str">
        <f>VLOOKUP(A93,'Classement Surp'!$B$2:$B$149,1,0)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18"/>
      <c r="B94" s="103">
        <v>93.0</v>
      </c>
      <c r="C94" s="183">
        <f t="shared" si="1"/>
        <v>-191.4668371</v>
      </c>
      <c r="D94" s="124" t="str">
        <f>VLOOKUP(A94,'Classement Surp'!$B$2:$B$149,1,0)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18"/>
      <c r="B95" s="103">
        <v>94.0</v>
      </c>
      <c r="C95" s="183">
        <f t="shared" si="1"/>
        <v>-195.3963999</v>
      </c>
      <c r="D95" s="124" t="str">
        <f>VLOOKUP(A95,'Classement Surp'!$B$2:$B$149,1,0)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18"/>
      <c r="B96" s="103">
        <v>95.0</v>
      </c>
      <c r="C96" s="183">
        <f t="shared" si="1"/>
        <v>-199.309251</v>
      </c>
      <c r="D96" s="124" t="str">
        <f>VLOOKUP(A96,'Classement Surp'!$B$2:$B$149,1,0)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18"/>
      <c r="B97" s="103">
        <v>96.0</v>
      </c>
      <c r="C97" s="183">
        <f t="shared" si="1"/>
        <v>-203.2056917</v>
      </c>
      <c r="D97" s="124" t="str">
        <f>VLOOKUP(A97,'Classement Surp'!$B$2:$B$149,1,0)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18"/>
      <c r="B98" s="103">
        <v>97.0</v>
      </c>
      <c r="C98" s="183">
        <f t="shared" si="1"/>
        <v>-207.0860141</v>
      </c>
      <c r="D98" s="124" t="str">
        <f>VLOOKUP(A98,'Classement Surp'!$B$2:$B$149,1,0)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18"/>
      <c r="B99" s="103">
        <v>98.0</v>
      </c>
      <c r="C99" s="183">
        <f t="shared" si="1"/>
        <v>-210.950502</v>
      </c>
      <c r="D99" s="124" t="str">
        <f>VLOOKUP(A99,'Classement Surp'!$B$2:$B$149,1,0)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18"/>
      <c r="B100" s="103">
        <v>99.0</v>
      </c>
      <c r="C100" s="183">
        <f t="shared" si="1"/>
        <v>-214.7994308</v>
      </c>
      <c r="D100" s="124" t="str">
        <f>VLOOKUP(A100,'Classement Surp'!$B$2:$B$149,1,0)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18"/>
      <c r="B101" s="103">
        <v>100.0</v>
      </c>
      <c r="C101" s="183">
        <f t="shared" si="1"/>
        <v>-218.633068</v>
      </c>
      <c r="D101" s="124" t="str">
        <f>VLOOKUP(A101,'Classement Surp'!$B$2:$B$149,1,0)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18"/>
      <c r="B102" s="103">
        <v>101.0</v>
      </c>
      <c r="C102" s="183">
        <f t="shared" si="1"/>
        <v>-222.4516735</v>
      </c>
      <c r="D102" s="124" t="str">
        <f>VLOOKUP(A102,'Classement Surp'!$B$2:$B$149,1,0)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18"/>
      <c r="B103" s="103">
        <v>102.0</v>
      </c>
      <c r="C103" s="183">
        <f t="shared" si="1"/>
        <v>-226.2555001</v>
      </c>
      <c r="D103" s="124" t="str">
        <f>VLOOKUP(A103,'Classement Surp'!$B$2:$B$149,1,0)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18"/>
      <c r="B104" s="103">
        <v>103.0</v>
      </c>
      <c r="C104" s="183">
        <f t="shared" si="1"/>
        <v>-230.0447933</v>
      </c>
      <c r="D104" s="124" t="str">
        <f>VLOOKUP(A104,'Classement Surp'!$B$2:$B$149,1,0)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18"/>
      <c r="B105" s="103">
        <v>104.0</v>
      </c>
      <c r="C105" s="183">
        <f t="shared" si="1"/>
        <v>-233.8197919</v>
      </c>
      <c r="D105" s="124" t="str">
        <f>VLOOKUP(A105,'Classement Surp'!$B$2:$B$149,1,0)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18"/>
      <c r="B106" s="103">
        <v>105.0</v>
      </c>
      <c r="C106" s="183">
        <f t="shared" si="1"/>
        <v>-237.5807284</v>
      </c>
      <c r="D106" s="124" t="str">
        <f>VLOOKUP(A106,'Classement Surp'!$B$2:$B$149,1,0)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18"/>
      <c r="B107" s="103">
        <v>106.0</v>
      </c>
      <c r="C107" s="183">
        <f t="shared" si="1"/>
        <v>-241.3278287</v>
      </c>
      <c r="D107" s="124" t="str">
        <f>VLOOKUP(A107,'Classement Surp'!$B$2:$B$149,1,0)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18"/>
      <c r="B108" s="103">
        <v>107.0</v>
      </c>
      <c r="C108" s="183">
        <f t="shared" si="1"/>
        <v>-245.0613129</v>
      </c>
      <c r="D108" s="124" t="str">
        <f>VLOOKUP(A108,'Classement Surp'!$B$2:$B$149,1,0)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18"/>
      <c r="B109" s="103">
        <v>108.0</v>
      </c>
      <c r="C109" s="183">
        <f t="shared" si="1"/>
        <v>-248.7813954</v>
      </c>
      <c r="D109" s="124" t="str">
        <f>VLOOKUP(A109,'Classement Surp'!$B$2:$B$149,1,0)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18"/>
      <c r="B110" s="103">
        <v>109.0</v>
      </c>
      <c r="C110" s="183">
        <f t="shared" si="1"/>
        <v>-252.4882847</v>
      </c>
      <c r="D110" s="124" t="str">
        <f>VLOOKUP(A110,'Classement Surp'!$B$2:$B$149,1,0)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18"/>
      <c r="B111" s="103">
        <v>110.0</v>
      </c>
      <c r="C111" s="183">
        <f t="shared" si="1"/>
        <v>-256.182184</v>
      </c>
      <c r="D111" s="124" t="str">
        <f>VLOOKUP(A111,'Classement Surp'!$B$2:$B$149,1,0)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18"/>
      <c r="B112" s="103">
        <v>111.0</v>
      </c>
      <c r="C112" s="183">
        <f t="shared" si="1"/>
        <v>-259.8632915</v>
      </c>
      <c r="D112" s="124" t="str">
        <f>VLOOKUP(A112,'Classement Surp'!$B$2:$B$149,1,0)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18"/>
      <c r="B113" s="103">
        <v>112.0</v>
      </c>
      <c r="C113" s="183">
        <f t="shared" si="1"/>
        <v>-263.5318001</v>
      </c>
      <c r="D113" s="124" t="str">
        <f>VLOOKUP(A113,'Classement Surp'!$B$2:$B$149,1,0)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18"/>
      <c r="B114" s="103">
        <v>113.0</v>
      </c>
      <c r="C114" s="183">
        <f t="shared" si="1"/>
        <v>-267.187898</v>
      </c>
      <c r="D114" s="124" t="str">
        <f>VLOOKUP(A114,'Classement Surp'!$B$2:$B$149,1,0)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18"/>
      <c r="B115" s="103">
        <v>114.0</v>
      </c>
      <c r="C115" s="183">
        <f t="shared" si="1"/>
        <v>-270.8317686</v>
      </c>
      <c r="D115" s="124" t="str">
        <f>VLOOKUP(A115,'Classement Surp'!$B$2:$B$149,1,0)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18"/>
      <c r="B116" s="103">
        <v>115.0</v>
      </c>
      <c r="C116" s="183">
        <f t="shared" si="1"/>
        <v>-274.463591</v>
      </c>
      <c r="D116" s="124" t="str">
        <f>VLOOKUP(A116,'Classement Surp'!$B$2:$B$149,1,0)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18"/>
      <c r="B117" s="103">
        <v>116.0</v>
      </c>
      <c r="C117" s="183">
        <f t="shared" si="1"/>
        <v>-278.0835397</v>
      </c>
      <c r="D117" s="124" t="str">
        <f>VLOOKUP(A117,'Classement Surp'!$B$2:$B$149,1,0)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18"/>
      <c r="B118" s="103">
        <v>117.0</v>
      </c>
      <c r="C118" s="183">
        <f t="shared" si="1"/>
        <v>-281.6917851</v>
      </c>
      <c r="D118" s="124" t="str">
        <f>VLOOKUP(A118,'Classement Surp'!$B$2:$B$149,1,0)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18"/>
      <c r="B119" s="103">
        <v>118.0</v>
      </c>
      <c r="C119" s="183">
        <f t="shared" si="1"/>
        <v>-285.2884935</v>
      </c>
      <c r="D119" s="124" t="str">
        <f>VLOOKUP(A119,'Classement Surp'!$B$2:$B$149,1,0)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18"/>
      <c r="B120" s="103">
        <v>119.0</v>
      </c>
      <c r="C120" s="183">
        <f t="shared" si="1"/>
        <v>-288.8738271</v>
      </c>
      <c r="D120" s="124" t="str">
        <f>VLOOKUP(A120,'Classement Surp'!$B$2:$B$149,1,0)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18"/>
      <c r="B121" s="103">
        <v>120.0</v>
      </c>
      <c r="C121" s="183">
        <f t="shared" si="1"/>
        <v>-292.4479445</v>
      </c>
      <c r="D121" s="124" t="str">
        <f>VLOOKUP(A121,'Classement Surp'!$B$2:$B$149,1,0)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18"/>
      <c r="B122" s="103">
        <v>121.0</v>
      </c>
      <c r="C122" s="183">
        <f t="shared" si="1"/>
        <v>-296.0110005</v>
      </c>
      <c r="D122" s="124" t="str">
        <f>VLOOKUP(A122,'Classement Surp'!$B$2:$B$149,1,0)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18"/>
      <c r="B123" s="103">
        <v>122.0</v>
      </c>
      <c r="C123" s="183">
        <f t="shared" si="1"/>
        <v>-299.5631464</v>
      </c>
      <c r="D123" s="124" t="str">
        <f>VLOOKUP(A123,'Classement Surp'!$B$2:$B$149,1,0)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18"/>
      <c r="B124" s="103">
        <v>123.0</v>
      </c>
      <c r="C124" s="183">
        <f t="shared" si="1"/>
        <v>-303.1045299</v>
      </c>
      <c r="D124" s="124" t="str">
        <f>VLOOKUP(A124,'Classement Surp'!$B$2:$B$149,1,0)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18"/>
      <c r="B125" s="103">
        <v>124.0</v>
      </c>
      <c r="C125" s="183">
        <f t="shared" si="1"/>
        <v>-306.6352955</v>
      </c>
      <c r="D125" s="124" t="str">
        <f>VLOOKUP(A125,'Classement Surp'!$B$2:$B$149,1,0)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18"/>
      <c r="B126" s="103">
        <v>125.0</v>
      </c>
      <c r="C126" s="183">
        <f t="shared" si="1"/>
        <v>-310.1555842</v>
      </c>
      <c r="D126" s="124" t="str">
        <f>VLOOKUP(A126,'Classement Surp'!$B$2:$B$149,1,0)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18"/>
      <c r="B127" s="103">
        <v>126.0</v>
      </c>
      <c r="C127" s="183">
        <f t="shared" si="1"/>
        <v>-313.6655342</v>
      </c>
      <c r="D127" s="124" t="str">
        <f>VLOOKUP(A127,'Classement Surp'!$B$2:$B$149,1,0)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18"/>
      <c r="B128" s="103">
        <v>127.0</v>
      </c>
      <c r="C128" s="183">
        <f t="shared" si="1"/>
        <v>-317.1652804</v>
      </c>
      <c r="D128" s="124" t="str">
        <f>VLOOKUP(A128,'Classement Surp'!$B$2:$B$149,1,0)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18"/>
      <c r="B129" s="103">
        <v>128.0</v>
      </c>
      <c r="C129" s="183">
        <f t="shared" si="1"/>
        <v>-320.6549547</v>
      </c>
      <c r="D129" s="124" t="str">
        <f>VLOOKUP(A129,'Classement Surp'!$B$2:$B$149,1,0)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18"/>
      <c r="B130" s="103">
        <v>129.0</v>
      </c>
      <c r="C130" s="183">
        <f t="shared" si="1"/>
        <v>-324.1346864</v>
      </c>
      <c r="D130" s="124" t="str">
        <f>VLOOKUP(A130,'Classement Surp'!$B$2:$B$149,1,0)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18"/>
      <c r="B131" s="103">
        <v>130.0</v>
      </c>
      <c r="C131" s="183">
        <f t="shared" si="1"/>
        <v>-327.6046018</v>
      </c>
      <c r="D131" s="124" t="str">
        <f>VLOOKUP(A131,'Classement Surp'!$B$2:$B$149,1,0)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18"/>
      <c r="B132" s="103">
        <v>131.0</v>
      </c>
      <c r="C132" s="183">
        <f t="shared" si="1"/>
        <v>-331.0648246</v>
      </c>
      <c r="D132" s="124" t="str">
        <f>VLOOKUP(A132,'Classement Surp'!$B$2:$B$149,1,0)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18"/>
      <c r="B133" s="103">
        <v>132.0</v>
      </c>
      <c r="C133" s="183">
        <f t="shared" si="1"/>
        <v>-334.5154757</v>
      </c>
      <c r="D133" s="124" t="str">
        <f>VLOOKUP(A133,'Classement Surp'!$B$2:$B$149,1,0)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18"/>
      <c r="B134" s="103">
        <v>133.0</v>
      </c>
      <c r="C134" s="183">
        <f t="shared" si="1"/>
        <v>-337.9566736</v>
      </c>
      <c r="D134" s="124" t="str">
        <f>VLOOKUP(A134,'Classement Surp'!$B$2:$B$149,1,0)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18"/>
      <c r="B135" s="103">
        <v>134.0</v>
      </c>
      <c r="C135" s="183">
        <f t="shared" si="1"/>
        <v>-341.3885344</v>
      </c>
      <c r="D135" s="124" t="str">
        <f>VLOOKUP(A135,'Classement Surp'!$B$2:$B$149,1,0)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18"/>
      <c r="B136" s="103">
        <v>135.0</v>
      </c>
      <c r="C136" s="183">
        <f t="shared" si="1"/>
        <v>-344.8111717</v>
      </c>
      <c r="D136" s="124" t="str">
        <f>VLOOKUP(A136,'Classement Surp'!$B$2:$B$149,1,0)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18"/>
      <c r="B137" s="103">
        <v>136.0</v>
      </c>
      <c r="C137" s="183">
        <f t="shared" si="1"/>
        <v>-348.2246968</v>
      </c>
      <c r="D137" s="124" t="str">
        <f>VLOOKUP(A137,'Classement Surp'!$B$2:$B$149,1,0)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18"/>
      <c r="B138" s="103">
        <v>137.0</v>
      </c>
      <c r="C138" s="183">
        <f t="shared" si="1"/>
        <v>-351.6292186</v>
      </c>
      <c r="D138" s="124" t="str">
        <f>VLOOKUP(A138,'Classement Surp'!$B$2:$B$149,1,0)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18"/>
      <c r="B139" s="103">
        <v>138.0</v>
      </c>
      <c r="C139" s="183">
        <f t="shared" si="1"/>
        <v>-355.024844</v>
      </c>
      <c r="D139" s="124" t="str">
        <f>VLOOKUP(A139,'Classement Surp'!$B$2:$B$149,1,0)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18"/>
      <c r="B140" s="103">
        <v>139.0</v>
      </c>
      <c r="C140" s="183">
        <f t="shared" si="1"/>
        <v>-358.4116777</v>
      </c>
      <c r="D140" s="124" t="str">
        <f>VLOOKUP(A140,'Classement Surp'!$B$2:$B$149,1,0)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18"/>
      <c r="B141" s="103">
        <v>140.0</v>
      </c>
      <c r="C141" s="183">
        <f t="shared" si="1"/>
        <v>-361.7898222</v>
      </c>
      <c r="D141" s="124" t="str">
        <f>VLOOKUP(A141,'Classement Surp'!$B$2:$B$149,1,0)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18"/>
      <c r="B142" s="103">
        <v>141.0</v>
      </c>
      <c r="C142" s="183">
        <f t="shared" si="1"/>
        <v>-365.1593782</v>
      </c>
      <c r="D142" s="124" t="str">
        <f>VLOOKUP(A142,'Classement Surp'!$B$2:$B$149,1,0)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18"/>
      <c r="B143" s="103">
        <v>142.0</v>
      </c>
      <c r="C143" s="183">
        <f t="shared" si="1"/>
        <v>-368.5204442</v>
      </c>
      <c r="D143" s="124" t="str">
        <f>VLOOKUP(A143,'Classement Surp'!$B$2:$B$149,1,0)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18"/>
      <c r="B144" s="103">
        <v>143.0</v>
      </c>
      <c r="C144" s="183">
        <f t="shared" si="1"/>
        <v>-371.8731169</v>
      </c>
      <c r="D144" s="124" t="str">
        <f>VLOOKUP(A144,'Classement Surp'!$B$2:$B$149,1,0)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18"/>
      <c r="B145" s="103">
        <v>144.0</v>
      </c>
      <c r="C145" s="183">
        <f t="shared" si="1"/>
        <v>-375.2174912</v>
      </c>
      <c r="D145" s="124" t="str">
        <f>VLOOKUP(A145,'Classement Surp'!$B$2:$B$149,1,0)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18"/>
      <c r="B146" s="103">
        <v>145.0</v>
      </c>
      <c r="C146" s="183">
        <f t="shared" si="1"/>
        <v>-378.55366</v>
      </c>
      <c r="D146" s="124" t="str">
        <f>VLOOKUP(A146,'Classement Surp'!$B$2:$B$149,1,0)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18"/>
      <c r="B147" s="103">
        <v>146.0</v>
      </c>
      <c r="C147" s="183">
        <f t="shared" si="1"/>
        <v>-381.8817146</v>
      </c>
      <c r="D147" s="124" t="str">
        <f>VLOOKUP(A147,'Classement Surp'!$B$2:$B$149,1,0)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18"/>
      <c r="B148" s="103">
        <v>147.0</v>
      </c>
      <c r="C148" s="183">
        <f t="shared" si="1"/>
        <v>-385.2017445</v>
      </c>
      <c r="D148" s="124" t="str">
        <f>VLOOKUP(A148,'Classement Surp'!$B$2:$B$149,1,0)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18"/>
      <c r="B149" s="103">
        <v>148.0</v>
      </c>
      <c r="C149" s="183">
        <f t="shared" si="1"/>
        <v>-388.5138376</v>
      </c>
      <c r="D149" s="124" t="str">
        <f>VLOOKUP(A149,'Classement Surp'!$B$2:$B$149,1,0)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18"/>
      <c r="B150" s="103">
        <v>149.0</v>
      </c>
      <c r="C150" s="183">
        <f t="shared" si="1"/>
        <v>-391.8180801</v>
      </c>
      <c r="D150" s="124" t="str">
        <f>VLOOKUP(A150,'Classement Surp'!$B$2:$B$149,1,0)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18"/>
      <c r="B151" s="103">
        <v>150.0</v>
      </c>
      <c r="C151" s="183">
        <f t="shared" si="1"/>
        <v>-395.1145565</v>
      </c>
      <c r="D151" s="124" t="str">
        <f>VLOOKUP(A151,'Classement Surp'!$B$2:$B$149,1,0)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18"/>
      <c r="B152" s="103">
        <v>151.0</v>
      </c>
      <c r="C152" s="183">
        <f t="shared" si="1"/>
        <v>-398.4033501</v>
      </c>
      <c r="D152" s="124" t="str">
        <f>VLOOKUP(A152,'Classement Surp'!$B$2:$B$149,1,0)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18"/>
      <c r="B153" s="103">
        <v>152.0</v>
      </c>
      <c r="C153" s="183">
        <f t="shared" si="1"/>
        <v>-401.6845423</v>
      </c>
      <c r="D153" s="124" t="str">
        <f>VLOOKUP(A153,'Classement Surp'!$B$2:$B$149,1,0)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18"/>
      <c r="B154" s="103">
        <v>153.0</v>
      </c>
      <c r="C154" s="183">
        <f t="shared" si="1"/>
        <v>-404.9582133</v>
      </c>
      <c r="D154" s="124" t="str">
        <f>VLOOKUP(A154,'Classement Surp'!$B$2:$B$149,1,0)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18"/>
      <c r="B155" s="103">
        <v>154.0</v>
      </c>
      <c r="C155" s="183">
        <f t="shared" si="1"/>
        <v>-408.2244418</v>
      </c>
      <c r="D155" s="124" t="str">
        <f>VLOOKUP(A155,'Classement Surp'!$B$2:$B$149,1,0)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18"/>
      <c r="B156" s="103">
        <v>155.0</v>
      </c>
      <c r="C156" s="183">
        <f t="shared" si="1"/>
        <v>-411.4833049</v>
      </c>
      <c r="D156" s="124" t="str">
        <f>VLOOKUP(A156,'Classement Surp'!$B$2:$B$149,1,0)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18"/>
      <c r="B157" s="103">
        <v>156.0</v>
      </c>
      <c r="C157" s="183">
        <f t="shared" si="1"/>
        <v>-414.7348786</v>
      </c>
      <c r="D157" s="124" t="str">
        <f>VLOOKUP(A157,'Classement Surp'!$B$2:$B$149,1,0)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18"/>
      <c r="B158" s="103">
        <v>157.0</v>
      </c>
      <c r="C158" s="183">
        <f t="shared" si="1"/>
        <v>-417.9792374</v>
      </c>
      <c r="D158" s="124" t="str">
        <f>VLOOKUP(A158,'Classement Surp'!$B$2:$B$149,1,0)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18"/>
      <c r="B159" s="103">
        <v>158.0</v>
      </c>
      <c r="C159" s="183">
        <f t="shared" si="1"/>
        <v>-421.2164547</v>
      </c>
      <c r="D159" s="124" t="str">
        <f>VLOOKUP(A159,'Classement Surp'!$B$2:$B$149,1,0)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18"/>
      <c r="B160" s="103">
        <v>159.0</v>
      </c>
      <c r="C160" s="183">
        <f t="shared" si="1"/>
        <v>-424.4466025</v>
      </c>
      <c r="D160" s="124" t="str">
        <f>VLOOKUP(A160,'Classement Surp'!$B$2:$B$149,1,0)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84"/>
      <c r="B161" s="185">
        <v>160.0</v>
      </c>
      <c r="C161" s="186">
        <f t="shared" si="1"/>
        <v>-427.6697514</v>
      </c>
      <c r="D161" s="124" t="str">
        <f>VLOOKUP(A161,'Classement Surp'!$B$2:$B$149,1,0)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A162" s="187"/>
      <c r="B162" s="128"/>
    </row>
    <row r="163" ht="14.25" customHeight="1">
      <c r="A163" s="187"/>
      <c r="B163" s="128"/>
    </row>
    <row r="164" ht="14.25" customHeight="1">
      <c r="A164" s="187"/>
      <c r="B164" s="128"/>
    </row>
    <row r="165" ht="14.25" customHeight="1">
      <c r="A165" s="187"/>
      <c r="B165" s="128"/>
    </row>
    <row r="166" ht="14.25" customHeight="1">
      <c r="A166" s="187"/>
      <c r="B166" s="128"/>
    </row>
    <row r="167" ht="14.25" customHeight="1">
      <c r="A167" s="187"/>
      <c r="B167" s="128"/>
    </row>
    <row r="168" ht="14.25" customHeight="1">
      <c r="A168" s="187"/>
      <c r="B168" s="128"/>
    </row>
    <row r="169" ht="14.25" customHeight="1">
      <c r="A169" s="187"/>
      <c r="B169" s="128"/>
    </row>
    <row r="170" ht="14.25" customHeight="1">
      <c r="A170" s="187"/>
      <c r="B170" s="128"/>
    </row>
    <row r="171" ht="14.25" customHeight="1">
      <c r="A171" s="187"/>
      <c r="B171" s="128"/>
    </row>
    <row r="172" ht="14.25" customHeight="1">
      <c r="A172" s="187"/>
      <c r="B172" s="128"/>
    </row>
    <row r="173" ht="14.25" customHeight="1">
      <c r="A173" s="187"/>
      <c r="B173" s="128"/>
    </row>
    <row r="174" ht="14.25" customHeight="1">
      <c r="A174" s="187"/>
      <c r="B174" s="128"/>
    </row>
    <row r="175" ht="14.25" customHeight="1">
      <c r="A175" s="187"/>
      <c r="B175" s="128"/>
    </row>
    <row r="176" ht="14.25" customHeight="1">
      <c r="A176" s="187"/>
      <c r="B176" s="128"/>
    </row>
    <row r="177" ht="14.25" customHeight="1">
      <c r="A177" s="187"/>
      <c r="B177" s="128"/>
    </row>
    <row r="178" ht="14.25" customHeight="1">
      <c r="A178" s="187"/>
      <c r="B178" s="128"/>
    </row>
    <row r="179" ht="14.25" customHeight="1">
      <c r="A179" s="187"/>
      <c r="B179" s="128"/>
    </row>
    <row r="180" ht="14.25" customHeight="1">
      <c r="A180" s="187"/>
      <c r="B180" s="128"/>
    </row>
    <row r="181" ht="14.25" customHeight="1">
      <c r="A181" s="187"/>
      <c r="B181" s="128"/>
    </row>
    <row r="182" ht="14.25" customHeight="1">
      <c r="A182" s="187"/>
      <c r="B182" s="128"/>
    </row>
    <row r="183" ht="14.25" customHeight="1">
      <c r="A183" s="187"/>
      <c r="B183" s="128"/>
    </row>
    <row r="184" ht="14.25" customHeight="1">
      <c r="A184" s="187"/>
      <c r="B184" s="128"/>
    </row>
    <row r="185" ht="14.25" customHeight="1">
      <c r="A185" s="187"/>
      <c r="B185" s="128"/>
    </row>
    <row r="186" ht="14.25" customHeight="1">
      <c r="A186" s="187"/>
      <c r="B186" s="128"/>
    </row>
    <row r="187" ht="14.25" customHeight="1">
      <c r="A187" s="187"/>
      <c r="B187" s="128"/>
    </row>
    <row r="188" ht="14.25" customHeight="1">
      <c r="A188" s="187"/>
      <c r="B188" s="128"/>
    </row>
    <row r="189" ht="14.25" customHeight="1">
      <c r="A189" s="187"/>
      <c r="B189" s="128"/>
    </row>
    <row r="190" ht="14.25" customHeight="1">
      <c r="A190" s="187"/>
      <c r="B190" s="128"/>
    </row>
    <row r="191" ht="14.25" customHeight="1">
      <c r="A191" s="187"/>
      <c r="B191" s="128"/>
    </row>
    <row r="192" ht="14.25" customHeight="1">
      <c r="A192" s="187"/>
      <c r="B192" s="128"/>
    </row>
    <row r="193" ht="14.25" customHeight="1">
      <c r="A193" s="187"/>
      <c r="B193" s="128"/>
    </row>
    <row r="194" ht="14.25" customHeight="1">
      <c r="A194" s="187"/>
      <c r="B194" s="128"/>
    </row>
    <row r="195" ht="14.25" customHeight="1">
      <c r="A195" s="187"/>
      <c r="B195" s="128"/>
    </row>
    <row r="196" ht="14.25" customHeight="1">
      <c r="A196" s="187"/>
      <c r="B196" s="128"/>
    </row>
    <row r="197" ht="14.25" customHeight="1">
      <c r="A197" s="187"/>
      <c r="B197" s="128"/>
    </row>
    <row r="198" ht="14.25" customHeight="1">
      <c r="A198" s="187"/>
      <c r="B198" s="128"/>
    </row>
    <row r="199" ht="14.25" customHeight="1">
      <c r="A199" s="187"/>
      <c r="B199" s="128"/>
    </row>
    <row r="200" ht="14.25" customHeight="1">
      <c r="A200" s="187"/>
      <c r="B200" s="128"/>
    </row>
    <row r="201" ht="14.25" customHeight="1">
      <c r="A201" s="187"/>
      <c r="B201" s="128"/>
    </row>
    <row r="202" ht="14.25" customHeight="1">
      <c r="A202" s="187"/>
      <c r="B202" s="128"/>
    </row>
    <row r="203" ht="14.25" customHeight="1">
      <c r="A203" s="187"/>
      <c r="B203" s="128"/>
    </row>
    <row r="204" ht="14.25" customHeight="1">
      <c r="A204" s="187"/>
      <c r="B204" s="128"/>
    </row>
    <row r="205" ht="14.25" customHeight="1">
      <c r="A205" s="187"/>
      <c r="B205" s="128"/>
    </row>
    <row r="206" ht="14.25" customHeight="1">
      <c r="A206" s="187"/>
      <c r="B206" s="128"/>
    </row>
    <row r="207" ht="14.25" customHeight="1">
      <c r="A207" s="187"/>
      <c r="B207" s="128"/>
    </row>
    <row r="208" ht="14.25" customHeight="1">
      <c r="A208" s="187"/>
      <c r="B208" s="128"/>
    </row>
    <row r="209" ht="14.25" customHeight="1">
      <c r="A209" s="187"/>
      <c r="B209" s="128"/>
    </row>
    <row r="210" ht="14.25" customHeight="1">
      <c r="A210" s="187"/>
      <c r="B210" s="128"/>
    </row>
    <row r="211" ht="14.25" customHeight="1">
      <c r="A211" s="187"/>
      <c r="B211" s="128"/>
    </row>
    <row r="212" ht="14.25" customHeight="1">
      <c r="A212" s="187"/>
      <c r="B212" s="128"/>
    </row>
    <row r="213" ht="14.25" customHeight="1">
      <c r="A213" s="187"/>
      <c r="B213" s="128"/>
    </row>
    <row r="214" ht="14.25" customHeight="1">
      <c r="A214" s="187"/>
      <c r="B214" s="128"/>
    </row>
    <row r="215" ht="14.25" customHeight="1">
      <c r="A215" s="187"/>
      <c r="B215" s="128"/>
    </row>
    <row r="216" ht="14.25" customHeight="1">
      <c r="A216" s="187"/>
      <c r="B216" s="128"/>
    </row>
    <row r="217" ht="14.25" customHeight="1">
      <c r="A217" s="187"/>
      <c r="B217" s="128"/>
    </row>
    <row r="218" ht="14.25" customHeight="1">
      <c r="A218" s="187"/>
      <c r="B218" s="128"/>
    </row>
    <row r="219" ht="14.25" customHeight="1">
      <c r="A219" s="187"/>
      <c r="B219" s="128"/>
    </row>
    <row r="220" ht="14.25" customHeight="1">
      <c r="A220" s="187"/>
      <c r="B220" s="128"/>
    </row>
    <row r="221" ht="14.25" customHeight="1">
      <c r="A221" s="187"/>
      <c r="B221" s="128"/>
    </row>
    <row r="222" ht="14.25" customHeight="1">
      <c r="A222" s="187"/>
      <c r="B222" s="128"/>
    </row>
    <row r="223" ht="14.25" customHeight="1">
      <c r="A223" s="187"/>
      <c r="B223" s="128"/>
    </row>
    <row r="224" ht="14.25" customHeight="1">
      <c r="A224" s="187"/>
      <c r="B224" s="128"/>
    </row>
    <row r="225" ht="14.25" customHeight="1">
      <c r="A225" s="187"/>
      <c r="B225" s="128"/>
    </row>
    <row r="226" ht="14.25" customHeight="1">
      <c r="A226" s="187"/>
      <c r="B226" s="128"/>
    </row>
    <row r="227" ht="14.25" customHeight="1">
      <c r="A227" s="187"/>
      <c r="B227" s="128"/>
    </row>
    <row r="228" ht="14.25" customHeight="1">
      <c r="A228" s="187"/>
      <c r="B228" s="128"/>
    </row>
    <row r="229" ht="14.25" customHeight="1">
      <c r="A229" s="187"/>
      <c r="B229" s="128"/>
    </row>
    <row r="230" ht="14.25" customHeight="1">
      <c r="A230" s="187"/>
      <c r="B230" s="128"/>
    </row>
    <row r="231" ht="14.25" customHeight="1">
      <c r="A231" s="187"/>
      <c r="B231" s="128"/>
    </row>
    <row r="232" ht="14.25" customHeight="1">
      <c r="A232" s="187"/>
      <c r="B232" s="128"/>
    </row>
    <row r="233" ht="14.25" customHeight="1">
      <c r="A233" s="187"/>
      <c r="B233" s="128"/>
    </row>
    <row r="234" ht="14.25" customHeight="1">
      <c r="A234" s="187"/>
      <c r="B234" s="128"/>
    </row>
    <row r="235" ht="14.25" customHeight="1">
      <c r="A235" s="187"/>
      <c r="B235" s="128"/>
    </row>
    <row r="236" ht="14.25" customHeight="1">
      <c r="A236" s="187"/>
      <c r="B236" s="128"/>
    </row>
    <row r="237" ht="14.25" customHeight="1">
      <c r="A237" s="187"/>
      <c r="B237" s="128"/>
    </row>
    <row r="238" ht="14.25" customHeight="1">
      <c r="A238" s="187"/>
      <c r="B238" s="128"/>
    </row>
    <row r="239" ht="14.25" customHeight="1">
      <c r="A239" s="187"/>
      <c r="B239" s="128"/>
    </row>
    <row r="240" ht="14.25" customHeight="1">
      <c r="A240" s="187"/>
      <c r="B240" s="128"/>
    </row>
    <row r="241" ht="14.25" customHeight="1">
      <c r="A241" s="187"/>
      <c r="B241" s="128"/>
    </row>
    <row r="242" ht="14.25" customHeight="1">
      <c r="A242" s="187"/>
      <c r="B242" s="128"/>
    </row>
    <row r="243" ht="14.25" customHeight="1">
      <c r="A243" s="187"/>
      <c r="B243" s="128"/>
    </row>
    <row r="244" ht="14.25" customHeight="1">
      <c r="A244" s="187"/>
      <c r="B244" s="128"/>
    </row>
    <row r="245" ht="14.25" customHeight="1">
      <c r="A245" s="187"/>
      <c r="B245" s="128"/>
    </row>
    <row r="246" ht="14.25" customHeight="1">
      <c r="A246" s="187"/>
      <c r="B246" s="128"/>
    </row>
    <row r="247" ht="14.25" customHeight="1">
      <c r="A247" s="187"/>
      <c r="B247" s="128"/>
    </row>
    <row r="248" ht="14.25" customHeight="1">
      <c r="A248" s="187"/>
      <c r="B248" s="128"/>
    </row>
    <row r="249" ht="14.25" customHeight="1">
      <c r="A249" s="187"/>
      <c r="B249" s="128"/>
    </row>
    <row r="250" ht="14.25" customHeight="1">
      <c r="A250" s="187"/>
      <c r="B250" s="128"/>
    </row>
    <row r="251" ht="14.25" customHeight="1">
      <c r="A251" s="187"/>
      <c r="B251" s="128"/>
    </row>
    <row r="252" ht="14.25" customHeight="1">
      <c r="A252" s="187"/>
      <c r="B252" s="128"/>
    </row>
    <row r="253" ht="14.25" customHeight="1">
      <c r="A253" s="187"/>
      <c r="B253" s="128"/>
    </row>
    <row r="254" ht="14.25" customHeight="1">
      <c r="A254" s="187"/>
      <c r="B254" s="128"/>
    </row>
    <row r="255" ht="14.25" customHeight="1">
      <c r="A255" s="187"/>
      <c r="B255" s="128"/>
    </row>
    <row r="256" ht="14.25" customHeight="1">
      <c r="A256" s="187"/>
      <c r="B256" s="128"/>
    </row>
    <row r="257" ht="14.25" customHeight="1">
      <c r="A257" s="187"/>
      <c r="B257" s="128"/>
    </row>
    <row r="258" ht="14.25" customHeight="1">
      <c r="A258" s="187"/>
      <c r="B258" s="128"/>
    </row>
    <row r="259" ht="14.25" customHeight="1">
      <c r="A259" s="187"/>
      <c r="B259" s="128"/>
    </row>
    <row r="260" ht="14.25" customHeight="1">
      <c r="A260" s="187"/>
      <c r="B260" s="128"/>
    </row>
    <row r="261" ht="14.25" customHeight="1">
      <c r="A261" s="187"/>
      <c r="B261" s="128"/>
    </row>
    <row r="262" ht="14.25" customHeight="1">
      <c r="A262" s="187"/>
      <c r="B262" s="128"/>
    </row>
    <row r="263" ht="14.25" customHeight="1">
      <c r="A263" s="187"/>
      <c r="B263" s="128"/>
    </row>
    <row r="264" ht="14.25" customHeight="1">
      <c r="A264" s="187"/>
      <c r="B264" s="128"/>
    </row>
    <row r="265" ht="14.25" customHeight="1">
      <c r="A265" s="187"/>
      <c r="B265" s="128"/>
    </row>
    <row r="266" ht="14.25" customHeight="1">
      <c r="A266" s="187"/>
      <c r="B266" s="128"/>
    </row>
    <row r="267" ht="14.25" customHeight="1">
      <c r="A267" s="187"/>
      <c r="B267" s="128"/>
    </row>
    <row r="268" ht="14.25" customHeight="1">
      <c r="A268" s="187"/>
      <c r="B268" s="128"/>
    </row>
    <row r="269" ht="14.25" customHeight="1">
      <c r="A269" s="187"/>
      <c r="B269" s="128"/>
    </row>
    <row r="270" ht="14.25" customHeight="1">
      <c r="A270" s="187"/>
      <c r="B270" s="128"/>
    </row>
    <row r="271" ht="14.25" customHeight="1">
      <c r="A271" s="187"/>
      <c r="B271" s="128"/>
    </row>
    <row r="272" ht="14.25" customHeight="1">
      <c r="A272" s="187"/>
      <c r="B272" s="128"/>
    </row>
    <row r="273" ht="14.25" customHeight="1">
      <c r="A273" s="187"/>
      <c r="B273" s="128"/>
    </row>
    <row r="274" ht="14.25" customHeight="1">
      <c r="A274" s="187"/>
      <c r="B274" s="128"/>
    </row>
    <row r="275" ht="14.25" customHeight="1">
      <c r="A275" s="187"/>
      <c r="B275" s="128"/>
    </row>
    <row r="276" ht="14.25" customHeight="1">
      <c r="A276" s="187"/>
      <c r="B276" s="128"/>
    </row>
    <row r="277" ht="14.25" customHeight="1">
      <c r="A277" s="187"/>
      <c r="B277" s="128"/>
    </row>
    <row r="278" ht="14.25" customHeight="1">
      <c r="A278" s="187"/>
      <c r="B278" s="128"/>
    </row>
    <row r="279" ht="14.25" customHeight="1">
      <c r="A279" s="187"/>
      <c r="B279" s="128"/>
    </row>
    <row r="280" ht="14.25" customHeight="1">
      <c r="A280" s="187"/>
      <c r="B280" s="128"/>
    </row>
    <row r="281" ht="14.25" customHeight="1">
      <c r="A281" s="187"/>
      <c r="B281" s="128"/>
    </row>
    <row r="282" ht="14.25" customHeight="1">
      <c r="A282" s="187"/>
      <c r="B282" s="128"/>
    </row>
    <row r="283" ht="14.25" customHeight="1">
      <c r="A283" s="187"/>
      <c r="B283" s="128"/>
    </row>
    <row r="284" ht="14.25" customHeight="1">
      <c r="A284" s="187"/>
      <c r="B284" s="128"/>
    </row>
    <row r="285" ht="14.25" customHeight="1">
      <c r="A285" s="187"/>
      <c r="B285" s="128"/>
    </row>
    <row r="286" ht="14.25" customHeight="1">
      <c r="A286" s="187"/>
      <c r="B286" s="128"/>
    </row>
    <row r="287" ht="14.25" customHeight="1">
      <c r="A287" s="187"/>
      <c r="B287" s="128"/>
    </row>
    <row r="288" ht="14.25" customHeight="1">
      <c r="A288" s="187"/>
      <c r="B288" s="128"/>
    </row>
    <row r="289" ht="14.25" customHeight="1">
      <c r="A289" s="187"/>
      <c r="B289" s="128"/>
    </row>
    <row r="290" ht="14.25" customHeight="1">
      <c r="A290" s="187"/>
      <c r="B290" s="128"/>
    </row>
    <row r="291" ht="14.25" customHeight="1">
      <c r="A291" s="187"/>
      <c r="B291" s="128"/>
    </row>
    <row r="292" ht="14.25" customHeight="1">
      <c r="A292" s="187"/>
      <c r="B292" s="128"/>
    </row>
    <row r="293" ht="14.25" customHeight="1">
      <c r="A293" s="187"/>
      <c r="B293" s="128"/>
    </row>
    <row r="294" ht="14.25" customHeight="1">
      <c r="A294" s="187"/>
      <c r="B294" s="128"/>
    </row>
    <row r="295" ht="14.25" customHeight="1">
      <c r="A295" s="187"/>
      <c r="B295" s="128"/>
    </row>
    <row r="296" ht="14.25" customHeight="1">
      <c r="A296" s="187"/>
      <c r="B296" s="128"/>
    </row>
    <row r="297" ht="14.25" customHeight="1">
      <c r="A297" s="187"/>
      <c r="B297" s="128"/>
    </row>
    <row r="298" ht="14.25" customHeight="1">
      <c r="A298" s="187"/>
      <c r="B298" s="128"/>
    </row>
    <row r="299" ht="14.25" customHeight="1">
      <c r="A299" s="187"/>
      <c r="B299" s="128"/>
    </row>
    <row r="300" ht="14.25" customHeight="1">
      <c r="A300" s="187"/>
      <c r="B300" s="128"/>
    </row>
    <row r="301" ht="14.25" customHeight="1">
      <c r="A301" s="187"/>
      <c r="B301" s="128"/>
    </row>
    <row r="302" ht="14.25" customHeight="1">
      <c r="A302" s="187"/>
      <c r="B302" s="128"/>
    </row>
    <row r="303" ht="14.25" customHeight="1">
      <c r="A303" s="187"/>
      <c r="B303" s="128"/>
    </row>
    <row r="304" ht="14.25" customHeight="1">
      <c r="A304" s="187"/>
      <c r="B304" s="128"/>
    </row>
    <row r="305" ht="14.25" customHeight="1">
      <c r="A305" s="187"/>
      <c r="B305" s="128"/>
    </row>
    <row r="306" ht="14.25" customHeight="1">
      <c r="A306" s="187"/>
      <c r="B306" s="128"/>
    </row>
    <row r="307" ht="14.25" customHeight="1">
      <c r="A307" s="187"/>
      <c r="B307" s="128"/>
    </row>
    <row r="308" ht="14.25" customHeight="1">
      <c r="A308" s="187"/>
      <c r="B308" s="128"/>
    </row>
    <row r="309" ht="14.25" customHeight="1">
      <c r="A309" s="187"/>
      <c r="B309" s="128"/>
    </row>
    <row r="310" ht="14.25" customHeight="1">
      <c r="A310" s="187"/>
      <c r="B310" s="128"/>
    </row>
    <row r="311" ht="14.25" customHeight="1">
      <c r="A311" s="187"/>
      <c r="B311" s="128"/>
    </row>
    <row r="312" ht="14.25" customHeight="1">
      <c r="A312" s="187"/>
      <c r="B312" s="128"/>
    </row>
    <row r="313" ht="14.25" customHeight="1">
      <c r="A313" s="187"/>
      <c r="B313" s="128"/>
    </row>
    <row r="314" ht="14.25" customHeight="1">
      <c r="A314" s="187"/>
      <c r="B314" s="128"/>
    </row>
    <row r="315" ht="14.25" customHeight="1">
      <c r="A315" s="187"/>
      <c r="B315" s="128"/>
    </row>
    <row r="316" ht="14.25" customHeight="1">
      <c r="A316" s="187"/>
      <c r="B316" s="128"/>
    </row>
    <row r="317" ht="14.25" customHeight="1">
      <c r="A317" s="187"/>
      <c r="B317" s="128"/>
    </row>
    <row r="318" ht="14.25" customHeight="1">
      <c r="A318" s="187"/>
      <c r="B318" s="128"/>
    </row>
    <row r="319" ht="14.25" customHeight="1">
      <c r="A319" s="187"/>
      <c r="B319" s="128"/>
    </row>
    <row r="320" ht="14.25" customHeight="1">
      <c r="A320" s="187"/>
      <c r="B320" s="128"/>
    </row>
    <row r="321" ht="14.25" customHeight="1">
      <c r="A321" s="187"/>
      <c r="B321" s="128"/>
    </row>
    <row r="322" ht="14.25" customHeight="1">
      <c r="A322" s="187"/>
      <c r="B322" s="128"/>
    </row>
    <row r="323" ht="14.25" customHeight="1">
      <c r="A323" s="187"/>
      <c r="B323" s="128"/>
    </row>
    <row r="324" ht="14.25" customHeight="1">
      <c r="A324" s="187"/>
      <c r="B324" s="128"/>
    </row>
    <row r="325" ht="14.25" customHeight="1">
      <c r="A325" s="187"/>
      <c r="B325" s="128"/>
    </row>
    <row r="326" ht="14.25" customHeight="1">
      <c r="A326" s="187"/>
      <c r="B326" s="128"/>
    </row>
    <row r="327" ht="14.25" customHeight="1">
      <c r="A327" s="187"/>
      <c r="B327" s="128"/>
    </row>
    <row r="328" ht="14.25" customHeight="1">
      <c r="A328" s="187"/>
      <c r="B328" s="128"/>
    </row>
    <row r="329" ht="14.25" customHeight="1">
      <c r="A329" s="187"/>
      <c r="B329" s="128"/>
    </row>
    <row r="330" ht="14.25" customHeight="1">
      <c r="A330" s="187"/>
      <c r="B330" s="128"/>
    </row>
    <row r="331" ht="14.25" customHeight="1">
      <c r="A331" s="187"/>
      <c r="B331" s="128"/>
    </row>
    <row r="332" ht="14.25" customHeight="1">
      <c r="A332" s="187"/>
      <c r="B332" s="128"/>
    </row>
    <row r="333" ht="14.25" customHeight="1">
      <c r="A333" s="187"/>
      <c r="B333" s="128"/>
    </row>
    <row r="334" ht="14.25" customHeight="1">
      <c r="A334" s="187"/>
      <c r="B334" s="128"/>
    </row>
    <row r="335" ht="14.25" customHeight="1">
      <c r="A335" s="187"/>
      <c r="B335" s="128"/>
    </row>
    <row r="336" ht="14.25" customHeight="1">
      <c r="A336" s="187"/>
      <c r="B336" s="128"/>
    </row>
    <row r="337" ht="14.25" customHeight="1">
      <c r="A337" s="187"/>
      <c r="B337" s="128"/>
    </row>
    <row r="338" ht="14.25" customHeight="1">
      <c r="A338" s="187"/>
      <c r="B338" s="128"/>
    </row>
    <row r="339" ht="14.25" customHeight="1">
      <c r="A339" s="187"/>
      <c r="B339" s="128"/>
    </row>
    <row r="340" ht="14.25" customHeight="1">
      <c r="A340" s="187"/>
      <c r="B340" s="128"/>
    </row>
    <row r="341" ht="14.25" customHeight="1">
      <c r="A341" s="187"/>
      <c r="B341" s="128"/>
    </row>
    <row r="342" ht="14.25" customHeight="1">
      <c r="A342" s="187"/>
      <c r="B342" s="128"/>
    </row>
    <row r="343" ht="14.25" customHeight="1">
      <c r="A343" s="187"/>
      <c r="B343" s="128"/>
    </row>
    <row r="344" ht="14.25" customHeight="1">
      <c r="A344" s="187"/>
      <c r="B344" s="128"/>
    </row>
    <row r="345" ht="14.25" customHeight="1">
      <c r="A345" s="187"/>
      <c r="B345" s="128"/>
    </row>
    <row r="346" ht="14.25" customHeight="1">
      <c r="A346" s="187"/>
      <c r="B346" s="128"/>
    </row>
    <row r="347" ht="14.25" customHeight="1">
      <c r="A347" s="187"/>
      <c r="B347" s="128"/>
    </row>
    <row r="348" ht="14.25" customHeight="1">
      <c r="A348" s="187"/>
      <c r="B348" s="128"/>
    </row>
    <row r="349" ht="14.25" customHeight="1">
      <c r="A349" s="187"/>
      <c r="B349" s="128"/>
    </row>
    <row r="350" ht="14.25" customHeight="1">
      <c r="A350" s="187"/>
      <c r="B350" s="128"/>
    </row>
    <row r="351" ht="14.25" customHeight="1">
      <c r="A351" s="187"/>
      <c r="B351" s="128"/>
    </row>
    <row r="352" ht="14.25" customHeight="1">
      <c r="A352" s="187"/>
      <c r="B352" s="128"/>
    </row>
    <row r="353" ht="14.25" customHeight="1">
      <c r="A353" s="187"/>
      <c r="B353" s="128"/>
    </row>
    <row r="354" ht="14.25" customHeight="1">
      <c r="A354" s="187"/>
      <c r="B354" s="128"/>
    </row>
    <row r="355" ht="14.25" customHeight="1">
      <c r="A355" s="187"/>
      <c r="B355" s="128"/>
    </row>
    <row r="356" ht="14.25" customHeight="1">
      <c r="A356" s="187"/>
      <c r="B356" s="128"/>
    </row>
    <row r="357" ht="14.25" customHeight="1">
      <c r="A357" s="187"/>
      <c r="B357" s="128"/>
    </row>
    <row r="358" ht="14.25" customHeight="1">
      <c r="A358" s="187"/>
      <c r="B358" s="128"/>
    </row>
    <row r="359" ht="14.25" customHeight="1">
      <c r="A359" s="187"/>
      <c r="B359" s="128"/>
    </row>
    <row r="360" ht="14.25" customHeight="1">
      <c r="A360" s="187"/>
      <c r="B360" s="128"/>
    </row>
    <row r="361" ht="14.25" customHeight="1">
      <c r="A361" s="187"/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3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28</v>
      </c>
    </row>
    <row r="2" ht="14.25" customHeight="1">
      <c r="A2" s="118" t="str">
        <f>IFERROR(__xludf.DUMMYFUNCTION(" IMPORTRANGE(""https://docs.google.com/spreadsheets/d/1sLoVJMg0D6W3KHU3K2yWUaKJg421O-1EBl0q4OUkAXQ/edit#gid=1444344404"",""Surprise!A2:A161"")"),"Garou du 86")</f>
        <v>Garou du 86</v>
      </c>
      <c r="B2" s="103">
        <v>1.0</v>
      </c>
      <c r="C2" s="183">
        <f t="shared" ref="C2:C161" si="1">260*(1-(B2/($H$1+1)))*POWER((SQRT(($H$1+1)/B2)),1/2)</f>
        <v>582.5495631</v>
      </c>
      <c r="D2" s="124" t="str">
        <f>VLOOKUP(A2,'Classement Surp'!$B$2:$B$149,1,0)</f>
        <v>Garou du 86</v>
      </c>
      <c r="E2" s="125" t="str">
        <f t="shared" ref="E2:E161" si="2">IF(D2=A2,"","erreur")</f>
        <v/>
      </c>
      <c r="F2" s="120" t="str">
        <f>VLOOKUP(A2,'Classement Général'!$B$2:$B$146,1,0)</f>
        <v>Garou du 86</v>
      </c>
    </row>
    <row r="3" ht="14.25" customHeight="1">
      <c r="A3" s="118" t="str">
        <f>IFERROR(__xludf.DUMMYFUNCTION("""COMPUTED_VALUE"""),"KamehamehAS")</f>
        <v>KamehamehAS</v>
      </c>
      <c r="B3" s="103">
        <v>2.0</v>
      </c>
      <c r="C3" s="183">
        <f t="shared" si="1"/>
        <v>472.3687022</v>
      </c>
      <c r="D3" s="124" t="str">
        <f>VLOOKUP(A3,'Classement Surp'!$B$2:$B$149,1,0)</f>
        <v>KamehamehAS</v>
      </c>
      <c r="E3" s="125" t="str">
        <f t="shared" si="2"/>
        <v/>
      </c>
      <c r="F3" s="120" t="str">
        <f>VLOOKUP(A3,'Classement Général'!$B$2:$B$146,1,0)</f>
        <v>KamehamehAS</v>
      </c>
    </row>
    <row r="4" ht="14.25" customHeight="1">
      <c r="A4" s="118" t="str">
        <f>IFERROR(__xludf.DUMMYFUNCTION("""COMPUTED_VALUE"""),"VietNems86")</f>
        <v>VietNems86</v>
      </c>
      <c r="B4" s="103">
        <v>3.0</v>
      </c>
      <c r="C4" s="183">
        <f t="shared" si="1"/>
        <v>411.0246648</v>
      </c>
      <c r="D4" s="124" t="str">
        <f>VLOOKUP(A4,'Classement Surp'!$B$2:$B$149,1,0)</f>
        <v>VietNems86</v>
      </c>
      <c r="E4" s="125" t="str">
        <f t="shared" si="2"/>
        <v/>
      </c>
      <c r="F4" s="120" t="str">
        <f>VLOOKUP(A4,'Classement Général'!$B$2:$B$146,1,0)</f>
        <v>VietNems86</v>
      </c>
    </row>
    <row r="5" ht="14.25" customHeight="1">
      <c r="A5" s="118" t="str">
        <f>IFERROR(__xludf.DUMMYFUNCTION("""COMPUTED_VALUE"""),"Elfy")</f>
        <v>Elfy</v>
      </c>
      <c r="B5" s="103">
        <v>4.0</v>
      </c>
      <c r="C5" s="183">
        <f t="shared" si="1"/>
        <v>367.7899522</v>
      </c>
      <c r="D5" s="124" t="str">
        <f>VLOOKUP(A5,'Classement Surp'!$B$2:$B$149,1,0)</f>
        <v>Elfy</v>
      </c>
      <c r="E5" s="125" t="str">
        <f t="shared" si="2"/>
        <v/>
      </c>
      <c r="F5" s="120" t="str">
        <f>VLOOKUP(A5,'Classement Général'!$B$2:$B$146,1,0)</f>
        <v>Elfy</v>
      </c>
    </row>
    <row r="6" ht="14.25" customHeight="1">
      <c r="A6" s="118" t="str">
        <f>IFERROR(__xludf.DUMMYFUNCTION("""COMPUTED_VALUE"""),"Dirty Bazaar")</f>
        <v>Dirty Bazaar</v>
      </c>
      <c r="B6" s="103">
        <v>5.0</v>
      </c>
      <c r="C6" s="183">
        <f t="shared" si="1"/>
        <v>333.9208907</v>
      </c>
      <c r="D6" s="124" t="str">
        <f>VLOOKUP(A6,'Classement Surp'!$B$2:$B$149,1,0)</f>
        <v>Dirty Bazaar</v>
      </c>
      <c r="E6" s="125" t="str">
        <f t="shared" si="2"/>
        <v/>
      </c>
      <c r="F6" s="120" t="str">
        <f>VLOOKUP(A6,'Classement Général'!$B$2:$B$146,1,0)</f>
        <v>Dirty Bazaar</v>
      </c>
    </row>
    <row r="7" ht="14.25" customHeight="1">
      <c r="A7" s="118" t="str">
        <f>IFERROR(__xludf.DUMMYFUNCTION("""COMPUTED_VALUE"""),"Mistral86")</f>
        <v>Mistral86</v>
      </c>
      <c r="B7" s="103">
        <v>6.0</v>
      </c>
      <c r="C7" s="183">
        <f t="shared" si="1"/>
        <v>305.7488787</v>
      </c>
      <c r="D7" s="124" t="str">
        <f>VLOOKUP(A7,'Classement Surp'!$B$2:$B$149,1,0)</f>
        <v>Mistral86</v>
      </c>
      <c r="E7" s="125" t="str">
        <f t="shared" si="2"/>
        <v/>
      </c>
      <c r="F7" s="120" t="str">
        <f>VLOOKUP(A7,'Classement Général'!$B$2:$B$146,1,0)</f>
        <v>Mistral86</v>
      </c>
    </row>
    <row r="8" ht="14.25" customHeight="1">
      <c r="A8" s="118" t="str">
        <f>IFERROR(__xludf.DUMMYFUNCTION("""COMPUTED_VALUE"""),"Mikalack")</f>
        <v>Mikalack</v>
      </c>
      <c r="B8" s="103">
        <v>7.0</v>
      </c>
      <c r="C8" s="183">
        <f t="shared" si="1"/>
        <v>281.3993049</v>
      </c>
      <c r="D8" s="124" t="str">
        <f>VLOOKUP(A8,'Classement Surp'!$B$2:$B$149,1,0)</f>
        <v>Mikalack</v>
      </c>
      <c r="E8" s="125" t="str">
        <f t="shared" si="2"/>
        <v/>
      </c>
      <c r="F8" s="120" t="str">
        <f>VLOOKUP(A8,'Classement Général'!$B$2:$B$146,1,0)</f>
        <v>Mikalack</v>
      </c>
    </row>
    <row r="9" ht="14.25" customHeight="1">
      <c r="A9" s="118" t="str">
        <f>IFERROR(__xludf.DUMMYFUNCTION("""COMPUTED_VALUE"""),"Phil1308")</f>
        <v>Phil1308</v>
      </c>
      <c r="B9" s="103">
        <v>8.0</v>
      </c>
      <c r="C9" s="183">
        <f t="shared" si="1"/>
        <v>259.789532</v>
      </c>
      <c r="D9" s="124" t="str">
        <f>VLOOKUP(A9,'Classement Surp'!$B$2:$B$149,1,0)</f>
        <v>Phil1308</v>
      </c>
      <c r="E9" s="125" t="str">
        <f t="shared" si="2"/>
        <v/>
      </c>
      <c r="F9" s="120" t="str">
        <f>VLOOKUP(A9,'Classement Général'!$B$2:$B$146,1,0)</f>
        <v>Phil1308</v>
      </c>
    </row>
    <row r="10" ht="14.25" customHeight="1">
      <c r="A10" s="118" t="str">
        <f>IFERROR(__xludf.DUMMYFUNCTION("""COMPUTED_VALUE"""),"_Sale-Bet_")</f>
        <v>_Sale-Bet_</v>
      </c>
      <c r="B10" s="103">
        <v>9.0</v>
      </c>
      <c r="C10" s="183">
        <f t="shared" si="1"/>
        <v>240.2393908</v>
      </c>
      <c r="D10" s="124" t="str">
        <f>VLOOKUP(A10,'Classement Surp'!$B$2:$B$149,1,0)</f>
        <v>_Sale-Bet_</v>
      </c>
      <c r="E10" s="125" t="str">
        <f t="shared" si="2"/>
        <v/>
      </c>
      <c r="F10" s="120" t="str">
        <f>VLOOKUP(A10,'Classement Général'!$B$2:$B$146,1,0)</f>
        <v>_Sale-Bet_</v>
      </c>
    </row>
    <row r="11" ht="14.25" customHeight="1">
      <c r="A11" s="118" t="str">
        <f>IFERROR(__xludf.DUMMYFUNCTION("""COMPUTED_VALUE"""),"Mako Lemore")</f>
        <v>Mako Lemore</v>
      </c>
      <c r="B11" s="103">
        <v>10.0</v>
      </c>
      <c r="C11" s="183">
        <f t="shared" si="1"/>
        <v>222.2943633</v>
      </c>
      <c r="D11" s="124" t="str">
        <f>VLOOKUP(A11,'Classement Surp'!$B$2:$B$149,1,0)</f>
        <v>Mako Lemore</v>
      </c>
      <c r="E11" s="125" t="str">
        <f t="shared" si="2"/>
        <v/>
      </c>
      <c r="F11" s="120" t="str">
        <f>VLOOKUP(A11,'Classement Général'!$B$2:$B$146,1,0)</f>
        <v>Mako Lemore</v>
      </c>
    </row>
    <row r="12" ht="14.25" customHeight="1">
      <c r="A12" s="118" t="str">
        <f>IFERROR(__xludf.DUMMYFUNCTION("""COMPUTED_VALUE"""),"Vaillant 86")</f>
        <v>Vaillant 86</v>
      </c>
      <c r="B12" s="103">
        <v>11.0</v>
      </c>
      <c r="C12" s="183">
        <f t="shared" si="1"/>
        <v>205.636017</v>
      </c>
      <c r="D12" s="124" t="str">
        <f>VLOOKUP(A12,'Classement Surp'!$B$2:$B$149,1,0)</f>
        <v>Vaillant 86</v>
      </c>
      <c r="E12" s="125" t="str">
        <f t="shared" si="2"/>
        <v/>
      </c>
      <c r="F12" s="120" t="str">
        <f>VLOOKUP(A12,'Classement Général'!$B$2:$B$146,1,0)</f>
        <v>Vaillant 86</v>
      </c>
    </row>
    <row r="13" ht="14.25" customHeight="1">
      <c r="A13" s="118" t="str">
        <f>IFERROR(__xludf.DUMMYFUNCTION("""COMPUTED_VALUE"""),"FridAKahlo")</f>
        <v>FridAKahlo</v>
      </c>
      <c r="B13" s="103">
        <v>12.0</v>
      </c>
      <c r="C13" s="183">
        <f t="shared" si="1"/>
        <v>190.0327527</v>
      </c>
      <c r="D13" s="124" t="str">
        <f>VLOOKUP(A13,'Classement Surp'!$B$2:$B$149,1,0)</f>
        <v>FridAKahlo</v>
      </c>
      <c r="E13" s="125" t="str">
        <f t="shared" si="2"/>
        <v/>
      </c>
      <c r="F13" s="120" t="str">
        <f>VLOOKUP(A13,'Classement Général'!$B$2:$B$146,1,0)</f>
        <v>FridAKahlo</v>
      </c>
    </row>
    <row r="14" ht="14.25" customHeight="1">
      <c r="A14" s="118" t="str">
        <f>IFERROR(__xludf.DUMMYFUNCTION("""COMPUTED_VALUE"""),"Kiki Bazaar")</f>
        <v>Kiki Bazaar</v>
      </c>
      <c r="B14" s="103">
        <v>13.0</v>
      </c>
      <c r="C14" s="183">
        <f t="shared" si="1"/>
        <v>175.3109302</v>
      </c>
      <c r="D14" s="124" t="str">
        <f>VLOOKUP(A14,'Classement Surp'!$B$2:$B$149,1,0)</f>
        <v>Kiki Bazaar</v>
      </c>
      <c r="E14" s="125" t="str">
        <f t="shared" si="2"/>
        <v/>
      </c>
      <c r="F14" s="120" t="str">
        <f>VLOOKUP(A14,'Classement Général'!$B$2:$B$146,1,0)</f>
        <v>Kiki Bazaar</v>
      </c>
    </row>
    <row r="15" ht="14.25" customHeight="1">
      <c r="A15" s="118" t="str">
        <f>IFERROR(__xludf.DUMMYFUNCTION("""COMPUTED_VALUE"""),"cassius-86")</f>
        <v>cassius-86</v>
      </c>
      <c r="B15" s="103">
        <v>14.0</v>
      </c>
      <c r="C15" s="183">
        <f t="shared" si="1"/>
        <v>161.3370455</v>
      </c>
      <c r="D15" s="124" t="str">
        <f>VLOOKUP(A15,'Classement Surp'!$B$2:$B$149,1,0)</f>
        <v>cassius-86</v>
      </c>
      <c r="E15" s="125" t="str">
        <f t="shared" si="2"/>
        <v/>
      </c>
      <c r="F15" s="120" t="str">
        <f>VLOOKUP(A15,'Classement Général'!$B$2:$B$146,1,0)</f>
        <v>cassius-86</v>
      </c>
    </row>
    <row r="16" ht="14.25" customHeight="1">
      <c r="A16" s="118" t="str">
        <f>IFERROR(__xludf.DUMMYFUNCTION("""COMPUTED_VALUE"""),"Le_Pictavien")</f>
        <v>Le_Pictavien</v>
      </c>
      <c r="B16" s="103">
        <v>15.0</v>
      </c>
      <c r="C16" s="183">
        <f t="shared" si="1"/>
        <v>148.0062552</v>
      </c>
      <c r="D16" s="124" t="str">
        <f>VLOOKUP(A16,'Classement Surp'!$B$2:$B$149,1,0)</f>
        <v>Le_Pictavien</v>
      </c>
      <c r="E16" s="125" t="str">
        <f t="shared" si="2"/>
        <v/>
      </c>
      <c r="F16" s="120" t="str">
        <f>VLOOKUP(A16,'Classement Général'!$B$2:$B$146,1,0)</f>
        <v>Le_Pictavien</v>
      </c>
    </row>
    <row r="17" ht="14.25" customHeight="1">
      <c r="A17" s="118" t="str">
        <f>IFERROR(__xludf.DUMMYFUNCTION("""COMPUTED_VALUE"""),"Pachavi")</f>
        <v>Pachavi</v>
      </c>
      <c r="B17" s="103">
        <v>16.0</v>
      </c>
      <c r="C17" s="183">
        <f t="shared" si="1"/>
        <v>135.23472</v>
      </c>
      <c r="D17" s="124" t="str">
        <f>VLOOKUP(A17,'Classement Surp'!$B$2:$B$149,1,0)</f>
        <v>Pachavi</v>
      </c>
      <c r="E17" s="125" t="str">
        <f t="shared" si="2"/>
        <v/>
      </c>
      <c r="F17" s="120" t="str">
        <f>VLOOKUP(A17,'Classement Général'!$B$2:$B$146,1,0)</f>
        <v>Pachavi</v>
      </c>
    </row>
    <row r="18" ht="14.25" customHeight="1">
      <c r="A18" s="118" t="str">
        <f>IFERROR(__xludf.DUMMYFUNCTION("""COMPUTED_VALUE"""),"8kinder6")</f>
        <v>8kinder6</v>
      </c>
      <c r="B18" s="103">
        <v>17.0</v>
      </c>
      <c r="C18" s="183">
        <f t="shared" si="1"/>
        <v>122.9543407</v>
      </c>
      <c r="D18" s="124" t="str">
        <f>VLOOKUP(A18,'Classement Surp'!$B$2:$B$149,1,0)</f>
        <v>8kinder6</v>
      </c>
      <c r="E18" s="125" t="str">
        <f t="shared" si="2"/>
        <v/>
      </c>
      <c r="F18" s="120" t="str">
        <f>VLOOKUP(A18,'Classement Général'!$B$2:$B$146,1,0)</f>
        <v>8kinder6</v>
      </c>
    </row>
    <row r="19" ht="14.25" customHeight="1">
      <c r="A19" s="118" t="str">
        <f>IFERROR(__xludf.DUMMYFUNCTION("""COMPUTED_VALUE"""),"christ86000")</f>
        <v>christ86000</v>
      </c>
      <c r="B19" s="103">
        <v>18.0</v>
      </c>
      <c r="C19" s="183">
        <f t="shared" si="1"/>
        <v>111.1090434</v>
      </c>
      <c r="D19" s="124" t="str">
        <f>VLOOKUP(A19,'Classement Surp'!$B$2:$B$149,1,0)</f>
        <v>christ86000</v>
      </c>
      <c r="E19" s="125" t="str">
        <f t="shared" si="2"/>
        <v/>
      </c>
      <c r="F19" s="120" t="str">
        <f>VLOOKUP(A19,'Classement Général'!$B$2:$B$146,1,0)</f>
        <v>christ86000</v>
      </c>
    </row>
    <row r="20" ht="14.25" customHeight="1">
      <c r="A20" s="118" t="str">
        <f>IFERROR(__xludf.DUMMYFUNCTION("""COMPUTED_VALUE"""),"StephBoss05")</f>
        <v>StephBoss05</v>
      </c>
      <c r="B20" s="103">
        <v>19.0</v>
      </c>
      <c r="C20" s="183">
        <f t="shared" si="1"/>
        <v>99.65209866</v>
      </c>
      <c r="D20" s="124" t="str">
        <f>VLOOKUP(A20,'Classement Surp'!$B$2:$B$149,1,0)</f>
        <v>StephBoss05</v>
      </c>
      <c r="E20" s="125" t="str">
        <f t="shared" si="2"/>
        <v/>
      </c>
      <c r="F20" s="120" t="str">
        <f>VLOOKUP(A20,'Classement Général'!$B$2:$B$146,1,0)</f>
        <v>StephBoss05</v>
      </c>
    </row>
    <row r="21" ht="14.25" customHeight="1">
      <c r="A21" s="118" t="str">
        <f>IFERROR(__xludf.DUMMYFUNCTION("""COMPUTED_VALUE"""),"pablo")</f>
        <v>pablo</v>
      </c>
      <c r="B21" s="103">
        <v>20.0</v>
      </c>
      <c r="C21" s="183">
        <f t="shared" si="1"/>
        <v>88.54414733</v>
      </c>
      <c r="D21" s="124" t="str">
        <f>VLOOKUP(A21,'Classement Surp'!$B$2:$B$149,1,0)</f>
        <v>pablo</v>
      </c>
      <c r="E21" s="125" t="str">
        <f t="shared" si="2"/>
        <v/>
      </c>
      <c r="F21" s="120" t="str">
        <f>VLOOKUP(A21,'Classement Général'!$B$2:$B$146,1,0)</f>
        <v>pablo</v>
      </c>
    </row>
    <row r="22" ht="14.25" customHeight="1">
      <c r="A22" s="118" t="str">
        <f>IFERROR(__xludf.DUMMYFUNCTION("""COMPUTED_VALUE"""),"M2TH")</f>
        <v>M2TH</v>
      </c>
      <c r="B22" s="103">
        <v>21.0</v>
      </c>
      <c r="C22" s="183">
        <f t="shared" si="1"/>
        <v>77.75172138</v>
      </c>
      <c r="D22" s="124" t="str">
        <f>VLOOKUP(A22,'Classement Surp'!$B$2:$B$149,1,0)</f>
        <v>#N/A</v>
      </c>
      <c r="E22" s="125" t="str">
        <f t="shared" si="2"/>
        <v>#N/A</v>
      </c>
      <c r="F22" s="120" t="str">
        <f>VLOOKUP(A22,'Classement Général'!$B$2:$B$146,1,0)</f>
        <v>#N/A</v>
      </c>
    </row>
    <row r="23" ht="14.25" customHeight="1">
      <c r="A23" s="118" t="str">
        <f>IFERROR(__xludf.DUMMYFUNCTION("""COMPUTED_VALUE"""),"Redblood92")</f>
        <v>Redblood92</v>
      </c>
      <c r="B23" s="103">
        <v>22.0</v>
      </c>
      <c r="C23" s="183">
        <f t="shared" si="1"/>
        <v>67.24611816</v>
      </c>
      <c r="D23" s="124" t="str">
        <f>VLOOKUP(A23,'Classement Surp'!$B$2:$B$149,1,0)</f>
        <v>Redblood92</v>
      </c>
      <c r="E23" s="125" t="str">
        <f t="shared" si="2"/>
        <v/>
      </c>
      <c r="F23" s="120" t="str">
        <f>VLOOKUP(A23,'Classement Général'!$B$2:$B$146,1,0)</f>
        <v>Redblood92</v>
      </c>
    </row>
    <row r="24" ht="14.25" customHeight="1">
      <c r="A24" s="118" t="str">
        <f>IFERROR(__xludf.DUMMYFUNCTION("""COMPUTED_VALUE"""),". BARBAPAPA66")</f>
        <v>. BARBAPAPA66</v>
      </c>
      <c r="B24" s="103">
        <v>23.0</v>
      </c>
      <c r="C24" s="183">
        <f t="shared" si="1"/>
        <v>57.00253119</v>
      </c>
      <c r="D24" s="124" t="str">
        <f>VLOOKUP(A24,'Classement Surp'!$B$2:$B$149,1,0)</f>
        <v>. BARBAPAPA66</v>
      </c>
      <c r="E24" s="125" t="str">
        <f t="shared" si="2"/>
        <v/>
      </c>
      <c r="F24" s="120" t="str">
        <f>VLOOKUP(A24,'Classement Général'!$B$2:$B$146,1,0)</f>
        <v>. BARBAPAPA66</v>
      </c>
    </row>
    <row r="25" ht="14.25" customHeight="1">
      <c r="A25" s="118" t="str">
        <f>IFERROR(__xludf.DUMMYFUNCTION("""COMPUTED_VALUE"""),"JM-Chatte")</f>
        <v>JM-Chatte</v>
      </c>
      <c r="B25" s="103">
        <v>24.0</v>
      </c>
      <c r="C25" s="183">
        <f t="shared" si="1"/>
        <v>46.99937075</v>
      </c>
      <c r="D25" s="124" t="str">
        <f>VLOOKUP(A25,'Classement Surp'!$B$2:$B$149,1,0)</f>
        <v>JM-Chatte</v>
      </c>
      <c r="E25" s="125" t="str">
        <f t="shared" si="2"/>
        <v/>
      </c>
      <c r="F25" s="120" t="str">
        <f>VLOOKUP(A25,'Classement Général'!$B$2:$B$146,1,0)</f>
        <v>JM-Chatte</v>
      </c>
    </row>
    <row r="26" ht="14.25" customHeight="1">
      <c r="A26" s="118" t="str">
        <f>IFERROR(__xludf.DUMMYFUNCTION("""COMPUTED_VALUE"""),"UnPetitJaune")</f>
        <v>UnPetitJaune</v>
      </c>
      <c r="B26" s="103">
        <v>25.0</v>
      </c>
      <c r="C26" s="183">
        <f t="shared" si="1"/>
        <v>37.21772638</v>
      </c>
      <c r="D26" s="124" t="str">
        <f>VLOOKUP(A26,'Classement Surp'!$B$2:$B$149,1,0)</f>
        <v>UnPetitJaune</v>
      </c>
      <c r="E26" s="125" t="str">
        <f t="shared" si="2"/>
        <v/>
      </c>
      <c r="F26" s="120" t="str">
        <f>VLOOKUP(A26,'Classement Général'!$B$2:$B$146,1,0)</f>
        <v>UnPetitJaune</v>
      </c>
    </row>
    <row r="27" ht="14.25" customHeight="1">
      <c r="A27" s="118" t="str">
        <f>IFERROR(__xludf.DUMMYFUNCTION("""COMPUTED_VALUE"""),"Crocetta")</f>
        <v>Crocetta</v>
      </c>
      <c r="B27" s="103">
        <v>26.0</v>
      </c>
      <c r="C27" s="183">
        <f t="shared" si="1"/>
        <v>27.64093739</v>
      </c>
      <c r="D27" s="124" t="str">
        <f>VLOOKUP(A27,'Classement Surp'!$B$2:$B$149,1,0)</f>
        <v>#N/A</v>
      </c>
      <c r="E27" s="125" t="str">
        <f t="shared" si="2"/>
        <v>#N/A</v>
      </c>
      <c r="F27" s="120" t="str">
        <f>VLOOKUP(A27,'Classement Général'!$B$2:$B$146,1,0)</f>
        <v>#N/A</v>
      </c>
    </row>
    <row r="28" ht="14.25" customHeight="1">
      <c r="A28" s="118" t="str">
        <f>IFERROR(__xludf.DUMMYFUNCTION("""COMPUTED_VALUE"""),"LEGOLEGOTE")</f>
        <v>LEGOLEGOTE</v>
      </c>
      <c r="B28" s="103">
        <v>27.0</v>
      </c>
      <c r="C28" s="183">
        <f t="shared" si="1"/>
        <v>18.25424622</v>
      </c>
      <c r="D28" s="124" t="str">
        <f>VLOOKUP(A28,'Classement Surp'!$B$2:$B$149,1,0)</f>
        <v>LEGOLEGOTE</v>
      </c>
      <c r="E28" s="125" t="str">
        <f t="shared" si="2"/>
        <v/>
      </c>
      <c r="F28" s="120" t="str">
        <f>VLOOKUP(A28,'Classement Général'!$B$2:$B$146,1,0)</f>
        <v>LEGOLEGOTE</v>
      </c>
    </row>
    <row r="29" ht="14.25" customHeight="1">
      <c r="A29" s="118" t="str">
        <f>IFERROR(__xludf.DUMMYFUNCTION("""COMPUTED_VALUE"""),"Mitch")</f>
        <v>Mitch</v>
      </c>
      <c r="B29" s="103">
        <v>28.0</v>
      </c>
      <c r="C29" s="183">
        <f t="shared" si="1"/>
        <v>9.044516215</v>
      </c>
      <c r="D29" s="124" t="str">
        <f>VLOOKUP(A29,'Classement Surp'!$B$2:$B$149,1,0)</f>
        <v>Mitch</v>
      </c>
      <c r="E29" s="125" t="str">
        <f t="shared" si="2"/>
        <v/>
      </c>
      <c r="F29" s="120" t="str">
        <f>VLOOKUP(A29,'Classement Général'!$B$2:$B$146,1,0)</f>
        <v>Mitch</v>
      </c>
    </row>
    <row r="30" ht="14.25" customHeight="1">
      <c r="A30" s="118"/>
      <c r="B30" s="103">
        <v>29.0</v>
      </c>
      <c r="C30" s="183">
        <f t="shared" si="1"/>
        <v>0</v>
      </c>
      <c r="D30" s="124" t="str">
        <f>VLOOKUP(A30,'Classement Surp'!$B$2:$B$149,1,0)</f>
        <v>#N/A</v>
      </c>
      <c r="E30" s="125" t="str">
        <f t="shared" si="2"/>
        <v>#N/A</v>
      </c>
      <c r="F30" s="120" t="str">
        <f>VLOOKUP(A30,'Classement Général'!$B$2:$B$146,1,0)</f>
        <v>#N/A</v>
      </c>
    </row>
    <row r="31" ht="14.25" customHeight="1">
      <c r="A31" s="118"/>
      <c r="B31" s="103">
        <v>30.0</v>
      </c>
      <c r="C31" s="183">
        <f t="shared" si="1"/>
        <v>-8.889852103</v>
      </c>
      <c r="D31" s="124" t="str">
        <f>VLOOKUP(A31,'Classement Surp'!$B$2:$B$149,1,0)</f>
        <v>#N/A</v>
      </c>
      <c r="E31" s="125" t="str">
        <f t="shared" si="2"/>
        <v>#N/A</v>
      </c>
      <c r="F31" s="120" t="str">
        <f>VLOOKUP(A31,'Classement Général'!$B$2:$B$146,1,0)</f>
        <v>#N/A</v>
      </c>
    </row>
    <row r="32" ht="14.25" customHeight="1">
      <c r="A32" s="118"/>
      <c r="B32" s="103">
        <v>31.0</v>
      </c>
      <c r="C32" s="183">
        <f t="shared" si="1"/>
        <v>-17.63455162</v>
      </c>
      <c r="D32" s="124" t="str">
        <f>VLOOKUP(A32,'Classement Surp'!$B$2:$B$149,1,0)</f>
        <v>#N/A</v>
      </c>
      <c r="E32" s="125" t="str">
        <f t="shared" si="2"/>
        <v>#N/A</v>
      </c>
      <c r="F32" s="120" t="str">
        <f>VLOOKUP(A32,'Classement Général'!$B$2:$B$146,1,0)</f>
        <v>#N/A</v>
      </c>
    </row>
    <row r="33" ht="14.25" customHeight="1">
      <c r="A33" s="118"/>
      <c r="B33" s="103">
        <v>32.0</v>
      </c>
      <c r="C33" s="183">
        <f t="shared" si="1"/>
        <v>-26.24270568</v>
      </c>
      <c r="D33" s="124" t="str">
        <f>VLOOKUP(A33,'Classement Surp'!$B$2:$B$149,1,0)</f>
        <v>#N/A</v>
      </c>
      <c r="E33" s="125" t="str">
        <f t="shared" si="2"/>
        <v>#N/A</v>
      </c>
      <c r="F33" s="120" t="str">
        <f>VLOOKUP(A33,'Classement Général'!$B$2:$B$146,1,0)</f>
        <v>#N/A</v>
      </c>
    </row>
    <row r="34" ht="14.25" customHeight="1">
      <c r="A34" s="118"/>
      <c r="B34" s="103">
        <v>33.0</v>
      </c>
      <c r="C34" s="183">
        <f t="shared" si="1"/>
        <v>-34.72212977</v>
      </c>
      <c r="D34" s="124" t="str">
        <f>VLOOKUP(A34,'Classement Surp'!$B$2:$B$149,1,0)</f>
        <v>#N/A</v>
      </c>
      <c r="E34" s="125" t="str">
        <f t="shared" si="2"/>
        <v>#N/A</v>
      </c>
      <c r="F34" s="120" t="str">
        <f>VLOOKUP(A34,'Classement Général'!$B$2:$B$146,1,0)</f>
        <v>#N/A</v>
      </c>
    </row>
    <row r="35" ht="14.25" customHeight="1">
      <c r="A35" s="118"/>
      <c r="B35" s="103">
        <v>34.0</v>
      </c>
      <c r="C35" s="183">
        <f t="shared" si="1"/>
        <v>-43.07994346</v>
      </c>
      <c r="D35" s="124" t="str">
        <f>VLOOKUP(A35,'Classement Surp'!$B$2:$B$149,1,0)</f>
        <v>#N/A</v>
      </c>
      <c r="E35" s="125" t="str">
        <f t="shared" si="2"/>
        <v>#N/A</v>
      </c>
      <c r="F35" s="120" t="str">
        <f>VLOOKUP(A35,'Classement Général'!$B$2:$B$146,1,0)</f>
        <v>#N/A</v>
      </c>
    </row>
    <row r="36" ht="14.25" customHeight="1">
      <c r="A36" s="118"/>
      <c r="B36" s="103">
        <v>35.0</v>
      </c>
      <c r="C36" s="183">
        <f t="shared" si="1"/>
        <v>-51.32265191</v>
      </c>
      <c r="D36" s="124" t="str">
        <f>VLOOKUP(A36,'Classement Surp'!$B$2:$B$149,1,0)</f>
        <v>#N/A</v>
      </c>
      <c r="E36" s="125" t="str">
        <f t="shared" si="2"/>
        <v>#N/A</v>
      </c>
      <c r="F36" s="120" t="str">
        <f>VLOOKUP(A36,'Classement Général'!$B$2:$B$146,1,0)</f>
        <v>#N/A</v>
      </c>
    </row>
    <row r="37" ht="14.25" customHeight="1">
      <c r="A37" s="118"/>
      <c r="B37" s="103">
        <v>36.0</v>
      </c>
      <c r="C37" s="183">
        <f t="shared" si="1"/>
        <v>-59.45621581</v>
      </c>
      <c r="D37" s="124" t="str">
        <f>VLOOKUP(A37,'Classement Surp'!$B$2:$B$149,1,0)</f>
        <v>#N/A</v>
      </c>
      <c r="E37" s="125" t="str">
        <f t="shared" si="2"/>
        <v>#N/A</v>
      </c>
      <c r="F37" s="120" t="str">
        <f>VLOOKUP(A37,'Classement Général'!$B$2:$B$146,1,0)</f>
        <v>#N/A</v>
      </c>
    </row>
    <row r="38" ht="14.25" customHeight="1">
      <c r="A38" s="118"/>
      <c r="B38" s="103">
        <v>37.0</v>
      </c>
      <c r="C38" s="183">
        <f t="shared" si="1"/>
        <v>-67.48611156</v>
      </c>
      <c r="D38" s="124" t="str">
        <f>VLOOKUP(A38,'Classement Surp'!$B$2:$B$149,1,0)</f>
        <v>#N/A</v>
      </c>
      <c r="E38" s="125" t="str">
        <f t="shared" si="2"/>
        <v>#N/A</v>
      </c>
      <c r="F38" s="120" t="str">
        <f>VLOOKUP(A38,'Classement Général'!$B$2:$B$146,1,0)</f>
        <v>#N/A</v>
      </c>
    </row>
    <row r="39" ht="14.25" customHeight="1">
      <c r="A39" s="118"/>
      <c r="B39" s="103">
        <v>38.0</v>
      </c>
      <c r="C39" s="183">
        <f t="shared" si="1"/>
        <v>-75.41738328</v>
      </c>
      <c r="D39" s="124" t="str">
        <f>VLOOKUP(A39,'Classement Surp'!$B$2:$B$149,1,0)</f>
        <v>#N/A</v>
      </c>
      <c r="E39" s="125" t="str">
        <f t="shared" si="2"/>
        <v>#N/A</v>
      </c>
      <c r="F39" s="120" t="str">
        <f>VLOOKUP(A39,'Classement Général'!$B$2:$B$146,1,0)</f>
        <v>#N/A</v>
      </c>
    </row>
    <row r="40" ht="14.25" customHeight="1">
      <c r="A40" s="118"/>
      <c r="B40" s="103">
        <v>39.0</v>
      </c>
      <c r="C40" s="183">
        <f t="shared" si="1"/>
        <v>-83.25468803</v>
      </c>
      <c r="D40" s="124" t="str">
        <f>VLOOKUP(A40,'Classement Surp'!$B$2:$B$149,1,0)</f>
        <v>#N/A</v>
      </c>
      <c r="E40" s="125" t="str">
        <f t="shared" si="2"/>
        <v>#N/A</v>
      </c>
      <c r="F40" s="120" t="str">
        <f>VLOOKUP(A40,'Classement Général'!$B$2:$B$146,1,0)</f>
        <v>#N/A</v>
      </c>
    </row>
    <row r="41" ht="14.25" customHeight="1">
      <c r="A41" s="118"/>
      <c r="B41" s="103">
        <v>40.0</v>
      </c>
      <c r="C41" s="183">
        <f t="shared" si="1"/>
        <v>-91.00233521</v>
      </c>
      <c r="D41" s="124" t="str">
        <f>VLOOKUP(A41,'Classement Surp'!$B$2:$B$149,1,0)</f>
        <v>#N/A</v>
      </c>
      <c r="E41" s="125" t="str">
        <f t="shared" si="2"/>
        <v>#N/A</v>
      </c>
      <c r="F41" s="120" t="str">
        <f>VLOOKUP(A41,'Classement Général'!$B$2:$B$146,1,0)</f>
        <v>#N/A</v>
      </c>
    </row>
    <row r="42" ht="14.25" customHeight="1">
      <c r="A42" s="118"/>
      <c r="B42" s="103">
        <v>41.0</v>
      </c>
      <c r="C42" s="183">
        <f t="shared" si="1"/>
        <v>-98.66432099</v>
      </c>
      <c r="D42" s="124" t="str">
        <f>VLOOKUP(A42,'Classement Surp'!$B$2:$B$149,1,0)</f>
        <v>#N/A</v>
      </c>
      <c r="E42" s="125" t="str">
        <f t="shared" si="2"/>
        <v>#N/A</v>
      </c>
      <c r="F42" s="120" t="str">
        <f>VLOOKUP(A42,'Classement Général'!$B$2:$B$146,1,0)</f>
        <v>#N/A</v>
      </c>
    </row>
    <row r="43" ht="14.25" customHeight="1">
      <c r="A43" s="118"/>
      <c r="B43" s="103">
        <v>42.0</v>
      </c>
      <c r="C43" s="183">
        <f t="shared" si="1"/>
        <v>-106.2443587</v>
      </c>
      <c r="D43" s="124" t="str">
        <f>VLOOKUP(A43,'Classement Surp'!$B$2:$B$149,1,0)</f>
        <v>#N/A</v>
      </c>
      <c r="E43" s="125" t="str">
        <f t="shared" si="2"/>
        <v>#N/A</v>
      </c>
      <c r="F43" s="120" t="str">
        <f>VLOOKUP(A43,'Classement Général'!$B$2:$B$146,1,0)</f>
        <v>#N/A</v>
      </c>
    </row>
    <row r="44" ht="14.25" customHeight="1">
      <c r="A44" s="118"/>
      <c r="B44" s="103">
        <v>43.0</v>
      </c>
      <c r="C44" s="183">
        <f t="shared" si="1"/>
        <v>-113.7459052</v>
      </c>
      <c r="D44" s="124" t="str">
        <f>VLOOKUP(A44,'Classement Surp'!$B$2:$B$149,1,0)</f>
        <v>#N/A</v>
      </c>
      <c r="E44" s="125" t="str">
        <f t="shared" si="2"/>
        <v>#N/A</v>
      </c>
      <c r="F44" s="120" t="str">
        <f>VLOOKUP(A44,'Classement Général'!$B$2:$B$146,1,0)</f>
        <v>#N/A</v>
      </c>
    </row>
    <row r="45" ht="14.25" customHeight="1">
      <c r="A45" s="118"/>
      <c r="B45" s="103">
        <v>44.0</v>
      </c>
      <c r="C45" s="183">
        <f t="shared" si="1"/>
        <v>-121.1721851</v>
      </c>
      <c r="D45" s="124" t="str">
        <f>VLOOKUP(A45,'Classement Surp'!$B$2:$B$149,1,0)</f>
        <v>#N/A</v>
      </c>
      <c r="E45" s="125" t="str">
        <f t="shared" si="2"/>
        <v>#N/A</v>
      </c>
      <c r="F45" s="120" t="str">
        <f>VLOOKUP(A45,'Classement Général'!$B$2:$B$146,1,0)</f>
        <v>#N/A</v>
      </c>
    </row>
    <row r="46" ht="14.25" customHeight="1">
      <c r="A46" s="118"/>
      <c r="B46" s="103">
        <v>45.0</v>
      </c>
      <c r="C46" s="183">
        <f t="shared" si="1"/>
        <v>-128.5262108</v>
      </c>
      <c r="D46" s="124" t="str">
        <f>VLOOKUP(A46,'Classement Surp'!$B$2:$B$149,1,0)</f>
        <v>#N/A</v>
      </c>
      <c r="E46" s="125" t="str">
        <f t="shared" si="2"/>
        <v>#N/A</v>
      </c>
      <c r="F46" s="120" t="str">
        <f>VLOOKUP(A46,'Classement Général'!$B$2:$B$146,1,0)</f>
        <v>#N/A</v>
      </c>
    </row>
    <row r="47" ht="14.25" customHeight="1">
      <c r="A47" s="118"/>
      <c r="B47" s="103">
        <v>46.0</v>
      </c>
      <c r="C47" s="183">
        <f t="shared" si="1"/>
        <v>-135.8108017</v>
      </c>
      <c r="D47" s="124" t="str">
        <f>VLOOKUP(A47,'Classement Surp'!$B$2:$B$149,1,0)</f>
        <v>#N/A</v>
      </c>
      <c r="E47" s="125" t="str">
        <f t="shared" si="2"/>
        <v>#N/A</v>
      </c>
      <c r="F47" s="120" t="str">
        <f>VLOOKUP(A47,'Classement Général'!$B$2:$B$146,1,0)</f>
        <v>#N/A</v>
      </c>
    </row>
    <row r="48" ht="14.25" customHeight="1">
      <c r="A48" s="118"/>
      <c r="B48" s="103">
        <v>47.0</v>
      </c>
      <c r="C48" s="183">
        <f t="shared" si="1"/>
        <v>-143.0286008</v>
      </c>
      <c r="D48" s="124" t="str">
        <f>VLOOKUP(A48,'Classement Surp'!$B$2:$B$149,1,0)</f>
        <v>#N/A</v>
      </c>
      <c r="E48" s="125" t="str">
        <f t="shared" si="2"/>
        <v>#N/A</v>
      </c>
      <c r="F48" s="120" t="str">
        <f>VLOOKUP(A48,'Classement Général'!$B$2:$B$146,1,0)</f>
        <v>#N/A</v>
      </c>
    </row>
    <row r="49" ht="14.25" customHeight="1">
      <c r="A49" s="118"/>
      <c r="B49" s="103">
        <v>48.0</v>
      </c>
      <c r="C49" s="183">
        <f t="shared" si="1"/>
        <v>-150.1820891</v>
      </c>
      <c r="D49" s="124" t="str">
        <f>VLOOKUP(A49,'Classement Surp'!$B$2:$B$149,1,0)</f>
        <v>#N/A</v>
      </c>
      <c r="E49" s="125" t="str">
        <f t="shared" si="2"/>
        <v>#N/A</v>
      </c>
      <c r="F49" s="120" t="str">
        <f>VLOOKUP(A49,'Classement Général'!$B$2:$B$146,1,0)</f>
        <v>#N/A</v>
      </c>
    </row>
    <row r="50" ht="14.25" customHeight="1">
      <c r="A50" s="118"/>
      <c r="B50" s="103">
        <v>49.0</v>
      </c>
      <c r="C50" s="183">
        <f t="shared" si="1"/>
        <v>-157.273599</v>
      </c>
      <c r="D50" s="124" t="str">
        <f>VLOOKUP(A50,'Classement Surp'!$B$2:$B$149,1,0)</f>
        <v>#N/A</v>
      </c>
      <c r="E50" s="125" t="str">
        <f t="shared" si="2"/>
        <v>#N/A</v>
      </c>
      <c r="F50" s="120" t="str">
        <f>VLOOKUP(A50,'Classement Général'!$B$2:$B$146,1,0)</f>
        <v>#N/A</v>
      </c>
    </row>
    <row r="51" ht="14.25" customHeight="1">
      <c r="A51" s="118"/>
      <c r="B51" s="103">
        <v>50.0</v>
      </c>
      <c r="C51" s="183">
        <f t="shared" si="1"/>
        <v>-164.3053267</v>
      </c>
      <c r="D51" s="124" t="str">
        <f>VLOOKUP(A51,'Classement Surp'!$B$2:$B$149,1,0)</f>
        <v>#N/A</v>
      </c>
      <c r="E51" s="125" t="str">
        <f t="shared" si="2"/>
        <v>#N/A</v>
      </c>
      <c r="F51" s="120" t="str">
        <f>VLOOKUP(A51,'Classement Général'!$B$2:$B$146,1,0)</f>
        <v>#N/A</v>
      </c>
    </row>
    <row r="52" ht="14.25" customHeight="1">
      <c r="A52" s="118"/>
      <c r="B52" s="103">
        <v>51.0</v>
      </c>
      <c r="C52" s="183">
        <f t="shared" si="1"/>
        <v>-171.2793422</v>
      </c>
      <c r="D52" s="124" t="str">
        <f>VLOOKUP(A52,'Classement Surp'!$B$2:$B$149,1,0)</f>
        <v>#N/A</v>
      </c>
      <c r="E52" s="125" t="str">
        <f t="shared" si="2"/>
        <v>#N/A</v>
      </c>
      <c r="F52" s="120" t="str">
        <f>VLOOKUP(A52,'Classement Général'!$B$2:$B$146,1,0)</f>
        <v>#N/A</v>
      </c>
    </row>
    <row r="53" ht="14.25" customHeight="1">
      <c r="A53" s="118"/>
      <c r="B53" s="103">
        <v>52.0</v>
      </c>
      <c r="C53" s="183">
        <f t="shared" si="1"/>
        <v>-178.1975996</v>
      </c>
      <c r="D53" s="124" t="str">
        <f>VLOOKUP(A53,'Classement Surp'!$B$2:$B$149,1,0)</f>
        <v>#N/A</v>
      </c>
      <c r="E53" s="125" t="str">
        <f t="shared" si="2"/>
        <v>#N/A</v>
      </c>
      <c r="F53" s="120" t="str">
        <f>VLOOKUP(A53,'Classement Général'!$B$2:$B$146,1,0)</f>
        <v>#N/A</v>
      </c>
    </row>
    <row r="54" ht="14.25" customHeight="1">
      <c r="A54" s="118"/>
      <c r="B54" s="103">
        <v>53.0</v>
      </c>
      <c r="C54" s="183">
        <f t="shared" si="1"/>
        <v>-185.0619457</v>
      </c>
      <c r="D54" s="124" t="str">
        <f>VLOOKUP(A54,'Classement Surp'!$B$2:$B$149,1,0)</f>
        <v>#N/A</v>
      </c>
      <c r="E54" s="125" t="str">
        <f t="shared" si="2"/>
        <v>#N/A</v>
      </c>
      <c r="F54" s="120" t="str">
        <f>VLOOKUP(A54,'Classement Général'!$B$2:$B$146,1,0)</f>
        <v>#N/A</v>
      </c>
    </row>
    <row r="55" ht="14.25" customHeight="1">
      <c r="A55" s="118"/>
      <c r="B55" s="103">
        <v>54.0</v>
      </c>
      <c r="C55" s="183">
        <f t="shared" si="1"/>
        <v>-191.8741276</v>
      </c>
      <c r="D55" s="124" t="str">
        <f>VLOOKUP(A55,'Classement Surp'!$B$2:$B$149,1,0)</f>
        <v>#N/A</v>
      </c>
      <c r="E55" s="125" t="str">
        <f t="shared" si="2"/>
        <v>#N/A</v>
      </c>
      <c r="F55" s="120" t="str">
        <f>VLOOKUP(A55,'Classement Général'!$B$2:$B$146,1,0)</f>
        <v>#N/A</v>
      </c>
    </row>
    <row r="56" ht="14.25" customHeight="1">
      <c r="A56" s="118"/>
      <c r="B56" s="103">
        <v>55.0</v>
      </c>
      <c r="C56" s="183">
        <f t="shared" si="1"/>
        <v>-198.6358006</v>
      </c>
      <c r="D56" s="124" t="str">
        <f>VLOOKUP(A56,'Classement Surp'!$B$2:$B$149,1,0)</f>
        <v>#N/A</v>
      </c>
      <c r="E56" s="125" t="str">
        <f t="shared" si="2"/>
        <v>#N/A</v>
      </c>
      <c r="F56" s="120" t="str">
        <f>VLOOKUP(A56,'Classement Général'!$B$2:$B$146,1,0)</f>
        <v>#N/A</v>
      </c>
    </row>
    <row r="57" ht="14.25" customHeight="1">
      <c r="A57" s="118"/>
      <c r="B57" s="103">
        <v>56.0</v>
      </c>
      <c r="C57" s="183">
        <f t="shared" si="1"/>
        <v>-205.3485341</v>
      </c>
      <c r="D57" s="124" t="str">
        <f>VLOOKUP(A57,'Classement Surp'!$B$2:$B$149,1,0)</f>
        <v>#N/A</v>
      </c>
      <c r="E57" s="125" t="str">
        <f t="shared" si="2"/>
        <v>#N/A</v>
      </c>
      <c r="F57" s="120" t="str">
        <f>VLOOKUP(A57,'Classement Général'!$B$2:$B$146,1,0)</f>
        <v>#N/A</v>
      </c>
    </row>
    <row r="58" ht="14.25" customHeight="1">
      <c r="A58" s="118"/>
      <c r="B58" s="103">
        <v>57.0</v>
      </c>
      <c r="C58" s="183">
        <f t="shared" si="1"/>
        <v>-212.013818</v>
      </c>
      <c r="D58" s="124" t="str">
        <f>VLOOKUP(A58,'Classement Surp'!$B$2:$B$149,1,0)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18"/>
      <c r="B59" s="103">
        <v>58.0</v>
      </c>
      <c r="C59" s="183">
        <f t="shared" si="1"/>
        <v>-218.633068</v>
      </c>
      <c r="D59" s="124" t="str">
        <f>VLOOKUP(A59,'Classement Surp'!$B$2:$B$149,1,0)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18"/>
      <c r="B60" s="103">
        <v>59.0</v>
      </c>
      <c r="C60" s="183">
        <f t="shared" si="1"/>
        <v>-225.2076306</v>
      </c>
      <c r="D60" s="124" t="str">
        <f>VLOOKUP(A60,'Classement Surp'!$B$2:$B$149,1,0)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18"/>
      <c r="B61" s="103">
        <v>60.0</v>
      </c>
      <c r="C61" s="183">
        <f t="shared" si="1"/>
        <v>-231.7387877</v>
      </c>
      <c r="D61" s="124" t="str">
        <f>VLOOKUP(A61,'Classement Surp'!$B$2:$B$149,1,0)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18"/>
      <c r="B62" s="103">
        <v>61.0</v>
      </c>
      <c r="C62" s="183">
        <f t="shared" si="1"/>
        <v>-238.2277611</v>
      </c>
      <c r="D62" s="124" t="str">
        <f>VLOOKUP(A62,'Classement Surp'!$B$2:$B$149,1,0)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18"/>
      <c r="B63" s="103">
        <v>62.0</v>
      </c>
      <c r="C63" s="183">
        <f t="shared" si="1"/>
        <v>-244.6757155</v>
      </c>
      <c r="D63" s="124" t="str">
        <f>VLOOKUP(A63,'Classement Surp'!$B$2:$B$149,1,0)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18"/>
      <c r="B64" s="103">
        <v>63.0</v>
      </c>
      <c r="C64" s="183">
        <f t="shared" si="1"/>
        <v>-251.0837632</v>
      </c>
      <c r="D64" s="124" t="str">
        <f>VLOOKUP(A64,'Classement Surp'!$B$2:$B$149,1,0)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18"/>
      <c r="B65" s="103">
        <v>64.0</v>
      </c>
      <c r="C65" s="183">
        <f t="shared" si="1"/>
        <v>-257.4529665</v>
      </c>
      <c r="D65" s="124" t="str">
        <f>VLOOKUP(A65,'Classement Surp'!$B$2:$B$149,1,0)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18"/>
      <c r="B66" s="103">
        <v>65.0</v>
      </c>
      <c r="C66" s="183">
        <f t="shared" si="1"/>
        <v>-263.7843411</v>
      </c>
      <c r="D66" s="124" t="str">
        <f>VLOOKUP(A66,'Classement Surp'!$B$2:$B$149,1,0)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18"/>
      <c r="B67" s="103">
        <v>66.0</v>
      </c>
      <c r="C67" s="183">
        <f t="shared" si="1"/>
        <v>-270.0788587</v>
      </c>
      <c r="D67" s="124" t="str">
        <f>VLOOKUP(A67,'Classement Surp'!$B$2:$B$149,1,0)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18"/>
      <c r="B68" s="103">
        <v>67.0</v>
      </c>
      <c r="C68" s="183">
        <f t="shared" si="1"/>
        <v>-276.3374499</v>
      </c>
      <c r="D68" s="124" t="str">
        <f>VLOOKUP(A68,'Classement Surp'!$B$2:$B$149,1,0)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18"/>
      <c r="B69" s="103">
        <v>68.0</v>
      </c>
      <c r="C69" s="183">
        <f t="shared" si="1"/>
        <v>-282.5610062</v>
      </c>
      <c r="D69" s="124" t="str">
        <f>VLOOKUP(A69,'Classement Surp'!$B$2:$B$149,1,0)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18"/>
      <c r="B70" s="103">
        <v>69.0</v>
      </c>
      <c r="C70" s="183">
        <f t="shared" si="1"/>
        <v>-288.7503825</v>
      </c>
      <c r="D70" s="124" t="str">
        <f>VLOOKUP(A70,'Classement Surp'!$B$2:$B$149,1,0)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18"/>
      <c r="B71" s="103">
        <v>70.0</v>
      </c>
      <c r="C71" s="183">
        <f t="shared" si="1"/>
        <v>-294.9063991</v>
      </c>
      <c r="D71" s="124" t="str">
        <f>VLOOKUP(A71,'Classement Surp'!$B$2:$B$149,1,0)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18"/>
      <c r="B72" s="103">
        <v>71.0</v>
      </c>
      <c r="C72" s="183">
        <f t="shared" si="1"/>
        <v>-301.0298435</v>
      </c>
      <c r="D72" s="124" t="str">
        <f>VLOOKUP(A72,'Classement Surp'!$B$2:$B$149,1,0)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18"/>
      <c r="B73" s="103">
        <v>72.0</v>
      </c>
      <c r="C73" s="183">
        <f t="shared" si="1"/>
        <v>-307.1214723</v>
      </c>
      <c r="D73" s="124" t="str">
        <f>VLOOKUP(A73,'Classement Surp'!$B$2:$B$149,1,0)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18"/>
      <c r="B74" s="103">
        <v>73.0</v>
      </c>
      <c r="C74" s="183">
        <f t="shared" si="1"/>
        <v>-313.1820128</v>
      </c>
      <c r="D74" s="124" t="str">
        <f>VLOOKUP(A74,'Classement Surp'!$B$2:$B$149,1,0)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18"/>
      <c r="B75" s="103">
        <v>74.0</v>
      </c>
      <c r="C75" s="183">
        <f t="shared" si="1"/>
        <v>-319.2121648</v>
      </c>
      <c r="D75" s="124" t="str">
        <f>VLOOKUP(A75,'Classement Surp'!$B$2:$B$149,1,0)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18"/>
      <c r="B76" s="103">
        <v>75.0</v>
      </c>
      <c r="C76" s="183">
        <f t="shared" si="1"/>
        <v>-325.2126014</v>
      </c>
      <c r="D76" s="124" t="str">
        <f>VLOOKUP(A76,'Classement Surp'!$B$2:$B$149,1,0)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18"/>
      <c r="B77" s="103">
        <v>76.0</v>
      </c>
      <c r="C77" s="183">
        <f t="shared" si="1"/>
        <v>-331.1839712</v>
      </c>
      <c r="D77" s="124" t="str">
        <f>VLOOKUP(A77,'Classement Surp'!$B$2:$B$149,1,0)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18"/>
      <c r="B78" s="103">
        <v>77.0</v>
      </c>
      <c r="C78" s="183">
        <f t="shared" si="1"/>
        <v>-337.1268989</v>
      </c>
      <c r="D78" s="124" t="str">
        <f>VLOOKUP(A78,'Classement Surp'!$B$2:$B$149,1,0)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18"/>
      <c r="B79" s="103">
        <v>78.0</v>
      </c>
      <c r="C79" s="183">
        <f t="shared" si="1"/>
        <v>-343.0419867</v>
      </c>
      <c r="D79" s="124" t="str">
        <f>VLOOKUP(A79,'Classement Surp'!$B$2:$B$149,1,0)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18"/>
      <c r="B80" s="103">
        <v>79.0</v>
      </c>
      <c r="C80" s="183">
        <f t="shared" si="1"/>
        <v>-348.9298157</v>
      </c>
      <c r="D80" s="124" t="str">
        <f>VLOOKUP(A80,'Classement Surp'!$B$2:$B$149,1,0)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18"/>
      <c r="B81" s="103">
        <v>80.0</v>
      </c>
      <c r="C81" s="183">
        <f t="shared" si="1"/>
        <v>-354.7909464</v>
      </c>
      <c r="D81" s="124" t="str">
        <f>VLOOKUP(A81,'Classement Surp'!$B$2:$B$149,1,0)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18"/>
      <c r="B82" s="103">
        <v>81.0</v>
      </c>
      <c r="C82" s="183">
        <f t="shared" si="1"/>
        <v>-360.62592</v>
      </c>
      <c r="D82" s="124" t="str">
        <f>VLOOKUP(A82,'Classement Surp'!$B$2:$B$149,1,0)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18"/>
      <c r="B83" s="103">
        <v>82.0</v>
      </c>
      <c r="C83" s="183">
        <f t="shared" si="1"/>
        <v>-366.4352594</v>
      </c>
      <c r="D83" s="124" t="str">
        <f>VLOOKUP(A83,'Classement Surp'!$B$2:$B$149,1,0)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18"/>
      <c r="B84" s="103">
        <v>83.0</v>
      </c>
      <c r="C84" s="183">
        <f t="shared" si="1"/>
        <v>-372.2194699</v>
      </c>
      <c r="D84" s="124" t="str">
        <f>VLOOKUP(A84,'Classement Surp'!$B$2:$B$149,1,0)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18"/>
      <c r="B85" s="103">
        <v>84.0</v>
      </c>
      <c r="C85" s="183">
        <f t="shared" si="1"/>
        <v>-377.9790399</v>
      </c>
      <c r="D85" s="124" t="str">
        <f>VLOOKUP(A85,'Classement Surp'!$B$2:$B$149,1,0)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18"/>
      <c r="B86" s="103">
        <v>85.0</v>
      </c>
      <c r="C86" s="183">
        <f t="shared" si="1"/>
        <v>-383.7144419</v>
      </c>
      <c r="D86" s="124" t="str">
        <f>VLOOKUP(A86,'Classement Surp'!$B$2:$B$149,1,0)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18"/>
      <c r="B87" s="103">
        <v>86.0</v>
      </c>
      <c r="C87" s="183">
        <f t="shared" si="1"/>
        <v>-389.4261333</v>
      </c>
      <c r="D87" s="124" t="str">
        <f>VLOOKUP(A87,'Classement Surp'!$B$2:$B$149,1,0)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18"/>
      <c r="B88" s="103">
        <v>87.0</v>
      </c>
      <c r="C88" s="183">
        <f t="shared" si="1"/>
        <v>-395.1145565</v>
      </c>
      <c r="D88" s="124" t="str">
        <f>VLOOKUP(A88,'Classement Surp'!$B$2:$B$149,1,0)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18"/>
      <c r="B89" s="103">
        <v>88.0</v>
      </c>
      <c r="C89" s="183">
        <f t="shared" si="1"/>
        <v>-400.7801405</v>
      </c>
      <c r="D89" s="124" t="str">
        <f>VLOOKUP(A89,'Classement Surp'!$B$2:$B$149,1,0)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18"/>
      <c r="B90" s="103">
        <v>89.0</v>
      </c>
      <c r="C90" s="183">
        <f t="shared" si="1"/>
        <v>-406.4233004</v>
      </c>
      <c r="D90" s="124" t="str">
        <f>VLOOKUP(A90,'Classement Surp'!$B$2:$B$149,1,0)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18"/>
      <c r="B91" s="103">
        <v>90.0</v>
      </c>
      <c r="C91" s="183">
        <f t="shared" si="1"/>
        <v>-412.044439</v>
      </c>
      <c r="D91" s="124" t="str">
        <f>VLOOKUP(A91,'Classement Surp'!$B$2:$B$149,1,0)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18"/>
      <c r="B92" s="103">
        <v>91.0</v>
      </c>
      <c r="C92" s="183">
        <f t="shared" si="1"/>
        <v>-417.6439465</v>
      </c>
      <c r="D92" s="124" t="str">
        <f>VLOOKUP(A92,'Classement Surp'!$B$2:$B$149,1,0)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18"/>
      <c r="B93" s="103">
        <v>92.0</v>
      </c>
      <c r="C93" s="183">
        <f t="shared" si="1"/>
        <v>-423.2222017</v>
      </c>
      <c r="D93" s="124" t="str">
        <f>VLOOKUP(A93,'Classement Surp'!$B$2:$B$149,1,0)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18"/>
      <c r="B94" s="103">
        <v>93.0</v>
      </c>
      <c r="C94" s="183">
        <f t="shared" si="1"/>
        <v>-428.779572</v>
      </c>
      <c r="D94" s="124" t="str">
        <f>VLOOKUP(A94,'Classement Surp'!$B$2:$B$149,1,0)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18"/>
      <c r="B95" s="103">
        <v>94.0</v>
      </c>
      <c r="C95" s="183">
        <f t="shared" si="1"/>
        <v>-434.3164139</v>
      </c>
      <c r="D95" s="124" t="str">
        <f>VLOOKUP(A95,'Classement Surp'!$B$2:$B$149,1,0)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18"/>
      <c r="B96" s="103">
        <v>95.0</v>
      </c>
      <c r="C96" s="183">
        <f t="shared" si="1"/>
        <v>-439.833074</v>
      </c>
      <c r="D96" s="124" t="str">
        <f>VLOOKUP(A96,'Classement Surp'!$B$2:$B$149,1,0)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18"/>
      <c r="B97" s="103">
        <v>96.0</v>
      </c>
      <c r="C97" s="183">
        <f t="shared" si="1"/>
        <v>-445.3298885</v>
      </c>
      <c r="D97" s="124" t="str">
        <f>VLOOKUP(A97,'Classement Surp'!$B$2:$B$149,1,0)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18"/>
      <c r="B98" s="103">
        <v>97.0</v>
      </c>
      <c r="C98" s="183">
        <f t="shared" si="1"/>
        <v>-450.8071844</v>
      </c>
      <c r="D98" s="124" t="str">
        <f>VLOOKUP(A98,'Classement Surp'!$B$2:$B$149,1,0)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18"/>
      <c r="B99" s="103">
        <v>98.0</v>
      </c>
      <c r="C99" s="183">
        <f t="shared" si="1"/>
        <v>-456.2652794</v>
      </c>
      <c r="D99" s="124" t="str">
        <f>VLOOKUP(A99,'Classement Surp'!$B$2:$B$149,1,0)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18"/>
      <c r="B100" s="103">
        <v>99.0</v>
      </c>
      <c r="C100" s="183">
        <f t="shared" si="1"/>
        <v>-461.7044824</v>
      </c>
      <c r="D100" s="124" t="str">
        <f>VLOOKUP(A100,'Classement Surp'!$B$2:$B$149,1,0)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18"/>
      <c r="B101" s="103">
        <v>100.0</v>
      </c>
      <c r="C101" s="183">
        <f t="shared" si="1"/>
        <v>-467.125094</v>
      </c>
      <c r="D101" s="124" t="str">
        <f>VLOOKUP(A101,'Classement Surp'!$B$2:$B$149,1,0)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18"/>
      <c r="B102" s="103">
        <v>101.0</v>
      </c>
      <c r="C102" s="183">
        <f t="shared" si="1"/>
        <v>-472.5274065</v>
      </c>
      <c r="D102" s="124" t="str">
        <f>VLOOKUP(A102,'Classement Surp'!$B$2:$B$149,1,0)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18"/>
      <c r="B103" s="103">
        <v>102.0</v>
      </c>
      <c r="C103" s="183">
        <f t="shared" si="1"/>
        <v>-477.9117043</v>
      </c>
      <c r="D103" s="124" t="str">
        <f>VLOOKUP(A103,'Classement Surp'!$B$2:$B$149,1,0)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18"/>
      <c r="B104" s="103">
        <v>103.0</v>
      </c>
      <c r="C104" s="183">
        <f t="shared" si="1"/>
        <v>-483.2782645</v>
      </c>
      <c r="D104" s="124" t="str">
        <f>VLOOKUP(A104,'Classement Surp'!$B$2:$B$149,1,0)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18"/>
      <c r="B105" s="103">
        <v>104.0</v>
      </c>
      <c r="C105" s="183">
        <f t="shared" si="1"/>
        <v>-488.6273567</v>
      </c>
      <c r="D105" s="124" t="str">
        <f>VLOOKUP(A105,'Classement Surp'!$B$2:$B$149,1,0)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18"/>
      <c r="B106" s="103">
        <v>105.0</v>
      </c>
      <c r="C106" s="183">
        <f t="shared" si="1"/>
        <v>-493.9592438</v>
      </c>
      <c r="D106" s="124" t="str">
        <f>VLOOKUP(A106,'Classement Surp'!$B$2:$B$149,1,0)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18"/>
      <c r="B107" s="103">
        <v>106.0</v>
      </c>
      <c r="C107" s="183">
        <f t="shared" si="1"/>
        <v>-499.2741815</v>
      </c>
      <c r="D107" s="124" t="str">
        <f>VLOOKUP(A107,'Classement Surp'!$B$2:$B$149,1,0)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18"/>
      <c r="B108" s="103">
        <v>107.0</v>
      </c>
      <c r="C108" s="183">
        <f t="shared" si="1"/>
        <v>-504.5724195</v>
      </c>
      <c r="D108" s="124" t="str">
        <f>VLOOKUP(A108,'Classement Surp'!$B$2:$B$149,1,0)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18"/>
      <c r="B109" s="103">
        <v>108.0</v>
      </c>
      <c r="C109" s="183">
        <f t="shared" si="1"/>
        <v>-509.8542009</v>
      </c>
      <c r="D109" s="124" t="str">
        <f>VLOOKUP(A109,'Classement Surp'!$B$2:$B$149,1,0)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18"/>
      <c r="B110" s="103">
        <v>109.0</v>
      </c>
      <c r="C110" s="183">
        <f t="shared" si="1"/>
        <v>-515.1197627</v>
      </c>
      <c r="D110" s="124" t="str">
        <f>VLOOKUP(A110,'Classement Surp'!$B$2:$B$149,1,0)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18"/>
      <c r="B111" s="103">
        <v>110.0</v>
      </c>
      <c r="C111" s="183">
        <f t="shared" si="1"/>
        <v>-520.3693364</v>
      </c>
      <c r="D111" s="124" t="str">
        <f>VLOOKUP(A111,'Classement Surp'!$B$2:$B$149,1,0)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18"/>
      <c r="B112" s="103">
        <v>111.0</v>
      </c>
      <c r="C112" s="183">
        <f t="shared" si="1"/>
        <v>-525.6031475</v>
      </c>
      <c r="D112" s="124" t="str">
        <f>VLOOKUP(A112,'Classement Surp'!$B$2:$B$149,1,0)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18"/>
      <c r="B113" s="103">
        <v>112.0</v>
      </c>
      <c r="C113" s="183">
        <f t="shared" si="1"/>
        <v>-530.8214161</v>
      </c>
      <c r="D113" s="124" t="str">
        <f>VLOOKUP(A113,'Classement Surp'!$B$2:$B$149,1,0)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18"/>
      <c r="B114" s="103">
        <v>113.0</v>
      </c>
      <c r="C114" s="183">
        <f t="shared" si="1"/>
        <v>-536.0243573</v>
      </c>
      <c r="D114" s="124" t="str">
        <f>VLOOKUP(A114,'Classement Surp'!$B$2:$B$149,1,0)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18"/>
      <c r="B115" s="103">
        <v>114.0</v>
      </c>
      <c r="C115" s="183">
        <f t="shared" si="1"/>
        <v>-541.2121807</v>
      </c>
      <c r="D115" s="124" t="str">
        <f>VLOOKUP(A115,'Classement Surp'!$B$2:$B$149,1,0)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18"/>
      <c r="B116" s="103">
        <v>115.0</v>
      </c>
      <c r="C116" s="183">
        <f t="shared" si="1"/>
        <v>-546.3850914</v>
      </c>
      <c r="D116" s="124" t="str">
        <f>VLOOKUP(A116,'Classement Surp'!$B$2:$B$149,1,0)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18"/>
      <c r="B117" s="103">
        <v>116.0</v>
      </c>
      <c r="C117" s="183">
        <f t="shared" si="1"/>
        <v>-551.5432893</v>
      </c>
      <c r="D117" s="124" t="str">
        <f>VLOOKUP(A117,'Classement Surp'!$B$2:$B$149,1,0)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18"/>
      <c r="B118" s="103">
        <v>117.0</v>
      </c>
      <c r="C118" s="183">
        <f t="shared" si="1"/>
        <v>-556.6869701</v>
      </c>
      <c r="D118" s="124" t="str">
        <f>VLOOKUP(A118,'Classement Surp'!$B$2:$B$149,1,0)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18"/>
      <c r="B119" s="103">
        <v>118.0</v>
      </c>
      <c r="C119" s="183">
        <f t="shared" si="1"/>
        <v>-561.8163247</v>
      </c>
      <c r="D119" s="124" t="str">
        <f>VLOOKUP(A119,'Classement Surp'!$B$2:$B$149,1,0)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18"/>
      <c r="B120" s="103">
        <v>119.0</v>
      </c>
      <c r="C120" s="183">
        <f t="shared" si="1"/>
        <v>-566.9315399</v>
      </c>
      <c r="D120" s="124" t="str">
        <f>VLOOKUP(A120,'Classement Surp'!$B$2:$B$149,1,0)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18"/>
      <c r="B121" s="103">
        <v>120.0</v>
      </c>
      <c r="C121" s="183">
        <f t="shared" si="1"/>
        <v>-572.0327983</v>
      </c>
      <c r="D121" s="124" t="str">
        <f>VLOOKUP(A121,'Classement Surp'!$B$2:$B$149,1,0)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18"/>
      <c r="B122" s="103">
        <v>121.0</v>
      </c>
      <c r="C122" s="183">
        <f t="shared" si="1"/>
        <v>-577.1202782</v>
      </c>
      <c r="D122" s="124" t="str">
        <f>VLOOKUP(A122,'Classement Surp'!$B$2:$B$149,1,0)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18"/>
      <c r="B123" s="103">
        <v>122.0</v>
      </c>
      <c r="C123" s="183">
        <f t="shared" si="1"/>
        <v>-582.1941543</v>
      </c>
      <c r="D123" s="124" t="str">
        <f>VLOOKUP(A123,'Classement Surp'!$B$2:$B$149,1,0)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18"/>
      <c r="B124" s="103">
        <v>123.0</v>
      </c>
      <c r="C124" s="183">
        <f t="shared" si="1"/>
        <v>-587.2545973</v>
      </c>
      <c r="D124" s="124" t="str">
        <f>VLOOKUP(A124,'Classement Surp'!$B$2:$B$149,1,0)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18"/>
      <c r="B125" s="103">
        <v>124.0</v>
      </c>
      <c r="C125" s="183">
        <f t="shared" si="1"/>
        <v>-592.3017742</v>
      </c>
      <c r="D125" s="124" t="str">
        <f>VLOOKUP(A125,'Classement Surp'!$B$2:$B$149,1,0)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18"/>
      <c r="B126" s="103">
        <v>125.0</v>
      </c>
      <c r="C126" s="183">
        <f t="shared" si="1"/>
        <v>-597.3358486</v>
      </c>
      <c r="D126" s="124" t="str">
        <f>VLOOKUP(A126,'Classement Surp'!$B$2:$B$149,1,0)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18"/>
      <c r="B127" s="103">
        <v>126.0</v>
      </c>
      <c r="C127" s="183">
        <f t="shared" si="1"/>
        <v>-602.3569804</v>
      </c>
      <c r="D127" s="124" t="str">
        <f>VLOOKUP(A127,'Classement Surp'!$B$2:$B$149,1,0)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18"/>
      <c r="B128" s="103">
        <v>127.0</v>
      </c>
      <c r="C128" s="183">
        <f t="shared" si="1"/>
        <v>-607.3653263</v>
      </c>
      <c r="D128" s="124" t="str">
        <f>VLOOKUP(A128,'Classement Surp'!$B$2:$B$149,1,0)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18"/>
      <c r="B129" s="103">
        <v>128.0</v>
      </c>
      <c r="C129" s="183">
        <f t="shared" si="1"/>
        <v>-612.3610397</v>
      </c>
      <c r="D129" s="124" t="str">
        <f>VLOOKUP(A129,'Classement Surp'!$B$2:$B$149,1,0)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18"/>
      <c r="B130" s="103">
        <v>129.0</v>
      </c>
      <c r="C130" s="183">
        <f t="shared" si="1"/>
        <v>-617.3442707</v>
      </c>
      <c r="D130" s="124" t="str">
        <f>VLOOKUP(A130,'Classement Surp'!$B$2:$B$149,1,0)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18"/>
      <c r="B131" s="103">
        <v>130.0</v>
      </c>
      <c r="C131" s="183">
        <f t="shared" si="1"/>
        <v>-622.3151664</v>
      </c>
      <c r="D131" s="124" t="str">
        <f>VLOOKUP(A131,'Classement Surp'!$B$2:$B$149,1,0)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18"/>
      <c r="B132" s="103">
        <v>131.0</v>
      </c>
      <c r="C132" s="183">
        <f t="shared" si="1"/>
        <v>-627.2738709</v>
      </c>
      <c r="D132" s="124" t="str">
        <f>VLOOKUP(A132,'Classement Surp'!$B$2:$B$149,1,0)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18"/>
      <c r="B133" s="103">
        <v>132.0</v>
      </c>
      <c r="C133" s="183">
        <f t="shared" si="1"/>
        <v>-632.2205255</v>
      </c>
      <c r="D133" s="124" t="str">
        <f>VLOOKUP(A133,'Classement Surp'!$B$2:$B$149,1,0)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18"/>
      <c r="B134" s="103">
        <v>133.0</v>
      </c>
      <c r="C134" s="183">
        <f t="shared" si="1"/>
        <v>-637.1552686</v>
      </c>
      <c r="D134" s="124" t="str">
        <f>VLOOKUP(A134,'Classement Surp'!$B$2:$B$149,1,0)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18"/>
      <c r="B135" s="103">
        <v>134.0</v>
      </c>
      <c r="C135" s="183">
        <f t="shared" si="1"/>
        <v>-642.0782357</v>
      </c>
      <c r="D135" s="124" t="str">
        <f>VLOOKUP(A135,'Classement Surp'!$B$2:$B$149,1,0)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18"/>
      <c r="B136" s="103">
        <v>135.0</v>
      </c>
      <c r="C136" s="183">
        <f t="shared" si="1"/>
        <v>-646.9895598</v>
      </c>
      <c r="D136" s="124" t="str">
        <f>VLOOKUP(A136,'Classement Surp'!$B$2:$B$149,1,0)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18"/>
      <c r="B137" s="103">
        <v>136.0</v>
      </c>
      <c r="C137" s="183">
        <f t="shared" si="1"/>
        <v>-651.8893713</v>
      </c>
      <c r="D137" s="124" t="str">
        <f>VLOOKUP(A137,'Classement Surp'!$B$2:$B$149,1,0)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18"/>
      <c r="B138" s="103">
        <v>137.0</v>
      </c>
      <c r="C138" s="183">
        <f t="shared" si="1"/>
        <v>-656.7777979</v>
      </c>
      <c r="D138" s="124" t="str">
        <f>VLOOKUP(A138,'Classement Surp'!$B$2:$B$149,1,0)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18"/>
      <c r="B139" s="103">
        <v>138.0</v>
      </c>
      <c r="C139" s="183">
        <f t="shared" si="1"/>
        <v>-661.6549652</v>
      </c>
      <c r="D139" s="124" t="str">
        <f>VLOOKUP(A139,'Classement Surp'!$B$2:$B$149,1,0)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18"/>
      <c r="B140" s="103">
        <v>139.0</v>
      </c>
      <c r="C140" s="183">
        <f t="shared" si="1"/>
        <v>-666.520996</v>
      </c>
      <c r="D140" s="124" t="str">
        <f>VLOOKUP(A140,'Classement Surp'!$B$2:$B$149,1,0)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18"/>
      <c r="B141" s="103">
        <v>140.0</v>
      </c>
      <c r="C141" s="183">
        <f t="shared" si="1"/>
        <v>-671.3760111</v>
      </c>
      <c r="D141" s="124" t="str">
        <f>VLOOKUP(A141,'Classement Surp'!$B$2:$B$149,1,0)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18"/>
      <c r="B142" s="103">
        <v>141.0</v>
      </c>
      <c r="C142" s="183">
        <f t="shared" si="1"/>
        <v>-676.2201287</v>
      </c>
      <c r="D142" s="124" t="str">
        <f>VLOOKUP(A142,'Classement Surp'!$B$2:$B$149,1,0)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18"/>
      <c r="B143" s="103">
        <v>142.0</v>
      </c>
      <c r="C143" s="183">
        <f t="shared" si="1"/>
        <v>-681.0534652</v>
      </c>
      <c r="D143" s="124" t="str">
        <f>VLOOKUP(A143,'Classement Surp'!$B$2:$B$149,1,0)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18"/>
      <c r="B144" s="103">
        <v>143.0</v>
      </c>
      <c r="C144" s="183">
        <f t="shared" si="1"/>
        <v>-685.8761344</v>
      </c>
      <c r="D144" s="124" t="str">
        <f>VLOOKUP(A144,'Classement Surp'!$B$2:$B$149,1,0)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18"/>
      <c r="B145" s="103">
        <v>144.0</v>
      </c>
      <c r="C145" s="183">
        <f t="shared" si="1"/>
        <v>-690.6882485</v>
      </c>
      <c r="D145" s="124" t="str">
        <f>VLOOKUP(A145,'Classement Surp'!$B$2:$B$149,1,0)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18"/>
      <c r="B146" s="103">
        <v>145.0</v>
      </c>
      <c r="C146" s="183">
        <f t="shared" si="1"/>
        <v>-695.4899172</v>
      </c>
      <c r="D146" s="124" t="str">
        <f>VLOOKUP(A146,'Classement Surp'!$B$2:$B$149,1,0)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18"/>
      <c r="B147" s="103">
        <v>146.0</v>
      </c>
      <c r="C147" s="183">
        <f t="shared" si="1"/>
        <v>-700.2812485</v>
      </c>
      <c r="D147" s="124" t="str">
        <f>VLOOKUP(A147,'Classement Surp'!$B$2:$B$149,1,0)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18"/>
      <c r="B148" s="103">
        <v>147.0</v>
      </c>
      <c r="C148" s="183">
        <f t="shared" si="1"/>
        <v>-705.0623484</v>
      </c>
      <c r="D148" s="124" t="str">
        <f>VLOOKUP(A148,'Classement Surp'!$B$2:$B$149,1,0)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18"/>
      <c r="B149" s="103">
        <v>148.0</v>
      </c>
      <c r="C149" s="183">
        <f t="shared" si="1"/>
        <v>-709.8333209</v>
      </c>
      <c r="D149" s="124" t="str">
        <f>VLOOKUP(A149,'Classement Surp'!$B$2:$B$149,1,0)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18"/>
      <c r="B150" s="103">
        <v>149.0</v>
      </c>
      <c r="C150" s="183">
        <f t="shared" si="1"/>
        <v>-714.5942684</v>
      </c>
      <c r="D150" s="124" t="str">
        <f>VLOOKUP(A150,'Classement Surp'!$B$2:$B$149,1,0)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18"/>
      <c r="B151" s="103">
        <v>150.0</v>
      </c>
      <c r="C151" s="183">
        <f t="shared" si="1"/>
        <v>-719.3452912</v>
      </c>
      <c r="D151" s="124" t="str">
        <f>VLOOKUP(A151,'Classement Surp'!$B$2:$B$149,1,0)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18"/>
      <c r="B152" s="103">
        <v>151.0</v>
      </c>
      <c r="C152" s="183">
        <f t="shared" si="1"/>
        <v>-724.0864882</v>
      </c>
      <c r="D152" s="124" t="str">
        <f>VLOOKUP(A152,'Classement Surp'!$B$2:$B$149,1,0)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18"/>
      <c r="B153" s="103">
        <v>152.0</v>
      </c>
      <c r="C153" s="183">
        <f t="shared" si="1"/>
        <v>-728.8179562</v>
      </c>
      <c r="D153" s="124" t="str">
        <f>VLOOKUP(A153,'Classement Surp'!$B$2:$B$149,1,0)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18"/>
      <c r="B154" s="103">
        <v>153.0</v>
      </c>
      <c r="C154" s="183">
        <f t="shared" si="1"/>
        <v>-733.5397907</v>
      </c>
      <c r="D154" s="124" t="str">
        <f>VLOOKUP(A154,'Classement Surp'!$B$2:$B$149,1,0)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18"/>
      <c r="B155" s="103">
        <v>154.0</v>
      </c>
      <c r="C155" s="183">
        <f t="shared" si="1"/>
        <v>-738.2520853</v>
      </c>
      <c r="D155" s="124" t="str">
        <f>VLOOKUP(A155,'Classement Surp'!$B$2:$B$149,1,0)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18"/>
      <c r="B156" s="103">
        <v>155.0</v>
      </c>
      <c r="C156" s="183">
        <f t="shared" si="1"/>
        <v>-742.9549321</v>
      </c>
      <c r="D156" s="124" t="str">
        <f>VLOOKUP(A156,'Classement Surp'!$B$2:$B$149,1,0)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18"/>
      <c r="B157" s="103">
        <v>156.0</v>
      </c>
      <c r="C157" s="183">
        <f t="shared" si="1"/>
        <v>-747.6484218</v>
      </c>
      <c r="D157" s="124" t="str">
        <f>VLOOKUP(A157,'Classement Surp'!$B$2:$B$149,1,0)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18"/>
      <c r="B158" s="103">
        <v>157.0</v>
      </c>
      <c r="C158" s="183">
        <f t="shared" si="1"/>
        <v>-752.3326434</v>
      </c>
      <c r="D158" s="124" t="str">
        <f>VLOOKUP(A158,'Classement Surp'!$B$2:$B$149,1,0)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18"/>
      <c r="B159" s="103">
        <v>158.0</v>
      </c>
      <c r="C159" s="183">
        <f t="shared" si="1"/>
        <v>-757.0076845</v>
      </c>
      <c r="D159" s="124" t="str">
        <f>VLOOKUP(A159,'Classement Surp'!$B$2:$B$149,1,0)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18"/>
      <c r="B160" s="103">
        <v>159.0</v>
      </c>
      <c r="C160" s="183">
        <f t="shared" si="1"/>
        <v>-761.6736312</v>
      </c>
      <c r="D160" s="124" t="str">
        <f>VLOOKUP(A160,'Classement Surp'!$B$2:$B$149,1,0)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84"/>
      <c r="B161" s="185">
        <v>160.0</v>
      </c>
      <c r="C161" s="186">
        <f t="shared" si="1"/>
        <v>-766.3305683</v>
      </c>
      <c r="D161" s="124" t="str">
        <f>VLOOKUP(A161,'Classement Surp'!$B$2:$B$149,1,0)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A162" s="187"/>
      <c r="B162" s="128"/>
    </row>
    <row r="163" ht="14.25" customHeight="1">
      <c r="A163" s="187"/>
      <c r="B163" s="128"/>
    </row>
    <row r="164" ht="14.25" customHeight="1">
      <c r="A164" s="187"/>
      <c r="B164" s="128"/>
    </row>
    <row r="165" ht="14.25" customHeight="1">
      <c r="A165" s="187"/>
      <c r="B165" s="128"/>
    </row>
    <row r="166" ht="14.25" customHeight="1">
      <c r="A166" s="187"/>
      <c r="B166" s="128"/>
    </row>
    <row r="167" ht="14.25" customHeight="1">
      <c r="A167" s="187"/>
      <c r="B167" s="128"/>
    </row>
    <row r="168" ht="14.25" customHeight="1">
      <c r="A168" s="187"/>
      <c r="B168" s="128"/>
    </row>
    <row r="169" ht="14.25" customHeight="1">
      <c r="A169" s="187"/>
      <c r="B169" s="128"/>
    </row>
    <row r="170" ht="14.25" customHeight="1">
      <c r="A170" s="187"/>
      <c r="B170" s="128"/>
    </row>
    <row r="171" ht="14.25" customHeight="1">
      <c r="A171" s="187"/>
      <c r="B171" s="128"/>
    </row>
    <row r="172" ht="14.25" customHeight="1">
      <c r="A172" s="187"/>
      <c r="B172" s="128"/>
    </row>
    <row r="173" ht="14.25" customHeight="1">
      <c r="A173" s="187"/>
      <c r="B173" s="128"/>
    </row>
    <row r="174" ht="14.25" customHeight="1">
      <c r="A174" s="187"/>
      <c r="B174" s="128"/>
    </row>
    <row r="175" ht="14.25" customHeight="1">
      <c r="A175" s="187"/>
      <c r="B175" s="128"/>
    </row>
    <row r="176" ht="14.25" customHeight="1">
      <c r="A176" s="187"/>
      <c r="B176" s="128"/>
    </row>
    <row r="177" ht="14.25" customHeight="1">
      <c r="A177" s="187"/>
      <c r="B177" s="128"/>
    </row>
    <row r="178" ht="14.25" customHeight="1">
      <c r="A178" s="187"/>
      <c r="B178" s="128"/>
    </row>
    <row r="179" ht="14.25" customHeight="1">
      <c r="A179" s="187"/>
      <c r="B179" s="128"/>
    </row>
    <row r="180" ht="14.25" customHeight="1">
      <c r="A180" s="187"/>
      <c r="B180" s="128"/>
    </row>
    <row r="181" ht="14.25" customHeight="1">
      <c r="A181" s="187"/>
      <c r="B181" s="128"/>
    </row>
    <row r="182" ht="14.25" customHeight="1">
      <c r="A182" s="187"/>
      <c r="B182" s="128"/>
    </row>
    <row r="183" ht="14.25" customHeight="1">
      <c r="A183" s="187"/>
      <c r="B183" s="128"/>
    </row>
    <row r="184" ht="14.25" customHeight="1">
      <c r="A184" s="187"/>
      <c r="B184" s="128"/>
    </row>
    <row r="185" ht="14.25" customHeight="1">
      <c r="A185" s="187"/>
      <c r="B185" s="128"/>
    </row>
    <row r="186" ht="14.25" customHeight="1">
      <c r="A186" s="187"/>
      <c r="B186" s="128"/>
    </row>
    <row r="187" ht="14.25" customHeight="1">
      <c r="A187" s="187"/>
      <c r="B187" s="128"/>
    </row>
    <row r="188" ht="14.25" customHeight="1">
      <c r="A188" s="187"/>
      <c r="B188" s="128"/>
    </row>
    <row r="189" ht="14.25" customHeight="1">
      <c r="A189" s="187"/>
      <c r="B189" s="128"/>
    </row>
    <row r="190" ht="14.25" customHeight="1">
      <c r="A190" s="187"/>
      <c r="B190" s="128"/>
    </row>
    <row r="191" ht="14.25" customHeight="1">
      <c r="A191" s="187"/>
      <c r="B191" s="128"/>
    </row>
    <row r="192" ht="14.25" customHeight="1">
      <c r="A192" s="187"/>
      <c r="B192" s="128"/>
    </row>
    <row r="193" ht="14.25" customHeight="1">
      <c r="A193" s="187"/>
      <c r="B193" s="128"/>
    </row>
    <row r="194" ht="14.25" customHeight="1">
      <c r="A194" s="187"/>
      <c r="B194" s="128"/>
    </row>
    <row r="195" ht="14.25" customHeight="1">
      <c r="A195" s="187"/>
      <c r="B195" s="128"/>
    </row>
    <row r="196" ht="14.25" customHeight="1">
      <c r="A196" s="187"/>
      <c r="B196" s="128"/>
    </row>
    <row r="197" ht="14.25" customHeight="1">
      <c r="A197" s="187"/>
      <c r="B197" s="128"/>
    </row>
    <row r="198" ht="14.25" customHeight="1">
      <c r="A198" s="187"/>
      <c r="B198" s="128"/>
    </row>
    <row r="199" ht="14.25" customHeight="1">
      <c r="A199" s="187"/>
      <c r="B199" s="128"/>
    </row>
    <row r="200" ht="14.25" customHeight="1">
      <c r="A200" s="187"/>
      <c r="B200" s="128"/>
    </row>
    <row r="201" ht="14.25" customHeight="1">
      <c r="A201" s="187"/>
      <c r="B201" s="128"/>
    </row>
    <row r="202" ht="14.25" customHeight="1">
      <c r="A202" s="187"/>
      <c r="B202" s="128"/>
    </row>
    <row r="203" ht="14.25" customHeight="1">
      <c r="A203" s="187"/>
      <c r="B203" s="128"/>
    </row>
    <row r="204" ht="14.25" customHeight="1">
      <c r="A204" s="187"/>
      <c r="B204" s="128"/>
    </row>
    <row r="205" ht="14.25" customHeight="1">
      <c r="A205" s="187"/>
      <c r="B205" s="128"/>
    </row>
    <row r="206" ht="14.25" customHeight="1">
      <c r="A206" s="187"/>
      <c r="B206" s="128"/>
    </row>
    <row r="207" ht="14.25" customHeight="1">
      <c r="A207" s="187"/>
      <c r="B207" s="128"/>
    </row>
    <row r="208" ht="14.25" customHeight="1">
      <c r="A208" s="187"/>
      <c r="B208" s="128"/>
    </row>
    <row r="209" ht="14.25" customHeight="1">
      <c r="A209" s="187"/>
      <c r="B209" s="128"/>
    </row>
    <row r="210" ht="14.25" customHeight="1">
      <c r="A210" s="187"/>
      <c r="B210" s="128"/>
    </row>
    <row r="211" ht="14.25" customHeight="1">
      <c r="A211" s="187"/>
      <c r="B211" s="128"/>
    </row>
    <row r="212" ht="14.25" customHeight="1">
      <c r="A212" s="187"/>
      <c r="B212" s="128"/>
    </row>
    <row r="213" ht="14.25" customHeight="1">
      <c r="A213" s="187"/>
      <c r="B213" s="128"/>
    </row>
    <row r="214" ht="14.25" customHeight="1">
      <c r="A214" s="187"/>
      <c r="B214" s="128"/>
    </row>
    <row r="215" ht="14.25" customHeight="1">
      <c r="A215" s="187"/>
      <c r="B215" s="128"/>
    </row>
    <row r="216" ht="14.25" customHeight="1">
      <c r="A216" s="187"/>
      <c r="B216" s="128"/>
    </row>
    <row r="217" ht="14.25" customHeight="1">
      <c r="A217" s="187"/>
      <c r="B217" s="128"/>
    </row>
    <row r="218" ht="14.25" customHeight="1">
      <c r="A218" s="187"/>
      <c r="B218" s="128"/>
    </row>
    <row r="219" ht="14.25" customHeight="1">
      <c r="A219" s="187"/>
      <c r="B219" s="128"/>
    </row>
    <row r="220" ht="14.25" customHeight="1">
      <c r="A220" s="187"/>
      <c r="B220" s="128"/>
    </row>
    <row r="221" ht="14.25" customHeight="1">
      <c r="A221" s="187"/>
      <c r="B221" s="128"/>
    </row>
    <row r="222" ht="14.25" customHeight="1">
      <c r="A222" s="187"/>
      <c r="B222" s="128"/>
    </row>
    <row r="223" ht="14.25" customHeight="1">
      <c r="A223" s="187"/>
      <c r="B223" s="128"/>
    </row>
    <row r="224" ht="14.25" customHeight="1">
      <c r="A224" s="187"/>
      <c r="B224" s="128"/>
    </row>
    <row r="225" ht="14.25" customHeight="1">
      <c r="A225" s="187"/>
      <c r="B225" s="128"/>
    </row>
    <row r="226" ht="14.25" customHeight="1">
      <c r="A226" s="187"/>
      <c r="B226" s="128"/>
    </row>
    <row r="227" ht="14.25" customHeight="1">
      <c r="A227" s="187"/>
      <c r="B227" s="128"/>
    </row>
    <row r="228" ht="14.25" customHeight="1">
      <c r="A228" s="187"/>
      <c r="B228" s="128"/>
    </row>
    <row r="229" ht="14.25" customHeight="1">
      <c r="A229" s="187"/>
      <c r="B229" s="128"/>
    </row>
    <row r="230" ht="14.25" customHeight="1">
      <c r="A230" s="187"/>
      <c r="B230" s="128"/>
    </row>
    <row r="231" ht="14.25" customHeight="1">
      <c r="A231" s="187"/>
      <c r="B231" s="128"/>
    </row>
    <row r="232" ht="14.25" customHeight="1">
      <c r="A232" s="187"/>
      <c r="B232" s="128"/>
    </row>
    <row r="233" ht="14.25" customHeight="1">
      <c r="A233" s="187"/>
      <c r="B233" s="128"/>
    </row>
    <row r="234" ht="14.25" customHeight="1">
      <c r="A234" s="187"/>
      <c r="B234" s="128"/>
    </row>
    <row r="235" ht="14.25" customHeight="1">
      <c r="A235" s="187"/>
      <c r="B235" s="128"/>
    </row>
    <row r="236" ht="14.25" customHeight="1">
      <c r="A236" s="187"/>
      <c r="B236" s="128"/>
    </row>
    <row r="237" ht="14.25" customHeight="1">
      <c r="A237" s="187"/>
      <c r="B237" s="128"/>
    </row>
    <row r="238" ht="14.25" customHeight="1">
      <c r="A238" s="187"/>
      <c r="B238" s="128"/>
    </row>
    <row r="239" ht="14.25" customHeight="1">
      <c r="A239" s="187"/>
      <c r="B239" s="128"/>
    </row>
    <row r="240" ht="14.25" customHeight="1">
      <c r="A240" s="187"/>
      <c r="B240" s="128"/>
    </row>
    <row r="241" ht="14.25" customHeight="1">
      <c r="A241" s="187"/>
      <c r="B241" s="128"/>
    </row>
    <row r="242" ht="14.25" customHeight="1">
      <c r="A242" s="187"/>
      <c r="B242" s="128"/>
    </row>
    <row r="243" ht="14.25" customHeight="1">
      <c r="A243" s="187"/>
      <c r="B243" s="128"/>
    </row>
    <row r="244" ht="14.25" customHeight="1">
      <c r="A244" s="187"/>
      <c r="B244" s="128"/>
    </row>
    <row r="245" ht="14.25" customHeight="1">
      <c r="A245" s="187"/>
      <c r="B245" s="128"/>
    </row>
    <row r="246" ht="14.25" customHeight="1">
      <c r="A246" s="187"/>
      <c r="B246" s="128"/>
    </row>
    <row r="247" ht="14.25" customHeight="1">
      <c r="A247" s="187"/>
      <c r="B247" s="128"/>
    </row>
    <row r="248" ht="14.25" customHeight="1">
      <c r="A248" s="187"/>
      <c r="B248" s="128"/>
    </row>
    <row r="249" ht="14.25" customHeight="1">
      <c r="A249" s="187"/>
      <c r="B249" s="128"/>
    </row>
    <row r="250" ht="14.25" customHeight="1">
      <c r="A250" s="187"/>
      <c r="B250" s="128"/>
    </row>
    <row r="251" ht="14.25" customHeight="1">
      <c r="A251" s="187"/>
      <c r="B251" s="128"/>
    </row>
    <row r="252" ht="14.25" customHeight="1">
      <c r="A252" s="187"/>
      <c r="B252" s="128"/>
    </row>
    <row r="253" ht="14.25" customHeight="1">
      <c r="A253" s="187"/>
      <c r="B253" s="128"/>
    </row>
    <row r="254" ht="14.25" customHeight="1">
      <c r="A254" s="187"/>
      <c r="B254" s="128"/>
    </row>
    <row r="255" ht="14.25" customHeight="1">
      <c r="A255" s="187"/>
      <c r="B255" s="128"/>
    </row>
    <row r="256" ht="14.25" customHeight="1">
      <c r="A256" s="187"/>
      <c r="B256" s="128"/>
    </row>
    <row r="257" ht="14.25" customHeight="1">
      <c r="A257" s="187"/>
      <c r="B257" s="128"/>
    </row>
    <row r="258" ht="14.25" customHeight="1">
      <c r="A258" s="187"/>
      <c r="B258" s="128"/>
    </row>
    <row r="259" ht="14.25" customHeight="1">
      <c r="A259" s="187"/>
      <c r="B259" s="128"/>
    </row>
    <row r="260" ht="14.25" customHeight="1">
      <c r="A260" s="187"/>
      <c r="B260" s="128"/>
    </row>
    <row r="261" ht="14.25" customHeight="1">
      <c r="A261" s="187"/>
      <c r="B261" s="128"/>
    </row>
    <row r="262" ht="14.25" customHeight="1">
      <c r="A262" s="187"/>
      <c r="B262" s="128"/>
    </row>
    <row r="263" ht="14.25" customHeight="1">
      <c r="A263" s="187"/>
      <c r="B263" s="128"/>
    </row>
    <row r="264" ht="14.25" customHeight="1">
      <c r="A264" s="187"/>
      <c r="B264" s="128"/>
    </row>
    <row r="265" ht="14.25" customHeight="1">
      <c r="A265" s="187"/>
      <c r="B265" s="128"/>
    </row>
    <row r="266" ht="14.25" customHeight="1">
      <c r="A266" s="187"/>
      <c r="B266" s="128"/>
    </row>
    <row r="267" ht="14.25" customHeight="1">
      <c r="A267" s="187"/>
      <c r="B267" s="128"/>
    </row>
    <row r="268" ht="14.25" customHeight="1">
      <c r="A268" s="187"/>
      <c r="B268" s="128"/>
    </row>
    <row r="269" ht="14.25" customHeight="1">
      <c r="A269" s="187"/>
      <c r="B269" s="128"/>
    </row>
    <row r="270" ht="14.25" customHeight="1">
      <c r="A270" s="187"/>
      <c r="B270" s="128"/>
    </row>
    <row r="271" ht="14.25" customHeight="1">
      <c r="A271" s="187"/>
      <c r="B271" s="128"/>
    </row>
    <row r="272" ht="14.25" customHeight="1">
      <c r="A272" s="187"/>
      <c r="B272" s="128"/>
    </row>
    <row r="273" ht="14.25" customHeight="1">
      <c r="A273" s="187"/>
      <c r="B273" s="128"/>
    </row>
    <row r="274" ht="14.25" customHeight="1">
      <c r="A274" s="187"/>
      <c r="B274" s="128"/>
    </row>
    <row r="275" ht="14.25" customHeight="1">
      <c r="A275" s="187"/>
      <c r="B275" s="128"/>
    </row>
    <row r="276" ht="14.25" customHeight="1">
      <c r="A276" s="187"/>
      <c r="B276" s="128"/>
    </row>
    <row r="277" ht="14.25" customHeight="1">
      <c r="A277" s="187"/>
      <c r="B277" s="128"/>
    </row>
    <row r="278" ht="14.25" customHeight="1">
      <c r="A278" s="187"/>
      <c r="B278" s="128"/>
    </row>
    <row r="279" ht="14.25" customHeight="1">
      <c r="A279" s="187"/>
      <c r="B279" s="128"/>
    </row>
    <row r="280" ht="14.25" customHeight="1">
      <c r="A280" s="187"/>
      <c r="B280" s="128"/>
    </row>
    <row r="281" ht="14.25" customHeight="1">
      <c r="A281" s="187"/>
      <c r="B281" s="128"/>
    </row>
    <row r="282" ht="14.25" customHeight="1">
      <c r="A282" s="187"/>
      <c r="B282" s="128"/>
    </row>
    <row r="283" ht="14.25" customHeight="1">
      <c r="A283" s="187"/>
      <c r="B283" s="128"/>
    </row>
    <row r="284" ht="14.25" customHeight="1">
      <c r="A284" s="187"/>
      <c r="B284" s="128"/>
    </row>
    <row r="285" ht="14.25" customHeight="1">
      <c r="A285" s="187"/>
      <c r="B285" s="128"/>
    </row>
    <row r="286" ht="14.25" customHeight="1">
      <c r="A286" s="187"/>
      <c r="B286" s="128"/>
    </row>
    <row r="287" ht="14.25" customHeight="1">
      <c r="A287" s="187"/>
      <c r="B287" s="128"/>
    </row>
    <row r="288" ht="14.25" customHeight="1">
      <c r="A288" s="187"/>
      <c r="B288" s="128"/>
    </row>
    <row r="289" ht="14.25" customHeight="1">
      <c r="A289" s="187"/>
      <c r="B289" s="128"/>
    </row>
    <row r="290" ht="14.25" customHeight="1">
      <c r="A290" s="187"/>
      <c r="B290" s="128"/>
    </row>
    <row r="291" ht="14.25" customHeight="1">
      <c r="A291" s="187"/>
      <c r="B291" s="128"/>
    </row>
    <row r="292" ht="14.25" customHeight="1">
      <c r="A292" s="187"/>
      <c r="B292" s="128"/>
    </row>
    <row r="293" ht="14.25" customHeight="1">
      <c r="A293" s="187"/>
      <c r="B293" s="128"/>
    </row>
    <row r="294" ht="14.25" customHeight="1">
      <c r="A294" s="187"/>
      <c r="B294" s="128"/>
    </row>
    <row r="295" ht="14.25" customHeight="1">
      <c r="A295" s="187"/>
      <c r="B295" s="128"/>
    </row>
    <row r="296" ht="14.25" customHeight="1">
      <c r="A296" s="187"/>
      <c r="B296" s="128"/>
    </row>
    <row r="297" ht="14.25" customHeight="1">
      <c r="A297" s="187"/>
      <c r="B297" s="128"/>
    </row>
    <row r="298" ht="14.25" customHeight="1">
      <c r="A298" s="187"/>
      <c r="B298" s="128"/>
    </row>
    <row r="299" ht="14.25" customHeight="1">
      <c r="A299" s="187"/>
      <c r="B299" s="128"/>
    </row>
    <row r="300" ht="14.25" customHeight="1">
      <c r="A300" s="187"/>
      <c r="B300" s="128"/>
    </row>
    <row r="301" ht="14.25" customHeight="1">
      <c r="A301" s="187"/>
      <c r="B301" s="128"/>
    </row>
    <row r="302" ht="14.25" customHeight="1">
      <c r="A302" s="187"/>
      <c r="B302" s="128"/>
    </row>
    <row r="303" ht="14.25" customHeight="1">
      <c r="A303" s="187"/>
      <c r="B303" s="128"/>
    </row>
    <row r="304" ht="14.25" customHeight="1">
      <c r="A304" s="187"/>
      <c r="B304" s="128"/>
    </row>
    <row r="305" ht="14.25" customHeight="1">
      <c r="A305" s="187"/>
      <c r="B305" s="128"/>
    </row>
    <row r="306" ht="14.25" customHeight="1">
      <c r="A306" s="187"/>
      <c r="B306" s="128"/>
    </row>
    <row r="307" ht="14.25" customHeight="1">
      <c r="A307" s="187"/>
      <c r="B307" s="128"/>
    </row>
    <row r="308" ht="14.25" customHeight="1">
      <c r="A308" s="187"/>
      <c r="B308" s="128"/>
    </row>
    <row r="309" ht="14.25" customHeight="1">
      <c r="A309" s="187"/>
      <c r="B309" s="128"/>
    </row>
    <row r="310" ht="14.25" customHeight="1">
      <c r="A310" s="187"/>
      <c r="B310" s="128"/>
    </row>
    <row r="311" ht="14.25" customHeight="1">
      <c r="A311" s="187"/>
      <c r="B311" s="128"/>
    </row>
    <row r="312" ht="14.25" customHeight="1">
      <c r="A312" s="187"/>
      <c r="B312" s="128"/>
    </row>
    <row r="313" ht="14.25" customHeight="1">
      <c r="A313" s="187"/>
      <c r="B313" s="128"/>
    </row>
    <row r="314" ht="14.25" customHeight="1">
      <c r="A314" s="187"/>
      <c r="B314" s="128"/>
    </row>
    <row r="315" ht="14.25" customHeight="1">
      <c r="A315" s="187"/>
      <c r="B315" s="128"/>
    </row>
    <row r="316" ht="14.25" customHeight="1">
      <c r="A316" s="187"/>
      <c r="B316" s="128"/>
    </row>
    <row r="317" ht="14.25" customHeight="1">
      <c r="A317" s="187"/>
      <c r="B317" s="128"/>
    </row>
    <row r="318" ht="14.25" customHeight="1">
      <c r="A318" s="187"/>
      <c r="B318" s="128"/>
    </row>
    <row r="319" ht="14.25" customHeight="1">
      <c r="A319" s="187"/>
      <c r="B319" s="128"/>
    </row>
    <row r="320" ht="14.25" customHeight="1">
      <c r="A320" s="187"/>
      <c r="B320" s="128"/>
    </row>
    <row r="321" ht="14.25" customHeight="1">
      <c r="A321" s="187"/>
      <c r="B321" s="128"/>
    </row>
    <row r="322" ht="14.25" customHeight="1">
      <c r="A322" s="187"/>
      <c r="B322" s="128"/>
    </row>
    <row r="323" ht="14.25" customHeight="1">
      <c r="A323" s="187"/>
      <c r="B323" s="128"/>
    </row>
    <row r="324" ht="14.25" customHeight="1">
      <c r="A324" s="187"/>
      <c r="B324" s="128"/>
    </row>
    <row r="325" ht="14.25" customHeight="1">
      <c r="A325" s="187"/>
      <c r="B325" s="128"/>
    </row>
    <row r="326" ht="14.25" customHeight="1">
      <c r="A326" s="187"/>
      <c r="B326" s="128"/>
    </row>
    <row r="327" ht="14.25" customHeight="1">
      <c r="A327" s="187"/>
      <c r="B327" s="128"/>
    </row>
    <row r="328" ht="14.25" customHeight="1">
      <c r="A328" s="187"/>
      <c r="B328" s="128"/>
    </row>
    <row r="329" ht="14.25" customHeight="1">
      <c r="A329" s="187"/>
      <c r="B329" s="128"/>
    </row>
    <row r="330" ht="14.25" customHeight="1">
      <c r="A330" s="187"/>
      <c r="B330" s="128"/>
    </row>
    <row r="331" ht="14.25" customHeight="1">
      <c r="A331" s="187"/>
      <c r="B331" s="128"/>
    </row>
    <row r="332" ht="14.25" customHeight="1">
      <c r="A332" s="187"/>
      <c r="B332" s="128"/>
    </row>
    <row r="333" ht="14.25" customHeight="1">
      <c r="A333" s="187"/>
      <c r="B333" s="128"/>
    </row>
    <row r="334" ht="14.25" customHeight="1">
      <c r="A334" s="187"/>
      <c r="B334" s="128"/>
    </row>
    <row r="335" ht="14.25" customHeight="1">
      <c r="A335" s="187"/>
      <c r="B335" s="128"/>
    </row>
    <row r="336" ht="14.25" customHeight="1">
      <c r="A336" s="187"/>
      <c r="B336" s="128"/>
    </row>
    <row r="337" ht="14.25" customHeight="1">
      <c r="A337" s="187"/>
      <c r="B337" s="128"/>
    </row>
    <row r="338" ht="14.25" customHeight="1">
      <c r="A338" s="187"/>
      <c r="B338" s="128"/>
    </row>
    <row r="339" ht="14.25" customHeight="1">
      <c r="A339" s="187"/>
      <c r="B339" s="128"/>
    </row>
    <row r="340" ht="14.25" customHeight="1">
      <c r="A340" s="187"/>
      <c r="B340" s="128"/>
    </row>
    <row r="341" ht="14.25" customHeight="1">
      <c r="A341" s="187"/>
      <c r="B341" s="128"/>
    </row>
    <row r="342" ht="14.25" customHeight="1">
      <c r="A342" s="187"/>
      <c r="B342" s="128"/>
    </row>
    <row r="343" ht="14.25" customHeight="1">
      <c r="A343" s="187"/>
      <c r="B343" s="128"/>
    </row>
    <row r="344" ht="14.25" customHeight="1">
      <c r="A344" s="187"/>
      <c r="B344" s="128"/>
    </row>
    <row r="345" ht="14.25" customHeight="1">
      <c r="A345" s="187"/>
      <c r="B345" s="128"/>
    </row>
    <row r="346" ht="14.25" customHeight="1">
      <c r="A346" s="187"/>
      <c r="B346" s="128"/>
    </row>
    <row r="347" ht="14.25" customHeight="1">
      <c r="A347" s="187"/>
      <c r="B347" s="128"/>
    </row>
    <row r="348" ht="14.25" customHeight="1">
      <c r="A348" s="187"/>
      <c r="B348" s="128"/>
    </row>
    <row r="349" ht="14.25" customHeight="1">
      <c r="A349" s="187"/>
      <c r="B349" s="128"/>
    </row>
    <row r="350" ht="14.25" customHeight="1">
      <c r="A350" s="187"/>
      <c r="B350" s="128"/>
    </row>
    <row r="351" ht="14.25" customHeight="1">
      <c r="A351" s="187"/>
      <c r="B351" s="128"/>
    </row>
    <row r="352" ht="14.25" customHeight="1">
      <c r="A352" s="187"/>
      <c r="B352" s="128"/>
    </row>
    <row r="353" ht="14.25" customHeight="1">
      <c r="A353" s="187"/>
      <c r="B353" s="128"/>
    </row>
    <row r="354" ht="14.25" customHeight="1">
      <c r="A354" s="187"/>
      <c r="B354" s="128"/>
    </row>
    <row r="355" ht="14.25" customHeight="1">
      <c r="A355" s="187"/>
      <c r="B355" s="128"/>
    </row>
    <row r="356" ht="14.25" customHeight="1">
      <c r="A356" s="187"/>
      <c r="B356" s="128"/>
    </row>
    <row r="357" ht="14.25" customHeight="1">
      <c r="A357" s="187"/>
      <c r="B357" s="128"/>
    </row>
    <row r="358" ht="14.25" customHeight="1">
      <c r="A358" s="187"/>
      <c r="B358" s="128"/>
    </row>
    <row r="359" ht="14.25" customHeight="1">
      <c r="A359" s="187"/>
      <c r="B359" s="128"/>
    </row>
    <row r="360" ht="14.25" customHeight="1">
      <c r="A360" s="187"/>
      <c r="B360" s="128"/>
    </row>
    <row r="361" ht="14.25" customHeight="1">
      <c r="A361" s="187"/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F900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2.0"/>
    <col customWidth="1" min="2" max="2" width="14.71"/>
    <col customWidth="1" min="3" max="3" width="7.57"/>
    <col customWidth="1" min="4" max="4" width="2.43"/>
    <col customWidth="1" min="5" max="5" width="6.71"/>
    <col customWidth="1" min="6" max="6" width="5.71"/>
    <col customWidth="1" min="7" max="7" width="6.71"/>
    <col customWidth="1" min="8" max="8" width="5.71"/>
    <col customWidth="1" min="9" max="9" width="6.71"/>
    <col customWidth="1" min="10" max="10" width="5.71"/>
    <col customWidth="1" min="11" max="11" width="6.71"/>
    <col customWidth="1" min="12" max="12" width="5.71"/>
    <col customWidth="1" min="13" max="13" width="6.71"/>
    <col customWidth="1" min="14" max="14" width="5.71"/>
    <col customWidth="1" min="15" max="15" width="6.71"/>
    <col customWidth="1" min="16" max="16" width="5.71"/>
    <col customWidth="1" min="17" max="17" width="6.71"/>
    <col customWidth="1" min="18" max="18" width="5.71"/>
    <col customWidth="1" min="19" max="19" width="6.71"/>
    <col customWidth="1" min="20" max="20" width="5.71"/>
    <col customWidth="1" min="21" max="21" width="6.71"/>
    <col customWidth="1" min="22" max="22" width="5.71"/>
    <col customWidth="1" min="23" max="23" width="7.71"/>
    <col customWidth="1" min="24" max="24" width="5.71"/>
    <col customWidth="1" min="25" max="25" width="7.71"/>
    <col customWidth="1" min="26" max="26" width="5.57"/>
    <col customWidth="1" min="27" max="37" width="9.71"/>
  </cols>
  <sheetData>
    <row r="1" ht="37.5" customHeight="1">
      <c r="A1" s="87" t="s">
        <v>0</v>
      </c>
      <c r="B1" s="87" t="s">
        <v>168</v>
      </c>
      <c r="C1" s="88" t="s">
        <v>169</v>
      </c>
      <c r="D1" s="89" t="s">
        <v>3</v>
      </c>
      <c r="E1" s="90" t="s">
        <v>170</v>
      </c>
      <c r="F1" s="90" t="s">
        <v>171</v>
      </c>
      <c r="G1" s="90" t="s">
        <v>172</v>
      </c>
      <c r="H1" s="90" t="s">
        <v>173</v>
      </c>
      <c r="I1" s="90" t="s">
        <v>174</v>
      </c>
      <c r="J1" s="90" t="s">
        <v>175</v>
      </c>
      <c r="K1" s="90" t="s">
        <v>176</v>
      </c>
      <c r="L1" s="90" t="s">
        <v>177</v>
      </c>
      <c r="M1" s="90" t="s">
        <v>178</v>
      </c>
      <c r="N1" s="90" t="s">
        <v>179</v>
      </c>
      <c r="O1" s="90" t="s">
        <v>180</v>
      </c>
      <c r="P1" s="90" t="s">
        <v>181</v>
      </c>
      <c r="Q1" s="90" t="s">
        <v>182</v>
      </c>
      <c r="R1" s="90" t="s">
        <v>183</v>
      </c>
      <c r="S1" s="90" t="s">
        <v>184</v>
      </c>
      <c r="T1" s="91" t="s">
        <v>185</v>
      </c>
      <c r="U1" s="90" t="s">
        <v>186</v>
      </c>
      <c r="V1" s="91" t="s">
        <v>187</v>
      </c>
      <c r="W1" s="90" t="s">
        <v>188</v>
      </c>
      <c r="X1" s="91" t="s">
        <v>189</v>
      </c>
      <c r="Y1" s="90" t="s">
        <v>190</v>
      </c>
      <c r="Z1" s="91" t="s">
        <v>191</v>
      </c>
      <c r="AA1" s="91"/>
      <c r="AB1" s="91"/>
      <c r="AC1" s="91"/>
      <c r="AD1" s="91"/>
      <c r="AE1" s="91"/>
      <c r="AF1" s="91"/>
      <c r="AG1" s="91"/>
      <c r="AH1" s="91"/>
      <c r="AI1" s="91"/>
      <c r="AJ1" s="91"/>
      <c r="AK1" s="91"/>
    </row>
    <row r="2">
      <c r="A2" s="92">
        <v>1.0</v>
      </c>
      <c r="B2" s="6" t="s">
        <v>7</v>
      </c>
      <c r="C2" s="93">
        <f t="shared" ref="C2:C132" si="1">F2+H2+J2+L2+N2+P2+R2+T2+V2+X2+Z2-small((AA2:AK2),1)-small((AA2:AK2),2)</f>
        <v>9527.271752</v>
      </c>
      <c r="D2" s="93"/>
      <c r="E2" s="94">
        <f>IFERROR(VLOOKUP($B2,S6M1!$A$1:$B$160,2,0),"0")</f>
        <v>32</v>
      </c>
      <c r="F2" s="95">
        <f>IFERROR(VLOOKUP(E2,S6M1!$B$1:$C$161,2,0),0)</f>
        <v>308.7481427</v>
      </c>
      <c r="G2" s="94">
        <f>IFERROR(VLOOKUP($B2,S6M2!$A$1:$B$160,2,0),"0")</f>
        <v>27</v>
      </c>
      <c r="H2" s="95">
        <f>IFERROR(VLOOKUP(G2,S6M2!$B$1:$C$161,2,0),0)</f>
        <v>582.5693409</v>
      </c>
      <c r="I2" s="94">
        <f>IFERROR(VLOOKUP($B2,S6M3!$A$1:$B$161,2,0),0)</f>
        <v>10</v>
      </c>
      <c r="J2" s="95">
        <f>IFERROR(VLOOKUP(I2,S6M3!$B$1:$C$161,2,0),0)</f>
        <v>1115.366785</v>
      </c>
      <c r="K2" s="94">
        <f>IFERROR(VLOOKUP($B2,S6M4!$A$1:$B$160,2,0),"0")</f>
        <v>16</v>
      </c>
      <c r="L2" s="95">
        <f>IFERROR(VLOOKUP(K2,S6M4!$B$1:$C$161,2,0),0)</f>
        <v>863.7181463</v>
      </c>
      <c r="M2" s="94">
        <f>IFERROR(VLOOKUP($B2,S6M5!$A$1:$B$160,2,0),"0")</f>
        <v>1</v>
      </c>
      <c r="N2" s="95">
        <f>IFERROR(VLOOKUP(M2,S6M5!$B$1:$C$161,2,0),0)</f>
        <v>2179.610904</v>
      </c>
      <c r="O2" s="94">
        <f>IFERROR(VLOOKUP($B2,S6M6!$A$1:$B$160,2,0),"0")</f>
        <v>9</v>
      </c>
      <c r="P2" s="95">
        <f>IFERROR(VLOOKUP(O2,S6M6!$B$1:$C$161,2,0),0)</f>
        <v>1177.254981</v>
      </c>
      <c r="Q2" s="94">
        <f>IFERROR(VLOOKUP($B2,S6M7!$A$1:$B$160,2,0),"0")</f>
        <v>23</v>
      </c>
      <c r="R2" s="95">
        <f>IFERROR(VLOOKUP(Q2,S6M7!$B$1:$C$161,2,0),0)</f>
        <v>568.4920581</v>
      </c>
      <c r="S2" s="94">
        <f>IFERROR(VLOOKUP($B2,S6M8!$A$1:$B$160,2,0),"0")</f>
        <v>17</v>
      </c>
      <c r="T2" s="95">
        <f>IFERROR(VLOOKUP(S2,S6M8!$B$1:$C$161,2,0),0)</f>
        <v>741.2920391</v>
      </c>
      <c r="U2" s="94">
        <f>IFERROR(VLOOKUP($B2,S6M9!$A$1:$B$160,2,0),"0")</f>
        <v>10</v>
      </c>
      <c r="V2" s="95">
        <f>IFERROR(VLOOKUP(U2,S6M9!$B$1:$C$161,2,0),0)</f>
        <v>975.7459777</v>
      </c>
      <c r="W2" s="94">
        <f>IFERROR(VLOOKUP($B2,S6M10!$A$1:$B$160,2,0),"0")</f>
        <v>19</v>
      </c>
      <c r="X2" s="95">
        <f>IFERROR(VLOOKUP(W2,S6M10!$B$1:$C$161,2,0),0)</f>
        <v>620.6914763</v>
      </c>
      <c r="Y2" s="94">
        <f>IFERROR(VLOOKUP($B2,S6M11!$A$1:$B$160,2,0),"0")</f>
        <v>5</v>
      </c>
      <c r="Z2" s="95">
        <f>IFERROR(VLOOKUP(Y2,S6M11!$B$1:$C$161,2,0),0)</f>
        <v>1271.022101</v>
      </c>
      <c r="AA2" s="95">
        <f>IFERROR(VLOOKUP(E2,S6M1!$B$1:$C$161,2,0),0)</f>
        <v>308.7481427</v>
      </c>
      <c r="AB2" s="95">
        <f>IFERROR(VLOOKUP(G2,S6M2!$B$1:$C$161,2,0),0)</f>
        <v>582.5693409</v>
      </c>
      <c r="AC2" s="95">
        <f>IFERROR(VLOOKUP(I2,S6M3!$B$1:$C$161,2,0),0)</f>
        <v>1115.366785</v>
      </c>
      <c r="AD2" s="95">
        <f>IFERROR(VLOOKUP(K2,S6M4!$B$1:$C$161,2,0),0)</f>
        <v>863.7181463</v>
      </c>
      <c r="AE2" s="95">
        <f>IFERROR(VLOOKUP(M2,S6M5!$B$1:$C$161,2,0),0)</f>
        <v>2179.610904</v>
      </c>
      <c r="AF2" s="95">
        <f>IFERROR(VLOOKUP(O2,S6M6!$B$1:$C$161,2,0),0)</f>
        <v>1177.254981</v>
      </c>
      <c r="AG2" s="95">
        <f>IFERROR(VLOOKUP(Q2,S6M7!$B$1:$C$161,2,0),0)</f>
        <v>568.4920581</v>
      </c>
      <c r="AH2" s="95">
        <f>IFERROR(VLOOKUP(S2,S6M8!$B$1:$C$161,2,0),0)</f>
        <v>741.2920391</v>
      </c>
      <c r="AI2" s="95">
        <f>IFERROR(VLOOKUP(U2,S6M9!$B$1:$C$161,2,0),0)</f>
        <v>975.7459777</v>
      </c>
      <c r="AJ2" s="95">
        <f>IFERROR(VLOOKUP(W2,S6M10!$B$1:$C$161,2,0),0)</f>
        <v>620.6914763</v>
      </c>
      <c r="AK2" s="95">
        <f>IFERROR(VLOOKUP(Y2,S6M11!$B$1:$C$161,2,0),0)</f>
        <v>1271.022101</v>
      </c>
    </row>
    <row r="3">
      <c r="A3" s="92">
        <v>2.0</v>
      </c>
      <c r="B3" s="15" t="s">
        <v>27</v>
      </c>
      <c r="C3" s="93">
        <f t="shared" si="1"/>
        <v>9486.727833</v>
      </c>
      <c r="D3" s="93"/>
      <c r="E3" s="94">
        <f>IFERROR(VLOOKUP($B3,S6M1!$A$1:$B$160,2,0),"0")</f>
        <v>31</v>
      </c>
      <c r="F3" s="95">
        <f>IFERROR(VLOOKUP(E3,S6M1!$B$1:$C$161,2,0),0)</f>
        <v>329.5148631</v>
      </c>
      <c r="G3" s="94">
        <f>IFERROR(VLOOKUP($B3,S6M2!$A$1:$B$160,2,0),"0")</f>
        <v>1</v>
      </c>
      <c r="H3" s="95">
        <f>IFERROR(VLOOKUP(G3,S6M2!$B$1:$C$161,2,0),0)</f>
        <v>2236.582608</v>
      </c>
      <c r="I3" s="94">
        <f>IFERROR(VLOOKUP($B3,S6M3!$A$1:$B$161,2,0),0)</f>
        <v>0</v>
      </c>
      <c r="J3" s="95">
        <f>IFERROR(VLOOKUP(I3,S6M3!$B$1:$C$161,2,0),0)</f>
        <v>0</v>
      </c>
      <c r="K3" s="94">
        <f>IFERROR(VLOOKUP($B3,S6M4!$A$1:$B$160,2,0),"0")</f>
        <v>3</v>
      </c>
      <c r="L3" s="95">
        <f>IFERROR(VLOOKUP(K3,S6M4!$B$1:$C$161,2,0),0)</f>
        <v>1653.835352</v>
      </c>
      <c r="M3" s="94">
        <f>IFERROR(VLOOKUP($B3,S6M5!$A$1:$B$160,2,0),"0")</f>
        <v>37</v>
      </c>
      <c r="N3" s="95">
        <f>IFERROR(VLOOKUP(M3,S6M5!$B$1:$C$161,2,0),0)</f>
        <v>335.2148334</v>
      </c>
      <c r="O3" s="94">
        <f>IFERROR(VLOOKUP($B3,S6M6!$A$1:$B$160,2,0),"0")</f>
        <v>3</v>
      </c>
      <c r="P3" s="95">
        <f>IFERROR(VLOOKUP(O3,S6M6!$B$1:$C$161,2,0),0)</f>
        <v>1696.912277</v>
      </c>
      <c r="Q3" s="94" t="str">
        <f>IFERROR(VLOOKUP($B3,S6M7!$A$1:$B$160,2,0),"0")</f>
        <v>0</v>
      </c>
      <c r="R3" s="95">
        <f>IFERROR(VLOOKUP(Q3,S6M7!$B$1:$C$161,2,0),0)</f>
        <v>0</v>
      </c>
      <c r="S3" s="94">
        <f>IFERROR(VLOOKUP($B3,S6M8!$A$1:$B$160,2,0),"0")</f>
        <v>45</v>
      </c>
      <c r="T3" s="95">
        <f>IFERROR(VLOOKUP(S3,S6M8!$B$1:$C$161,2,0),0)</f>
        <v>152.937801</v>
      </c>
      <c r="U3" s="94">
        <f>IFERROR(VLOOKUP($B3,S6M9!$A$1:$B$160,2,0),"0")</f>
        <v>13</v>
      </c>
      <c r="V3" s="95">
        <f>IFERROR(VLOOKUP(U3,S6M9!$B$1:$C$161,2,0),0)</f>
        <v>848.5281374</v>
      </c>
      <c r="W3" s="94">
        <f>IFERROR(VLOOKUP($B3,S6M10!$A$1:$B$160,2,0),"0")</f>
        <v>4</v>
      </c>
      <c r="X3" s="95">
        <f>IFERROR(VLOOKUP(W3,S6M10!$B$1:$C$161,2,0),0)</f>
        <v>1374.486387</v>
      </c>
      <c r="Y3" s="94">
        <f>IFERROR(VLOOKUP($B3,S6M11!$A$1:$B$160,2,0),"0")</f>
        <v>12</v>
      </c>
      <c r="Z3" s="95">
        <f>IFERROR(VLOOKUP(Y3,S6M11!$B$1:$C$161,2,0),0)</f>
        <v>858.715574</v>
      </c>
      <c r="AA3" s="95">
        <f>IFERROR(VLOOKUP(E3,S6M1!$B$1:$C$161,2,0),0)</f>
        <v>329.5148631</v>
      </c>
      <c r="AB3" s="95">
        <f>IFERROR(VLOOKUP(G3,S6M2!$B$1:$C$161,2,0),0)</f>
        <v>2236.582608</v>
      </c>
      <c r="AC3" s="95">
        <f>IFERROR(VLOOKUP(I3,S6M3!$B$1:$C$161,2,0),0)</f>
        <v>0</v>
      </c>
      <c r="AD3" s="95">
        <f>IFERROR(VLOOKUP(K3,S6M4!$B$1:$C$161,2,0),0)</f>
        <v>1653.835352</v>
      </c>
      <c r="AE3" s="95">
        <f>IFERROR(VLOOKUP(M3,S6M5!$B$1:$C$161,2,0),0)</f>
        <v>335.2148334</v>
      </c>
      <c r="AF3" s="95">
        <f>IFERROR(VLOOKUP(O3,S6M6!$B$1:$C$161,2,0),0)</f>
        <v>1696.912277</v>
      </c>
      <c r="AG3" s="95">
        <f>IFERROR(VLOOKUP(Q3,S6M7!$B$1:$C$161,2,0),0)</f>
        <v>0</v>
      </c>
      <c r="AH3" s="95">
        <f>IFERROR(VLOOKUP(S3,S6M8!$B$1:$C$161,2,0),0)</f>
        <v>152.937801</v>
      </c>
      <c r="AI3" s="95">
        <f>IFERROR(VLOOKUP(U3,S6M9!$B$1:$C$161,2,0),0)</f>
        <v>848.5281374</v>
      </c>
      <c r="AJ3" s="95">
        <f>IFERROR(VLOOKUP(W3,S6M10!$B$1:$C$161,2,0),0)</f>
        <v>1374.486387</v>
      </c>
      <c r="AK3" s="95">
        <f>IFERROR(VLOOKUP(Y3,S6M11!$B$1:$C$161,2,0),0)</f>
        <v>858.715574</v>
      </c>
    </row>
    <row r="4">
      <c r="A4" s="92">
        <v>3.0</v>
      </c>
      <c r="B4" s="96" t="s">
        <v>13</v>
      </c>
      <c r="C4" s="93">
        <f t="shared" si="1"/>
        <v>8265.690257</v>
      </c>
      <c r="D4" s="93"/>
      <c r="E4" s="94">
        <f>IFERROR(VLOOKUP($B4,S6M1!$A$1:$B$160,2,0),"0")</f>
        <v>18</v>
      </c>
      <c r="F4" s="95">
        <f>IFERROR(VLOOKUP(E4,S6M1!$B$1:$C$161,2,0),0)</f>
        <v>650.1094733</v>
      </c>
      <c r="G4" s="94">
        <f>IFERROR(VLOOKUP($B4,S6M2!$A$1:$B$160,2,0),"0")</f>
        <v>53</v>
      </c>
      <c r="H4" s="95">
        <f>IFERROR(VLOOKUP(G4,S6M2!$B$1:$C$161,2,0),0)</f>
        <v>155.4237017</v>
      </c>
      <c r="I4" s="94">
        <f>IFERROR(VLOOKUP($B4,S6M3!$A$1:$B$161,2,0),0)</f>
        <v>0</v>
      </c>
      <c r="J4" s="95">
        <f>IFERROR(VLOOKUP(I4,S6M3!$B$1:$C$161,2,0),0)</f>
        <v>0</v>
      </c>
      <c r="K4" s="94">
        <f>IFERROR(VLOOKUP($B4,S6M4!$A$1:$B$160,2,0),"0")</f>
        <v>53</v>
      </c>
      <c r="L4" s="95">
        <f>IFERROR(VLOOKUP(K4,S6M4!$B$1:$C$161,2,0),0)</f>
        <v>166.45867</v>
      </c>
      <c r="M4" s="94">
        <f>IFERROR(VLOOKUP($B4,S6M5!$A$1:$B$160,2,0),"0")</f>
        <v>6</v>
      </c>
      <c r="N4" s="95">
        <f>IFERROR(VLOOKUP(M4,S6M5!$B$1:$C$161,2,0),0)</f>
        <v>1272.59155</v>
      </c>
      <c r="O4" s="94">
        <f>IFERROR(VLOOKUP($B4,S6M6!$A$1:$B$160,2,0),"0")</f>
        <v>4</v>
      </c>
      <c r="P4" s="95">
        <f>IFERROR(VLOOKUP(O4,S6M6!$B$1:$C$161,2,0),0)</f>
        <v>1556.268509</v>
      </c>
      <c r="Q4" s="94">
        <f>IFERROR(VLOOKUP($B4,S6M7!$A$1:$B$160,2,0),"0")</f>
        <v>8</v>
      </c>
      <c r="R4" s="95">
        <f>IFERROR(VLOOKUP(Q4,S6M7!$B$1:$C$161,2,0),0)</f>
        <v>1098.449264</v>
      </c>
      <c r="S4" s="94">
        <f>IFERROR(VLOOKUP($B4,S6M8!$A$1:$B$160,2,0),"0")</f>
        <v>47</v>
      </c>
      <c r="T4" s="95">
        <f>IFERROR(VLOOKUP(S4,S6M8!$B$1:$C$161,2,0),0)</f>
        <v>121.0273412</v>
      </c>
      <c r="U4" s="94">
        <f>IFERROR(VLOOKUP($B4,S6M9!$A$1:$B$160,2,0),"0")</f>
        <v>3</v>
      </c>
      <c r="V4" s="95">
        <f>IFERROR(VLOOKUP(U4,S6M9!$B$1:$C$161,2,0),0)</f>
        <v>1538.166135</v>
      </c>
      <c r="W4" s="94">
        <f>IFERROR(VLOOKUP($B4,S6M10!$A$1:$B$160,2,0),"0")</f>
        <v>2</v>
      </c>
      <c r="X4" s="95">
        <f>IFERROR(VLOOKUP(W4,S6M10!$B$1:$C$161,2,0),0)</f>
        <v>1707.195613</v>
      </c>
      <c r="Y4" s="94">
        <f>IFERROR(VLOOKUP($B4,S6M11!$A$1:$B$160,2,0),"0")</f>
        <v>44</v>
      </c>
      <c r="Z4" s="95">
        <f>IFERROR(VLOOKUP(Y4,S6M11!$B$1:$C$161,2,0),0)</f>
        <v>83.85901602</v>
      </c>
      <c r="AA4" s="95">
        <f>IFERROR(VLOOKUP(E4,S6M1!$B$1:$C$161,2,0),0)</f>
        <v>650.1094733</v>
      </c>
      <c r="AB4" s="95">
        <f>IFERROR(VLOOKUP(G4,S6M2!$B$1:$C$161,2,0),0)</f>
        <v>155.4237017</v>
      </c>
      <c r="AC4" s="95">
        <f>IFERROR(VLOOKUP(I4,S6M3!$B$1:$C$161,2,0),0)</f>
        <v>0</v>
      </c>
      <c r="AD4" s="95">
        <f>IFERROR(VLOOKUP(K4,S6M4!$B$1:$C$161,2,0),0)</f>
        <v>166.45867</v>
      </c>
      <c r="AE4" s="95">
        <f>IFERROR(VLOOKUP(M4,S6M5!$B$1:$C$161,2,0),0)</f>
        <v>1272.59155</v>
      </c>
      <c r="AF4" s="95">
        <f>IFERROR(VLOOKUP(O4,S6M6!$B$1:$C$161,2,0),0)</f>
        <v>1556.268509</v>
      </c>
      <c r="AG4" s="95">
        <f>IFERROR(VLOOKUP(Q4,S6M7!$B$1:$C$161,2,0),0)</f>
        <v>1098.449264</v>
      </c>
      <c r="AH4" s="95">
        <f>IFERROR(VLOOKUP(S4,S6M8!$B$1:$C$161,2,0),0)</f>
        <v>121.0273412</v>
      </c>
      <c r="AI4" s="95">
        <f>IFERROR(VLOOKUP(U4,S6M9!$B$1:$C$161,2,0),0)</f>
        <v>1538.166135</v>
      </c>
      <c r="AJ4" s="95">
        <f>IFERROR(VLOOKUP(W4,S6M10!$B$1:$C$161,2,0),0)</f>
        <v>1707.195613</v>
      </c>
      <c r="AK4" s="95">
        <f>IFERROR(VLOOKUP(Y4,S6M11!$B$1:$C$161,2,0),0)</f>
        <v>83.85901602</v>
      </c>
    </row>
    <row r="5">
      <c r="A5" s="92">
        <v>4.0</v>
      </c>
      <c r="B5" s="6" t="s">
        <v>24</v>
      </c>
      <c r="C5" s="93">
        <f t="shared" si="1"/>
        <v>7701.578041</v>
      </c>
      <c r="D5" s="93"/>
      <c r="E5" s="94">
        <f>IFERROR(VLOOKUP($B5,S6M1!$A$1:$B$160,2,0),"0")</f>
        <v>40</v>
      </c>
      <c r="F5" s="95">
        <f>IFERROR(VLOOKUP(E5,S6M1!$B$1:$C$161,2,0),0)</f>
        <v>154.5860993</v>
      </c>
      <c r="G5" s="94">
        <f>IFERROR(VLOOKUP($B5,S6M2!$A$1:$B$160,2,0),"0")</f>
        <v>10</v>
      </c>
      <c r="H5" s="95">
        <f>IFERROR(VLOOKUP(G5,S6M2!$B$1:$C$161,2,0),0)</f>
        <v>1080.855555</v>
      </c>
      <c r="I5" s="94">
        <f>IFERROR(VLOOKUP($B5,S6M3!$A$1:$B$161,2,0),0)</f>
        <v>39</v>
      </c>
      <c r="J5" s="95">
        <f>IFERROR(VLOOKUP(I5,S6M3!$B$1:$C$161,2,0),0)</f>
        <v>410.0737777</v>
      </c>
      <c r="K5" s="94">
        <f>IFERROR(VLOOKUP($B5,S6M4!$A$1:$B$160,2,0),"0")</f>
        <v>12</v>
      </c>
      <c r="L5" s="95">
        <f>IFERROR(VLOOKUP(K5,S6M4!$B$1:$C$161,2,0),0)</f>
        <v>1002.375594</v>
      </c>
      <c r="M5" s="94">
        <f>IFERROR(VLOOKUP($B5,S6M5!$A$1:$B$160,2,0),"0")</f>
        <v>57</v>
      </c>
      <c r="N5" s="95">
        <f>IFERROR(VLOOKUP(M5,S6M5!$B$1:$C$161,2,0),0)</f>
        <v>27.35345943</v>
      </c>
      <c r="O5" s="94">
        <f>IFERROR(VLOOKUP($B5,S6M6!$A$1:$B$160,2,0),"0")</f>
        <v>2</v>
      </c>
      <c r="P5" s="95">
        <f>IFERROR(VLOOKUP(O5,S6M6!$B$1:$C$161,2,0),0)</f>
        <v>1905.158689</v>
      </c>
      <c r="Q5" s="94">
        <f>IFERROR(VLOOKUP($B5,S6M7!$A$1:$B$160,2,0),"0")</f>
        <v>5</v>
      </c>
      <c r="R5" s="95">
        <f>IFERROR(VLOOKUP(Q5,S6M7!$B$1:$C$161,2,0),0)</f>
        <v>1315.97684</v>
      </c>
      <c r="S5" s="94">
        <f>IFERROR(VLOOKUP($B5,S6M8!$A$1:$B$160,2,0),"0")</f>
        <v>16</v>
      </c>
      <c r="T5" s="95">
        <f>IFERROR(VLOOKUP(S5,S6M8!$B$1:$C$161,2,0),0)</f>
        <v>772.4183476</v>
      </c>
      <c r="U5" s="94">
        <f>IFERROR(VLOOKUP($B5,S6M9!$A$1:$B$160,2,0),"0")</f>
        <v>32</v>
      </c>
      <c r="V5" s="95">
        <f>IFERROR(VLOOKUP(U5,S6M9!$B$1:$C$161,2,0),0)</f>
        <v>347.400133</v>
      </c>
      <c r="W5" s="94" t="str">
        <f>IFERROR(VLOOKUP($B5,S6M10!$A$1:$B$160,2,0),"0")</f>
        <v>0</v>
      </c>
      <c r="X5" s="95">
        <f>IFERROR(VLOOKUP(W5,S6M10!$B$1:$C$161,2,0),0)</f>
        <v>0</v>
      </c>
      <c r="Y5" s="94">
        <f>IFERROR(VLOOKUP($B5,S6M11!$A$1:$B$160,2,0),"0")</f>
        <v>16</v>
      </c>
      <c r="Z5" s="95">
        <f>IFERROR(VLOOKUP(Y5,S6M11!$B$1:$C$161,2,0),0)</f>
        <v>712.7330062</v>
      </c>
      <c r="AA5" s="95">
        <f>IFERROR(VLOOKUP(E5,S6M1!$B$1:$C$161,2,0),0)</f>
        <v>154.5860993</v>
      </c>
      <c r="AB5" s="95">
        <f>IFERROR(VLOOKUP(G5,S6M2!$B$1:$C$161,2,0),0)</f>
        <v>1080.855555</v>
      </c>
      <c r="AC5" s="95">
        <f>IFERROR(VLOOKUP(I5,S6M3!$B$1:$C$161,2,0),0)</f>
        <v>410.0737777</v>
      </c>
      <c r="AD5" s="95">
        <f>IFERROR(VLOOKUP(K5,S6M4!$B$1:$C$161,2,0),0)</f>
        <v>1002.375594</v>
      </c>
      <c r="AE5" s="95">
        <f>IFERROR(VLOOKUP(M5,S6M5!$B$1:$C$161,2,0),0)</f>
        <v>27.35345943</v>
      </c>
      <c r="AF5" s="95">
        <f>IFERROR(VLOOKUP(O5,S6M6!$B$1:$C$161,2,0),0)</f>
        <v>1905.158689</v>
      </c>
      <c r="AG5" s="95">
        <f>IFERROR(VLOOKUP(Q5,S6M7!$B$1:$C$161,2,0),0)</f>
        <v>1315.97684</v>
      </c>
      <c r="AH5" s="95">
        <f>IFERROR(VLOOKUP(S5,S6M8!$B$1:$C$161,2,0),0)</f>
        <v>772.4183476</v>
      </c>
      <c r="AI5" s="95">
        <f>IFERROR(VLOOKUP(U5,S6M9!$B$1:$C$161,2,0),0)</f>
        <v>347.400133</v>
      </c>
      <c r="AJ5" s="95">
        <f>IFERROR(VLOOKUP(W5,S6M10!$B$1:$C$161,2,0),0)</f>
        <v>0</v>
      </c>
      <c r="AK5" s="95">
        <f>IFERROR(VLOOKUP(Y5,S6M11!$B$1:$C$161,2,0),0)</f>
        <v>712.7330062</v>
      </c>
    </row>
    <row r="6">
      <c r="A6" s="92">
        <v>5.0</v>
      </c>
      <c r="B6" s="6" t="s">
        <v>8</v>
      </c>
      <c r="C6" s="93">
        <f t="shared" si="1"/>
        <v>7610.317642</v>
      </c>
      <c r="D6" s="93"/>
      <c r="E6" s="94">
        <f>IFERROR(VLOOKUP($B6,S6M1!$A$1:$B$160,2,0),"0")</f>
        <v>47</v>
      </c>
      <c r="F6" s="95">
        <f>IFERROR(VLOOKUP(E6,S6M1!$B$1:$C$161,2,0),0)</f>
        <v>32.99502473</v>
      </c>
      <c r="G6" s="94">
        <f>IFERROR(VLOOKUP($B6,S6M2!$A$1:$B$160,2,0),"0")</f>
        <v>8</v>
      </c>
      <c r="H6" s="95">
        <f>IFERROR(VLOOKUP(G6,S6M2!$B$1:$C$161,2,0),0)</f>
        <v>1184.424353</v>
      </c>
      <c r="I6" s="94">
        <f>IFERROR(VLOOKUP($B6,S6M3!$A$1:$B$161,2,0),0)</f>
        <v>4</v>
      </c>
      <c r="J6" s="95">
        <f>IFERROR(VLOOKUP(I6,S6M3!$B$1:$C$161,2,0),0)</f>
        <v>1542.74943</v>
      </c>
      <c r="K6" s="94">
        <f>IFERROR(VLOOKUP($B6,S6M4!$A$1:$B$160,2,0),"0")</f>
        <v>21</v>
      </c>
      <c r="L6" s="95">
        <f>IFERROR(VLOOKUP(K6,S6M4!$B$1:$C$161,2,0),0)</f>
        <v>726.2559867</v>
      </c>
      <c r="M6" s="94">
        <f>IFERROR(VLOOKUP($B6,S6M5!$A$1:$B$160,2,0),"0")</f>
        <v>31</v>
      </c>
      <c r="N6" s="95">
        <f>IFERROR(VLOOKUP(M6,S6M5!$B$1:$C$161,2,0),0)</f>
        <v>445.9319464</v>
      </c>
      <c r="O6" s="94">
        <f>IFERROR(VLOOKUP($B6,S6M6!$A$1:$B$160,2,0),"0")</f>
        <v>25</v>
      </c>
      <c r="P6" s="95">
        <f>IFERROR(VLOOKUP(O6,S6M6!$B$1:$C$161,2,0),0)</f>
        <v>680.3046985</v>
      </c>
      <c r="Q6" s="94">
        <f>IFERROR(VLOOKUP($B6,S6M7!$A$1:$B$160,2,0),"0")</f>
        <v>52</v>
      </c>
      <c r="R6" s="95">
        <f>IFERROR(VLOOKUP(Q6,S6M7!$B$1:$C$161,2,0),0)</f>
        <v>29.9105106</v>
      </c>
      <c r="S6" s="94">
        <f>IFERROR(VLOOKUP($B6,S6M8!$A$1:$B$160,2,0),"0")</f>
        <v>21</v>
      </c>
      <c r="T6" s="95">
        <f>IFERROR(VLOOKUP(S6,S6M8!$B$1:$C$161,2,0),0)</f>
        <v>629.1324167</v>
      </c>
      <c r="U6" s="94">
        <f>IFERROR(VLOOKUP($B6,S6M9!$A$1:$B$160,2,0),"0")</f>
        <v>14</v>
      </c>
      <c r="V6" s="95">
        <f>IFERROR(VLOOKUP(U6,S6M9!$B$1:$C$161,2,0),0)</f>
        <v>811.5944471</v>
      </c>
      <c r="W6" s="94">
        <f>IFERROR(VLOOKUP($B6,S6M10!$A$1:$B$160,2,0),"0")</f>
        <v>9</v>
      </c>
      <c r="X6" s="95">
        <f>IFERROR(VLOOKUP(W6,S6M10!$B$1:$C$161,2,0),0)</f>
        <v>997.5674982</v>
      </c>
      <c r="Y6" s="94">
        <f>IFERROR(VLOOKUP($B6,S6M11!$A$1:$B$160,2,0),"0")</f>
        <v>20</v>
      </c>
      <c r="Z6" s="95">
        <f>IFERROR(VLOOKUP(Y6,S6M11!$B$1:$C$161,2,0),0)</f>
        <v>592.356865</v>
      </c>
      <c r="AA6" s="95">
        <f>IFERROR(VLOOKUP(E6,S6M1!$B$1:$C$161,2,0),0)</f>
        <v>32.99502473</v>
      </c>
      <c r="AB6" s="95">
        <f>IFERROR(VLOOKUP(G6,S6M2!$B$1:$C$161,2,0),0)</f>
        <v>1184.424353</v>
      </c>
      <c r="AC6" s="95">
        <f>IFERROR(VLOOKUP(I6,S6M3!$B$1:$C$161,2,0),0)</f>
        <v>1542.74943</v>
      </c>
      <c r="AD6" s="95">
        <f>IFERROR(VLOOKUP(K6,S6M4!$B$1:$C$161,2,0),0)</f>
        <v>726.2559867</v>
      </c>
      <c r="AE6" s="95">
        <f>IFERROR(VLOOKUP(M6,S6M5!$B$1:$C$161,2,0),0)</f>
        <v>445.9319464</v>
      </c>
      <c r="AF6" s="95">
        <f>IFERROR(VLOOKUP(O6,S6M6!$B$1:$C$161,2,0),0)</f>
        <v>680.3046985</v>
      </c>
      <c r="AG6" s="95">
        <f>IFERROR(VLOOKUP(Q6,S6M7!$B$1:$C$161,2,0),0)</f>
        <v>29.9105106</v>
      </c>
      <c r="AH6" s="95">
        <f>IFERROR(VLOOKUP(S6,S6M8!$B$1:$C$161,2,0),0)</f>
        <v>629.1324167</v>
      </c>
      <c r="AI6" s="95">
        <f>IFERROR(VLOOKUP(U6,S6M9!$B$1:$C$161,2,0),0)</f>
        <v>811.5944471</v>
      </c>
      <c r="AJ6" s="95">
        <f>IFERROR(VLOOKUP(W6,S6M10!$B$1:$C$161,2,0),0)</f>
        <v>997.5674982</v>
      </c>
      <c r="AK6" s="95">
        <f>IFERROR(VLOOKUP(Y6,S6M11!$B$1:$C$161,2,0),0)</f>
        <v>592.356865</v>
      </c>
    </row>
    <row r="7">
      <c r="A7" s="92">
        <v>6.0</v>
      </c>
      <c r="B7" s="6" t="s">
        <v>16</v>
      </c>
      <c r="C7" s="93">
        <f t="shared" si="1"/>
        <v>7510.864786</v>
      </c>
      <c r="D7" s="93"/>
      <c r="E7" s="94">
        <f>IFERROR(VLOOKUP($B7,S6M1!$A$1:$B$160,2,0),"0")</f>
        <v>29</v>
      </c>
      <c r="F7" s="95">
        <f>IFERROR(VLOOKUP(E7,S6M1!$B$1:$C$161,2,0),0)</f>
        <v>372.283187</v>
      </c>
      <c r="G7" s="94">
        <f>IFERROR(VLOOKUP($B7,S6M2!$A$1:$B$160,2,0),"0")</f>
        <v>41</v>
      </c>
      <c r="H7" s="95">
        <f>IFERROR(VLOOKUP(G7,S6M2!$B$1:$C$161,2,0),0)</f>
        <v>331.4516971</v>
      </c>
      <c r="I7" s="94">
        <f>IFERROR(VLOOKUP($B7,S6M3!$A$1:$B$161,2,0),0)</f>
        <v>1</v>
      </c>
      <c r="J7" s="95">
        <f>IFERROR(VLOOKUP(I7,S6M3!$B$1:$C$161,2,0),0)</f>
        <v>2280.948857</v>
      </c>
      <c r="K7" s="94">
        <f>IFERROR(VLOOKUP($B7,S6M4!$A$1:$B$160,2,0),"0")</f>
        <v>49</v>
      </c>
      <c r="L7" s="95">
        <f>IFERROR(VLOOKUP(K7,S6M4!$B$1:$C$161,2,0),0)</f>
        <v>221.9892463</v>
      </c>
      <c r="M7" s="94">
        <f>IFERROR(VLOOKUP($B7,S6M5!$A$1:$B$160,2,0),"0")</f>
        <v>55</v>
      </c>
      <c r="N7" s="95">
        <f>IFERROR(VLOOKUP(M7,S6M5!$B$1:$C$161,2,0),0)</f>
        <v>55.197613</v>
      </c>
      <c r="O7" s="94">
        <f>IFERROR(VLOOKUP($B7,S6M6!$A$1:$B$160,2,0),"0")</f>
        <v>64</v>
      </c>
      <c r="P7" s="95">
        <f>IFERROR(VLOOKUP(O7,S6M6!$B$1:$C$161,2,0),0)</f>
        <v>91.5452064</v>
      </c>
      <c r="Q7" s="94">
        <f>IFERROR(VLOOKUP($B7,S6M7!$A$1:$B$160,2,0),"0")</f>
        <v>26</v>
      </c>
      <c r="R7" s="95">
        <f>IFERROR(VLOOKUP(Q7,S6M7!$B$1:$C$161,2,0),0)</f>
        <v>497.9770882</v>
      </c>
      <c r="S7" s="94">
        <f>IFERROR(VLOOKUP($B7,S6M8!$A$1:$B$160,2,0),"0")</f>
        <v>4</v>
      </c>
      <c r="T7" s="95">
        <f>IFERROR(VLOOKUP(S7,S6M8!$B$1:$C$161,2,0),0)</f>
        <v>1428.476658</v>
      </c>
      <c r="U7" s="94">
        <f>IFERROR(VLOOKUP($B7,S6M9!$A$1:$B$160,2,0),"0")</f>
        <v>4</v>
      </c>
      <c r="V7" s="95">
        <f>IFERROR(VLOOKUP(U7,S6M9!$B$1:$C$161,2,0),0)</f>
        <v>1402.212127</v>
      </c>
      <c r="W7" s="94">
        <f>IFERROR(VLOOKUP($B7,S6M10!$A$1:$B$160,2,0),"0")</f>
        <v>15</v>
      </c>
      <c r="X7" s="95">
        <f>IFERROR(VLOOKUP(W7,S6M10!$B$1:$C$161,2,0),0)</f>
        <v>746.2752339</v>
      </c>
      <c r="Y7" s="94">
        <f>IFERROR(VLOOKUP($B7,S6M11!$A$1:$B$160,2,0),"0")</f>
        <v>36</v>
      </c>
      <c r="Z7" s="95">
        <f>IFERROR(VLOOKUP(Y7,S6M11!$B$1:$C$161,2,0),0)</f>
        <v>229.2506914</v>
      </c>
      <c r="AA7" s="95">
        <f>IFERROR(VLOOKUP(E7,S6M1!$B$1:$C$161,2,0),0)</f>
        <v>372.283187</v>
      </c>
      <c r="AB7" s="95">
        <f>IFERROR(VLOOKUP(G7,S6M2!$B$1:$C$161,2,0),0)</f>
        <v>331.4516971</v>
      </c>
      <c r="AC7" s="95">
        <f>IFERROR(VLOOKUP(I7,S6M3!$B$1:$C$161,2,0),0)</f>
        <v>2280.948857</v>
      </c>
      <c r="AD7" s="95">
        <f>IFERROR(VLOOKUP(K7,S6M4!$B$1:$C$161,2,0),0)</f>
        <v>221.9892463</v>
      </c>
      <c r="AE7" s="95">
        <f>IFERROR(VLOOKUP(M7,S6M5!$B$1:$C$161,2,0),0)</f>
        <v>55.197613</v>
      </c>
      <c r="AF7" s="95">
        <f>IFERROR(VLOOKUP(O7,S6M6!$B$1:$C$161,2,0),0)</f>
        <v>91.5452064</v>
      </c>
      <c r="AG7" s="95">
        <f>IFERROR(VLOOKUP(Q7,S6M7!$B$1:$C$161,2,0),0)</f>
        <v>497.9770882</v>
      </c>
      <c r="AH7" s="95">
        <f>IFERROR(VLOOKUP(S7,S6M8!$B$1:$C$161,2,0),0)</f>
        <v>1428.476658</v>
      </c>
      <c r="AI7" s="95">
        <f>IFERROR(VLOOKUP(U7,S6M9!$B$1:$C$161,2,0),0)</f>
        <v>1402.212127</v>
      </c>
      <c r="AJ7" s="95">
        <f>IFERROR(VLOOKUP(W7,S6M10!$B$1:$C$161,2,0),0)</f>
        <v>746.2752339</v>
      </c>
      <c r="AK7" s="95">
        <f>IFERROR(VLOOKUP(Y7,S6M11!$B$1:$C$161,2,0),0)</f>
        <v>229.2506914</v>
      </c>
    </row>
    <row r="8">
      <c r="A8" s="92">
        <v>7.0</v>
      </c>
      <c r="B8" s="6" t="s">
        <v>11</v>
      </c>
      <c r="C8" s="93">
        <f t="shared" si="1"/>
        <v>7431.078619</v>
      </c>
      <c r="D8" s="93"/>
      <c r="E8" s="94" t="str">
        <f>IFERROR(VLOOKUP($B8,S6M1!$A$1:$B$160,2,0),"0")</f>
        <v>0</v>
      </c>
      <c r="F8" s="95">
        <f>IFERROR(VLOOKUP(E8,S6M1!$B$1:$C$161,2,0),0)</f>
        <v>0</v>
      </c>
      <c r="G8" s="94">
        <f>IFERROR(VLOOKUP($B8,S6M2!$A$1:$B$160,2,0),"0")</f>
        <v>15</v>
      </c>
      <c r="H8" s="95">
        <f>IFERROR(VLOOKUP(G8,S6M2!$B$1:$C$161,2,0),0)</f>
        <v>887.8756775</v>
      </c>
      <c r="I8" s="94">
        <f>IFERROR(VLOOKUP($B8,S6M3!$A$1:$B$161,2,0),0)</f>
        <v>55</v>
      </c>
      <c r="J8" s="95">
        <f>IFERROR(VLOOKUP(I8,S6M3!$B$1:$C$161,2,0),0)</f>
        <v>182.082012</v>
      </c>
      <c r="K8" s="94">
        <f>IFERROR(VLOOKUP($B8,S6M4!$A$1:$B$160,2,0),"0")</f>
        <v>42</v>
      </c>
      <c r="L8" s="95">
        <f>IFERROR(VLOOKUP(K8,S6M4!$B$1:$C$161,2,0),0)</f>
        <v>325.7098964</v>
      </c>
      <c r="M8" s="94">
        <f>IFERROR(VLOOKUP($B8,S6M5!$A$1:$B$160,2,0),"0")</f>
        <v>7</v>
      </c>
      <c r="N8" s="95">
        <f>IFERROR(VLOOKUP(M8,S6M5!$B$1:$C$161,2,0),0)</f>
        <v>1201.378379</v>
      </c>
      <c r="O8" s="94" t="str">
        <f>IFERROR(VLOOKUP($B8,S6M6!$A$1:$B$160,2,0),"0")</f>
        <v>0</v>
      </c>
      <c r="P8" s="95">
        <f>IFERROR(VLOOKUP(O8,S6M6!$B$1:$C$161,2,0),0)</f>
        <v>0</v>
      </c>
      <c r="Q8" s="94">
        <f>IFERROR(VLOOKUP($B8,S6M7!$A$1:$B$160,2,0),"0")</f>
        <v>1</v>
      </c>
      <c r="R8" s="95">
        <f>IFERROR(VLOOKUP(Q8,S6M7!$B$1:$C$161,2,0),0)</f>
        <v>2128.48472</v>
      </c>
      <c r="S8" s="94">
        <f>IFERROR(VLOOKUP($B8,S6M8!$A$1:$B$160,2,0),"0")</f>
        <v>31</v>
      </c>
      <c r="T8" s="95">
        <f>IFERROR(VLOOKUP(S8,S6M8!$B$1:$C$161,2,0),0)</f>
        <v>402.8921338</v>
      </c>
      <c r="U8" s="94" t="str">
        <f>IFERROR(VLOOKUP($B8,S6M9!$A$1:$B$160,2,0),"0")</f>
        <v>0</v>
      </c>
      <c r="V8" s="95">
        <f>IFERROR(VLOOKUP(U8,S6M9!$B$1:$C$161,2,0),0)</f>
        <v>0</v>
      </c>
      <c r="W8" s="94">
        <f>IFERROR(VLOOKUP($B8,S6M10!$A$1:$B$160,2,0),"0")</f>
        <v>36</v>
      </c>
      <c r="X8" s="95">
        <f>IFERROR(VLOOKUP(W8,S6M10!$B$1:$C$161,2,0),0)</f>
        <v>229.2506914</v>
      </c>
      <c r="Y8" s="94">
        <f>IFERROR(VLOOKUP($B8,S6M11!$A$1:$B$160,2,0),"0")</f>
        <v>1</v>
      </c>
      <c r="Z8" s="95">
        <f>IFERROR(VLOOKUP(Y8,S6M11!$B$1:$C$161,2,0),0)</f>
        <v>2073.405109</v>
      </c>
      <c r="AA8" s="95">
        <f>IFERROR(VLOOKUP(E8,S6M1!$B$1:$C$161,2,0),0)</f>
        <v>0</v>
      </c>
      <c r="AB8" s="95">
        <f>IFERROR(VLOOKUP(G8,S6M2!$B$1:$C$161,2,0),0)</f>
        <v>887.8756775</v>
      </c>
      <c r="AC8" s="95">
        <f>IFERROR(VLOOKUP(I8,S6M3!$B$1:$C$161,2,0),0)</f>
        <v>182.082012</v>
      </c>
      <c r="AD8" s="95">
        <f>IFERROR(VLOOKUP(K8,S6M4!$B$1:$C$161,2,0),0)</f>
        <v>325.7098964</v>
      </c>
      <c r="AE8" s="95">
        <f>IFERROR(VLOOKUP(M8,S6M5!$B$1:$C$161,2,0),0)</f>
        <v>1201.378379</v>
      </c>
      <c r="AF8" s="95">
        <f>IFERROR(VLOOKUP(O8,S6M6!$B$1:$C$161,2,0),0)</f>
        <v>0</v>
      </c>
      <c r="AG8" s="95">
        <f>IFERROR(VLOOKUP(Q8,S6M7!$B$1:$C$161,2,0),0)</f>
        <v>2128.48472</v>
      </c>
      <c r="AH8" s="95">
        <f>IFERROR(VLOOKUP(S8,S6M8!$B$1:$C$161,2,0),0)</f>
        <v>402.8921338</v>
      </c>
      <c r="AI8" s="95">
        <f>IFERROR(VLOOKUP(U8,S6M9!$B$1:$C$161,2,0),0)</f>
        <v>0</v>
      </c>
      <c r="AJ8" s="95">
        <f>IFERROR(VLOOKUP(W8,S6M10!$B$1:$C$161,2,0),0)</f>
        <v>229.2506914</v>
      </c>
      <c r="AK8" s="95">
        <f>IFERROR(VLOOKUP(Y8,S6M11!$B$1:$C$161,2,0),0)</f>
        <v>2073.405109</v>
      </c>
    </row>
    <row r="9">
      <c r="A9" s="92">
        <v>8.0</v>
      </c>
      <c r="B9" s="6" t="s">
        <v>35</v>
      </c>
      <c r="C9" s="93">
        <f t="shared" si="1"/>
        <v>7201.63488</v>
      </c>
      <c r="D9" s="93"/>
      <c r="E9" s="94">
        <f>IFERROR(VLOOKUP($B9,S6M1!$A$1:$B$160,2,0),"0")</f>
        <v>4</v>
      </c>
      <c r="F9" s="95">
        <f>IFERROR(VLOOKUP(E9,S6M1!$B$1:$C$161,2,0),0)</f>
        <v>1374.486387</v>
      </c>
      <c r="G9" s="94" t="str">
        <f>IFERROR(VLOOKUP($B9,S6M2!$A$1:$B$160,2,0),"0")</f>
        <v>0</v>
      </c>
      <c r="H9" s="95">
        <f>IFERROR(VLOOKUP(G9,S6M2!$B$1:$C$161,2,0),0)</f>
        <v>0</v>
      </c>
      <c r="I9" s="94">
        <f>IFERROR(VLOOKUP($B9,S6M3!$A$1:$B$161,2,0),0)</f>
        <v>6</v>
      </c>
      <c r="J9" s="95">
        <f>IFERROR(VLOOKUP(I9,S6M3!$B$1:$C$161,2,0),0)</f>
        <v>1351.788098</v>
      </c>
      <c r="K9" s="94">
        <f>IFERROR(VLOOKUP($B9,S6M4!$A$1:$B$160,2,0),"0")</f>
        <v>46</v>
      </c>
      <c r="L9" s="95">
        <f>IFERROR(VLOOKUP(K9,S6M4!$B$1:$C$161,2,0),0)</f>
        <v>265.3215789</v>
      </c>
      <c r="M9" s="94">
        <f>IFERROR(VLOOKUP($B9,S6M5!$A$1:$B$160,2,0),"0")</f>
        <v>50</v>
      </c>
      <c r="N9" s="95">
        <f>IFERROR(VLOOKUP(M9,S6M5!$B$1:$C$161,2,0),0)</f>
        <v>127.1894199</v>
      </c>
      <c r="O9" s="94">
        <f>IFERROR(VLOOKUP($B9,S6M6!$A$1:$B$160,2,0),"0")</f>
        <v>54</v>
      </c>
      <c r="P9" s="95">
        <f>IFERROR(VLOOKUP(O9,S6M6!$B$1:$C$161,2,0),0)</f>
        <v>214.9139864</v>
      </c>
      <c r="Q9" s="94">
        <f>IFERROR(VLOOKUP($B9,S6M7!$A$1:$B$160,2,0),"0")</f>
        <v>2</v>
      </c>
      <c r="R9" s="95">
        <f>IFERROR(VLOOKUP(Q9,S6M7!$B$1:$C$161,2,0),0)</f>
        <v>1756.064696</v>
      </c>
      <c r="S9" s="94" t="str">
        <f>IFERROR(VLOOKUP($B9,S6M8!$A$1:$B$160,2,0),"0")</f>
        <v>0</v>
      </c>
      <c r="T9" s="95">
        <f>IFERROR(VLOOKUP(S9,S6M8!$B$1:$C$161,2,0),0)</f>
        <v>0</v>
      </c>
      <c r="U9" s="94">
        <f>IFERROR(VLOOKUP($B9,S6M9!$A$1:$B$160,2,0),"0")</f>
        <v>39</v>
      </c>
      <c r="V9" s="95">
        <f>IFERROR(VLOOKUP(U9,S6M9!$B$1:$C$161,2,0),0)</f>
        <v>214.9139864</v>
      </c>
      <c r="W9" s="94">
        <f>IFERROR(VLOOKUP($B9,S6M10!$A$1:$B$160,2,0),"0")</f>
        <v>14</v>
      </c>
      <c r="X9" s="95">
        <f>IFERROR(VLOOKUP(W9,S6M10!$B$1:$C$161,2,0),0)</f>
        <v>781.5899428</v>
      </c>
      <c r="Y9" s="94">
        <f>IFERROR(VLOOKUP($B9,S6M11!$A$1:$B$160,2,0),"0")</f>
        <v>7</v>
      </c>
      <c r="Z9" s="95">
        <f>IFERROR(VLOOKUP(Y9,S6M11!$B$1:$C$161,2,0),0)</f>
        <v>1115.366785</v>
      </c>
      <c r="AA9" s="95">
        <f>IFERROR(VLOOKUP(E9,S6M1!$B$1:$C$161,2,0),0)</f>
        <v>1374.486387</v>
      </c>
      <c r="AB9" s="95">
        <f>IFERROR(VLOOKUP(G9,S6M2!$B$1:$C$161,2,0),0)</f>
        <v>0</v>
      </c>
      <c r="AC9" s="95">
        <f>IFERROR(VLOOKUP(I9,S6M3!$B$1:$C$161,2,0),0)</f>
        <v>1351.788098</v>
      </c>
      <c r="AD9" s="95">
        <f>IFERROR(VLOOKUP(K9,S6M4!$B$1:$C$161,2,0),0)</f>
        <v>265.3215789</v>
      </c>
      <c r="AE9" s="95">
        <f>IFERROR(VLOOKUP(M9,S6M5!$B$1:$C$161,2,0),0)</f>
        <v>127.1894199</v>
      </c>
      <c r="AF9" s="95">
        <f>IFERROR(VLOOKUP(O9,S6M6!$B$1:$C$161,2,0),0)</f>
        <v>214.9139864</v>
      </c>
      <c r="AG9" s="95">
        <f>IFERROR(VLOOKUP(Q9,S6M7!$B$1:$C$161,2,0),0)</f>
        <v>1756.064696</v>
      </c>
      <c r="AH9" s="95">
        <f>IFERROR(VLOOKUP(S9,S6M8!$B$1:$C$161,2,0),0)</f>
        <v>0</v>
      </c>
      <c r="AI9" s="95">
        <f>IFERROR(VLOOKUP(U9,S6M9!$B$1:$C$161,2,0),0)</f>
        <v>214.9139864</v>
      </c>
      <c r="AJ9" s="95">
        <f>IFERROR(VLOOKUP(W9,S6M10!$B$1:$C$161,2,0),0)</f>
        <v>781.5899428</v>
      </c>
      <c r="AK9" s="95">
        <f>IFERROR(VLOOKUP(Y9,S6M11!$B$1:$C$161,2,0),0)</f>
        <v>1115.366785</v>
      </c>
    </row>
    <row r="10">
      <c r="A10" s="92">
        <v>9.0</v>
      </c>
      <c r="B10" s="6" t="s">
        <v>23</v>
      </c>
      <c r="C10" s="93">
        <f t="shared" si="1"/>
        <v>7021.314147</v>
      </c>
      <c r="D10" s="93"/>
      <c r="E10" s="94">
        <f>IFERROR(VLOOKUP($B10,S6M1!$A$1:$B$160,2,0),"0")</f>
        <v>44</v>
      </c>
      <c r="F10" s="95">
        <f>IFERROR(VLOOKUP(E10,S6M1!$B$1:$C$161,2,0),0)</f>
        <v>83.85901602</v>
      </c>
      <c r="G10" s="94">
        <f>IFERROR(VLOOKUP($B10,S6M2!$A$1:$B$160,2,0),"0")</f>
        <v>45</v>
      </c>
      <c r="H10" s="95">
        <f>IFERROR(VLOOKUP(G10,S6M2!$B$1:$C$161,2,0),0)</f>
        <v>269.8558497</v>
      </c>
      <c r="I10" s="94">
        <f>IFERROR(VLOOKUP($B10,S6M3!$A$1:$B$161,2,0),0)</f>
        <v>32</v>
      </c>
      <c r="J10" s="95">
        <f>IFERROR(VLOOKUP(I10,S6M3!$B$1:$C$161,2,0),0)</f>
        <v>528.1564149</v>
      </c>
      <c r="K10" s="94">
        <f>IFERROR(VLOOKUP($B10,S6M4!$A$1:$B$160,2,0),"0")</f>
        <v>1</v>
      </c>
      <c r="L10" s="95">
        <f>IFERROR(VLOOKUP(K10,S6M4!$B$1:$C$161,2,0),0)</f>
        <v>2245.66718</v>
      </c>
      <c r="M10" s="94">
        <f>IFERROR(VLOOKUP($B10,S6M5!$A$1:$B$160,2,0),"0")</f>
        <v>18</v>
      </c>
      <c r="N10" s="95">
        <f>IFERROR(VLOOKUP(M10,S6M5!$B$1:$C$161,2,0),0)</f>
        <v>748.0260264</v>
      </c>
      <c r="O10" s="94">
        <f>IFERROR(VLOOKUP($B10,S6M6!$A$1:$B$160,2,0),"0")</f>
        <v>46</v>
      </c>
      <c r="P10" s="95">
        <f>IFERROR(VLOOKUP(O10,S6M6!$B$1:$C$161,2,0),0)</f>
        <v>323.1279346</v>
      </c>
      <c r="Q10" s="94">
        <f>IFERROR(VLOOKUP($B10,S6M7!$A$1:$B$160,2,0),"0")</f>
        <v>44</v>
      </c>
      <c r="R10" s="95">
        <f>IFERROR(VLOOKUP(Q10,S6M7!$B$1:$C$161,2,0),0)</f>
        <v>155.9306531</v>
      </c>
      <c r="S10" s="94">
        <f>IFERROR(VLOOKUP($B10,S6M8!$A$1:$B$160,2,0),"0")</f>
        <v>2</v>
      </c>
      <c r="T10" s="95">
        <f>IFERROR(VLOOKUP(S10,S6M8!$B$1:$C$161,2,0),0)</f>
        <v>1765.372433</v>
      </c>
      <c r="U10" s="94" t="str">
        <f>IFERROR(VLOOKUP($B10,S6M9!$A$1:$B$160,2,0),"0")</f>
        <v>0</v>
      </c>
      <c r="V10" s="95">
        <f>IFERROR(VLOOKUP(U10,S6M9!$B$1:$C$161,2,0),0)</f>
        <v>0</v>
      </c>
      <c r="W10" s="94">
        <f>IFERROR(VLOOKUP($B10,S6M10!$A$1:$B$160,2,0),"0")</f>
        <v>47</v>
      </c>
      <c r="X10" s="95">
        <f>IFERROR(VLOOKUP(W10,S6M10!$B$1:$C$161,2,0),0)</f>
        <v>32.99502473</v>
      </c>
      <c r="Y10" s="94">
        <f>IFERROR(VLOOKUP($B10,S6M11!$A$1:$B$160,2,0),"0")</f>
        <v>11</v>
      </c>
      <c r="Z10" s="95">
        <f>IFERROR(VLOOKUP(Y10,S6M11!$B$1:$C$161,2,0),0)</f>
        <v>901.3186391</v>
      </c>
      <c r="AA10" s="95">
        <f>IFERROR(VLOOKUP(E10,S6M1!$B$1:$C$161,2,0),0)</f>
        <v>83.85901602</v>
      </c>
      <c r="AB10" s="95">
        <f>IFERROR(VLOOKUP(G10,S6M2!$B$1:$C$161,2,0),0)</f>
        <v>269.8558497</v>
      </c>
      <c r="AC10" s="95">
        <f>IFERROR(VLOOKUP(I10,S6M3!$B$1:$C$161,2,0),0)</f>
        <v>528.1564149</v>
      </c>
      <c r="AD10" s="95">
        <f>IFERROR(VLOOKUP(K10,S6M4!$B$1:$C$161,2,0),0)</f>
        <v>2245.66718</v>
      </c>
      <c r="AE10" s="95">
        <f>IFERROR(VLOOKUP(M10,S6M5!$B$1:$C$161,2,0),0)</f>
        <v>748.0260264</v>
      </c>
      <c r="AF10" s="95">
        <f>IFERROR(VLOOKUP(O10,S6M6!$B$1:$C$161,2,0),0)</f>
        <v>323.1279346</v>
      </c>
      <c r="AG10" s="95">
        <f>IFERROR(VLOOKUP(Q10,S6M7!$B$1:$C$161,2,0),0)</f>
        <v>155.9306531</v>
      </c>
      <c r="AH10" s="95">
        <f>IFERROR(VLOOKUP(S10,S6M8!$B$1:$C$161,2,0),0)</f>
        <v>1765.372433</v>
      </c>
      <c r="AI10" s="95">
        <f>IFERROR(VLOOKUP(U10,S6M9!$B$1:$C$161,2,0),0)</f>
        <v>0</v>
      </c>
      <c r="AJ10" s="95">
        <f>IFERROR(VLOOKUP(W10,S6M10!$B$1:$C$161,2,0),0)</f>
        <v>32.99502473</v>
      </c>
      <c r="AK10" s="95">
        <f>IFERROR(VLOOKUP(Y10,S6M11!$B$1:$C$161,2,0),0)</f>
        <v>901.3186391</v>
      </c>
    </row>
    <row r="11">
      <c r="A11" s="92">
        <v>10.0</v>
      </c>
      <c r="B11" s="6" t="s">
        <v>9</v>
      </c>
      <c r="C11" s="93">
        <f t="shared" si="1"/>
        <v>6848.880839</v>
      </c>
      <c r="D11" s="93"/>
      <c r="E11" s="94" t="str">
        <f>IFERROR(VLOOKUP($B11,S6M1!$A$1:$B$160,2,0),"0")</f>
        <v>0</v>
      </c>
      <c r="F11" s="95">
        <f>IFERROR(VLOOKUP(E11,S6M1!$B$1:$C$161,2,0),0)</f>
        <v>0</v>
      </c>
      <c r="G11" s="94">
        <f>IFERROR(VLOOKUP($B11,S6M2!$A$1:$B$160,2,0),"0")</f>
        <v>61</v>
      </c>
      <c r="H11" s="95">
        <f>IFERROR(VLOOKUP(G11,S6M2!$B$1:$C$161,2,0),0)</f>
        <v>50.01871175</v>
      </c>
      <c r="I11" s="94">
        <f>IFERROR(VLOOKUP($B11,S6M3!$A$1:$B$161,2,0),0)</f>
        <v>24</v>
      </c>
      <c r="J11" s="95">
        <f>IFERROR(VLOOKUP(I11,S6M3!$B$1:$C$161,2,0),0)</f>
        <v>687.0233191</v>
      </c>
      <c r="K11" s="94">
        <f>IFERROR(VLOOKUP($B11,S6M4!$A$1:$B$160,2,0),"0")</f>
        <v>36</v>
      </c>
      <c r="L11" s="95">
        <f>IFERROR(VLOOKUP(K11,S6M4!$B$1:$C$161,2,0),0)</f>
        <v>423.133748</v>
      </c>
      <c r="M11" s="94">
        <f>IFERROR(VLOOKUP($B11,S6M5!$A$1:$B$160,2,0),"0")</f>
        <v>14</v>
      </c>
      <c r="N11" s="95">
        <f>IFERROR(VLOOKUP(M11,S6M5!$B$1:$C$161,2,0),0)</f>
        <v>874.2416301</v>
      </c>
      <c r="O11" s="94">
        <f>IFERROR(VLOOKUP($B11,S6M6!$A$1:$B$160,2,0),"0")</f>
        <v>38</v>
      </c>
      <c r="P11" s="95">
        <f>IFERROR(VLOOKUP(O11,S6M6!$B$1:$C$161,2,0),0)</f>
        <v>443.2243712</v>
      </c>
      <c r="Q11" s="94" t="str">
        <f>IFERROR(VLOOKUP($B11,S6M7!$A$1:$B$160,2,0),"0")</f>
        <v>0</v>
      </c>
      <c r="R11" s="95">
        <f>IFERROR(VLOOKUP(Q11,S6M7!$B$1:$C$161,2,0),0)</f>
        <v>0</v>
      </c>
      <c r="S11" s="94">
        <f>IFERROR(VLOOKUP($B11,S6M8!$A$1:$B$160,2,0),"0")</f>
        <v>9</v>
      </c>
      <c r="T11" s="95">
        <f>IFERROR(VLOOKUP(S11,S6M8!$B$1:$C$161,2,0),0)</f>
        <v>1051.99863</v>
      </c>
      <c r="U11" s="94">
        <f>IFERROR(VLOOKUP($B11,S6M9!$A$1:$B$160,2,0),"0")</f>
        <v>20</v>
      </c>
      <c r="V11" s="95">
        <f>IFERROR(VLOOKUP(U11,S6M9!$B$1:$C$161,2,0),0)</f>
        <v>625.1438437</v>
      </c>
      <c r="W11" s="94">
        <f>IFERROR(VLOOKUP($B11,S6M10!$A$1:$B$160,2,0),"0")</f>
        <v>1</v>
      </c>
      <c r="X11" s="95">
        <f>IFERROR(VLOOKUP(W11,S6M10!$B$1:$C$161,2,0),0)</f>
        <v>2073.405109</v>
      </c>
      <c r="Y11" s="94">
        <f>IFERROR(VLOOKUP($B11,S6M11!$A$1:$B$160,2,0),"0")</f>
        <v>19</v>
      </c>
      <c r="Z11" s="95">
        <f>IFERROR(VLOOKUP(Y11,S6M11!$B$1:$C$161,2,0),0)</f>
        <v>620.6914763</v>
      </c>
      <c r="AA11" s="95">
        <f>IFERROR(VLOOKUP(E11,S6M1!$B$1:$C$161,2,0),0)</f>
        <v>0</v>
      </c>
      <c r="AB11" s="95">
        <f>IFERROR(VLOOKUP(G11,S6M2!$B$1:$C$161,2,0),0)</f>
        <v>50.01871175</v>
      </c>
      <c r="AC11" s="95">
        <f>IFERROR(VLOOKUP(I11,S6M3!$B$1:$C$161,2,0),0)</f>
        <v>687.0233191</v>
      </c>
      <c r="AD11" s="95">
        <f>IFERROR(VLOOKUP(K11,S6M4!$B$1:$C$161,2,0),0)</f>
        <v>423.133748</v>
      </c>
      <c r="AE11" s="95">
        <f>IFERROR(VLOOKUP(M11,S6M5!$B$1:$C$161,2,0),0)</f>
        <v>874.2416301</v>
      </c>
      <c r="AF11" s="95">
        <f>IFERROR(VLOOKUP(O11,S6M6!$B$1:$C$161,2,0),0)</f>
        <v>443.2243712</v>
      </c>
      <c r="AG11" s="95">
        <f>IFERROR(VLOOKUP(Q11,S6M7!$B$1:$C$161,2,0),0)</f>
        <v>0</v>
      </c>
      <c r="AH11" s="95">
        <f>IFERROR(VLOOKUP(S11,S6M8!$B$1:$C$161,2,0),0)</f>
        <v>1051.99863</v>
      </c>
      <c r="AI11" s="95">
        <f>IFERROR(VLOOKUP(U11,S6M9!$B$1:$C$161,2,0),0)</f>
        <v>625.1438437</v>
      </c>
      <c r="AJ11" s="95">
        <f>IFERROR(VLOOKUP(W11,S6M10!$B$1:$C$161,2,0),0)</f>
        <v>2073.405109</v>
      </c>
      <c r="AK11" s="95">
        <f>IFERROR(VLOOKUP(Y11,S6M11!$B$1:$C$161,2,0),0)</f>
        <v>620.6914763</v>
      </c>
    </row>
    <row r="12">
      <c r="A12" s="92">
        <v>11.0</v>
      </c>
      <c r="B12" s="6" t="s">
        <v>19</v>
      </c>
      <c r="C12" s="93">
        <f t="shared" si="1"/>
        <v>6846.233397</v>
      </c>
      <c r="D12" s="93"/>
      <c r="E12" s="94">
        <f>IFERROR(VLOOKUP($B12,S6M1!$A$1:$B$160,2,0),"0")</f>
        <v>46</v>
      </c>
      <c r="F12" s="95">
        <f>IFERROR(VLOOKUP(E12,S6M1!$B$1:$C$161,2,0),0)</f>
        <v>49.75935289</v>
      </c>
      <c r="G12" s="94">
        <f>IFERROR(VLOOKUP($B12,S6M2!$A$1:$B$160,2,0),"0")</f>
        <v>32</v>
      </c>
      <c r="H12" s="95">
        <f>IFERROR(VLOOKUP(G12,S6M2!$B$1:$C$161,2,0),0)</f>
        <v>484.8768111</v>
      </c>
      <c r="I12" s="94">
        <f>IFERROR(VLOOKUP($B12,S6M3!$A$1:$B$161,2,0),0)</f>
        <v>30</v>
      </c>
      <c r="J12" s="95">
        <f>IFERROR(VLOOKUP(I12,S6M3!$B$1:$C$161,2,0),0)</f>
        <v>564.9969906</v>
      </c>
      <c r="K12" s="94">
        <f>IFERROR(VLOOKUP($B12,S6M4!$A$1:$B$160,2,0),"0")</f>
        <v>26</v>
      </c>
      <c r="L12" s="95">
        <f>IFERROR(VLOOKUP(K12,S6M4!$B$1:$C$161,2,0),0)</f>
        <v>611.9961495</v>
      </c>
      <c r="M12" s="94">
        <f>IFERROR(VLOOKUP($B12,S6M5!$A$1:$B$160,2,0),"0")</f>
        <v>13</v>
      </c>
      <c r="N12" s="95">
        <f>IFERROR(VLOOKUP(M12,S6M5!$B$1:$C$161,2,0),0)</f>
        <v>910.3805527</v>
      </c>
      <c r="O12" s="94">
        <f>IFERROR(VLOOKUP($B12,S6M6!$A$1:$B$160,2,0),"0")</f>
        <v>5</v>
      </c>
      <c r="P12" s="95">
        <f>IFERROR(VLOOKUP(O12,S6M6!$B$1:$C$161,2,0),0)</f>
        <v>1450.183356</v>
      </c>
      <c r="Q12" s="94">
        <f>IFERROR(VLOOKUP($B12,S6M7!$A$1:$B$160,2,0),"0")</f>
        <v>22</v>
      </c>
      <c r="R12" s="95">
        <f>IFERROR(VLOOKUP(Q12,S6M7!$B$1:$C$161,2,0),0)</f>
        <v>593.3882949</v>
      </c>
      <c r="S12" s="94">
        <f>IFERROR(VLOOKUP($B12,S6M8!$A$1:$B$160,2,0),"0")</f>
        <v>28</v>
      </c>
      <c r="T12" s="95">
        <f>IFERROR(VLOOKUP(S12,S6M8!$B$1:$C$161,2,0),0)</f>
        <v>464.9349843</v>
      </c>
      <c r="U12" s="94">
        <f>IFERROR(VLOOKUP($B12,S6M9!$A$1:$B$160,2,0),"0")</f>
        <v>44</v>
      </c>
      <c r="V12" s="95">
        <f>IFERROR(VLOOKUP(U12,S6M9!$B$1:$C$161,2,0),0)</f>
        <v>128.3258936</v>
      </c>
      <c r="W12" s="94">
        <f>IFERROR(VLOOKUP($B12,S6M10!$A$1:$B$160,2,0),"0")</f>
        <v>7</v>
      </c>
      <c r="X12" s="95">
        <f>IFERROR(VLOOKUP(W12,S6M10!$B$1:$C$161,2,0),0)</f>
        <v>1115.366785</v>
      </c>
      <c r="Y12" s="94">
        <f>IFERROR(VLOOKUP($B12,S6M11!$A$1:$B$160,2,0),"0")</f>
        <v>18</v>
      </c>
      <c r="Z12" s="95">
        <f>IFERROR(VLOOKUP(Y12,S6M11!$B$1:$C$161,2,0),0)</f>
        <v>650.1094733</v>
      </c>
      <c r="AA12" s="97">
        <f>IFERROR(VLOOKUP(E12,S6M1!$B$1:$C$161,2,0),0)</f>
        <v>49.75935289</v>
      </c>
      <c r="AB12" s="97">
        <f>IFERROR(VLOOKUP(G12,S6M2!$B$1:$C$161,2,0),0)</f>
        <v>484.8768111</v>
      </c>
      <c r="AC12" s="97">
        <f>IFERROR(VLOOKUP(I12,S6M3!$B$1:$C$161,2,0),0)</f>
        <v>564.9969906</v>
      </c>
      <c r="AD12" s="97">
        <f>IFERROR(VLOOKUP(K12,S6M4!$B$1:$C$161,2,0),0)</f>
        <v>611.9961495</v>
      </c>
      <c r="AE12" s="97">
        <f>IFERROR(VLOOKUP(M12,S6M5!$B$1:$C$161,2,0),0)</f>
        <v>910.3805527</v>
      </c>
      <c r="AF12" s="97">
        <f>IFERROR(VLOOKUP(O12,S6M6!$B$1:$C$161,2,0),0)</f>
        <v>1450.183356</v>
      </c>
      <c r="AG12" s="97">
        <f>IFERROR(VLOOKUP(Q12,S6M7!$B$1:$C$161,2,0),0)</f>
        <v>593.3882949</v>
      </c>
      <c r="AH12" s="97">
        <f>IFERROR(VLOOKUP(S12,S6M8!$B$1:$C$161,2,0),0)</f>
        <v>464.9349843</v>
      </c>
      <c r="AI12" s="97">
        <f>IFERROR(VLOOKUP(U12,S6M9!$B$1:$C$161,2,0),0)</f>
        <v>128.3258936</v>
      </c>
      <c r="AJ12" s="97">
        <f>IFERROR(VLOOKUP(W12,S6M10!$B$1:$C$161,2,0),0)</f>
        <v>1115.366785</v>
      </c>
      <c r="AK12" s="97">
        <f>IFERROR(VLOOKUP(Y12,S6M11!$B$1:$C$161,2,0),0)</f>
        <v>650.1094733</v>
      </c>
    </row>
    <row r="13">
      <c r="A13" s="92">
        <v>12.0</v>
      </c>
      <c r="B13" s="6" t="s">
        <v>22</v>
      </c>
      <c r="C13" s="93">
        <f t="shared" si="1"/>
        <v>6671.103537</v>
      </c>
      <c r="D13" s="93"/>
      <c r="E13" s="94" t="str">
        <f>IFERROR(VLOOKUP($B13,S6M1!$A$1:$B$160,2,0),"0")</f>
        <v>0</v>
      </c>
      <c r="F13" s="95">
        <f>IFERROR(VLOOKUP(E13,S6M1!$B$1:$C$161,2,0),0)</f>
        <v>0</v>
      </c>
      <c r="G13" s="94">
        <f>IFERROR(VLOOKUP($B13,S6M2!$A$1:$B$160,2,0),"0")</f>
        <v>3</v>
      </c>
      <c r="H13" s="95">
        <f>IFERROR(VLOOKUP(G13,S6M2!$B$1:$C$161,2,0),0)</f>
        <v>1646.327927</v>
      </c>
      <c r="I13" s="94">
        <f>IFERROR(VLOOKUP($B13,S6M3!$A$1:$B$161,2,0),0)</f>
        <v>22</v>
      </c>
      <c r="J13" s="95">
        <f>IFERROR(VLOOKUP(I13,S6M3!$B$1:$C$161,2,0),0)</f>
        <v>732.6592282</v>
      </c>
      <c r="K13" s="94">
        <f>IFERROR(VLOOKUP($B13,S6M4!$A$1:$B$160,2,0),"0")</f>
        <v>38</v>
      </c>
      <c r="L13" s="95">
        <f>IFERROR(VLOOKUP(K13,S6M4!$B$1:$C$161,2,0),0)</f>
        <v>389.6226246</v>
      </c>
      <c r="M13" s="94">
        <f>IFERROR(VLOOKUP($B13,S6M5!$A$1:$B$160,2,0),"0")</f>
        <v>2</v>
      </c>
      <c r="N13" s="95">
        <f>IFERROR(VLOOKUP(M13,S6M5!$B$1:$C$161,2,0),0)</f>
        <v>1801.22653</v>
      </c>
      <c r="O13" s="94">
        <f>IFERROR(VLOOKUP($B13,S6M6!$A$1:$B$160,2,0),"0")</f>
        <v>35</v>
      </c>
      <c r="P13" s="95">
        <f>IFERROR(VLOOKUP(O13,S6M6!$B$1:$C$161,2,0),0)</f>
        <v>492.3515706</v>
      </c>
      <c r="Q13" s="94" t="str">
        <f>IFERROR(VLOOKUP($B13,S6M7!$A$1:$B$160,2,0),"0")</f>
        <v>0</v>
      </c>
      <c r="R13" s="95">
        <f>IFERROR(VLOOKUP(Q13,S6M7!$B$1:$C$161,2,0),0)</f>
        <v>0</v>
      </c>
      <c r="S13" s="94">
        <f>IFERROR(VLOOKUP($B13,S6M8!$A$1:$B$160,2,0),"0")</f>
        <v>15</v>
      </c>
      <c r="T13" s="95">
        <f>IFERROR(VLOOKUP(S13,S6M8!$B$1:$C$161,2,0),0)</f>
        <v>805.109862</v>
      </c>
      <c r="U13" s="94">
        <f>IFERROR(VLOOKUP($B13,S6M9!$A$1:$B$160,2,0),"0")</f>
        <v>29</v>
      </c>
      <c r="V13" s="95">
        <f>IFERROR(VLOOKUP(U13,S6M9!$B$1:$C$161,2,0),0)</f>
        <v>409.4640859</v>
      </c>
      <c r="W13" s="94">
        <f>IFERROR(VLOOKUP($B13,S6M10!$A$1:$B$160,2,0),"0")</f>
        <v>28</v>
      </c>
      <c r="X13" s="95">
        <f>IFERROR(VLOOKUP(W13,S6M10!$B$1:$C$161,2,0),0)</f>
        <v>394.3417086</v>
      </c>
      <c r="Y13" s="94" t="str">
        <f>IFERROR(VLOOKUP($B13,S6M11!$A$1:$B$160,2,0),"0")</f>
        <v>0</v>
      </c>
      <c r="Z13" s="95">
        <f>IFERROR(VLOOKUP(Y13,S6M11!$B$1:$C$161,2,0),0)</f>
        <v>0</v>
      </c>
      <c r="AA13" s="95">
        <f>IFERROR(VLOOKUP(E13,S6M1!$B$1:$C$161,2,0),0)</f>
        <v>0</v>
      </c>
      <c r="AB13" s="95">
        <f>IFERROR(VLOOKUP(G13,S6M2!$B$1:$C$161,2,0),0)</f>
        <v>1646.327927</v>
      </c>
      <c r="AC13" s="95">
        <f>IFERROR(VLOOKUP(I13,S6M3!$B$1:$C$161,2,0),0)</f>
        <v>732.6592282</v>
      </c>
      <c r="AD13" s="95">
        <f>IFERROR(VLOOKUP(K13,S6M4!$B$1:$C$161,2,0),0)</f>
        <v>389.6226246</v>
      </c>
      <c r="AE13" s="95">
        <f>IFERROR(VLOOKUP(M13,S6M5!$B$1:$C$161,2,0),0)</f>
        <v>1801.22653</v>
      </c>
      <c r="AF13" s="95">
        <f>IFERROR(VLOOKUP(O13,S6M6!$B$1:$C$161,2,0),0)</f>
        <v>492.3515706</v>
      </c>
      <c r="AG13" s="95">
        <f>IFERROR(VLOOKUP(Q13,S6M7!$B$1:$C$161,2,0),0)</f>
        <v>0</v>
      </c>
      <c r="AH13" s="95">
        <f>IFERROR(VLOOKUP(S13,S6M8!$B$1:$C$161,2,0),0)</f>
        <v>805.109862</v>
      </c>
      <c r="AI13" s="95">
        <f>IFERROR(VLOOKUP(U13,S6M9!$B$1:$C$161,2,0),0)</f>
        <v>409.4640859</v>
      </c>
      <c r="AJ13" s="95">
        <f>IFERROR(VLOOKUP(W13,S6M10!$B$1:$C$161,2,0),0)</f>
        <v>394.3417086</v>
      </c>
      <c r="AK13" s="95">
        <f>IFERROR(VLOOKUP(Y13,S6M11!$B$1:$C$161,2,0),0)</f>
        <v>0</v>
      </c>
    </row>
    <row r="14">
      <c r="A14" s="92">
        <v>13.0</v>
      </c>
      <c r="B14" s="6" t="s">
        <v>12</v>
      </c>
      <c r="C14" s="93">
        <f t="shared" si="1"/>
        <v>6635.743676</v>
      </c>
      <c r="D14" s="93"/>
      <c r="E14" s="94">
        <f>IFERROR(VLOOKUP($B14,S6M1!$A$1:$B$160,2,0),"0")</f>
        <v>26</v>
      </c>
      <c r="F14" s="95">
        <f>IFERROR(VLOOKUP(E14,S6M1!$B$1:$C$161,2,0),0)</f>
        <v>439.9744185</v>
      </c>
      <c r="G14" s="94">
        <f>IFERROR(VLOOKUP($B14,S6M2!$A$1:$B$160,2,0),"0")</f>
        <v>49</v>
      </c>
      <c r="H14" s="95">
        <f>IFERROR(VLOOKUP(G14,S6M2!$B$1:$C$161,2,0),0)</f>
        <v>211.3371917</v>
      </c>
      <c r="I14" s="94">
        <f>IFERROR(VLOOKUP($B14,S6M3!$A$1:$B$161,2,0),0)</f>
        <v>40</v>
      </c>
      <c r="J14" s="95">
        <f>IFERROR(VLOOKUP(I14,S6M3!$B$1:$C$161,2,0),0)</f>
        <v>394.3417086</v>
      </c>
      <c r="K14" s="94">
        <f>IFERROR(VLOOKUP($B14,S6M4!$A$1:$B$160,2,0),"0")</f>
        <v>15</v>
      </c>
      <c r="L14" s="95">
        <f>IFERROR(VLOOKUP(K14,S6M4!$B$1:$C$161,2,0),0)</f>
        <v>895.3222896</v>
      </c>
      <c r="M14" s="94">
        <f>IFERROR(VLOOKUP($B14,S6M5!$A$1:$B$160,2,0),"0")</f>
        <v>8</v>
      </c>
      <c r="N14" s="95">
        <f>IFERROR(VLOOKUP(M14,S6M5!$B$1:$C$161,2,0),0)</f>
        <v>1139.590073</v>
      </c>
      <c r="O14" s="94">
        <f>IFERROR(VLOOKUP($B14,S6M6!$A$1:$B$160,2,0),"0")</f>
        <v>24</v>
      </c>
      <c r="P14" s="95">
        <f>IFERROR(VLOOKUP(O14,S6M6!$B$1:$C$161,2,0),0)</f>
        <v>701.9061402</v>
      </c>
      <c r="Q14" s="94">
        <f>IFERROR(VLOOKUP($B14,S6M7!$A$1:$B$160,2,0),"0")</f>
        <v>7</v>
      </c>
      <c r="R14" s="95">
        <f>IFERROR(VLOOKUP(Q14,S6M7!$B$1:$C$161,2,0),0)</f>
        <v>1160.427508</v>
      </c>
      <c r="S14" s="94" t="str">
        <f>IFERROR(VLOOKUP($B14,S6M8!$A$1:$B$160,2,0),"0")</f>
        <v>0</v>
      </c>
      <c r="T14" s="95">
        <f>IFERROR(VLOOKUP(S14,S6M8!$B$1:$C$161,2,0),0)</f>
        <v>0</v>
      </c>
      <c r="U14" s="94">
        <f>IFERROR(VLOOKUP($B14,S6M9!$A$1:$B$160,2,0),"0")</f>
        <v>5</v>
      </c>
      <c r="V14" s="95">
        <f>IFERROR(VLOOKUP(U14,S6M9!$B$1:$C$161,2,0),0)</f>
        <v>1298.502638</v>
      </c>
      <c r="W14" s="94" t="str">
        <f>IFERROR(VLOOKUP($B14,S6M10!$A$1:$B$160,2,0),"0")</f>
        <v>0</v>
      </c>
      <c r="X14" s="95">
        <f>IFERROR(VLOOKUP(W14,S6M10!$B$1:$C$161,2,0),0)</f>
        <v>0</v>
      </c>
      <c r="Y14" s="94">
        <f>IFERROR(VLOOKUP($B14,S6M11!$A$1:$B$160,2,0),"0")</f>
        <v>28</v>
      </c>
      <c r="Z14" s="95">
        <f>IFERROR(VLOOKUP(Y14,S6M11!$B$1:$C$161,2,0),0)</f>
        <v>394.3417086</v>
      </c>
      <c r="AA14" s="95">
        <f>IFERROR(VLOOKUP(E14,S6M1!$B$1:$C$161,2,0),0)</f>
        <v>439.9744185</v>
      </c>
      <c r="AB14" s="95">
        <f>IFERROR(VLOOKUP(G14,S6M2!$B$1:$C$161,2,0),0)</f>
        <v>211.3371917</v>
      </c>
      <c r="AC14" s="95">
        <f>IFERROR(VLOOKUP(I14,S6M3!$B$1:$C$161,2,0),0)</f>
        <v>394.3417086</v>
      </c>
      <c r="AD14" s="95">
        <f>IFERROR(VLOOKUP(K14,S6M4!$B$1:$C$161,2,0),0)</f>
        <v>895.3222896</v>
      </c>
      <c r="AE14" s="95">
        <f>IFERROR(VLOOKUP(M14,S6M5!$B$1:$C$161,2,0),0)</f>
        <v>1139.590073</v>
      </c>
      <c r="AF14" s="95">
        <f>IFERROR(VLOOKUP(O14,S6M6!$B$1:$C$161,2,0),0)</f>
        <v>701.9061402</v>
      </c>
      <c r="AG14" s="95">
        <f>IFERROR(VLOOKUP(Q14,S6M7!$B$1:$C$161,2,0),0)</f>
        <v>1160.427508</v>
      </c>
      <c r="AH14" s="95">
        <f>IFERROR(VLOOKUP(S14,S6M8!$B$1:$C$161,2,0),0)</f>
        <v>0</v>
      </c>
      <c r="AI14" s="95">
        <f>IFERROR(VLOOKUP(U14,S6M9!$B$1:$C$161,2,0),0)</f>
        <v>1298.502638</v>
      </c>
      <c r="AJ14" s="95">
        <f>IFERROR(VLOOKUP(W14,S6M10!$B$1:$C$161,2,0),0)</f>
        <v>0</v>
      </c>
      <c r="AK14" s="95">
        <f>IFERROR(VLOOKUP(Y14,S6M11!$B$1:$C$161,2,0),0)</f>
        <v>394.3417086</v>
      </c>
    </row>
    <row r="15">
      <c r="A15" s="92">
        <v>14.0</v>
      </c>
      <c r="B15" s="6" t="s">
        <v>28</v>
      </c>
      <c r="C15" s="93">
        <f t="shared" si="1"/>
        <v>6622.934677</v>
      </c>
      <c r="D15" s="93"/>
      <c r="E15" s="94">
        <f>IFERROR(VLOOKUP($B15,S6M1!$A$1:$B$160,2,0),"0")</f>
        <v>7</v>
      </c>
      <c r="F15" s="95">
        <f>IFERROR(VLOOKUP(E15,S6M1!$B$1:$C$161,2,0),0)</f>
        <v>1115.366785</v>
      </c>
      <c r="G15" s="94">
        <f>IFERROR(VLOOKUP($B15,S6M2!$A$1:$B$160,2,0),"0")</f>
        <v>63</v>
      </c>
      <c r="H15" s="95">
        <f>IFERROR(VLOOKUP(G15,S6M2!$B$1:$C$161,2,0),0)</f>
        <v>24.80846124</v>
      </c>
      <c r="I15" s="94">
        <f>IFERROR(VLOOKUP($B15,S6M3!$A$1:$B$161,2,0),0)</f>
        <v>3</v>
      </c>
      <c r="J15" s="95">
        <f>IFERROR(VLOOKUP(I15,S6M3!$B$1:$C$161,2,0),0)</f>
        <v>1682.910213</v>
      </c>
      <c r="K15" s="94">
        <f>IFERROR(VLOOKUP($B15,S6M4!$A$1:$B$160,2,0),"0")</f>
        <v>8</v>
      </c>
      <c r="L15" s="95">
        <f>IFERROR(VLOOKUP(K15,S6M4!$B$1:$C$161,2,0),0)</f>
        <v>1191.482127</v>
      </c>
      <c r="M15" s="94" t="str">
        <f>IFERROR(VLOOKUP($B15,S6M5!$A$1:$B$160,2,0),"0")</f>
        <v>0</v>
      </c>
      <c r="N15" s="95">
        <f>IFERROR(VLOOKUP(M15,S6M5!$B$1:$C$161,2,0),0)</f>
        <v>0</v>
      </c>
      <c r="O15" s="94">
        <f>IFERROR(VLOOKUP($B15,S6M6!$A$1:$B$160,2,0),"0")</f>
        <v>62</v>
      </c>
      <c r="P15" s="95">
        <f>IFERROR(VLOOKUP(O15,S6M6!$B$1:$C$161,2,0),0)</f>
        <v>115.3433849</v>
      </c>
      <c r="Q15" s="94">
        <f>IFERROR(VLOOKUP($B15,S6M7!$A$1:$B$160,2,0),"0")</f>
        <v>4</v>
      </c>
      <c r="R15" s="95">
        <f>IFERROR(VLOOKUP(Q15,S6M7!$B$1:$C$161,2,0),0)</f>
        <v>1419.873565</v>
      </c>
      <c r="S15" s="94" t="str">
        <f>IFERROR(VLOOKUP($B15,S6M8!$A$1:$B$160,2,0),"0")</f>
        <v>0</v>
      </c>
      <c r="T15" s="95">
        <f>IFERROR(VLOOKUP(S15,S6M8!$B$1:$C$161,2,0),0)</f>
        <v>0</v>
      </c>
      <c r="U15" s="94">
        <f>IFERROR(VLOOKUP($B15,S6M9!$A$1:$B$160,2,0),"0")</f>
        <v>16</v>
      </c>
      <c r="V15" s="95">
        <f>IFERROR(VLOOKUP(U15,S6M9!$B$1:$C$161,2,0),0)</f>
        <v>743.6352778</v>
      </c>
      <c r="W15" s="94" t="str">
        <f>IFERROR(VLOOKUP($B15,S6M10!$A$1:$B$160,2,0),"0")</f>
        <v>0</v>
      </c>
      <c r="X15" s="95">
        <f>IFERROR(VLOOKUP(W15,S6M10!$B$1:$C$161,2,0),0)</f>
        <v>0</v>
      </c>
      <c r="Y15" s="94">
        <f>IFERROR(VLOOKUP($B15,S6M11!$A$1:$B$160,2,0),"0")</f>
        <v>31</v>
      </c>
      <c r="Z15" s="95">
        <f>IFERROR(VLOOKUP(Y15,S6M11!$B$1:$C$161,2,0),0)</f>
        <v>329.5148631</v>
      </c>
      <c r="AA15" s="95">
        <f>IFERROR(VLOOKUP(E15,S6M1!$B$1:$C$161,2,0),0)</f>
        <v>1115.366785</v>
      </c>
      <c r="AB15" s="95">
        <f>IFERROR(VLOOKUP(G15,S6M2!$B$1:$C$161,2,0),0)</f>
        <v>24.80846124</v>
      </c>
      <c r="AC15" s="95">
        <f>IFERROR(VLOOKUP(I15,S6M3!$B$1:$C$161,2,0),0)</f>
        <v>1682.910213</v>
      </c>
      <c r="AD15" s="95">
        <f>IFERROR(VLOOKUP(K15,S6M4!$B$1:$C$161,2,0),0)</f>
        <v>1191.482127</v>
      </c>
      <c r="AE15" s="95">
        <f>IFERROR(VLOOKUP(M15,S6M5!$B$1:$C$161,2,0),0)</f>
        <v>0</v>
      </c>
      <c r="AF15" s="95">
        <f>IFERROR(VLOOKUP(O15,S6M6!$B$1:$C$161,2,0),0)</f>
        <v>115.3433849</v>
      </c>
      <c r="AG15" s="95">
        <f>IFERROR(VLOOKUP(Q15,S6M7!$B$1:$C$161,2,0),0)</f>
        <v>1419.873565</v>
      </c>
      <c r="AH15" s="95">
        <f>IFERROR(VLOOKUP(S15,S6M8!$B$1:$C$161,2,0),0)</f>
        <v>0</v>
      </c>
      <c r="AI15" s="95">
        <f>IFERROR(VLOOKUP(U15,S6M9!$B$1:$C$161,2,0),0)</f>
        <v>743.6352778</v>
      </c>
      <c r="AJ15" s="95">
        <f>IFERROR(VLOOKUP(W15,S6M10!$B$1:$C$161,2,0),0)</f>
        <v>0</v>
      </c>
      <c r="AK15" s="95">
        <f>IFERROR(VLOOKUP(Y15,S6M11!$B$1:$C$161,2,0),0)</f>
        <v>329.5148631</v>
      </c>
    </row>
    <row r="16">
      <c r="A16" s="92">
        <v>15.0</v>
      </c>
      <c r="B16" s="6" t="s">
        <v>20</v>
      </c>
      <c r="C16" s="93">
        <f t="shared" si="1"/>
        <v>6497.153133</v>
      </c>
      <c r="D16" s="93"/>
      <c r="E16" s="94">
        <f>IFERROR(VLOOKUP($B16,S6M1!$A$1:$B$160,2,0),"0")</f>
        <v>1</v>
      </c>
      <c r="F16" s="95">
        <f>IFERROR(VLOOKUP(E16,S6M1!$B$1:$C$161,2,0),0)</f>
        <v>2073.405109</v>
      </c>
      <c r="G16" s="94">
        <f>IFERROR(VLOOKUP($B16,S6M2!$A$1:$B$160,2,0),"0")</f>
        <v>19</v>
      </c>
      <c r="H16" s="95">
        <f>IFERROR(VLOOKUP(G16,S6M2!$B$1:$C$161,2,0),0)</f>
        <v>769.9710579</v>
      </c>
      <c r="I16" s="94">
        <f>IFERROR(VLOOKUP($B16,S6M3!$A$1:$B$161,2,0),0)</f>
        <v>47</v>
      </c>
      <c r="J16" s="95">
        <f>IFERROR(VLOOKUP(I16,S6M3!$B$1:$C$161,2,0),0)</f>
        <v>290.3820912</v>
      </c>
      <c r="K16" s="94">
        <f>IFERROR(VLOOKUP($B16,S6M4!$A$1:$B$160,2,0),"0")</f>
        <v>62</v>
      </c>
      <c r="L16" s="95">
        <f>IFERROR(VLOOKUP(K16,S6M4!$B$1:$C$161,2,0),0)</f>
        <v>49.24862439</v>
      </c>
      <c r="M16" s="94">
        <f>IFERROR(VLOOKUP($B16,S6M5!$A$1:$B$160,2,0),"0")</f>
        <v>34</v>
      </c>
      <c r="N16" s="95">
        <f>IFERROR(VLOOKUP(M16,S6M5!$B$1:$C$161,2,0),0)</f>
        <v>389.0641883</v>
      </c>
      <c r="O16" s="94">
        <f>IFERROR(VLOOKUP($B16,S6M6!$A$1:$B$160,2,0),"0")</f>
        <v>1</v>
      </c>
      <c r="P16" s="95">
        <f>IFERROR(VLOOKUP(O16,S6M6!$B$1:$C$161,2,0),0)</f>
        <v>2297.994386</v>
      </c>
      <c r="Q16" s="94">
        <f>IFERROR(VLOOKUP($B16,S6M7!$A$1:$B$160,2,0),"0")</f>
        <v>49</v>
      </c>
      <c r="R16" s="95">
        <f>IFERROR(VLOOKUP(Q16,S6M7!$B$1:$C$161,2,0),0)</f>
        <v>75.89543447</v>
      </c>
      <c r="S16" s="94">
        <f>IFERROR(VLOOKUP($B16,S6M8!$A$1:$B$160,2,0),"0")</f>
        <v>54</v>
      </c>
      <c r="T16" s="95">
        <f>IFERROR(VLOOKUP(S16,S6M8!$B$1:$C$161,2,0),0)</f>
        <v>14.61233196</v>
      </c>
      <c r="U16" s="94">
        <f>IFERROR(VLOOKUP($B16,S6M9!$A$1:$B$160,2,0),"0")</f>
        <v>48</v>
      </c>
      <c r="V16" s="95">
        <f>IFERROR(VLOOKUP(U16,S6M9!$B$1:$C$161,2,0),0)</f>
        <v>62.78229124</v>
      </c>
      <c r="W16" s="94">
        <f>IFERROR(VLOOKUP($B16,S6M10!$A$1:$B$160,2,0),"0")</f>
        <v>24</v>
      </c>
      <c r="X16" s="95">
        <f>IFERROR(VLOOKUP(W16,S6M10!$B$1:$C$161,2,0),0)</f>
        <v>487.8992216</v>
      </c>
      <c r="Y16" s="94">
        <f>IFERROR(VLOOKUP($B16,S6M11!$A$1:$B$160,2,0),"0")</f>
        <v>46</v>
      </c>
      <c r="Z16" s="95">
        <f>IFERROR(VLOOKUP(Y16,S6M11!$B$1:$C$161,2,0),0)</f>
        <v>49.75935289</v>
      </c>
      <c r="AA16" s="95">
        <f>IFERROR(VLOOKUP(E16,S6M1!$B$1:$C$161,2,0),0)</f>
        <v>2073.405109</v>
      </c>
      <c r="AB16" s="95">
        <f>IFERROR(VLOOKUP(G16,S6M2!$B$1:$C$161,2,0),0)</f>
        <v>769.9710579</v>
      </c>
      <c r="AC16" s="95">
        <f>IFERROR(VLOOKUP(I16,S6M3!$B$1:$C$161,2,0),0)</f>
        <v>290.3820912</v>
      </c>
      <c r="AD16" s="95">
        <f>IFERROR(VLOOKUP(K16,S6M4!$B$1:$C$161,2,0),0)</f>
        <v>49.24862439</v>
      </c>
      <c r="AE16" s="95">
        <f>IFERROR(VLOOKUP(M16,S6M5!$B$1:$C$161,2,0),0)</f>
        <v>389.0641883</v>
      </c>
      <c r="AF16" s="95">
        <f>IFERROR(VLOOKUP(O16,S6M6!$B$1:$C$161,2,0),0)</f>
        <v>2297.994386</v>
      </c>
      <c r="AG16" s="95">
        <f>IFERROR(VLOOKUP(Q16,S6M7!$B$1:$C$161,2,0),0)</f>
        <v>75.89543447</v>
      </c>
      <c r="AH16" s="95">
        <f>IFERROR(VLOOKUP(S16,S6M8!$B$1:$C$161,2,0),0)</f>
        <v>14.61233196</v>
      </c>
      <c r="AI16" s="95">
        <f>IFERROR(VLOOKUP(U16,S6M9!$B$1:$C$161,2,0),0)</f>
        <v>62.78229124</v>
      </c>
      <c r="AJ16" s="95">
        <f>IFERROR(VLOOKUP(W16,S6M10!$B$1:$C$161,2,0),0)</f>
        <v>487.8992216</v>
      </c>
      <c r="AK16" s="95">
        <f>IFERROR(VLOOKUP(Y16,S6M11!$B$1:$C$161,2,0),0)</f>
        <v>49.75935289</v>
      </c>
    </row>
    <row r="17">
      <c r="A17" s="92">
        <v>16.0</v>
      </c>
      <c r="B17" s="6" t="s">
        <v>10</v>
      </c>
      <c r="C17" s="93">
        <f t="shared" si="1"/>
        <v>6322.495221</v>
      </c>
      <c r="D17" s="93"/>
      <c r="E17" s="94">
        <f>IFERROR(VLOOKUP($B17,S6M1!$A$1:$B$160,2,0),"0")</f>
        <v>15</v>
      </c>
      <c r="F17" s="95">
        <f>IFERROR(VLOOKUP(E17,S6M1!$B$1:$C$161,2,0),0)</f>
        <v>746.2752339</v>
      </c>
      <c r="G17" s="94">
        <f>IFERROR(VLOOKUP($B17,S6M2!$A$1:$B$160,2,0),"0")</f>
        <v>58</v>
      </c>
      <c r="H17" s="95">
        <f>IFERROR(VLOOKUP(G17,S6M2!$B$1:$C$161,2,0),0)</f>
        <v>88.64331951</v>
      </c>
      <c r="I17" s="94">
        <f>IFERROR(VLOOKUP($B17,S6M3!$A$1:$B$161,2,0),0)</f>
        <v>16</v>
      </c>
      <c r="J17" s="95">
        <f>IFERROR(VLOOKUP(I17,S6M3!$B$1:$C$161,2,0),0)</f>
        <v>892.5452049</v>
      </c>
      <c r="K17" s="94">
        <f>IFERROR(VLOOKUP($B17,S6M4!$A$1:$B$160,2,0),"0")</f>
        <v>37</v>
      </c>
      <c r="L17" s="95">
        <f>IFERROR(VLOOKUP(K17,S6M4!$B$1:$C$161,2,0),0)</f>
        <v>406.2371177</v>
      </c>
      <c r="M17" s="94">
        <f>IFERROR(VLOOKUP($B17,S6M5!$A$1:$B$160,2,0),"0")</f>
        <v>25</v>
      </c>
      <c r="N17" s="95">
        <f>IFERROR(VLOOKUP(M17,S6M5!$B$1:$C$161,2,0),0)</f>
        <v>571.4061273</v>
      </c>
      <c r="O17" s="94">
        <f>IFERROR(VLOOKUP($B17,S6M6!$A$1:$B$160,2,0),"0")</f>
        <v>57</v>
      </c>
      <c r="P17" s="95">
        <f>IFERROR(VLOOKUP(O17,S6M6!$B$1:$C$161,2,0),0)</f>
        <v>176.6904838</v>
      </c>
      <c r="Q17" s="94" t="str">
        <f>IFERROR(VLOOKUP($B17,S6M7!$A$1:$B$160,2,0),"0")</f>
        <v>0</v>
      </c>
      <c r="R17" s="95">
        <f>IFERROR(VLOOKUP(Q17,S6M7!$B$1:$C$161,2,0),0)</f>
        <v>0</v>
      </c>
      <c r="S17" s="94">
        <f>IFERROR(VLOOKUP($B17,S6M8!$A$1:$B$160,2,0),"0")</f>
        <v>1</v>
      </c>
      <c r="T17" s="95">
        <f>IFERROR(VLOOKUP(S17,S6M8!$B$1:$C$161,2,0),0)</f>
        <v>2139.004655</v>
      </c>
      <c r="U17" s="94">
        <f>IFERROR(VLOOKUP($B17,S6M9!$A$1:$B$160,2,0),"0")</f>
        <v>47</v>
      </c>
      <c r="V17" s="95">
        <f>IFERROR(VLOOKUP(U17,S6M9!$B$1:$C$161,2,0),0)</f>
        <v>78.89200964</v>
      </c>
      <c r="W17" s="94">
        <f>IFERROR(VLOOKUP($B17,S6M10!$A$1:$B$160,2,0),"0")</f>
        <v>35</v>
      </c>
      <c r="X17" s="95">
        <f>IFERROR(VLOOKUP(W17,S6M10!$B$1:$C$161,2,0),0)</f>
        <v>248.6302414</v>
      </c>
      <c r="Y17" s="94">
        <f>IFERROR(VLOOKUP($B17,S6M11!$A$1:$B$160,2,0),"0")</f>
        <v>8</v>
      </c>
      <c r="Z17" s="95">
        <f>IFERROR(VLOOKUP(Y17,S6M11!$B$1:$C$161,2,0),0)</f>
        <v>1053.062838</v>
      </c>
      <c r="AA17" s="95">
        <f>IFERROR(VLOOKUP(E17,S6M1!$B$1:$C$161,2,0),0)</f>
        <v>746.2752339</v>
      </c>
      <c r="AB17" s="95">
        <f>IFERROR(VLOOKUP(G17,S6M2!$B$1:$C$161,2,0),0)</f>
        <v>88.64331951</v>
      </c>
      <c r="AC17" s="95">
        <f>IFERROR(VLOOKUP(I17,S6M3!$B$1:$C$161,2,0),0)</f>
        <v>892.5452049</v>
      </c>
      <c r="AD17" s="95">
        <f>IFERROR(VLOOKUP(K17,S6M4!$B$1:$C$161,2,0),0)</f>
        <v>406.2371177</v>
      </c>
      <c r="AE17" s="95">
        <f>IFERROR(VLOOKUP(M17,S6M5!$B$1:$C$161,2,0),0)</f>
        <v>571.4061273</v>
      </c>
      <c r="AF17" s="95">
        <f>IFERROR(VLOOKUP(O17,S6M6!$B$1:$C$161,2,0),0)</f>
        <v>176.6904838</v>
      </c>
      <c r="AG17" s="95">
        <f>IFERROR(VLOOKUP(Q17,S6M7!$B$1:$C$161,2,0),0)</f>
        <v>0</v>
      </c>
      <c r="AH17" s="95">
        <f>IFERROR(VLOOKUP(S17,S6M8!$B$1:$C$161,2,0),0)</f>
        <v>2139.004655</v>
      </c>
      <c r="AI17" s="95">
        <f>IFERROR(VLOOKUP(U17,S6M9!$B$1:$C$161,2,0),0)</f>
        <v>78.89200964</v>
      </c>
      <c r="AJ17" s="95">
        <f>IFERROR(VLOOKUP(W17,S6M10!$B$1:$C$161,2,0),0)</f>
        <v>248.6302414</v>
      </c>
      <c r="AK17" s="95">
        <f>IFERROR(VLOOKUP(Y17,S6M11!$B$1:$C$161,2,0),0)</f>
        <v>1053.062838</v>
      </c>
    </row>
    <row r="18">
      <c r="A18" s="92">
        <v>17.0</v>
      </c>
      <c r="B18" s="6" t="s">
        <v>25</v>
      </c>
      <c r="C18" s="93">
        <f t="shared" si="1"/>
        <v>6297.623567</v>
      </c>
      <c r="D18" s="93"/>
      <c r="E18" s="94" t="str">
        <f>IFERROR(VLOOKUP($B18,S6M1!$A$1:$B$160,2,0),"0")</f>
        <v>0</v>
      </c>
      <c r="F18" s="95">
        <f>IFERROR(VLOOKUP(E18,S6M1!$B$1:$C$161,2,0),0)</f>
        <v>0</v>
      </c>
      <c r="G18" s="94">
        <f>IFERROR(VLOOKUP($B18,S6M2!$A$1:$B$160,2,0),"0")</f>
        <v>18</v>
      </c>
      <c r="H18" s="95">
        <f>IFERROR(VLOOKUP(G18,S6M2!$B$1:$C$161,2,0),0)</f>
        <v>797.4155515</v>
      </c>
      <c r="I18" s="94">
        <f>IFERROR(VLOOKUP($B18,S6M3!$A$1:$B$161,2,0),0)</f>
        <v>21</v>
      </c>
      <c r="J18" s="95">
        <f>IFERROR(VLOOKUP(I18,S6M3!$B$1:$C$161,2,0),0)</f>
        <v>756.6720867</v>
      </c>
      <c r="K18" s="94">
        <f>IFERROR(VLOOKUP($B18,S6M4!$A$1:$B$160,2,0),"0")</f>
        <v>40</v>
      </c>
      <c r="L18" s="95">
        <f>IFERROR(VLOOKUP(K18,S6M4!$B$1:$C$161,2,0),0)</f>
        <v>357.182675</v>
      </c>
      <c r="M18" s="94">
        <f>IFERROR(VLOOKUP($B18,S6M5!$A$1:$B$160,2,0),"0")</f>
        <v>19</v>
      </c>
      <c r="N18" s="95">
        <f>IFERROR(VLOOKUP(M18,S6M5!$B$1:$C$161,2,0),0)</f>
        <v>719.9835425</v>
      </c>
      <c r="O18" s="94">
        <f>IFERROR(VLOOKUP($B18,S6M6!$A$1:$B$160,2,0),"0")</f>
        <v>14</v>
      </c>
      <c r="P18" s="95">
        <f>IFERROR(VLOOKUP(O18,S6M6!$B$1:$C$161,2,0),0)</f>
        <v>970.4800214</v>
      </c>
      <c r="Q18" s="94">
        <f>IFERROR(VLOOKUP($B18,S6M7!$A$1:$B$160,2,0),"0")</f>
        <v>10</v>
      </c>
      <c r="R18" s="95">
        <f>IFERROR(VLOOKUP(Q18,S6M7!$B$1:$C$161,2,0),0)</f>
        <v>993.6818186</v>
      </c>
      <c r="S18" s="94">
        <f>IFERROR(VLOOKUP($B18,S6M8!$A$1:$B$160,2,0),"0")</f>
        <v>38</v>
      </c>
      <c r="T18" s="95">
        <f>IFERROR(VLOOKUP(S18,S6M8!$B$1:$C$161,2,0),0)</f>
        <v>271.2195506</v>
      </c>
      <c r="U18" s="94">
        <f>IFERROR(VLOOKUP($B18,S6M9!$A$1:$B$160,2,0),"0")</f>
        <v>22</v>
      </c>
      <c r="V18" s="95">
        <f>IFERROR(VLOOKUP(U18,S6M9!$B$1:$C$161,2,0),0)</f>
        <v>572.2727464</v>
      </c>
      <c r="W18" s="94">
        <f>IFERROR(VLOOKUP($B18,S6M10!$A$1:$B$160,2,0),"0")</f>
        <v>12</v>
      </c>
      <c r="X18" s="95">
        <f>IFERROR(VLOOKUP(W18,S6M10!$B$1:$C$161,2,0),0)</f>
        <v>858.715574</v>
      </c>
      <c r="Y18" s="94">
        <f>IFERROR(VLOOKUP($B18,S6M11!$A$1:$B$160,2,0),"0")</f>
        <v>38</v>
      </c>
      <c r="Z18" s="95">
        <f>IFERROR(VLOOKUP(Y18,S6M11!$B$1:$C$161,2,0),0)</f>
        <v>191.3769871</v>
      </c>
      <c r="AA18" s="95">
        <f>IFERROR(VLOOKUP(E18,S6M1!$B$1:$C$161,2,0),0)</f>
        <v>0</v>
      </c>
      <c r="AB18" s="95">
        <f>IFERROR(VLOOKUP(G18,S6M2!$B$1:$C$161,2,0),0)</f>
        <v>797.4155515</v>
      </c>
      <c r="AC18" s="95">
        <f>IFERROR(VLOOKUP(I18,S6M3!$B$1:$C$161,2,0),0)</f>
        <v>756.6720867</v>
      </c>
      <c r="AD18" s="95">
        <f>IFERROR(VLOOKUP(K18,S6M4!$B$1:$C$161,2,0),0)</f>
        <v>357.182675</v>
      </c>
      <c r="AE18" s="95">
        <f>IFERROR(VLOOKUP(M18,S6M5!$B$1:$C$161,2,0),0)</f>
        <v>719.9835425</v>
      </c>
      <c r="AF18" s="95">
        <f>IFERROR(VLOOKUP(O18,S6M6!$B$1:$C$161,2,0),0)</f>
        <v>970.4800214</v>
      </c>
      <c r="AG18" s="95">
        <f>IFERROR(VLOOKUP(Q18,S6M7!$B$1:$C$161,2,0),0)</f>
        <v>993.6818186</v>
      </c>
      <c r="AH18" s="95">
        <f>IFERROR(VLOOKUP(S18,S6M8!$B$1:$C$161,2,0),0)</f>
        <v>271.2195506</v>
      </c>
      <c r="AI18" s="95">
        <f>IFERROR(VLOOKUP(U18,S6M9!$B$1:$C$161,2,0),0)</f>
        <v>572.2727464</v>
      </c>
      <c r="AJ18" s="95">
        <f>IFERROR(VLOOKUP(W18,S6M10!$B$1:$C$161,2,0),0)</f>
        <v>858.715574</v>
      </c>
      <c r="AK18" s="95">
        <f>IFERROR(VLOOKUP(Y18,S6M11!$B$1:$C$161,2,0),0)</f>
        <v>191.3769871</v>
      </c>
    </row>
    <row r="19">
      <c r="A19" s="92">
        <v>18.0</v>
      </c>
      <c r="B19" s="98" t="s">
        <v>39</v>
      </c>
      <c r="C19" s="93">
        <f t="shared" si="1"/>
        <v>6151.791383</v>
      </c>
      <c r="D19" s="93"/>
      <c r="E19" s="94" t="str">
        <f>IFERROR(VLOOKUP($B19,S6M1!$A$1:$B$160,2,0),"0")</f>
        <v>0</v>
      </c>
      <c r="F19" s="95">
        <f>IFERROR(VLOOKUP(E19,S6M1!$B$1:$C$161,2,0),0)</f>
        <v>0</v>
      </c>
      <c r="G19" s="94">
        <f>IFERROR(VLOOKUP($B19,S6M2!$A$1:$B$160,2,0),"0")</f>
        <v>35</v>
      </c>
      <c r="H19" s="95">
        <f>IFERROR(VLOOKUP(G19,S6M2!$B$1:$C$161,2,0),0)</f>
        <v>431.0317018</v>
      </c>
      <c r="I19" s="94">
        <f>IFERROR(VLOOKUP($B19,S6M3!$A$1:$B$161,2,0),0)</f>
        <v>2</v>
      </c>
      <c r="J19" s="95">
        <f>IFERROR(VLOOKUP(I19,S6M3!$B$1:$C$161,2,0),0)</f>
        <v>1890.244011</v>
      </c>
      <c r="K19" s="94">
        <f>IFERROR(VLOOKUP($B19,S6M4!$A$1:$B$160,2,0),"0")</f>
        <v>5</v>
      </c>
      <c r="L19" s="95">
        <f>IFERROR(VLOOKUP(K19,S6M4!$B$1:$C$161,2,0),0)</f>
        <v>1409.351653</v>
      </c>
      <c r="M19" s="94">
        <f>IFERROR(VLOOKUP($B19,S6M5!$A$1:$B$160,2,0),"0")</f>
        <v>11</v>
      </c>
      <c r="N19" s="95">
        <f>IFERROR(VLOOKUP(M19,S6M5!$B$1:$C$161,2,0),0)</f>
        <v>990.4761999</v>
      </c>
      <c r="O19" s="94">
        <f>IFERROR(VLOOKUP($B19,S6M6!$A$1:$B$160,2,0),"0")</f>
        <v>19</v>
      </c>
      <c r="P19" s="95">
        <f>IFERROR(VLOOKUP(O19,S6M6!$B$1:$C$161,2,0),0)</f>
        <v>821.6333975</v>
      </c>
      <c r="Q19" s="94">
        <f>IFERROR(VLOOKUP($B19,S6M7!$A$1:$B$160,2,0),"0")</f>
        <v>45</v>
      </c>
      <c r="R19" s="95">
        <f>IFERROR(VLOOKUP(Q19,S6M7!$B$1:$C$161,2,0),0)</f>
        <v>139.5513519</v>
      </c>
      <c r="S19" s="94" t="str">
        <f>IFERROR(VLOOKUP($B19,S6M8!$A$1:$B$160,2,0),"0")</f>
        <v>0</v>
      </c>
      <c r="T19" s="95">
        <f>IFERROR(VLOOKUP(S19,S6M8!$B$1:$C$161,2,0),0)</f>
        <v>0</v>
      </c>
      <c r="U19" s="94">
        <f>IFERROR(VLOOKUP($B19,S6M9!$A$1:$B$160,2,0),"0")</f>
        <v>27</v>
      </c>
      <c r="V19" s="95">
        <f>IFERROR(VLOOKUP(U19,S6M9!$B$1:$C$161,2,0),0)</f>
        <v>453.0921594</v>
      </c>
      <c r="W19" s="94">
        <f>IFERROR(VLOOKUP($B19,S6M10!$A$1:$B$160,2,0),"0")</f>
        <v>48</v>
      </c>
      <c r="X19" s="95">
        <f>IFERROR(VLOOKUP(W19,S6M10!$B$1:$C$161,2,0),0)</f>
        <v>16.41090826</v>
      </c>
      <c r="Y19" s="94" t="str">
        <f>IFERROR(VLOOKUP($B19,S6M11!$A$1:$B$160,2,0),"0")</f>
        <v>0</v>
      </c>
      <c r="Z19" s="95">
        <f>IFERROR(VLOOKUP(Y19,S6M11!$B$1:$C$161,2,0),0)</f>
        <v>0</v>
      </c>
      <c r="AA19" s="95">
        <f>IFERROR(VLOOKUP(E19,S6M1!$B$1:$C$161,2,0),0)</f>
        <v>0</v>
      </c>
      <c r="AB19" s="95">
        <f>IFERROR(VLOOKUP(G19,S6M2!$B$1:$C$161,2,0),0)</f>
        <v>431.0317018</v>
      </c>
      <c r="AC19" s="95">
        <f>IFERROR(VLOOKUP(I19,S6M3!$B$1:$C$161,2,0),0)</f>
        <v>1890.244011</v>
      </c>
      <c r="AD19" s="95">
        <f>IFERROR(VLOOKUP(K19,S6M4!$B$1:$C$161,2,0),0)</f>
        <v>1409.351653</v>
      </c>
      <c r="AE19" s="95">
        <f>IFERROR(VLOOKUP(M19,S6M5!$B$1:$C$161,2,0),0)</f>
        <v>990.4761999</v>
      </c>
      <c r="AF19" s="95">
        <f>IFERROR(VLOOKUP(O19,S6M6!$B$1:$C$161,2,0),0)</f>
        <v>821.6333975</v>
      </c>
      <c r="AG19" s="95">
        <f>IFERROR(VLOOKUP(Q19,S6M7!$B$1:$C$161,2,0),0)</f>
        <v>139.5513519</v>
      </c>
      <c r="AH19" s="95">
        <f>IFERROR(VLOOKUP(S19,S6M8!$B$1:$C$161,2,0),0)</f>
        <v>0</v>
      </c>
      <c r="AI19" s="95">
        <f>IFERROR(VLOOKUP(U19,S6M9!$B$1:$C$161,2,0),0)</f>
        <v>453.0921594</v>
      </c>
      <c r="AJ19" s="95">
        <f>IFERROR(VLOOKUP(W19,S6M10!$B$1:$C$161,2,0),0)</f>
        <v>16.41090826</v>
      </c>
      <c r="AK19" s="95">
        <f>IFERROR(VLOOKUP(Y19,S6M11!$B$1:$C$161,2,0),0)</f>
        <v>0</v>
      </c>
    </row>
    <row r="20">
      <c r="A20" s="92">
        <v>19.0</v>
      </c>
      <c r="B20" s="6" t="s">
        <v>18</v>
      </c>
      <c r="C20" s="93">
        <f t="shared" si="1"/>
        <v>6112.558925</v>
      </c>
      <c r="D20" s="93"/>
      <c r="E20" s="94">
        <f>IFERROR(VLOOKUP($B20,S6M1!$A$1:$B$160,2,0),"0")</f>
        <v>27</v>
      </c>
      <c r="F20" s="95">
        <f>IFERROR(VLOOKUP(E20,S6M1!$B$1:$C$161,2,0),0)</f>
        <v>416.8930612</v>
      </c>
      <c r="G20" s="94">
        <f>IFERROR(VLOOKUP($B20,S6M2!$A$1:$B$160,2,0),"0")</f>
        <v>9</v>
      </c>
      <c r="H20" s="95">
        <f>IFERROR(VLOOKUP(G20,S6M2!$B$1:$C$161,2,0),0)</f>
        <v>1129.880125</v>
      </c>
      <c r="I20" s="94">
        <f>IFERROR(VLOOKUP($B20,S6M3!$A$1:$B$161,2,0),0)</f>
        <v>9</v>
      </c>
      <c r="J20" s="95">
        <f>IFERROR(VLOOKUP(I20,S6M3!$B$1:$C$161,2,0),0)</f>
        <v>1164.221632</v>
      </c>
      <c r="K20" s="94">
        <f>IFERROR(VLOOKUP($B20,S6M4!$A$1:$B$160,2,0),"0")</f>
        <v>20</v>
      </c>
      <c r="L20" s="95">
        <f>IFERROR(VLOOKUP(K20,S6M4!$B$1:$C$161,2,0),0)</f>
        <v>751.5058542</v>
      </c>
      <c r="M20" s="94">
        <f>IFERROR(VLOOKUP($B20,S6M5!$A$1:$B$160,2,0),"0")</f>
        <v>39</v>
      </c>
      <c r="N20" s="95">
        <f>IFERROR(VLOOKUP(M20,S6M5!$B$1:$C$161,2,0),0)</f>
        <v>300.7563615</v>
      </c>
      <c r="O20" s="94">
        <f>IFERROR(VLOOKUP($B20,S6M6!$A$1:$B$160,2,0),"0")</f>
        <v>61</v>
      </c>
      <c r="P20" s="95">
        <f>IFERROR(VLOOKUP(O20,S6M6!$B$1:$C$161,2,0),0)</f>
        <v>127.3945477</v>
      </c>
      <c r="Q20" s="94" t="str">
        <f>IFERROR(VLOOKUP($B20,S6M7!$A$1:$B$160,2,0),"0")</f>
        <v>0</v>
      </c>
      <c r="R20" s="95">
        <f>IFERROR(VLOOKUP(Q20,S6M7!$B$1:$C$161,2,0),0)</f>
        <v>0</v>
      </c>
      <c r="S20" s="94" t="str">
        <f>IFERROR(VLOOKUP($B20,S6M8!$A$1:$B$160,2,0),"0")</f>
        <v>0</v>
      </c>
      <c r="T20" s="95">
        <f>IFERROR(VLOOKUP(S20,S6M8!$B$1:$C$161,2,0),0)</f>
        <v>0</v>
      </c>
      <c r="U20" s="94">
        <f>IFERROR(VLOOKUP($B20,S6M9!$A$1:$B$160,2,0),"0")</f>
        <v>17</v>
      </c>
      <c r="V20" s="95">
        <f>IFERROR(VLOOKUP(U20,S6M9!$B$1:$C$161,2,0),0)</f>
        <v>712.1037836</v>
      </c>
      <c r="W20" s="94" t="str">
        <f>IFERROR(VLOOKUP($B20,S6M10!$A$1:$B$160,2,0),"0")</f>
        <v>0</v>
      </c>
      <c r="X20" s="95">
        <f>IFERROR(VLOOKUP(W20,S6M10!$B$1:$C$161,2,0),0)</f>
        <v>0</v>
      </c>
      <c r="Y20" s="94">
        <f>IFERROR(VLOOKUP($B20,S6M11!$A$1:$B$160,2,0),"0")</f>
        <v>3</v>
      </c>
      <c r="Z20" s="95">
        <f>IFERROR(VLOOKUP(Y20,S6M11!$B$1:$C$161,2,0),0)</f>
        <v>1509.80356</v>
      </c>
      <c r="AA20" s="95">
        <f>IFERROR(VLOOKUP(E20,S6M1!$B$1:$C$161,2,0),0)</f>
        <v>416.8930612</v>
      </c>
      <c r="AB20" s="95">
        <f>IFERROR(VLOOKUP(G20,S6M2!$B$1:$C$161,2,0),0)</f>
        <v>1129.880125</v>
      </c>
      <c r="AC20" s="95">
        <f>IFERROR(VLOOKUP(I20,S6M3!$B$1:$C$161,2,0),0)</f>
        <v>1164.221632</v>
      </c>
      <c r="AD20" s="95">
        <f>IFERROR(VLOOKUP(K20,S6M4!$B$1:$C$161,2,0),0)</f>
        <v>751.5058542</v>
      </c>
      <c r="AE20" s="95">
        <f>IFERROR(VLOOKUP(M20,S6M5!$B$1:$C$161,2,0),0)</f>
        <v>300.7563615</v>
      </c>
      <c r="AF20" s="95">
        <f>IFERROR(VLOOKUP(O20,S6M6!$B$1:$C$161,2,0),0)</f>
        <v>127.3945477</v>
      </c>
      <c r="AG20" s="95">
        <f>IFERROR(VLOOKUP(Q20,S6M7!$B$1:$C$161,2,0),0)</f>
        <v>0</v>
      </c>
      <c r="AH20" s="95">
        <f>IFERROR(VLOOKUP(S20,S6M8!$B$1:$C$161,2,0),0)</f>
        <v>0</v>
      </c>
      <c r="AI20" s="95">
        <f>IFERROR(VLOOKUP(U20,S6M9!$B$1:$C$161,2,0),0)</f>
        <v>712.1037836</v>
      </c>
      <c r="AJ20" s="95">
        <f>IFERROR(VLOOKUP(W20,S6M10!$B$1:$C$161,2,0),0)</f>
        <v>0</v>
      </c>
      <c r="AK20" s="95">
        <f>IFERROR(VLOOKUP(Y20,S6M11!$B$1:$C$161,2,0),0)</f>
        <v>1509.80356</v>
      </c>
    </row>
    <row r="21" ht="15.75" customHeight="1">
      <c r="A21" s="92">
        <v>20.0</v>
      </c>
      <c r="B21" s="6" t="s">
        <v>34</v>
      </c>
      <c r="C21" s="93">
        <f t="shared" si="1"/>
        <v>6078.647314</v>
      </c>
      <c r="D21" s="93"/>
      <c r="E21" s="94">
        <f>IFERROR(VLOOKUP($B21,S6M1!$A$1:$B$160,2,0),"0")</f>
        <v>17</v>
      </c>
      <c r="F21" s="95">
        <f>IFERROR(VLOOKUP(E21,S6M1!$B$1:$C$161,2,0),0)</f>
        <v>680.7390668</v>
      </c>
      <c r="G21" s="94">
        <f>IFERROR(VLOOKUP($B21,S6M2!$A$1:$B$160,2,0),"0")</f>
        <v>52</v>
      </c>
      <c r="H21" s="95">
        <f>IFERROR(VLOOKUP(G21,S6M2!$B$1:$C$161,2,0),0)</f>
        <v>169.1794022</v>
      </c>
      <c r="I21" s="94">
        <f>IFERROR(VLOOKUP($B21,S6M3!$A$1:$B$161,2,0),0)</f>
        <v>36</v>
      </c>
      <c r="J21" s="95">
        <f>IFERROR(VLOOKUP(I21,S6M3!$B$1:$C$161,2,0),0)</f>
        <v>458.848957</v>
      </c>
      <c r="K21" s="94">
        <f>IFERROR(VLOOKUP($B21,S6M4!$A$1:$B$160,2,0),"0")</f>
        <v>56</v>
      </c>
      <c r="L21" s="95">
        <f>IFERROR(VLOOKUP(K21,S6M4!$B$1:$C$161,2,0),0)</f>
        <v>126.2946718</v>
      </c>
      <c r="M21" s="94">
        <f>IFERROR(VLOOKUP($B21,S6M5!$A$1:$B$160,2,0),"0")</f>
        <v>27</v>
      </c>
      <c r="N21" s="95">
        <f>IFERROR(VLOOKUP(M21,S6M5!$B$1:$C$161,2,0),0)</f>
        <v>527.5456126</v>
      </c>
      <c r="O21" s="94">
        <f>IFERROR(VLOOKUP($B21,S6M6!$A$1:$B$160,2,0),"0")</f>
        <v>8</v>
      </c>
      <c r="P21" s="95">
        <f>IFERROR(VLOOKUP(O21,S6M6!$B$1:$C$161,2,0),0)</f>
        <v>1231.680574</v>
      </c>
      <c r="Q21" s="94">
        <f>IFERROR(VLOOKUP($B21,S6M7!$A$1:$B$160,2,0),"0")</f>
        <v>29</v>
      </c>
      <c r="R21" s="95">
        <f>IFERROR(VLOOKUP(Q21,S6M7!$B$1:$C$161,2,0),0)</f>
        <v>432.6484741</v>
      </c>
      <c r="S21" s="94">
        <f>IFERROR(VLOOKUP($B21,S6M8!$A$1:$B$160,2,0),"0")</f>
        <v>19</v>
      </c>
      <c r="T21" s="95">
        <f>IFERROR(VLOOKUP(S21,S6M8!$B$1:$C$161,2,0),0)</f>
        <v>683.0178763</v>
      </c>
      <c r="U21" s="94">
        <f>IFERROR(VLOOKUP($B21,S6M9!$A$1:$B$160,2,0),"0")</f>
        <v>6</v>
      </c>
      <c r="V21" s="95">
        <f>IFERROR(VLOOKUP(U21,S6M9!$B$1:$C$161,2,0),0)</f>
        <v>1214.248284</v>
      </c>
      <c r="W21" s="94" t="str">
        <f>IFERROR(VLOOKUP($B21,S6M10!$A$1:$B$160,2,0),"0")</f>
        <v>0</v>
      </c>
      <c r="X21" s="95">
        <f>IFERROR(VLOOKUP(W21,S6M10!$B$1:$C$161,2,0),0)</f>
        <v>0</v>
      </c>
      <c r="Y21" s="94">
        <f>IFERROR(VLOOKUP($B21,S6M11!$A$1:$B$160,2,0),"0")</f>
        <v>17</v>
      </c>
      <c r="Z21" s="95">
        <f>IFERROR(VLOOKUP(Y21,S6M11!$B$1:$C$161,2,0),0)</f>
        <v>680.7390668</v>
      </c>
      <c r="AA21" s="95">
        <f>IFERROR(VLOOKUP(E21,S6M1!$B$1:$C$161,2,0),0)</f>
        <v>680.7390668</v>
      </c>
      <c r="AB21" s="95">
        <f>IFERROR(VLOOKUP(G21,S6M2!$B$1:$C$161,2,0),0)</f>
        <v>169.1794022</v>
      </c>
      <c r="AC21" s="95">
        <f>IFERROR(VLOOKUP(I21,S6M3!$B$1:$C$161,2,0),0)</f>
        <v>458.848957</v>
      </c>
      <c r="AD21" s="95">
        <f>IFERROR(VLOOKUP(K21,S6M4!$B$1:$C$161,2,0),0)</f>
        <v>126.2946718</v>
      </c>
      <c r="AE21" s="95">
        <f>IFERROR(VLOOKUP(M21,S6M5!$B$1:$C$161,2,0),0)</f>
        <v>527.5456126</v>
      </c>
      <c r="AF21" s="95">
        <f>IFERROR(VLOOKUP(O21,S6M6!$B$1:$C$161,2,0),0)</f>
        <v>1231.680574</v>
      </c>
      <c r="AG21" s="95">
        <f>IFERROR(VLOOKUP(Q21,S6M7!$B$1:$C$161,2,0),0)</f>
        <v>432.6484741</v>
      </c>
      <c r="AH21" s="95">
        <f>IFERROR(VLOOKUP(S21,S6M8!$B$1:$C$161,2,0),0)</f>
        <v>683.0178763</v>
      </c>
      <c r="AI21" s="95">
        <f>IFERROR(VLOOKUP(U21,S6M9!$B$1:$C$161,2,0),0)</f>
        <v>1214.248284</v>
      </c>
      <c r="AJ21" s="95">
        <f>IFERROR(VLOOKUP(W21,S6M10!$B$1:$C$161,2,0),0)</f>
        <v>0</v>
      </c>
      <c r="AK21" s="95">
        <f>IFERROR(VLOOKUP(Y21,S6M11!$B$1:$C$161,2,0),0)</f>
        <v>680.7390668</v>
      </c>
    </row>
    <row r="22" ht="15.75" customHeight="1">
      <c r="A22" s="92">
        <v>21.0</v>
      </c>
      <c r="B22" s="6" t="s">
        <v>29</v>
      </c>
      <c r="C22" s="93">
        <f t="shared" si="1"/>
        <v>5866.568466</v>
      </c>
      <c r="D22" s="93"/>
      <c r="E22" s="94">
        <f>IFERROR(VLOOKUP($B22,S6M1!$A$1:$B$160,2,0),"0")</f>
        <v>10</v>
      </c>
      <c r="F22" s="95">
        <f>IFERROR(VLOOKUP(E22,S6M1!$B$1:$C$161,2,0),0)</f>
        <v>947.3436186</v>
      </c>
      <c r="G22" s="94">
        <f>IFERROR(VLOOKUP($B22,S6M2!$A$1:$B$160,2,0),"0")</f>
        <v>47</v>
      </c>
      <c r="H22" s="95">
        <f>IFERROR(VLOOKUP(G22,S6M2!$B$1:$C$161,2,0),0)</f>
        <v>240.2442545</v>
      </c>
      <c r="I22" s="94">
        <f>IFERROR(VLOOKUP($B22,S6M3!$A$1:$B$161,2,0),0)</f>
        <v>60</v>
      </c>
      <c r="J22" s="95">
        <f>IFERROR(VLOOKUP(I22,S6M3!$B$1:$C$161,2,0),0)</f>
        <v>118.775986</v>
      </c>
      <c r="K22" s="94">
        <f>IFERROR(VLOOKUP($B22,S6M4!$A$1:$B$160,2,0),"0")</f>
        <v>7</v>
      </c>
      <c r="L22" s="95">
        <f>IFERROR(VLOOKUP(K22,S6M4!$B$1:$C$161,2,0),0)</f>
        <v>1253.168694</v>
      </c>
      <c r="M22" s="94">
        <f>IFERROR(VLOOKUP($B22,S6M5!$A$1:$B$160,2,0),"0")</f>
        <v>47</v>
      </c>
      <c r="N22" s="95">
        <f>IFERROR(VLOOKUP(M22,S6M5!$B$1:$C$161,2,0),0)</f>
        <v>172.2295869</v>
      </c>
      <c r="O22" s="94">
        <f>IFERROR(VLOOKUP($B22,S6M6!$A$1:$B$160,2,0),"0")</f>
        <v>63</v>
      </c>
      <c r="P22" s="95">
        <f>IFERROR(VLOOKUP(O22,S6M6!$B$1:$C$161,2,0),0)</f>
        <v>103.3946308</v>
      </c>
      <c r="Q22" s="94" t="str">
        <f>IFERROR(VLOOKUP($B22,S6M7!$A$1:$B$160,2,0),"0")</f>
        <v>0</v>
      </c>
      <c r="R22" s="95">
        <f>IFERROR(VLOOKUP(Q22,S6M7!$B$1:$C$161,2,0),0)</f>
        <v>0</v>
      </c>
      <c r="S22" s="94">
        <f>IFERROR(VLOOKUP($B22,S6M8!$A$1:$B$160,2,0),"0")</f>
        <v>3</v>
      </c>
      <c r="T22" s="95">
        <f>IFERROR(VLOOKUP(S22,S6M8!$B$1:$C$161,2,0),0)</f>
        <v>1565.096066</v>
      </c>
      <c r="U22" s="94" t="str">
        <f>IFERROR(VLOOKUP($B22,S6M9!$A$1:$B$160,2,0),"0")</f>
        <v>0</v>
      </c>
      <c r="V22" s="95">
        <f>IFERROR(VLOOKUP(U22,S6M9!$B$1:$C$161,2,0),0)</f>
        <v>0</v>
      </c>
      <c r="W22" s="94">
        <f>IFERROR(VLOOKUP($B22,S6M10!$A$1:$B$160,2,0),"0")</f>
        <v>11</v>
      </c>
      <c r="X22" s="95">
        <f>IFERROR(VLOOKUP(W22,S6M10!$B$1:$C$161,2,0),0)</f>
        <v>901.3186391</v>
      </c>
      <c r="Y22" s="94">
        <f>IFERROR(VLOOKUP($B22,S6M11!$A$1:$B$160,2,0),"0")</f>
        <v>21</v>
      </c>
      <c r="Z22" s="95">
        <f>IFERROR(VLOOKUP(Y22,S6M11!$B$1:$C$161,2,0),0)</f>
        <v>564.9969906</v>
      </c>
      <c r="AA22" s="95">
        <f>IFERROR(VLOOKUP(E22,S6M1!$B$1:$C$161,2,0),0)</f>
        <v>947.3436186</v>
      </c>
      <c r="AB22" s="95">
        <f>IFERROR(VLOOKUP(G22,S6M2!$B$1:$C$161,2,0),0)</f>
        <v>240.2442545</v>
      </c>
      <c r="AC22" s="95">
        <f>IFERROR(VLOOKUP(I22,S6M3!$B$1:$C$161,2,0),0)</f>
        <v>118.775986</v>
      </c>
      <c r="AD22" s="95">
        <f>IFERROR(VLOOKUP(K22,S6M4!$B$1:$C$161,2,0),0)</f>
        <v>1253.168694</v>
      </c>
      <c r="AE22" s="95">
        <f>IFERROR(VLOOKUP(M22,S6M5!$B$1:$C$161,2,0),0)</f>
        <v>172.2295869</v>
      </c>
      <c r="AF22" s="95">
        <f>IFERROR(VLOOKUP(O22,S6M6!$B$1:$C$161,2,0),0)</f>
        <v>103.3946308</v>
      </c>
      <c r="AG22" s="95">
        <f>IFERROR(VLOOKUP(Q22,S6M7!$B$1:$C$161,2,0),0)</f>
        <v>0</v>
      </c>
      <c r="AH22" s="95">
        <f>IFERROR(VLOOKUP(S22,S6M8!$B$1:$C$161,2,0),0)</f>
        <v>1565.096066</v>
      </c>
      <c r="AI22" s="95">
        <f>IFERROR(VLOOKUP(U22,S6M9!$B$1:$C$161,2,0),0)</f>
        <v>0</v>
      </c>
      <c r="AJ22" s="95">
        <f>IFERROR(VLOOKUP(W22,S6M10!$B$1:$C$161,2,0),0)</f>
        <v>901.3186391</v>
      </c>
      <c r="AK22" s="95">
        <f>IFERROR(VLOOKUP(Y22,S6M11!$B$1:$C$161,2,0),0)</f>
        <v>564.9969906</v>
      </c>
    </row>
    <row r="23" ht="15.75" customHeight="1">
      <c r="A23" s="92">
        <v>22.0</v>
      </c>
      <c r="B23" s="13" t="s">
        <v>32</v>
      </c>
      <c r="C23" s="93">
        <f t="shared" si="1"/>
        <v>5776.833658</v>
      </c>
      <c r="D23" s="93"/>
      <c r="E23" s="94">
        <f>IFERROR(VLOOKUP($B23,S6M1!$A$1:$B$160,2,0),"0")</f>
        <v>9</v>
      </c>
      <c r="F23" s="95">
        <f>IFERROR(VLOOKUP(E23,S6M1!$B$1:$C$161,2,0),0)</f>
        <v>997.5674982</v>
      </c>
      <c r="G23" s="94">
        <f>IFERROR(VLOOKUP($B23,S6M2!$A$1:$B$160,2,0),"0")</f>
        <v>34</v>
      </c>
      <c r="H23" s="95">
        <f>IFERROR(VLOOKUP(G23,S6M2!$B$1:$C$161,2,0),0)</f>
        <v>448.6389072</v>
      </c>
      <c r="I23" s="94">
        <f>IFERROR(VLOOKUP($B23,S6M3!$A$1:$B$161,2,0),0)</f>
        <v>59</v>
      </c>
      <c r="J23" s="95">
        <f>IFERROR(VLOOKUP(I23,S6M3!$B$1:$C$161,2,0),0)</f>
        <v>131.2037171</v>
      </c>
      <c r="K23" s="94">
        <f>IFERROR(VLOOKUP($B23,S6M4!$A$1:$B$160,2,0),"0")</f>
        <v>4</v>
      </c>
      <c r="L23" s="95">
        <f>IFERROR(VLOOKUP(K23,S6M4!$B$1:$C$161,2,0),0)</f>
        <v>1514.637577</v>
      </c>
      <c r="M23" s="94">
        <f>IFERROR(VLOOKUP($B23,S6M5!$A$1:$B$160,2,0),"0")</f>
        <v>46</v>
      </c>
      <c r="N23" s="95">
        <f>IFERROR(VLOOKUP(M23,S6M5!$B$1:$C$161,2,0),0)</f>
        <v>187.587922</v>
      </c>
      <c r="O23" s="94">
        <f>IFERROR(VLOOKUP($B23,S6M6!$A$1:$B$160,2,0),"0")</f>
        <v>28</v>
      </c>
      <c r="P23" s="95">
        <f>IFERROR(VLOOKUP(O23,S6M6!$B$1:$C$161,2,0),0)</f>
        <v>619.0899919</v>
      </c>
      <c r="Q23" s="94">
        <f>IFERROR(VLOOKUP($B23,S6M7!$A$1:$B$160,2,0),"0")</f>
        <v>50</v>
      </c>
      <c r="R23" s="95">
        <f>IFERROR(VLOOKUP(Q23,S6M7!$B$1:$C$161,2,0),0)</f>
        <v>60.41046204</v>
      </c>
      <c r="S23" s="94">
        <f>IFERROR(VLOOKUP($B23,S6M8!$A$1:$B$160,2,0),"0")</f>
        <v>8</v>
      </c>
      <c r="T23" s="95">
        <f>IFERROR(VLOOKUP(S23,S6M8!$B$1:$C$161,2,0),0)</f>
        <v>1106.989065</v>
      </c>
      <c r="U23" s="94">
        <f>IFERROR(VLOOKUP($B23,S6M9!$A$1:$B$160,2,0),"0")</f>
        <v>21</v>
      </c>
      <c r="V23" s="95">
        <f>IFERROR(VLOOKUP(U23,S6M9!$B$1:$C$161,2,0),0)</f>
        <v>598.2660375</v>
      </c>
      <c r="W23" s="94">
        <f>IFERROR(VLOOKUP($B23,S6M10!$A$1:$B$160,2,0),"0")</f>
        <v>39</v>
      </c>
      <c r="X23" s="95">
        <f>IFERROR(VLOOKUP(W23,S6M10!$B$1:$C$161,2,0),0)</f>
        <v>172.8529418</v>
      </c>
      <c r="Y23" s="94" t="str">
        <f>IFERROR(VLOOKUP($B23,S6M11!$A$1:$B$160,2,0),"0")</f>
        <v>0</v>
      </c>
      <c r="Z23" s="95">
        <f>IFERROR(VLOOKUP(Y23,S6M11!$B$1:$C$161,2,0),0)</f>
        <v>0</v>
      </c>
      <c r="AA23" s="95">
        <f>IFERROR(VLOOKUP(E23,S6M1!$B$1:$C$161,2,0),0)</f>
        <v>997.5674982</v>
      </c>
      <c r="AB23" s="95">
        <f>IFERROR(VLOOKUP(G23,S6M2!$B$1:$C$161,2,0),0)</f>
        <v>448.6389072</v>
      </c>
      <c r="AC23" s="95">
        <f>IFERROR(VLOOKUP(I23,S6M3!$B$1:$C$161,2,0),0)</f>
        <v>131.2037171</v>
      </c>
      <c r="AD23" s="95">
        <f>IFERROR(VLOOKUP(K23,S6M4!$B$1:$C$161,2,0),0)</f>
        <v>1514.637577</v>
      </c>
      <c r="AE23" s="95">
        <f>IFERROR(VLOOKUP(M23,S6M5!$B$1:$C$161,2,0),0)</f>
        <v>187.587922</v>
      </c>
      <c r="AF23" s="95">
        <f>IFERROR(VLOOKUP(O23,S6M6!$B$1:$C$161,2,0),0)</f>
        <v>619.0899919</v>
      </c>
      <c r="AG23" s="95">
        <f>IFERROR(VLOOKUP(Q23,S6M7!$B$1:$C$161,2,0),0)</f>
        <v>60.41046204</v>
      </c>
      <c r="AH23" s="95">
        <f>IFERROR(VLOOKUP(S23,S6M8!$B$1:$C$161,2,0),0)</f>
        <v>1106.989065</v>
      </c>
      <c r="AI23" s="95">
        <f>IFERROR(VLOOKUP(U23,S6M9!$B$1:$C$161,2,0),0)</f>
        <v>598.2660375</v>
      </c>
      <c r="AJ23" s="95">
        <f>IFERROR(VLOOKUP(W23,S6M10!$B$1:$C$161,2,0),0)</f>
        <v>172.8529418</v>
      </c>
      <c r="AK23" s="95">
        <f>IFERROR(VLOOKUP(Y23,S6M11!$B$1:$C$161,2,0),0)</f>
        <v>0</v>
      </c>
    </row>
    <row r="24" ht="15.75" customHeight="1">
      <c r="A24" s="92">
        <v>23.0</v>
      </c>
      <c r="B24" s="6" t="s">
        <v>14</v>
      </c>
      <c r="C24" s="93">
        <f t="shared" si="1"/>
        <v>5766.578719</v>
      </c>
      <c r="D24" s="93"/>
      <c r="E24" s="94">
        <f>IFERROR(VLOOKUP($B24,S6M1!$A$1:$B$160,2,0),"0")</f>
        <v>21</v>
      </c>
      <c r="F24" s="95">
        <f>IFERROR(VLOOKUP(E24,S6M1!$B$1:$C$161,2,0),0)</f>
        <v>564.9969906</v>
      </c>
      <c r="G24" s="94">
        <f>IFERROR(VLOOKUP($B24,S6M2!$A$1:$B$160,2,0),"0")</f>
        <v>14</v>
      </c>
      <c r="H24" s="95">
        <f>IFERROR(VLOOKUP(G24,S6M2!$B$1:$C$161,2,0),0)</f>
        <v>921.3892409</v>
      </c>
      <c r="I24" s="94">
        <f>IFERROR(VLOOKUP($B24,S6M3!$A$1:$B$161,2,0),0)</f>
        <v>13</v>
      </c>
      <c r="J24" s="95">
        <f>IFERROR(VLOOKUP(I24,S6M3!$B$1:$C$161,2,0),0)</f>
        <v>992.3285228</v>
      </c>
      <c r="K24" s="94">
        <f>IFERROR(VLOOKUP($B24,S6M4!$A$1:$B$160,2,0),"0")</f>
        <v>33</v>
      </c>
      <c r="L24" s="95">
        <f>IFERROR(VLOOKUP(K24,S6M4!$B$1:$C$161,2,0),0)</f>
        <v>475.682846</v>
      </c>
      <c r="M24" s="94">
        <f>IFERROR(VLOOKUP($B24,S6M5!$A$1:$B$160,2,0),"0")</f>
        <v>54</v>
      </c>
      <c r="N24" s="95">
        <f>IFERROR(VLOOKUP(M24,S6M5!$B$1:$C$161,2,0),0)</f>
        <v>69.31425227</v>
      </c>
      <c r="O24" s="94">
        <f>IFERROR(VLOOKUP($B24,S6M6!$A$1:$B$160,2,0),"0")</f>
        <v>37</v>
      </c>
      <c r="P24" s="95">
        <f>IFERROR(VLOOKUP(O24,S6M6!$B$1:$C$161,2,0),0)</f>
        <v>459.3124612</v>
      </c>
      <c r="Q24" s="94">
        <f>IFERROR(VLOOKUP($B24,S6M7!$A$1:$B$160,2,0),"0")</f>
        <v>17</v>
      </c>
      <c r="R24" s="95">
        <f>IFERROR(VLOOKUP(Q24,S6M7!$B$1:$C$161,2,0),0)</f>
        <v>731.7861082</v>
      </c>
      <c r="S24" s="94">
        <f>IFERROR(VLOOKUP($B24,S6M8!$A$1:$B$160,2,0),"0")</f>
        <v>37</v>
      </c>
      <c r="T24" s="95">
        <f>IFERROR(VLOOKUP(S24,S6M8!$B$1:$C$161,2,0),0)</f>
        <v>289.0946429</v>
      </c>
      <c r="U24" s="94">
        <f>IFERROR(VLOOKUP($B24,S6M9!$A$1:$B$160,2,0),"0")</f>
        <v>43</v>
      </c>
      <c r="V24" s="95">
        <f>IFERROR(VLOOKUP(U24,S6M9!$B$1:$C$161,2,0),0)</f>
        <v>145.1987491</v>
      </c>
      <c r="W24" s="94">
        <f>IFERROR(VLOOKUP($B24,S6M10!$A$1:$B$160,2,0),"0")</f>
        <v>6</v>
      </c>
      <c r="X24" s="95">
        <f>IFERROR(VLOOKUP(W24,S6M10!$B$1:$C$161,2,0),0)</f>
        <v>1186.789158</v>
      </c>
      <c r="Y24" s="94">
        <f>IFERROR(VLOOKUP($B24,S6M11!$A$1:$B$160,2,0),"0")</f>
        <v>41</v>
      </c>
      <c r="Z24" s="95">
        <f>IFERROR(VLOOKUP(Y24,S6M11!$B$1:$C$161,2,0),0)</f>
        <v>136.5642267</v>
      </c>
      <c r="AA24" s="97">
        <f>IFERROR(VLOOKUP(E24,S6M1!$B$1:$C$161,2,0),0)</f>
        <v>564.9969906</v>
      </c>
      <c r="AB24" s="97">
        <f>IFERROR(VLOOKUP(G24,S6M2!$B$1:$C$161,2,0),0)</f>
        <v>921.3892409</v>
      </c>
      <c r="AC24" s="97">
        <f>IFERROR(VLOOKUP(I24,S6M3!$B$1:$C$161,2,0),0)</f>
        <v>992.3285228</v>
      </c>
      <c r="AD24" s="97">
        <f>IFERROR(VLOOKUP(K24,S6M4!$B$1:$C$161,2,0),0)</f>
        <v>475.682846</v>
      </c>
      <c r="AE24" s="97">
        <f>IFERROR(VLOOKUP(M24,S6M5!$B$1:$C$161,2,0),0)</f>
        <v>69.31425227</v>
      </c>
      <c r="AF24" s="97">
        <f>IFERROR(VLOOKUP(O24,S6M6!$B$1:$C$161,2,0),0)</f>
        <v>459.3124612</v>
      </c>
      <c r="AG24" s="97">
        <f>IFERROR(VLOOKUP(Q24,S6M7!$B$1:$C$161,2,0),0)</f>
        <v>731.7861082</v>
      </c>
      <c r="AH24" s="97">
        <f>IFERROR(VLOOKUP(S24,S6M8!$B$1:$C$161,2,0),0)</f>
        <v>289.0946429</v>
      </c>
      <c r="AI24" s="97">
        <f>IFERROR(VLOOKUP(U24,S6M9!$B$1:$C$161,2,0),0)</f>
        <v>145.1987491</v>
      </c>
      <c r="AJ24" s="97">
        <f>IFERROR(VLOOKUP(W24,S6M10!$B$1:$C$161,2,0),0)</f>
        <v>1186.789158</v>
      </c>
      <c r="AK24" s="97">
        <f>IFERROR(VLOOKUP(Y24,S6M11!$B$1:$C$161,2,0),0)</f>
        <v>136.5642267</v>
      </c>
    </row>
    <row r="25" ht="15.75" customHeight="1">
      <c r="A25" s="92">
        <v>24.0</v>
      </c>
      <c r="B25" s="6" t="s">
        <v>30</v>
      </c>
      <c r="C25" s="93">
        <f t="shared" si="1"/>
        <v>5752.57942</v>
      </c>
      <c r="D25" s="93"/>
      <c r="E25" s="94">
        <f>IFERROR(VLOOKUP($B25,S6M1!$A$1:$B$160,2,0),"0")</f>
        <v>23</v>
      </c>
      <c r="F25" s="95">
        <f>IFERROR(VLOOKUP(E25,S6M1!$B$1:$C$161,2,0),0)</f>
        <v>512.8428629</v>
      </c>
      <c r="G25" s="94">
        <f>IFERROR(VLOOKUP($B25,S6M2!$A$1:$B$160,2,0),"0")</f>
        <v>24</v>
      </c>
      <c r="H25" s="95">
        <f>IFERROR(VLOOKUP(G25,S6M2!$B$1:$C$161,2,0),0)</f>
        <v>647.3453248</v>
      </c>
      <c r="I25" s="94">
        <f>IFERROR(VLOOKUP($B25,S6M3!$A$1:$B$161,2,0),0)</f>
        <v>56</v>
      </c>
      <c r="J25" s="95">
        <f>IFERROR(VLOOKUP(I25,S6M3!$B$1:$C$161,2,0),0)</f>
        <v>169.1794022</v>
      </c>
      <c r="K25" s="94">
        <f>IFERROR(VLOOKUP($B25,S6M4!$A$1:$B$160,2,0),"0")</f>
        <v>13</v>
      </c>
      <c r="L25" s="95">
        <f>IFERROR(VLOOKUP(K25,S6M4!$B$1:$C$161,2,0),0)</f>
        <v>964.3219823</v>
      </c>
      <c r="M25" s="94">
        <f>IFERROR(VLOOKUP($B25,S6M5!$A$1:$B$160,2,0),"0")</f>
        <v>56</v>
      </c>
      <c r="N25" s="95">
        <f>IFERROR(VLOOKUP(M25,S6M5!$B$1:$C$161,2,0),0)</f>
        <v>41.21214567</v>
      </c>
      <c r="O25" s="94">
        <f>IFERROR(VLOOKUP($B25,S6M6!$A$1:$B$160,2,0),"0")</f>
        <v>41</v>
      </c>
      <c r="P25" s="95">
        <f>IFERROR(VLOOKUP(O25,S6M6!$B$1:$C$161,2,0),0)</f>
        <v>396.5120082</v>
      </c>
      <c r="Q25" s="94">
        <f>IFERROR(VLOOKUP($B25,S6M7!$A$1:$B$160,2,0),"0")</f>
        <v>48</v>
      </c>
      <c r="R25" s="95">
        <f>IFERROR(VLOOKUP(Q25,S6M7!$B$1:$C$161,2,0),0)</f>
        <v>91.5452064</v>
      </c>
      <c r="S25" s="94">
        <f>IFERROR(VLOOKUP($B25,S6M8!$A$1:$B$160,2,0),"0")</f>
        <v>39</v>
      </c>
      <c r="T25" s="95">
        <f>IFERROR(VLOOKUP(S25,S6M8!$B$1:$C$161,2,0),0)</f>
        <v>253.613169</v>
      </c>
      <c r="U25" s="94">
        <f>IFERROR(VLOOKUP($B25,S6M9!$A$1:$B$160,2,0),"0")</f>
        <v>1</v>
      </c>
      <c r="V25" s="95">
        <f>IFERROR(VLOOKUP(U25,S6M9!$B$1:$C$161,2,0),0)</f>
        <v>2106.96662</v>
      </c>
      <c r="W25" s="94">
        <f>IFERROR(VLOOKUP($B25,S6M10!$A$1:$B$160,2,0),"0")</f>
        <v>31</v>
      </c>
      <c r="X25" s="95">
        <f>IFERROR(VLOOKUP(W25,S6M10!$B$1:$C$161,2,0),0)</f>
        <v>329.5148631</v>
      </c>
      <c r="Y25" s="94">
        <f>IFERROR(VLOOKUP($B25,S6M11!$A$1:$B$160,2,0),"0")</f>
        <v>29</v>
      </c>
      <c r="Z25" s="95">
        <f>IFERROR(VLOOKUP(Y25,S6M11!$B$1:$C$161,2,0),0)</f>
        <v>372.283187</v>
      </c>
      <c r="AA25" s="95">
        <f>IFERROR(VLOOKUP(E25,S6M1!$B$1:$C$161,2,0),0)</f>
        <v>512.8428629</v>
      </c>
      <c r="AB25" s="95">
        <f>IFERROR(VLOOKUP(G25,S6M2!$B$1:$C$161,2,0),0)</f>
        <v>647.3453248</v>
      </c>
      <c r="AC25" s="95">
        <f>IFERROR(VLOOKUP(I25,S6M3!$B$1:$C$161,2,0),0)</f>
        <v>169.1794022</v>
      </c>
      <c r="AD25" s="95">
        <f>IFERROR(VLOOKUP(K25,S6M4!$B$1:$C$161,2,0),0)</f>
        <v>964.3219823</v>
      </c>
      <c r="AE25" s="95">
        <f>IFERROR(VLOOKUP(M25,S6M5!$B$1:$C$161,2,0),0)</f>
        <v>41.21214567</v>
      </c>
      <c r="AF25" s="95">
        <f>IFERROR(VLOOKUP(O25,S6M6!$B$1:$C$161,2,0),0)</f>
        <v>396.5120082</v>
      </c>
      <c r="AG25" s="95">
        <f>IFERROR(VLOOKUP(Q25,S6M7!$B$1:$C$161,2,0),0)</f>
        <v>91.5452064</v>
      </c>
      <c r="AH25" s="95">
        <f>IFERROR(VLOOKUP(S25,S6M8!$B$1:$C$161,2,0),0)</f>
        <v>253.613169</v>
      </c>
      <c r="AI25" s="95">
        <f>IFERROR(VLOOKUP(U25,S6M9!$B$1:$C$161,2,0),0)</f>
        <v>2106.96662</v>
      </c>
      <c r="AJ25" s="95">
        <f>IFERROR(VLOOKUP(W25,S6M10!$B$1:$C$161,2,0),0)</f>
        <v>329.5148631</v>
      </c>
      <c r="AK25" s="95">
        <f>IFERROR(VLOOKUP(Y25,S6M11!$B$1:$C$161,2,0),0)</f>
        <v>372.283187</v>
      </c>
    </row>
    <row r="26" ht="15.75" customHeight="1">
      <c r="A26" s="92">
        <v>25.0</v>
      </c>
      <c r="B26" s="6" t="s">
        <v>21</v>
      </c>
      <c r="C26" s="93">
        <f t="shared" si="1"/>
        <v>5383.091268</v>
      </c>
      <c r="D26" s="93"/>
      <c r="E26" s="94" t="str">
        <f>IFERROR(VLOOKUP($B26,S6M1!$A$1:$B$160,2,0),"0")</f>
        <v>0</v>
      </c>
      <c r="F26" s="95">
        <f>IFERROR(VLOOKUP(E26,S6M1!$B$1:$C$161,2,0),0)</f>
        <v>0</v>
      </c>
      <c r="G26" s="94">
        <f>IFERROR(VLOOKUP($B26,S6M2!$A$1:$B$160,2,0),"0")</f>
        <v>12</v>
      </c>
      <c r="H26" s="95">
        <f>IFERROR(VLOOKUP(G26,S6M2!$B$1:$C$161,2,0),0)</f>
        <v>995.1430805</v>
      </c>
      <c r="I26" s="94">
        <f>IFERROR(VLOOKUP($B26,S6M3!$A$1:$B$161,2,0),0)</f>
        <v>52</v>
      </c>
      <c r="J26" s="95">
        <f>IFERROR(VLOOKUP(I26,S6M3!$B$1:$C$161,2,0),0)</f>
        <v>221.5838614</v>
      </c>
      <c r="K26" s="94">
        <f>IFERROR(VLOOKUP($B26,S6M4!$A$1:$B$160,2,0),"0")</f>
        <v>55</v>
      </c>
      <c r="L26" s="95">
        <f>IFERROR(VLOOKUP(K26,S6M4!$B$1:$C$161,2,0),0)</f>
        <v>139.5513519</v>
      </c>
      <c r="M26" s="94">
        <f>IFERROR(VLOOKUP($B26,S6M5!$A$1:$B$160,2,0),"0")</f>
        <v>9</v>
      </c>
      <c r="N26" s="95">
        <f>IFERROR(VLOOKUP(M26,S6M5!$B$1:$C$161,2,0),0)</f>
        <v>1084.826674</v>
      </c>
      <c r="O26" s="94">
        <f>IFERROR(VLOOKUP($B26,S6M6!$A$1:$B$160,2,0),"0")</f>
        <v>66</v>
      </c>
      <c r="P26" s="95">
        <f>IFERROR(VLOOKUP(O26,S6M6!$B$1:$C$161,2,0),0)</f>
        <v>68.13274415</v>
      </c>
      <c r="Q26" s="94">
        <f>IFERROR(VLOOKUP($B26,S6M7!$A$1:$B$160,2,0),"0")</f>
        <v>18</v>
      </c>
      <c r="R26" s="95">
        <f>IFERROR(VLOOKUP(Q26,S6M7!$B$1:$C$161,2,0),0)</f>
        <v>701.9061402</v>
      </c>
      <c r="S26" s="94">
        <f>IFERROR(VLOOKUP($B26,S6M8!$A$1:$B$160,2,0),"0")</f>
        <v>26</v>
      </c>
      <c r="T26" s="95">
        <f>IFERROR(VLOOKUP(S26,S6M8!$B$1:$C$161,2,0),0)</f>
        <v>508.7127596</v>
      </c>
      <c r="U26" s="94">
        <f>IFERROR(VLOOKUP($B26,S6M9!$A$1:$B$160,2,0),"0")</f>
        <v>35</v>
      </c>
      <c r="V26" s="95">
        <f>IFERROR(VLOOKUP(U26,S6M9!$B$1:$C$161,2,0),0)</f>
        <v>288.7482691</v>
      </c>
      <c r="W26" s="94" t="str">
        <f>IFERROR(VLOOKUP($B26,S6M10!$A$1:$B$160,2,0),"0")</f>
        <v>0</v>
      </c>
      <c r="X26" s="95">
        <f>IFERROR(VLOOKUP(W26,S6M10!$B$1:$C$161,2,0),0)</f>
        <v>0</v>
      </c>
      <c r="Y26" s="94">
        <f>IFERROR(VLOOKUP($B26,S6M11!$A$1:$B$160,2,0),"0")</f>
        <v>4</v>
      </c>
      <c r="Z26" s="95">
        <f>IFERROR(VLOOKUP(Y26,S6M11!$B$1:$C$161,2,0),0)</f>
        <v>1374.486387</v>
      </c>
      <c r="AA26" s="95">
        <f>IFERROR(VLOOKUP(E26,S6M1!$B$1:$C$161,2,0),0)</f>
        <v>0</v>
      </c>
      <c r="AB26" s="95">
        <f>IFERROR(VLOOKUP(G26,S6M2!$B$1:$C$161,2,0),0)</f>
        <v>995.1430805</v>
      </c>
      <c r="AC26" s="95">
        <f>IFERROR(VLOOKUP(I26,S6M3!$B$1:$C$161,2,0),0)</f>
        <v>221.5838614</v>
      </c>
      <c r="AD26" s="95">
        <f>IFERROR(VLOOKUP(K26,S6M4!$B$1:$C$161,2,0),0)</f>
        <v>139.5513519</v>
      </c>
      <c r="AE26" s="95">
        <f>IFERROR(VLOOKUP(M26,S6M5!$B$1:$C$161,2,0),0)</f>
        <v>1084.826674</v>
      </c>
      <c r="AF26" s="95">
        <f>IFERROR(VLOOKUP(O26,S6M6!$B$1:$C$161,2,0),0)</f>
        <v>68.13274415</v>
      </c>
      <c r="AG26" s="95">
        <f>IFERROR(VLOOKUP(Q26,S6M7!$B$1:$C$161,2,0),0)</f>
        <v>701.9061402</v>
      </c>
      <c r="AH26" s="95">
        <f>IFERROR(VLOOKUP(S26,S6M8!$B$1:$C$161,2,0),0)</f>
        <v>508.7127596</v>
      </c>
      <c r="AI26" s="95">
        <f>IFERROR(VLOOKUP(U26,S6M9!$B$1:$C$161,2,0),0)</f>
        <v>288.7482691</v>
      </c>
      <c r="AJ26" s="95">
        <f>IFERROR(VLOOKUP(W26,S6M10!$B$1:$C$161,2,0),0)</f>
        <v>0</v>
      </c>
      <c r="AK26" s="95">
        <f>IFERROR(VLOOKUP(Y26,S6M11!$B$1:$C$161,2,0),0)</f>
        <v>1374.486387</v>
      </c>
    </row>
    <row r="27" ht="15.75" customHeight="1">
      <c r="A27" s="92">
        <v>26.0</v>
      </c>
      <c r="B27" s="6" t="s">
        <v>15</v>
      </c>
      <c r="C27" s="93">
        <f t="shared" si="1"/>
        <v>5366.422196</v>
      </c>
      <c r="D27" s="93"/>
      <c r="E27" s="94">
        <f>IFERROR(VLOOKUP($B27,S6M1!$A$1:$B$160,2,0),"0")</f>
        <v>20</v>
      </c>
      <c r="F27" s="95">
        <f>IFERROR(VLOOKUP(E27,S6M1!$B$1:$C$161,2,0),0)</f>
        <v>592.356865</v>
      </c>
      <c r="G27" s="94">
        <f>IFERROR(VLOOKUP($B27,S6M2!$A$1:$B$160,2,0),"0")</f>
        <v>2</v>
      </c>
      <c r="H27" s="95">
        <f>IFERROR(VLOOKUP(G27,S6M2!$B$1:$C$161,2,0),0)</f>
        <v>1851.347824</v>
      </c>
      <c r="I27" s="94">
        <f>IFERROR(VLOOKUP($B27,S6M3!$A$1:$B$161,2,0),0)</f>
        <v>67</v>
      </c>
      <c r="J27" s="95">
        <f>IFERROR(VLOOKUP(I27,S6M3!$B$1:$C$161,2,0),0)</f>
        <v>34.66322858</v>
      </c>
      <c r="K27" s="94">
        <f>IFERROR(VLOOKUP($B27,S6M4!$A$1:$B$160,2,0),"0")</f>
        <v>63</v>
      </c>
      <c r="L27" s="95">
        <f>IFERROR(VLOOKUP(K27,S6M4!$B$1:$C$161,2,0),0)</f>
        <v>36.78901438</v>
      </c>
      <c r="M27" s="94">
        <f>IFERROR(VLOOKUP($B27,S6M5!$A$1:$B$160,2,0),"0")</f>
        <v>49</v>
      </c>
      <c r="N27" s="95">
        <f>IFERROR(VLOOKUP(M27,S6M5!$B$1:$C$161,2,0),0)</f>
        <v>142.0371529</v>
      </c>
      <c r="O27" s="94">
        <f>IFERROR(VLOOKUP($B27,S6M6!$A$1:$B$160,2,0),"0")</f>
        <v>67</v>
      </c>
      <c r="P27" s="95">
        <f>IFERROR(VLOOKUP(O27,S6M6!$B$1:$C$161,2,0),0)</f>
        <v>56.56423505</v>
      </c>
      <c r="Q27" s="94">
        <f>IFERROR(VLOOKUP($B27,S6M7!$A$1:$B$160,2,0),"0")</f>
        <v>19</v>
      </c>
      <c r="R27" s="95">
        <f>IFERROR(VLOOKUP(Q27,S6M7!$B$1:$C$161,2,0),0)</f>
        <v>673.2468208</v>
      </c>
      <c r="S27" s="94">
        <f>IFERROR(VLOOKUP($B27,S6M8!$A$1:$B$160,2,0),"0")</f>
        <v>18</v>
      </c>
      <c r="T27" s="95">
        <f>IFERROR(VLOOKUP(S27,S6M8!$B$1:$C$161,2,0),0)</f>
        <v>711.5436834</v>
      </c>
      <c r="U27" s="94">
        <f>IFERROR(VLOOKUP($B27,S6M9!$A$1:$B$160,2,0),"0")</f>
        <v>15</v>
      </c>
      <c r="V27" s="95">
        <f>IFERROR(VLOOKUP(U27,S6M9!$B$1:$C$161,2,0),0)</f>
        <v>776.723399</v>
      </c>
      <c r="W27" s="94">
        <f>IFERROR(VLOOKUP($B27,S6M10!$A$1:$B$160,2,0),"0")</f>
        <v>46</v>
      </c>
      <c r="X27" s="95">
        <f>IFERROR(VLOOKUP(W27,S6M10!$B$1:$C$161,2,0),0)</f>
        <v>49.75935289</v>
      </c>
      <c r="Y27" s="94">
        <f>IFERROR(VLOOKUP($B27,S6M11!$A$1:$B$160,2,0),"0")</f>
        <v>23</v>
      </c>
      <c r="Z27" s="95">
        <f>IFERROR(VLOOKUP(Y27,S6M11!$B$1:$C$161,2,0),0)</f>
        <v>512.8428629</v>
      </c>
      <c r="AA27" s="95">
        <f>IFERROR(VLOOKUP(E27,S6M1!$B$1:$C$161,2,0),0)</f>
        <v>592.356865</v>
      </c>
      <c r="AB27" s="95">
        <f>IFERROR(VLOOKUP(G27,S6M2!$B$1:$C$161,2,0),0)</f>
        <v>1851.347824</v>
      </c>
      <c r="AC27" s="95">
        <f>IFERROR(VLOOKUP(I27,S6M3!$B$1:$C$161,2,0),0)</f>
        <v>34.66322858</v>
      </c>
      <c r="AD27" s="95">
        <f>IFERROR(VLOOKUP(K27,S6M4!$B$1:$C$161,2,0),0)</f>
        <v>36.78901438</v>
      </c>
      <c r="AE27" s="95">
        <f>IFERROR(VLOOKUP(M27,S6M5!$B$1:$C$161,2,0),0)</f>
        <v>142.0371529</v>
      </c>
      <c r="AF27" s="95">
        <f>IFERROR(VLOOKUP(O27,S6M6!$B$1:$C$161,2,0),0)</f>
        <v>56.56423505</v>
      </c>
      <c r="AG27" s="95">
        <f>IFERROR(VLOOKUP(Q27,S6M7!$B$1:$C$161,2,0),0)</f>
        <v>673.2468208</v>
      </c>
      <c r="AH27" s="95">
        <f>IFERROR(VLOOKUP(S27,S6M8!$B$1:$C$161,2,0),0)</f>
        <v>711.5436834</v>
      </c>
      <c r="AI27" s="95">
        <f>IFERROR(VLOOKUP(U27,S6M9!$B$1:$C$161,2,0),0)</f>
        <v>776.723399</v>
      </c>
      <c r="AJ27" s="95">
        <f>IFERROR(VLOOKUP(W27,S6M10!$B$1:$C$161,2,0),0)</f>
        <v>49.75935289</v>
      </c>
      <c r="AK27" s="95">
        <f>IFERROR(VLOOKUP(Y27,S6M11!$B$1:$C$161,2,0),0)</f>
        <v>512.8428629</v>
      </c>
    </row>
    <row r="28" ht="15.75" customHeight="1">
      <c r="A28" s="92">
        <v>27.0</v>
      </c>
      <c r="B28" s="6" t="s">
        <v>17</v>
      </c>
      <c r="C28" s="93">
        <f t="shared" si="1"/>
        <v>5133.979578</v>
      </c>
      <c r="D28" s="93"/>
      <c r="E28" s="94">
        <f>IFERROR(VLOOKUP($B28,S6M1!$A$1:$B$160,2,0),"0")</f>
        <v>37</v>
      </c>
      <c r="F28" s="95">
        <f>IFERROR(VLOOKUP(E28,S6M1!$B$1:$C$161,2,0),0)</f>
        <v>210.1714604</v>
      </c>
      <c r="G28" s="94">
        <f>IFERROR(VLOOKUP($B28,S6M2!$A$1:$B$160,2,0),"0")</f>
        <v>44</v>
      </c>
      <c r="H28" s="95">
        <f>IFERROR(VLOOKUP(G28,S6M2!$B$1:$C$161,2,0),0)</f>
        <v>284.9450357</v>
      </c>
      <c r="I28" s="94">
        <f>IFERROR(VLOOKUP($B28,S6M3!$A$1:$B$161,2,0),0)</f>
        <v>66</v>
      </c>
      <c r="J28" s="95">
        <f>IFERROR(VLOOKUP(I28,S6M3!$B$1:$C$161,2,0),0)</f>
        <v>46.39171892</v>
      </c>
      <c r="K28" s="94">
        <f>IFERROR(VLOOKUP($B28,S6M4!$A$1:$B$160,2,0),"0")</f>
        <v>65</v>
      </c>
      <c r="L28" s="95">
        <f>IFERROR(VLOOKUP(K28,S6M4!$B$1:$C$161,2,0),0)</f>
        <v>12.16756559</v>
      </c>
      <c r="M28" s="94">
        <f>IFERROR(VLOOKUP($B28,S6M5!$A$1:$B$160,2,0),"0")</f>
        <v>4</v>
      </c>
      <c r="N28" s="95">
        <f>IFERROR(VLOOKUP(M28,S6M5!$B$1:$C$161,2,0),0)</f>
        <v>1461.499496</v>
      </c>
      <c r="O28" s="94">
        <f>IFERROR(VLOOKUP($B28,S6M6!$A$1:$B$160,2,0),"0")</f>
        <v>10</v>
      </c>
      <c r="P28" s="95">
        <f>IFERROR(VLOOKUP(O28,S6M6!$B$1:$C$161,2,0),0)</f>
        <v>1128.449957</v>
      </c>
      <c r="Q28" s="94">
        <f>IFERROR(VLOOKUP($B28,S6M7!$A$1:$B$160,2,0),"0")</f>
        <v>20</v>
      </c>
      <c r="R28" s="95">
        <f>IFERROR(VLOOKUP(Q28,S6M7!$B$1:$C$161,2,0),0)</f>
        <v>645.678143</v>
      </c>
      <c r="S28" s="94">
        <f>IFERROR(VLOOKUP($B28,S6M8!$A$1:$B$160,2,0),"0")</f>
        <v>43</v>
      </c>
      <c r="T28" s="95">
        <f>IFERROR(VLOOKUP(S28,S6M8!$B$1:$C$161,2,0),0)</f>
        <v>185.6231345</v>
      </c>
      <c r="U28" s="94">
        <f>IFERROR(VLOOKUP($B28,S6M9!$A$1:$B$160,2,0),"0")</f>
        <v>18</v>
      </c>
      <c r="V28" s="95">
        <f>IFERROR(VLOOKUP(U28,S6M9!$B$1:$C$161,2,0),0)</f>
        <v>681.943305</v>
      </c>
      <c r="W28" s="94">
        <f>IFERROR(VLOOKUP($B28,S6M10!$A$1:$B$160,2,0),"0")</f>
        <v>27</v>
      </c>
      <c r="X28" s="95">
        <f>IFERROR(VLOOKUP(W28,S6M10!$B$1:$C$161,2,0),0)</f>
        <v>416.8930612</v>
      </c>
      <c r="Y28" s="94">
        <f>IFERROR(VLOOKUP($B28,S6M11!$A$1:$B$160,2,0),"0")</f>
        <v>42</v>
      </c>
      <c r="Z28" s="95">
        <f>IFERROR(VLOOKUP(Y28,S6M11!$B$1:$C$161,2,0),0)</f>
        <v>118.775986</v>
      </c>
      <c r="AA28" s="95">
        <f>IFERROR(VLOOKUP(E28,S6M1!$B$1:$C$161,2,0),0)</f>
        <v>210.1714604</v>
      </c>
      <c r="AB28" s="95">
        <f>IFERROR(VLOOKUP(G28,S6M2!$B$1:$C$161,2,0),0)</f>
        <v>284.9450357</v>
      </c>
      <c r="AC28" s="95">
        <f>IFERROR(VLOOKUP(I28,S6M3!$B$1:$C$161,2,0),0)</f>
        <v>46.39171892</v>
      </c>
      <c r="AD28" s="95">
        <f>IFERROR(VLOOKUP(K28,S6M4!$B$1:$C$161,2,0),0)</f>
        <v>12.16756559</v>
      </c>
      <c r="AE28" s="95">
        <f>IFERROR(VLOOKUP(M28,S6M5!$B$1:$C$161,2,0),0)</f>
        <v>1461.499496</v>
      </c>
      <c r="AF28" s="95">
        <f>IFERROR(VLOOKUP(O28,S6M6!$B$1:$C$161,2,0),0)</f>
        <v>1128.449957</v>
      </c>
      <c r="AG28" s="95">
        <f>IFERROR(VLOOKUP(Q28,S6M7!$B$1:$C$161,2,0),0)</f>
        <v>645.678143</v>
      </c>
      <c r="AH28" s="95">
        <f>IFERROR(VLOOKUP(S28,S6M8!$B$1:$C$161,2,0),0)</f>
        <v>185.6231345</v>
      </c>
      <c r="AI28" s="95">
        <f>IFERROR(VLOOKUP(U28,S6M9!$B$1:$C$161,2,0),0)</f>
        <v>681.943305</v>
      </c>
      <c r="AJ28" s="95">
        <f>IFERROR(VLOOKUP(W28,S6M10!$B$1:$C$161,2,0),0)</f>
        <v>416.8930612</v>
      </c>
      <c r="AK28" s="95">
        <f>IFERROR(VLOOKUP(Y28,S6M11!$B$1:$C$161,2,0),0)</f>
        <v>118.775986</v>
      </c>
    </row>
    <row r="29" ht="15.75" customHeight="1">
      <c r="A29" s="92">
        <v>28.0</v>
      </c>
      <c r="B29" s="16" t="s">
        <v>38</v>
      </c>
      <c r="C29" s="93">
        <f t="shared" si="1"/>
        <v>5049.403591</v>
      </c>
      <c r="D29" s="93"/>
      <c r="E29" s="94" t="str">
        <f>IFERROR(VLOOKUP($B29,S6M1!$A$1:$B$160,2,0),"0")</f>
        <v>0</v>
      </c>
      <c r="F29" s="95">
        <f>IFERROR(VLOOKUP(E29,S6M1!$B$1:$C$161,2,0),0)</f>
        <v>0</v>
      </c>
      <c r="G29" s="94">
        <f>IFERROR(VLOOKUP($B29,S6M2!$A$1:$B$160,2,0),"0")</f>
        <v>17</v>
      </c>
      <c r="H29" s="95">
        <f>IFERROR(VLOOKUP(G29,S6M2!$B$1:$C$161,2,0),0)</f>
        <v>826.1025763</v>
      </c>
      <c r="I29" s="94">
        <f>IFERROR(VLOOKUP($B29,S6M3!$A$1:$B$161,2,0),0)</f>
        <v>14</v>
      </c>
      <c r="J29" s="95">
        <f>IFERROR(VLOOKUP(I29,S6M3!$B$1:$C$161,2,0),0)</f>
        <v>957.02322</v>
      </c>
      <c r="K29" s="94" t="str">
        <f>IFERROR(VLOOKUP($B29,S6M4!$A$1:$B$160,2,0),"0")</f>
        <v>0</v>
      </c>
      <c r="L29" s="95">
        <f>IFERROR(VLOOKUP(K29,S6M4!$B$1:$C$161,2,0),0)</f>
        <v>0</v>
      </c>
      <c r="M29" s="94">
        <f>IFERROR(VLOOKUP($B29,S6M5!$A$1:$B$160,2,0),"0")</f>
        <v>35</v>
      </c>
      <c r="N29" s="95">
        <f>IFERROR(VLOOKUP(M29,S6M5!$B$1:$C$161,2,0),0)</f>
        <v>370.8046818</v>
      </c>
      <c r="O29" s="94">
        <f>IFERROR(VLOOKUP($B29,S6M6!$A$1:$B$160,2,0),"0")</f>
        <v>43</v>
      </c>
      <c r="P29" s="95">
        <f>IFERROR(VLOOKUP(O29,S6M6!$B$1:$C$161,2,0),0)</f>
        <v>366.5401039</v>
      </c>
      <c r="Q29" s="94">
        <f>IFERROR(VLOOKUP($B29,S6M7!$A$1:$B$160,2,0),"0")</f>
        <v>31</v>
      </c>
      <c r="R29" s="95">
        <f>IFERROR(VLOOKUP(Q29,S6M7!$B$1:$C$161,2,0),0)</f>
        <v>391.4552119</v>
      </c>
      <c r="S29" s="94">
        <f>IFERROR(VLOOKUP($B29,S6M8!$A$1:$B$160,2,0),"0")</f>
        <v>52</v>
      </c>
      <c r="T29" s="95">
        <f>IFERROR(VLOOKUP(S29,S6M8!$B$1:$C$161,2,0),0)</f>
        <v>44.25255889</v>
      </c>
      <c r="U29" s="94">
        <f>IFERROR(VLOOKUP($B29,S6M9!$A$1:$B$160,2,0),"0")</f>
        <v>9</v>
      </c>
      <c r="V29" s="95">
        <f>IFERROR(VLOOKUP(U29,S6M9!$B$1:$C$161,2,0),0)</f>
        <v>1025.640844</v>
      </c>
      <c r="W29" s="94">
        <f>IFERROR(VLOOKUP($B29,S6M10!$A$1:$B$160,2,0),"0")</f>
        <v>13</v>
      </c>
      <c r="X29" s="95">
        <f>IFERROR(VLOOKUP(W29,S6M10!$B$1:$C$161,2,0),0)</f>
        <v>818.9541531</v>
      </c>
      <c r="Y29" s="94">
        <f>IFERROR(VLOOKUP($B29,S6M11!$A$1:$B$160,2,0),"0")</f>
        <v>35</v>
      </c>
      <c r="Z29" s="95">
        <f>IFERROR(VLOOKUP(Y29,S6M11!$B$1:$C$161,2,0),0)</f>
        <v>248.6302414</v>
      </c>
      <c r="AA29" s="95">
        <f>IFERROR(VLOOKUP(E29,S6M1!$B$1:$C$161,2,0),0)</f>
        <v>0</v>
      </c>
      <c r="AB29" s="95">
        <f>IFERROR(VLOOKUP(G29,S6M2!$B$1:$C$161,2,0),0)</f>
        <v>826.1025763</v>
      </c>
      <c r="AC29" s="95">
        <f>IFERROR(VLOOKUP(I29,S6M3!$B$1:$C$161,2,0),0)</f>
        <v>957.02322</v>
      </c>
      <c r="AD29" s="95">
        <f>IFERROR(VLOOKUP(K29,S6M4!$B$1:$C$161,2,0),0)</f>
        <v>0</v>
      </c>
      <c r="AE29" s="95">
        <f>IFERROR(VLOOKUP(M29,S6M5!$B$1:$C$161,2,0),0)</f>
        <v>370.8046818</v>
      </c>
      <c r="AF29" s="95">
        <f>IFERROR(VLOOKUP(O29,S6M6!$B$1:$C$161,2,0),0)</f>
        <v>366.5401039</v>
      </c>
      <c r="AG29" s="95">
        <f>IFERROR(VLOOKUP(Q29,S6M7!$B$1:$C$161,2,0),0)</f>
        <v>391.4552119</v>
      </c>
      <c r="AH29" s="95">
        <f>IFERROR(VLOOKUP(S29,S6M8!$B$1:$C$161,2,0),0)</f>
        <v>44.25255889</v>
      </c>
      <c r="AI29" s="95">
        <f>IFERROR(VLOOKUP(U29,S6M9!$B$1:$C$161,2,0),0)</f>
        <v>1025.640844</v>
      </c>
      <c r="AJ29" s="95">
        <f>IFERROR(VLOOKUP(W29,S6M10!$B$1:$C$161,2,0),0)</f>
        <v>818.9541531</v>
      </c>
      <c r="AK29" s="95">
        <f>IFERROR(VLOOKUP(Y29,S6M11!$B$1:$C$161,2,0),0)</f>
        <v>248.6302414</v>
      </c>
    </row>
    <row r="30" ht="15.75" customHeight="1">
      <c r="A30" s="92">
        <v>29.0</v>
      </c>
      <c r="B30" s="6" t="s">
        <v>33</v>
      </c>
      <c r="C30" s="93">
        <f t="shared" si="1"/>
        <v>5010.9672</v>
      </c>
      <c r="D30" s="93"/>
      <c r="E30" s="94">
        <f>IFERROR(VLOOKUP($B30,S6M1!$A$1:$B$160,2,0),"0")</f>
        <v>5</v>
      </c>
      <c r="F30" s="95">
        <f>IFERROR(VLOOKUP(E30,S6M1!$B$1:$C$161,2,0),0)</f>
        <v>1271.022101</v>
      </c>
      <c r="G30" s="94">
        <f>IFERROR(VLOOKUP($B30,S6M2!$A$1:$B$160,2,0),"0")</f>
        <v>30</v>
      </c>
      <c r="H30" s="95">
        <f>IFERROR(VLOOKUP(G30,S6M2!$B$1:$C$161,2,0),0)</f>
        <v>522.6280321</v>
      </c>
      <c r="I30" s="94">
        <f>IFERROR(VLOOKUP($B30,S6M3!$A$1:$B$161,2,0),0)</f>
        <v>8</v>
      </c>
      <c r="J30" s="95">
        <f>IFERROR(VLOOKUP(I30,S6M3!$B$1:$C$161,2,0),0)</f>
        <v>1218.66868</v>
      </c>
      <c r="K30" s="94">
        <f>IFERROR(VLOOKUP($B30,S6M4!$A$1:$B$160,2,0),"0")</f>
        <v>17</v>
      </c>
      <c r="L30" s="95">
        <f>IFERROR(VLOOKUP(K30,S6M4!$B$1:$C$161,2,0),0)</f>
        <v>833.7116784</v>
      </c>
      <c r="M30" s="94">
        <f>IFERROR(VLOOKUP($B30,S6M5!$A$1:$B$160,2,0),"0")</f>
        <v>40</v>
      </c>
      <c r="N30" s="95">
        <f>IFERROR(VLOOKUP(M30,S6M5!$B$1:$C$161,2,0),0)</f>
        <v>283.9158128</v>
      </c>
      <c r="O30" s="94">
        <f>IFERROR(VLOOKUP($B30,S6M6!$A$1:$B$160,2,0),"0")</f>
        <v>68</v>
      </c>
      <c r="P30" s="95">
        <f>IFERROR(VLOOKUP(O30,S6M6!$B$1:$C$161,2,0),0)</f>
        <v>45.08409724</v>
      </c>
      <c r="Q30" s="94">
        <f>IFERROR(VLOOKUP($B30,S6M7!$A$1:$B$160,2,0),"0")</f>
        <v>47</v>
      </c>
      <c r="R30" s="95">
        <f>IFERROR(VLOOKUP(Q30,S6M7!$B$1:$C$161,2,0),0)</f>
        <v>107.3663632</v>
      </c>
      <c r="S30" s="94">
        <f>IFERROR(VLOOKUP($B30,S6M8!$A$1:$B$160,2,0),"0")</f>
        <v>25</v>
      </c>
      <c r="T30" s="95">
        <f>IFERROR(VLOOKUP(S30,S6M8!$B$1:$C$161,2,0),0)</f>
        <v>531.4399792</v>
      </c>
      <c r="U30" s="94">
        <f>IFERROR(VLOOKUP($B30,S6M9!$A$1:$B$160,2,0),"0")</f>
        <v>40</v>
      </c>
      <c r="V30" s="95">
        <f>IFERROR(VLOOKUP(U30,S6M9!$B$1:$C$161,2,0),0)</f>
        <v>197.1304564</v>
      </c>
      <c r="W30" s="94" t="str">
        <f>IFERROR(VLOOKUP($B30,S6M10!$A$1:$B$160,2,0),"0")</f>
        <v>0</v>
      </c>
      <c r="X30" s="95">
        <f>IFERROR(VLOOKUP(W30,S6M10!$B$1:$C$161,2,0),0)</f>
        <v>0</v>
      </c>
      <c r="Y30" s="94">
        <f>IFERROR(VLOOKUP($B30,S6M11!$A$1:$B$160,2,0),"0")</f>
        <v>48</v>
      </c>
      <c r="Z30" s="95">
        <f>IFERROR(VLOOKUP(Y30,S6M11!$B$1:$C$161,2,0),0)</f>
        <v>16.41090826</v>
      </c>
      <c r="AA30" s="95">
        <f>IFERROR(VLOOKUP(E30,S6M1!$B$1:$C$161,2,0),0)</f>
        <v>1271.022101</v>
      </c>
      <c r="AB30" s="95">
        <f>IFERROR(VLOOKUP(G30,S6M2!$B$1:$C$161,2,0),0)</f>
        <v>522.6280321</v>
      </c>
      <c r="AC30" s="95">
        <f>IFERROR(VLOOKUP(I30,S6M3!$B$1:$C$161,2,0),0)</f>
        <v>1218.66868</v>
      </c>
      <c r="AD30" s="95">
        <f>IFERROR(VLOOKUP(K30,S6M4!$B$1:$C$161,2,0),0)</f>
        <v>833.7116784</v>
      </c>
      <c r="AE30" s="95">
        <f>IFERROR(VLOOKUP(M30,S6M5!$B$1:$C$161,2,0),0)</f>
        <v>283.9158128</v>
      </c>
      <c r="AF30" s="95">
        <f>IFERROR(VLOOKUP(O30,S6M6!$B$1:$C$161,2,0),0)</f>
        <v>45.08409724</v>
      </c>
      <c r="AG30" s="95">
        <f>IFERROR(VLOOKUP(Q30,S6M7!$B$1:$C$161,2,0),0)</f>
        <v>107.3663632</v>
      </c>
      <c r="AH30" s="95">
        <f>IFERROR(VLOOKUP(S30,S6M8!$B$1:$C$161,2,0),0)</f>
        <v>531.4399792</v>
      </c>
      <c r="AI30" s="95">
        <f>IFERROR(VLOOKUP(U30,S6M9!$B$1:$C$161,2,0),0)</f>
        <v>197.1304564</v>
      </c>
      <c r="AJ30" s="95">
        <f>IFERROR(VLOOKUP(W30,S6M10!$B$1:$C$161,2,0),0)</f>
        <v>0</v>
      </c>
      <c r="AK30" s="95">
        <f>IFERROR(VLOOKUP(Y30,S6M11!$B$1:$C$161,2,0),0)</f>
        <v>16.41090826</v>
      </c>
    </row>
    <row r="31" ht="15.75" customHeight="1">
      <c r="A31" s="92">
        <v>30.0</v>
      </c>
      <c r="B31" s="6" t="s">
        <v>31</v>
      </c>
      <c r="C31" s="93">
        <f t="shared" si="1"/>
        <v>4992.967609</v>
      </c>
      <c r="D31" s="93"/>
      <c r="E31" s="94" t="str">
        <f>IFERROR(VLOOKUP($B31,S6M1!$A$1:$B$160,2,0),"0")</f>
        <v>0</v>
      </c>
      <c r="F31" s="95">
        <f>IFERROR(VLOOKUP(E31,S6M1!$B$1:$C$161,2,0),0)</f>
        <v>0</v>
      </c>
      <c r="G31" s="94">
        <f>IFERROR(VLOOKUP($B31,S6M2!$A$1:$B$160,2,0),"0")</f>
        <v>38</v>
      </c>
      <c r="H31" s="95">
        <f>IFERROR(VLOOKUP(G31,S6M2!$B$1:$C$161,2,0),0)</f>
        <v>380.034334</v>
      </c>
      <c r="I31" s="94">
        <f>IFERROR(VLOOKUP($B31,S6M3!$A$1:$B$161,2,0),0)</f>
        <v>27</v>
      </c>
      <c r="J31" s="95">
        <f>IFERROR(VLOOKUP(I31,S6M3!$B$1:$C$161,2,0),0)</f>
        <v>623.5825757</v>
      </c>
      <c r="K31" s="94">
        <f>IFERROR(VLOOKUP($B31,S6M4!$A$1:$B$160,2,0),"0")</f>
        <v>6</v>
      </c>
      <c r="L31" s="95">
        <f>IFERROR(VLOOKUP(K31,S6M4!$B$1:$C$161,2,0),0)</f>
        <v>1324.480209</v>
      </c>
      <c r="M31" s="94" t="str">
        <f>IFERROR(VLOOKUP($B31,S6M5!$A$1:$B$160,2,0),"0")</f>
        <v>0</v>
      </c>
      <c r="N31" s="95">
        <f>IFERROR(VLOOKUP(M31,S6M5!$B$1:$C$161,2,0),0)</f>
        <v>0</v>
      </c>
      <c r="O31" s="94">
        <f>IFERROR(VLOOKUP($B31,S6M6!$A$1:$B$160,2,0),"0")</f>
        <v>11</v>
      </c>
      <c r="P31" s="95">
        <f>IFERROR(VLOOKUP(O31,S6M6!$B$1:$C$161,2,0),0)</f>
        <v>1084.107324</v>
      </c>
      <c r="Q31" s="94">
        <f>IFERROR(VLOOKUP($B31,S6M7!$A$1:$B$160,2,0),"0")</f>
        <v>38</v>
      </c>
      <c r="R31" s="95">
        <f>IFERROR(VLOOKUP(Q31,S6M7!$B$1:$C$161,2,0),0)</f>
        <v>258.8026689</v>
      </c>
      <c r="S31" s="94">
        <f>IFERROR(VLOOKUP($B31,S6M8!$A$1:$B$160,2,0),"0")</f>
        <v>24</v>
      </c>
      <c r="T31" s="95">
        <f>IFERROR(VLOOKUP(S31,S6M8!$B$1:$C$161,2,0),0)</f>
        <v>554.7877375</v>
      </c>
      <c r="U31" s="94">
        <f>IFERROR(VLOOKUP($B31,S6M9!$A$1:$B$160,2,0),"0")</f>
        <v>25</v>
      </c>
      <c r="V31" s="95">
        <f>IFERROR(VLOOKUP(U31,S6M9!$B$1:$C$161,2,0),0)</f>
        <v>498.8457095</v>
      </c>
      <c r="W31" s="94" t="str">
        <f>IFERROR(VLOOKUP($B31,S6M10!$A$1:$B$160,2,0),"0")</f>
        <v>0</v>
      </c>
      <c r="X31" s="95">
        <f>IFERROR(VLOOKUP(W31,S6M10!$B$1:$C$161,2,0),0)</f>
        <v>0</v>
      </c>
      <c r="Y31" s="94">
        <f>IFERROR(VLOOKUP($B31,S6M11!$A$1:$B$160,2,0),"0")</f>
        <v>34</v>
      </c>
      <c r="Z31" s="95">
        <f>IFERROR(VLOOKUP(Y31,S6M11!$B$1:$C$161,2,0),0)</f>
        <v>268.3270505</v>
      </c>
      <c r="AA31" s="95">
        <f>IFERROR(VLOOKUP(E31,S6M1!$B$1:$C$161,2,0),0)</f>
        <v>0</v>
      </c>
      <c r="AB31" s="95">
        <f>IFERROR(VLOOKUP(G31,S6M2!$B$1:$C$161,2,0),0)</f>
        <v>380.034334</v>
      </c>
      <c r="AC31" s="95">
        <f>IFERROR(VLOOKUP(I31,S6M3!$B$1:$C$161,2,0),0)</f>
        <v>623.5825757</v>
      </c>
      <c r="AD31" s="95">
        <f>IFERROR(VLOOKUP(K31,S6M4!$B$1:$C$161,2,0),0)</f>
        <v>1324.480209</v>
      </c>
      <c r="AE31" s="95">
        <f>IFERROR(VLOOKUP(M31,S6M5!$B$1:$C$161,2,0),0)</f>
        <v>0</v>
      </c>
      <c r="AF31" s="95">
        <f>IFERROR(VLOOKUP(O31,S6M6!$B$1:$C$161,2,0),0)</f>
        <v>1084.107324</v>
      </c>
      <c r="AG31" s="95">
        <f>IFERROR(VLOOKUP(Q31,S6M7!$B$1:$C$161,2,0),0)</f>
        <v>258.8026689</v>
      </c>
      <c r="AH31" s="95">
        <f>IFERROR(VLOOKUP(S31,S6M8!$B$1:$C$161,2,0),0)</f>
        <v>554.7877375</v>
      </c>
      <c r="AI31" s="95">
        <f>IFERROR(VLOOKUP(U31,S6M9!$B$1:$C$161,2,0),0)</f>
        <v>498.8457095</v>
      </c>
      <c r="AJ31" s="95">
        <f>IFERROR(VLOOKUP(W31,S6M10!$B$1:$C$161,2,0),0)</f>
        <v>0</v>
      </c>
      <c r="AK31" s="95">
        <f>IFERROR(VLOOKUP(Y31,S6M11!$B$1:$C$161,2,0),0)</f>
        <v>268.3270505</v>
      </c>
    </row>
    <row r="32" ht="15.75" customHeight="1">
      <c r="A32" s="92">
        <v>31.0</v>
      </c>
      <c r="B32" s="6" t="s">
        <v>54</v>
      </c>
      <c r="C32" s="93">
        <f t="shared" si="1"/>
        <v>4735.3516</v>
      </c>
      <c r="D32" s="93"/>
      <c r="E32" s="94">
        <f>IFERROR(VLOOKUP($B32,S6M1!$A$1:$B$160,2,0),"0")</f>
        <v>6</v>
      </c>
      <c r="F32" s="95">
        <f>IFERROR(VLOOKUP(E32,S6M1!$B$1:$C$161,2,0),0)</f>
        <v>1186.789158</v>
      </c>
      <c r="G32" s="94">
        <f>IFERROR(VLOOKUP($B32,S6M2!$A$1:$B$160,2,0),"0")</f>
        <v>29</v>
      </c>
      <c r="H32" s="95">
        <f>IFERROR(VLOOKUP(G32,S6M2!$B$1:$C$161,2,0),0)</f>
        <v>542.1356551</v>
      </c>
      <c r="I32" s="94">
        <f>IFERROR(VLOOKUP($B32,S6M3!$A$1:$B$161,2,0),0)</f>
        <v>18</v>
      </c>
      <c r="J32" s="95">
        <f>IFERROR(VLOOKUP(I32,S6M3!$B$1:$C$161,2,0),0)</f>
        <v>834.5486796</v>
      </c>
      <c r="K32" s="94">
        <f>IFERROR(VLOOKUP($B32,S6M4!$A$1:$B$160,2,0),"0")</f>
        <v>41</v>
      </c>
      <c r="L32" s="95">
        <f>IFERROR(VLOOKUP(K32,S6M4!$B$1:$C$161,2,0),0)</f>
        <v>341.3312725</v>
      </c>
      <c r="M32" s="94">
        <f>IFERROR(VLOOKUP($B32,S6M5!$A$1:$B$160,2,0),"0")</f>
        <v>30</v>
      </c>
      <c r="N32" s="95">
        <f>IFERROR(VLOOKUP(M32,S6M5!$B$1:$C$161,2,0),0)</f>
        <v>465.6597091</v>
      </c>
      <c r="O32" s="94">
        <f>IFERROR(VLOOKUP($B32,S6M6!$A$1:$B$160,2,0),"0")</f>
        <v>6</v>
      </c>
      <c r="P32" s="95">
        <f>IFERROR(VLOOKUP(O32,S6M6!$B$1:$C$161,2,0),0)</f>
        <v>1364.887127</v>
      </c>
      <c r="Q32" s="94" t="str">
        <f>IFERROR(VLOOKUP($B32,S6M7!$A$1:$B$160,2,0),"0")</f>
        <v>0</v>
      </c>
      <c r="R32" s="95">
        <f>IFERROR(VLOOKUP(Q32,S6M7!$B$1:$C$161,2,0),0)</f>
        <v>0</v>
      </c>
      <c r="S32" s="94" t="str">
        <f>IFERROR(VLOOKUP($B32,S6M8!$A$1:$B$160,2,0),"0")</f>
        <v>0</v>
      </c>
      <c r="T32" s="95">
        <f>IFERROR(VLOOKUP(S32,S6M8!$B$1:$C$161,2,0),0)</f>
        <v>0</v>
      </c>
      <c r="U32" s="94" t="str">
        <f>IFERROR(VLOOKUP($B32,S6M9!$A$1:$B$160,2,0),"0")</f>
        <v>0</v>
      </c>
      <c r="V32" s="95">
        <f>IFERROR(VLOOKUP(U32,S6M9!$B$1:$C$161,2,0),0)</f>
        <v>0</v>
      </c>
      <c r="W32" s="94" t="str">
        <f>IFERROR(VLOOKUP($B32,S6M10!$A$1:$B$160,2,0),"0")</f>
        <v>0</v>
      </c>
      <c r="X32" s="95">
        <f>IFERROR(VLOOKUP(W32,S6M10!$B$1:$C$161,2,0),0)</f>
        <v>0</v>
      </c>
      <c r="Y32" s="94" t="str">
        <f>IFERROR(VLOOKUP($B32,S6M11!$A$1:$B$160,2,0),"0")</f>
        <v>0</v>
      </c>
      <c r="Z32" s="95">
        <f>IFERROR(VLOOKUP(Y32,S6M11!$B$1:$C$161,2,0),0)</f>
        <v>0</v>
      </c>
      <c r="AA32" s="95">
        <f>IFERROR(VLOOKUP(E32,S6M1!$B$1:$C$161,2,0),0)</f>
        <v>1186.789158</v>
      </c>
      <c r="AB32" s="95">
        <f>IFERROR(VLOOKUP(G32,S6M2!$B$1:$C$161,2,0),0)</f>
        <v>542.1356551</v>
      </c>
      <c r="AC32" s="95">
        <f>IFERROR(VLOOKUP(I32,S6M3!$B$1:$C$161,2,0),0)</f>
        <v>834.5486796</v>
      </c>
      <c r="AD32" s="95">
        <f>IFERROR(VLOOKUP(K32,S6M4!$B$1:$C$161,2,0),0)</f>
        <v>341.3312725</v>
      </c>
      <c r="AE32" s="95">
        <f>IFERROR(VLOOKUP(M32,S6M5!$B$1:$C$161,2,0),0)</f>
        <v>465.6597091</v>
      </c>
      <c r="AF32" s="95">
        <f>IFERROR(VLOOKUP(O32,S6M6!$B$1:$C$161,2,0),0)</f>
        <v>1364.887127</v>
      </c>
      <c r="AG32" s="95">
        <f>IFERROR(VLOOKUP(Q32,S6M7!$B$1:$C$161,2,0),0)</f>
        <v>0</v>
      </c>
      <c r="AH32" s="95">
        <f>IFERROR(VLOOKUP(S32,S6M8!$B$1:$C$161,2,0),0)</f>
        <v>0</v>
      </c>
      <c r="AI32" s="95">
        <f>IFERROR(VLOOKUP(U32,S6M9!$B$1:$C$161,2,0),0)</f>
        <v>0</v>
      </c>
      <c r="AJ32" s="95">
        <f>IFERROR(VLOOKUP(W32,S6M10!$B$1:$C$161,2,0),0)</f>
        <v>0</v>
      </c>
      <c r="AK32" s="95">
        <f>IFERROR(VLOOKUP(Y32,S6M11!$B$1:$C$161,2,0),0)</f>
        <v>0</v>
      </c>
    </row>
    <row r="33" ht="15.75" customHeight="1">
      <c r="A33" s="92">
        <v>32.0</v>
      </c>
      <c r="B33" s="6" t="s">
        <v>49</v>
      </c>
      <c r="C33" s="93">
        <f t="shared" si="1"/>
        <v>4567.975954</v>
      </c>
      <c r="D33" s="93"/>
      <c r="E33" s="94">
        <f>IFERROR(VLOOKUP($B33,S6M1!$A$1:$B$160,2,0),"0")</f>
        <v>43</v>
      </c>
      <c r="F33" s="95">
        <f>IFERROR(VLOOKUP(E33,S6M1!$B$1:$C$161,2,0),0)</f>
        <v>101.210848</v>
      </c>
      <c r="G33" s="94">
        <f>IFERROR(VLOOKUP($B33,S6M2!$A$1:$B$160,2,0),"0")</f>
        <v>23</v>
      </c>
      <c r="H33" s="95">
        <f>IFERROR(VLOOKUP(G33,S6M2!$B$1:$C$161,2,0),0)</f>
        <v>670.2275888</v>
      </c>
      <c r="I33" s="94">
        <f>IFERROR(VLOOKUP($B33,S6M3!$A$1:$B$161,2,0),0)</f>
        <v>69</v>
      </c>
      <c r="J33" s="95">
        <f>IFERROR(VLOOKUP(I33,S6M3!$B$1:$C$161,2,0),0)</f>
        <v>11.46975614</v>
      </c>
      <c r="K33" s="94">
        <f>IFERROR(VLOOKUP($B33,S6M4!$A$1:$B$160,2,0),"0")</f>
        <v>10</v>
      </c>
      <c r="L33" s="95">
        <f>IFERROR(VLOOKUP(K33,S6M4!$B$1:$C$161,2,0),0)</f>
        <v>1087.977872</v>
      </c>
      <c r="M33" s="94">
        <f>IFERROR(VLOOKUP($B33,S6M5!$A$1:$B$160,2,0),"0")</f>
        <v>23</v>
      </c>
      <c r="N33" s="95">
        <f>IFERROR(VLOOKUP(M33,S6M5!$B$1:$C$161,2,0),0)</f>
        <v>617.762469</v>
      </c>
      <c r="O33" s="94">
        <f>IFERROR(VLOOKUP($B33,S6M6!$A$1:$B$160,2,0),"0")</f>
        <v>50</v>
      </c>
      <c r="P33" s="95">
        <f>IFERROR(VLOOKUP(O33,S6M6!$B$1:$C$161,2,0),0)</f>
        <v>267.7754726</v>
      </c>
      <c r="Q33" s="94" t="str">
        <f>IFERROR(VLOOKUP($B33,S6M7!$A$1:$B$160,2,0),"0")</f>
        <v>0</v>
      </c>
      <c r="R33" s="95">
        <f>IFERROR(VLOOKUP(Q33,S6M7!$B$1:$C$161,2,0),0)</f>
        <v>0</v>
      </c>
      <c r="S33" s="94" t="str">
        <f>IFERROR(VLOOKUP($B33,S6M8!$A$1:$B$160,2,0),"0")</f>
        <v>0</v>
      </c>
      <c r="T33" s="95">
        <f>IFERROR(VLOOKUP(S33,S6M8!$B$1:$C$161,2,0),0)</f>
        <v>0</v>
      </c>
      <c r="U33" s="94">
        <f>IFERROR(VLOOKUP($B33,S6M9!$A$1:$B$160,2,0),"0")</f>
        <v>31</v>
      </c>
      <c r="V33" s="95">
        <f>IFERROR(VLOOKUP(U33,S6M9!$B$1:$C$161,2,0),0)</f>
        <v>367.6769044</v>
      </c>
      <c r="W33" s="94">
        <f>IFERROR(VLOOKUP($B33,S6M10!$A$1:$B$160,2,0),"0")</f>
        <v>5</v>
      </c>
      <c r="X33" s="95">
        <f>IFERROR(VLOOKUP(W33,S6M10!$B$1:$C$161,2,0),0)</f>
        <v>1271.022101</v>
      </c>
      <c r="Y33" s="94">
        <f>IFERROR(VLOOKUP($B33,S6M11!$A$1:$B$160,2,0),"0")</f>
        <v>39</v>
      </c>
      <c r="Z33" s="95">
        <f>IFERROR(VLOOKUP(Y33,S6M11!$B$1:$C$161,2,0),0)</f>
        <v>172.8529418</v>
      </c>
      <c r="AA33" s="97">
        <f>IFERROR(VLOOKUP(E33,S6M1!$B$1:$C$161,2,0),0)</f>
        <v>101.210848</v>
      </c>
      <c r="AB33" s="97">
        <f>IFERROR(VLOOKUP(G33,S6M2!$B$1:$C$161,2,0),0)</f>
        <v>670.2275888</v>
      </c>
      <c r="AC33" s="97">
        <f>IFERROR(VLOOKUP(I33,S6M3!$B$1:$C$161,2,0),0)</f>
        <v>11.46975614</v>
      </c>
      <c r="AD33" s="97">
        <f>IFERROR(VLOOKUP(K33,S6M4!$B$1:$C$161,2,0),0)</f>
        <v>1087.977872</v>
      </c>
      <c r="AE33" s="97">
        <f>IFERROR(VLOOKUP(M33,S6M5!$B$1:$C$161,2,0),0)</f>
        <v>617.762469</v>
      </c>
      <c r="AF33" s="97">
        <f>IFERROR(VLOOKUP(O33,S6M6!$B$1:$C$161,2,0),0)</f>
        <v>267.7754726</v>
      </c>
      <c r="AG33" s="97">
        <f>IFERROR(VLOOKUP(Q33,S6M7!$B$1:$C$161,2,0),0)</f>
        <v>0</v>
      </c>
      <c r="AH33" s="97">
        <f>IFERROR(VLOOKUP(S33,S6M8!$B$1:$C$161,2,0),0)</f>
        <v>0</v>
      </c>
      <c r="AI33" s="97">
        <f>IFERROR(VLOOKUP(U33,S6M9!$B$1:$C$161,2,0),0)</f>
        <v>367.6769044</v>
      </c>
      <c r="AJ33" s="97">
        <f>IFERROR(VLOOKUP(W33,S6M10!$B$1:$C$161,2,0),0)</f>
        <v>1271.022101</v>
      </c>
      <c r="AK33" s="97">
        <f>IFERROR(VLOOKUP(Y33,S6M11!$B$1:$C$161,2,0),0)</f>
        <v>172.8529418</v>
      </c>
    </row>
    <row r="34" ht="15.75" customHeight="1">
      <c r="A34" s="92">
        <v>33.0</v>
      </c>
      <c r="B34" s="96" t="s">
        <v>59</v>
      </c>
      <c r="C34" s="93">
        <f t="shared" si="1"/>
        <v>4559.965165</v>
      </c>
      <c r="D34" s="93"/>
      <c r="E34" s="94">
        <f>IFERROR(VLOOKUP($B34,S6M1!$A$1:$B$160,2,0),"0")</f>
        <v>45</v>
      </c>
      <c r="F34" s="95">
        <f>IFERROR(VLOOKUP(E34,S6M1!$B$1:$C$161,2,0),0)</f>
        <v>66.7113593</v>
      </c>
      <c r="G34" s="94">
        <f>IFERROR(VLOOKUP($B34,S6M2!$A$1:$B$160,2,0),"0")</f>
        <v>43</v>
      </c>
      <c r="H34" s="95">
        <f>IFERROR(VLOOKUP(G34,S6M2!$B$1:$C$161,2,0),0)</f>
        <v>300.2344591</v>
      </c>
      <c r="I34" s="94">
        <f>IFERROR(VLOOKUP($B34,S6M3!$A$1:$B$161,2,0),0)</f>
        <v>54</v>
      </c>
      <c r="J34" s="95">
        <f>IFERROR(VLOOKUP(I34,S6M3!$B$1:$C$161,2,0),0)</f>
        <v>195.1138056</v>
      </c>
      <c r="K34" s="94">
        <f>IFERROR(VLOOKUP($B34,S6M4!$A$1:$B$160,2,0),"0")</f>
        <v>23</v>
      </c>
      <c r="L34" s="95">
        <f>IFERROR(VLOOKUP(K34,S6M4!$B$1:$C$161,2,0),0)</f>
        <v>678.3729652</v>
      </c>
      <c r="M34" s="94">
        <f>IFERROR(VLOOKUP($B34,S6M5!$A$1:$B$160,2,0),"0")</f>
        <v>3</v>
      </c>
      <c r="N34" s="95">
        <f>IFERROR(VLOOKUP(M34,S6M5!$B$1:$C$161,2,0),0)</f>
        <v>1599.037658</v>
      </c>
      <c r="O34" s="94">
        <f>IFERROR(VLOOKUP($B34,S6M6!$A$1:$B$160,2,0),"0")</f>
        <v>53</v>
      </c>
      <c r="P34" s="95">
        <f>IFERROR(VLOOKUP(O34,S6M6!$B$1:$C$161,2,0),0)</f>
        <v>227.9162277</v>
      </c>
      <c r="Q34" s="94">
        <f>IFERROR(VLOOKUP($B34,S6M7!$A$1:$B$160,2,0),"0")</f>
        <v>25</v>
      </c>
      <c r="R34" s="95">
        <f>IFERROR(VLOOKUP(Q34,S6M7!$B$1:$C$161,2,0),0)</f>
        <v>520.8439968</v>
      </c>
      <c r="S34" s="94" t="str">
        <f>IFERROR(VLOOKUP($B34,S6M8!$A$1:$B$160,2,0),"0")</f>
        <v>0</v>
      </c>
      <c r="T34" s="95">
        <f>IFERROR(VLOOKUP(S34,S6M8!$B$1:$C$161,2,0),0)</f>
        <v>0</v>
      </c>
      <c r="U34" s="94">
        <f>IFERROR(VLOOKUP($B34,S6M9!$A$1:$B$160,2,0),"0")</f>
        <v>12</v>
      </c>
      <c r="V34" s="95">
        <f>IFERROR(VLOOKUP(U34,S6M9!$B$1:$C$161,2,0),0)</f>
        <v>887.8756775</v>
      </c>
      <c r="W34" s="94">
        <f>IFERROR(VLOOKUP($B34,S6M10!$A$1:$B$160,2,0),"0")</f>
        <v>44</v>
      </c>
      <c r="X34" s="95">
        <f>IFERROR(VLOOKUP(W34,S6M10!$B$1:$C$161,2,0),0)</f>
        <v>83.85901602</v>
      </c>
      <c r="Y34" s="94" t="str">
        <f>IFERROR(VLOOKUP($B34,S6M11!$A$1:$B$160,2,0),"0")</f>
        <v>0</v>
      </c>
      <c r="Z34" s="95">
        <f>IFERROR(VLOOKUP(Y34,S6M11!$B$1:$C$161,2,0),0)</f>
        <v>0</v>
      </c>
      <c r="AA34" s="95">
        <f>IFERROR(VLOOKUP(E34,S6M1!$B$1:$C$161,2,0),0)</f>
        <v>66.7113593</v>
      </c>
      <c r="AB34" s="95">
        <f>IFERROR(VLOOKUP(G34,S6M2!$B$1:$C$161,2,0),0)</f>
        <v>300.2344591</v>
      </c>
      <c r="AC34" s="95">
        <f>IFERROR(VLOOKUP(I34,S6M3!$B$1:$C$161,2,0),0)</f>
        <v>195.1138056</v>
      </c>
      <c r="AD34" s="95">
        <f>IFERROR(VLOOKUP(K34,S6M4!$B$1:$C$161,2,0),0)</f>
        <v>678.3729652</v>
      </c>
      <c r="AE34" s="95">
        <f>IFERROR(VLOOKUP(M34,S6M5!$B$1:$C$161,2,0),0)</f>
        <v>1599.037658</v>
      </c>
      <c r="AF34" s="95">
        <f>IFERROR(VLOOKUP(O34,S6M6!$B$1:$C$161,2,0),0)</f>
        <v>227.9162277</v>
      </c>
      <c r="AG34" s="95">
        <f>IFERROR(VLOOKUP(Q34,S6M7!$B$1:$C$161,2,0),0)</f>
        <v>520.8439968</v>
      </c>
      <c r="AH34" s="95">
        <f>IFERROR(VLOOKUP(S34,S6M8!$B$1:$C$161,2,0),0)</f>
        <v>0</v>
      </c>
      <c r="AI34" s="95">
        <f>IFERROR(VLOOKUP(U34,S6M9!$B$1:$C$161,2,0),0)</f>
        <v>887.8756775</v>
      </c>
      <c r="AJ34" s="95">
        <f>IFERROR(VLOOKUP(W34,S6M10!$B$1:$C$161,2,0),0)</f>
        <v>83.85901602</v>
      </c>
      <c r="AK34" s="95">
        <f>IFERROR(VLOOKUP(Y34,S6M11!$B$1:$C$161,2,0),0)</f>
        <v>0</v>
      </c>
    </row>
    <row r="35" ht="15.75" customHeight="1">
      <c r="A35" s="92">
        <v>34.0</v>
      </c>
      <c r="B35" s="6" t="s">
        <v>26</v>
      </c>
      <c r="C35" s="93">
        <f t="shared" si="1"/>
        <v>4510.343168</v>
      </c>
      <c r="D35" s="93"/>
      <c r="E35" s="94">
        <f>IFERROR(VLOOKUP($B35,S6M1!$A$1:$B$160,2,0),"0")</f>
        <v>36</v>
      </c>
      <c r="F35" s="95">
        <f>IFERROR(VLOOKUP(E35,S6M1!$B$1:$C$161,2,0),0)</f>
        <v>229.2506914</v>
      </c>
      <c r="G35" s="94">
        <f>IFERROR(VLOOKUP($B35,S6M2!$A$1:$B$160,2,0),"0")</f>
        <v>22</v>
      </c>
      <c r="H35" s="95">
        <f>IFERROR(VLOOKUP(G35,S6M2!$B$1:$C$161,2,0),0)</f>
        <v>693.8534545</v>
      </c>
      <c r="I35" s="94">
        <f>IFERROR(VLOOKUP($B35,S6M3!$A$1:$B$161,2,0),0)</f>
        <v>42</v>
      </c>
      <c r="J35" s="95">
        <f>IFERROR(VLOOKUP(I35,S6M3!$B$1:$C$161,2,0),0)</f>
        <v>363.5901973</v>
      </c>
      <c r="K35" s="94">
        <f>IFERROR(VLOOKUP($B35,S6M4!$A$1:$B$160,2,0),"0")</f>
        <v>47</v>
      </c>
      <c r="L35" s="95">
        <f>IFERROR(VLOOKUP(K35,S6M4!$B$1:$C$161,2,0),0)</f>
        <v>250.7039472</v>
      </c>
      <c r="M35" s="94" t="str">
        <f>IFERROR(VLOOKUP($B35,S6M5!$A$1:$B$160,2,0),"0")</f>
        <v>0</v>
      </c>
      <c r="N35" s="95">
        <f>IFERROR(VLOOKUP(M35,S6M5!$B$1:$C$161,2,0),0)</f>
        <v>0</v>
      </c>
      <c r="O35" s="94">
        <f>IFERROR(VLOOKUP($B35,S6M6!$A$1:$B$160,2,0),"0")</f>
        <v>51</v>
      </c>
      <c r="P35" s="95">
        <f>IFERROR(VLOOKUP(O35,S6M6!$B$1:$C$161,2,0),0)</f>
        <v>254.3415803</v>
      </c>
      <c r="Q35" s="94">
        <f>IFERROR(VLOOKUP($B35,S6M7!$A$1:$B$160,2,0),"0")</f>
        <v>11</v>
      </c>
      <c r="R35" s="95">
        <f>IFERROR(VLOOKUP(Q35,S6M7!$B$1:$C$161,2,0),0)</f>
        <v>948.2327512</v>
      </c>
      <c r="S35" s="94">
        <f>IFERROR(VLOOKUP($B35,S6M8!$A$1:$B$160,2,0),"0")</f>
        <v>32</v>
      </c>
      <c r="T35" s="95">
        <f>IFERROR(VLOOKUP(S35,S6M8!$B$1:$C$161,2,0),0)</f>
        <v>383.052509</v>
      </c>
      <c r="U35" s="94">
        <f>IFERROR(VLOOKUP($B35,S6M9!$A$1:$B$160,2,0),"0")</f>
        <v>42</v>
      </c>
      <c r="V35" s="95">
        <f>IFERROR(VLOOKUP(U35,S6M9!$B$1:$C$161,2,0),0)</f>
        <v>162.2837956</v>
      </c>
      <c r="W35" s="94">
        <f>IFERROR(VLOOKUP($B35,S6M10!$A$1:$B$160,2,0),"0")</f>
        <v>26</v>
      </c>
      <c r="X35" s="95">
        <f>IFERROR(VLOOKUP(W35,S6M10!$B$1:$C$161,2,0),0)</f>
        <v>439.9744185</v>
      </c>
      <c r="Y35" s="94">
        <f>IFERROR(VLOOKUP($B35,S6M11!$A$1:$B$160,2,0),"0")</f>
        <v>10</v>
      </c>
      <c r="Z35" s="95">
        <f>IFERROR(VLOOKUP(Y35,S6M11!$B$1:$C$161,2,0),0)</f>
        <v>947.3436186</v>
      </c>
      <c r="AA35" s="95">
        <f>IFERROR(VLOOKUP(E35,S6M1!$B$1:$C$161,2,0),0)</f>
        <v>229.2506914</v>
      </c>
      <c r="AB35" s="95">
        <f>IFERROR(VLOOKUP(G35,S6M2!$B$1:$C$161,2,0),0)</f>
        <v>693.8534545</v>
      </c>
      <c r="AC35" s="95">
        <f>IFERROR(VLOOKUP(I35,S6M3!$B$1:$C$161,2,0),0)</f>
        <v>363.5901973</v>
      </c>
      <c r="AD35" s="95">
        <f>IFERROR(VLOOKUP(K35,S6M4!$B$1:$C$161,2,0),0)</f>
        <v>250.7039472</v>
      </c>
      <c r="AE35" s="95">
        <f>IFERROR(VLOOKUP(M35,S6M5!$B$1:$C$161,2,0),0)</f>
        <v>0</v>
      </c>
      <c r="AF35" s="95">
        <f>IFERROR(VLOOKUP(O35,S6M6!$B$1:$C$161,2,0),0)</f>
        <v>254.3415803</v>
      </c>
      <c r="AG35" s="95">
        <f>IFERROR(VLOOKUP(Q35,S6M7!$B$1:$C$161,2,0),0)</f>
        <v>948.2327512</v>
      </c>
      <c r="AH35" s="95">
        <f>IFERROR(VLOOKUP(S35,S6M8!$B$1:$C$161,2,0),0)</f>
        <v>383.052509</v>
      </c>
      <c r="AI35" s="95">
        <f>IFERROR(VLOOKUP(U35,S6M9!$B$1:$C$161,2,0),0)</f>
        <v>162.2837956</v>
      </c>
      <c r="AJ35" s="95">
        <f>IFERROR(VLOOKUP(W35,S6M10!$B$1:$C$161,2,0),0)</f>
        <v>439.9744185</v>
      </c>
      <c r="AK35" s="95">
        <f>IFERROR(VLOOKUP(Y35,S6M11!$B$1:$C$161,2,0),0)</f>
        <v>947.3436186</v>
      </c>
    </row>
    <row r="36" ht="15.75" customHeight="1">
      <c r="A36" s="92">
        <v>35.0</v>
      </c>
      <c r="B36" s="98" t="s">
        <v>41</v>
      </c>
      <c r="C36" s="93">
        <f t="shared" si="1"/>
        <v>4382.296869</v>
      </c>
      <c r="D36" s="93"/>
      <c r="E36" s="94" t="str">
        <f>IFERROR(VLOOKUP($B36,S6M1!$A$1:$B$160,2,0),"0")</f>
        <v>0</v>
      </c>
      <c r="F36" s="95">
        <f>IFERROR(VLOOKUP(E36,S6M1!$B$1:$C$161,2,0),0)</f>
        <v>0</v>
      </c>
      <c r="G36" s="94">
        <f>IFERROR(VLOOKUP($B36,S6M2!$A$1:$B$160,2,0),"0")</f>
        <v>55</v>
      </c>
      <c r="H36" s="95">
        <f>IFERROR(VLOOKUP(G36,S6M2!$B$1:$C$161,2,0),0)</f>
        <v>128.3258936</v>
      </c>
      <c r="I36" s="94">
        <f>IFERROR(VLOOKUP($B36,S6M3!$A$1:$B$161,2,0),0)</f>
        <v>41</v>
      </c>
      <c r="J36" s="95">
        <f>IFERROR(VLOOKUP(I36,S6M3!$B$1:$C$161,2,0),0)</f>
        <v>378.851046</v>
      </c>
      <c r="K36" s="94">
        <f>IFERROR(VLOOKUP($B36,S6M4!$A$1:$B$160,2,0),"0")</f>
        <v>39</v>
      </c>
      <c r="L36" s="95">
        <f>IFERROR(VLOOKUP(K36,S6M4!$B$1:$C$161,2,0),0)</f>
        <v>373.2756391</v>
      </c>
      <c r="M36" s="94">
        <f>IFERROR(VLOOKUP($B36,S6M5!$A$1:$B$160,2,0),"0")</f>
        <v>28</v>
      </c>
      <c r="N36" s="95">
        <f>IFERROR(VLOOKUP(M36,S6M5!$B$1:$C$161,2,0),0)</f>
        <v>506.4343608</v>
      </c>
      <c r="O36" s="94" t="str">
        <f>IFERROR(VLOOKUP($B36,S6M6!$A$1:$B$160,2,0),"0")</f>
        <v>0</v>
      </c>
      <c r="P36" s="95">
        <f>IFERROR(VLOOKUP(O36,S6M6!$B$1:$C$161,2,0),0)</f>
        <v>0</v>
      </c>
      <c r="Q36" s="94">
        <f>IFERROR(VLOOKUP($B36,S6M7!$A$1:$B$160,2,0),"0")</f>
        <v>40</v>
      </c>
      <c r="R36" s="95">
        <f>IFERROR(VLOOKUP(Q36,S6M7!$B$1:$C$161,2,0),0)</f>
        <v>223.567003</v>
      </c>
      <c r="S36" s="94">
        <f>IFERROR(VLOOKUP($B36,S6M8!$A$1:$B$160,2,0),"0")</f>
        <v>6</v>
      </c>
      <c r="T36" s="95">
        <f>IFERROR(VLOOKUP(S36,S6M8!$B$1:$C$161,2,0),0)</f>
        <v>1240.155767</v>
      </c>
      <c r="U36" s="94" t="str">
        <f>IFERROR(VLOOKUP($B36,S6M9!$A$1:$B$160,2,0),"0")</f>
        <v>0</v>
      </c>
      <c r="V36" s="95">
        <f>IFERROR(VLOOKUP(U36,S6M9!$B$1:$C$161,2,0),0)</f>
        <v>0</v>
      </c>
      <c r="W36" s="94">
        <f>IFERROR(VLOOKUP($B36,S6M10!$A$1:$B$160,2,0),"0")</f>
        <v>16</v>
      </c>
      <c r="X36" s="95">
        <f>IFERROR(VLOOKUP(W36,S6M10!$B$1:$C$161,2,0),0)</f>
        <v>712.7330062</v>
      </c>
      <c r="Y36" s="94">
        <f>IFERROR(VLOOKUP($B36,S6M11!$A$1:$B$160,2,0),"0")</f>
        <v>13</v>
      </c>
      <c r="Z36" s="95">
        <f>IFERROR(VLOOKUP(Y36,S6M11!$B$1:$C$161,2,0),0)</f>
        <v>818.9541531</v>
      </c>
      <c r="AA36" s="95">
        <f>IFERROR(VLOOKUP(E36,S6M1!$B$1:$C$161,2,0),0)</f>
        <v>0</v>
      </c>
      <c r="AB36" s="95">
        <f>IFERROR(VLOOKUP(G36,S6M2!$B$1:$C$161,2,0),0)</f>
        <v>128.3258936</v>
      </c>
      <c r="AC36" s="95">
        <f>IFERROR(VLOOKUP(I36,S6M3!$B$1:$C$161,2,0),0)</f>
        <v>378.851046</v>
      </c>
      <c r="AD36" s="95">
        <f>IFERROR(VLOOKUP(K36,S6M4!$B$1:$C$161,2,0),0)</f>
        <v>373.2756391</v>
      </c>
      <c r="AE36" s="95">
        <f>IFERROR(VLOOKUP(M36,S6M5!$B$1:$C$161,2,0),0)</f>
        <v>506.4343608</v>
      </c>
      <c r="AF36" s="95">
        <f>IFERROR(VLOOKUP(O36,S6M6!$B$1:$C$161,2,0),0)</f>
        <v>0</v>
      </c>
      <c r="AG36" s="95">
        <f>IFERROR(VLOOKUP(Q36,S6M7!$B$1:$C$161,2,0),0)</f>
        <v>223.567003</v>
      </c>
      <c r="AH36" s="95">
        <f>IFERROR(VLOOKUP(S36,S6M8!$B$1:$C$161,2,0),0)</f>
        <v>1240.155767</v>
      </c>
      <c r="AI36" s="95">
        <f>IFERROR(VLOOKUP(U36,S6M9!$B$1:$C$161,2,0),0)</f>
        <v>0</v>
      </c>
      <c r="AJ36" s="95">
        <f>IFERROR(VLOOKUP(W36,S6M10!$B$1:$C$161,2,0),0)</f>
        <v>712.7330062</v>
      </c>
      <c r="AK36" s="95">
        <f>IFERROR(VLOOKUP(Y36,S6M11!$B$1:$C$161,2,0),0)</f>
        <v>818.9541531</v>
      </c>
    </row>
    <row r="37" ht="15.75" customHeight="1">
      <c r="A37" s="92">
        <v>36.0</v>
      </c>
      <c r="B37" s="17" t="s">
        <v>48</v>
      </c>
      <c r="C37" s="93">
        <f t="shared" si="1"/>
        <v>4323.83197</v>
      </c>
      <c r="D37" s="93"/>
      <c r="E37" s="94" t="str">
        <f>IFERROR(VLOOKUP($B37,S6M1!$A$1:$B$160,2,0),"0")</f>
        <v>0</v>
      </c>
      <c r="F37" s="95">
        <f>IFERROR(VLOOKUP(E37,S6M1!$B$1:$C$161,2,0),0)</f>
        <v>0</v>
      </c>
      <c r="G37" s="94" t="str">
        <f>IFERROR(VLOOKUP($B37,S6M2!$A$1:$B$160,2,0),"0")</f>
        <v>0</v>
      </c>
      <c r="H37" s="95">
        <f>IFERROR(VLOOKUP(G37,S6M2!$B$1:$C$161,2,0),0)</f>
        <v>0</v>
      </c>
      <c r="I37" s="94">
        <f>IFERROR(VLOOKUP($B37,S6M3!$A$1:$B$161,2,0),0)</f>
        <v>0</v>
      </c>
      <c r="J37" s="95">
        <f>IFERROR(VLOOKUP(I37,S6M3!$B$1:$C$161,2,0),0)</f>
        <v>0</v>
      </c>
      <c r="K37" s="94" t="str">
        <f>IFERROR(VLOOKUP($B37,S6M4!$A$1:$B$160,2,0),"0")</f>
        <v>0</v>
      </c>
      <c r="L37" s="95">
        <f>IFERROR(VLOOKUP(K37,S6M4!$B$1:$C$161,2,0),0)</f>
        <v>0</v>
      </c>
      <c r="M37" s="94">
        <f>IFERROR(VLOOKUP($B37,S6M5!$A$1:$B$160,2,0),"0")</f>
        <v>17</v>
      </c>
      <c r="N37" s="95">
        <f>IFERROR(VLOOKUP(M37,S6M5!$B$1:$C$161,2,0),0)</f>
        <v>777.2988735</v>
      </c>
      <c r="O37" s="94">
        <f>IFERROR(VLOOKUP($B37,S6M6!$A$1:$B$160,2,0),"0")</f>
        <v>32</v>
      </c>
      <c r="P37" s="95">
        <f>IFERROR(VLOOKUP(O37,S6M6!$B$1:$C$161,2,0),0)</f>
        <v>544.331054</v>
      </c>
      <c r="Q37" s="94">
        <f>IFERROR(VLOOKUP($B37,S6M7!$A$1:$B$160,2,0),"0")</f>
        <v>53</v>
      </c>
      <c r="R37" s="95">
        <f>IFERROR(VLOOKUP(Q37,S6M7!$B$1:$C$161,2,0),0)</f>
        <v>14.88420695</v>
      </c>
      <c r="S37" s="94">
        <f>IFERROR(VLOOKUP($B37,S6M8!$A$1:$B$160,2,0),"0")</f>
        <v>40</v>
      </c>
      <c r="T37" s="95">
        <f>IFERROR(VLOOKUP(S37,S6M8!$B$1:$C$161,2,0),0)</f>
        <v>236.2621932</v>
      </c>
      <c r="U37" s="94">
        <f>IFERROR(VLOOKUP($B37,S6M9!$A$1:$B$160,2,0),"0")</f>
        <v>2</v>
      </c>
      <c r="V37" s="95">
        <f>IFERROR(VLOOKUP(U37,S6M9!$B$1:$C$161,2,0),0)</f>
        <v>1737.000665</v>
      </c>
      <c r="W37" s="94">
        <f>IFERROR(VLOOKUP($B37,S6M10!$A$1:$B$160,2,0),"0")</f>
        <v>10</v>
      </c>
      <c r="X37" s="95">
        <f>IFERROR(VLOOKUP(W37,S6M10!$B$1:$C$161,2,0),0)</f>
        <v>947.3436186</v>
      </c>
      <c r="Y37" s="94">
        <f>IFERROR(VLOOKUP($B37,S6M11!$A$1:$B$160,2,0),"0")</f>
        <v>45</v>
      </c>
      <c r="Z37" s="95">
        <f>IFERROR(VLOOKUP(Y37,S6M11!$B$1:$C$161,2,0),0)</f>
        <v>66.7113593</v>
      </c>
      <c r="AA37" s="97">
        <f>IFERROR(VLOOKUP(E37,S6M1!$B$1:$C$161,2,0),0)</f>
        <v>0</v>
      </c>
      <c r="AB37" s="97">
        <f>IFERROR(VLOOKUP(G37,S6M2!$B$1:$C$161,2,0),0)</f>
        <v>0</v>
      </c>
      <c r="AC37" s="97">
        <f>IFERROR(VLOOKUP(I37,S6M3!$B$1:$C$161,2,0),0)</f>
        <v>0</v>
      </c>
      <c r="AD37" s="97">
        <f>IFERROR(VLOOKUP(K37,S6M4!$B$1:$C$161,2,0),0)</f>
        <v>0</v>
      </c>
      <c r="AE37" s="97">
        <f>IFERROR(VLOOKUP(M37,S6M5!$B$1:$C$161,2,0),0)</f>
        <v>777.2988735</v>
      </c>
      <c r="AF37" s="97">
        <f>IFERROR(VLOOKUP(O37,S6M6!$B$1:$C$161,2,0),0)</f>
        <v>544.331054</v>
      </c>
      <c r="AG37" s="97">
        <f>IFERROR(VLOOKUP(Q37,S6M7!$B$1:$C$161,2,0),0)</f>
        <v>14.88420695</v>
      </c>
      <c r="AH37" s="97">
        <f>IFERROR(VLOOKUP(S37,S6M8!$B$1:$C$161,2,0),0)</f>
        <v>236.2621932</v>
      </c>
      <c r="AI37" s="97">
        <f>IFERROR(VLOOKUP(U37,S6M9!$B$1:$C$161,2,0),0)</f>
        <v>1737.000665</v>
      </c>
      <c r="AJ37" s="97">
        <f>IFERROR(VLOOKUP(W37,S6M10!$B$1:$C$161,2,0),0)</f>
        <v>947.3436186</v>
      </c>
      <c r="AK37" s="97">
        <f>IFERROR(VLOOKUP(Y37,S6M11!$B$1:$C$161,2,0),0)</f>
        <v>66.7113593</v>
      </c>
    </row>
    <row r="38" ht="15.75" customHeight="1">
      <c r="A38" s="92">
        <v>37.0</v>
      </c>
      <c r="B38" s="6" t="s">
        <v>57</v>
      </c>
      <c r="C38" s="93">
        <f t="shared" si="1"/>
        <v>4132.461305</v>
      </c>
      <c r="D38" s="93"/>
      <c r="E38" s="94" t="str">
        <f>IFERROR(VLOOKUP($B38,S6M1!$A$1:$B$160,2,0),"0")</f>
        <v>0</v>
      </c>
      <c r="F38" s="95">
        <f>IFERROR(VLOOKUP(E38,S6M1!$B$1:$C$161,2,0),0)</f>
        <v>0</v>
      </c>
      <c r="G38" s="94">
        <f>IFERROR(VLOOKUP($B38,S6M2!$A$1:$B$160,2,0),"0")</f>
        <v>5</v>
      </c>
      <c r="H38" s="95">
        <f>IFERROR(VLOOKUP(G38,S6M2!$B$1:$C$161,2,0),0)</f>
        <v>1402.212127</v>
      </c>
      <c r="I38" s="94">
        <f>IFERROR(VLOOKUP($B38,S6M3!$A$1:$B$161,2,0),0)</f>
        <v>0</v>
      </c>
      <c r="J38" s="95">
        <f>IFERROR(VLOOKUP(I38,S6M3!$B$1:$C$161,2,0),0)</f>
        <v>0</v>
      </c>
      <c r="K38" s="94" t="str">
        <f>IFERROR(VLOOKUP($B38,S6M4!$A$1:$B$160,2,0),"0")</f>
        <v>0</v>
      </c>
      <c r="L38" s="95">
        <f>IFERROR(VLOOKUP(K38,S6M4!$B$1:$C$161,2,0),0)</f>
        <v>0</v>
      </c>
      <c r="M38" s="94" t="str">
        <f>IFERROR(VLOOKUP($B38,S6M5!$A$1:$B$160,2,0),"0")</f>
        <v>0</v>
      </c>
      <c r="N38" s="95">
        <f>IFERROR(VLOOKUP(M38,S6M5!$B$1:$C$161,2,0),0)</f>
        <v>0</v>
      </c>
      <c r="O38" s="94">
        <f>IFERROR(VLOOKUP($B38,S6M6!$A$1:$B$160,2,0),"0")</f>
        <v>36</v>
      </c>
      <c r="P38" s="95">
        <f>IFERROR(VLOOKUP(O38,S6M6!$B$1:$C$161,2,0),0)</f>
        <v>475.682846</v>
      </c>
      <c r="Q38" s="94" t="str">
        <f>IFERROR(VLOOKUP($B38,S6M7!$A$1:$B$160,2,0),"0")</f>
        <v>0</v>
      </c>
      <c r="R38" s="95">
        <f>IFERROR(VLOOKUP(Q38,S6M7!$B$1:$C$161,2,0),0)</f>
        <v>0</v>
      </c>
      <c r="S38" s="94">
        <f>IFERROR(VLOOKUP($B38,S6M8!$A$1:$B$160,2,0),"0")</f>
        <v>5</v>
      </c>
      <c r="T38" s="95">
        <f>IFERROR(VLOOKUP(S38,S6M8!$B$1:$C$161,2,0),0)</f>
        <v>1324.480209</v>
      </c>
      <c r="U38" s="94">
        <f>IFERROR(VLOOKUP($B38,S6M9!$A$1:$B$160,2,0),"0")</f>
        <v>11</v>
      </c>
      <c r="V38" s="95">
        <f>IFERROR(VLOOKUP(U38,S6M9!$B$1:$C$161,2,0),0)</f>
        <v>930.086123</v>
      </c>
      <c r="W38" s="94" t="str">
        <f>IFERROR(VLOOKUP($B38,S6M10!$A$1:$B$160,2,0),"0")</f>
        <v>0</v>
      </c>
      <c r="X38" s="95">
        <f>IFERROR(VLOOKUP(W38,S6M10!$B$1:$C$161,2,0),0)</f>
        <v>0</v>
      </c>
      <c r="Y38" s="94" t="str">
        <f>IFERROR(VLOOKUP($B38,S6M11!$A$1:$B$160,2,0),"0")</f>
        <v>0</v>
      </c>
      <c r="Z38" s="95">
        <f>IFERROR(VLOOKUP(Y38,S6M11!$B$1:$C$161,2,0),0)</f>
        <v>0</v>
      </c>
      <c r="AA38" s="95">
        <f>IFERROR(VLOOKUP(E38,S6M1!$B$1:$C$161,2,0),0)</f>
        <v>0</v>
      </c>
      <c r="AB38" s="95">
        <f>IFERROR(VLOOKUP(G38,S6M2!$B$1:$C$161,2,0),0)</f>
        <v>1402.212127</v>
      </c>
      <c r="AC38" s="95">
        <f>IFERROR(VLOOKUP(I38,S6M3!$B$1:$C$161,2,0),0)</f>
        <v>0</v>
      </c>
      <c r="AD38" s="95">
        <f>IFERROR(VLOOKUP(K38,S6M4!$B$1:$C$161,2,0),0)</f>
        <v>0</v>
      </c>
      <c r="AE38" s="95">
        <f>IFERROR(VLOOKUP(M38,S6M5!$B$1:$C$161,2,0),0)</f>
        <v>0</v>
      </c>
      <c r="AF38" s="95">
        <f>IFERROR(VLOOKUP(O38,S6M6!$B$1:$C$161,2,0),0)</f>
        <v>475.682846</v>
      </c>
      <c r="AG38" s="95">
        <f>IFERROR(VLOOKUP(Q38,S6M7!$B$1:$C$161,2,0),0)</f>
        <v>0</v>
      </c>
      <c r="AH38" s="95">
        <f>IFERROR(VLOOKUP(S38,S6M8!$B$1:$C$161,2,0),0)</f>
        <v>1324.480209</v>
      </c>
      <c r="AI38" s="95">
        <f>IFERROR(VLOOKUP(U38,S6M9!$B$1:$C$161,2,0),0)</f>
        <v>930.086123</v>
      </c>
      <c r="AJ38" s="95">
        <f>IFERROR(VLOOKUP(W38,S6M10!$B$1:$C$161,2,0),0)</f>
        <v>0</v>
      </c>
      <c r="AK38" s="95">
        <f>IFERROR(VLOOKUP(Y38,S6M11!$B$1:$C$161,2,0),0)</f>
        <v>0</v>
      </c>
    </row>
    <row r="39" ht="15.75" customHeight="1">
      <c r="A39" s="92">
        <v>38.0</v>
      </c>
      <c r="B39" s="6" t="s">
        <v>37</v>
      </c>
      <c r="C39" s="93">
        <f t="shared" si="1"/>
        <v>4124.072491</v>
      </c>
      <c r="D39" s="93"/>
      <c r="E39" s="94">
        <f>IFERROR(VLOOKUP($B39,S6M1!$A$1:$B$160,2,0),"0")</f>
        <v>38</v>
      </c>
      <c r="F39" s="95">
        <f>IFERROR(VLOOKUP(E39,S6M1!$B$1:$C$161,2,0),0)</f>
        <v>191.3769871</v>
      </c>
      <c r="G39" s="94">
        <f>IFERROR(VLOOKUP($B39,S6M2!$A$1:$B$160,2,0),"0")</f>
        <v>26</v>
      </c>
      <c r="H39" s="95">
        <f>IFERROR(VLOOKUP(G39,S6M2!$B$1:$C$161,2,0),0)</f>
        <v>603.5680462</v>
      </c>
      <c r="I39" s="94">
        <f>IFERROR(VLOOKUP($B39,S6M3!$A$1:$B$161,2,0),0)</f>
        <v>23</v>
      </c>
      <c r="J39" s="95">
        <f>IFERROR(VLOOKUP(I39,S6M3!$B$1:$C$161,2,0),0)</f>
        <v>709.4672554</v>
      </c>
      <c r="K39" s="94">
        <f>IFERROR(VLOOKUP($B39,S6M4!$A$1:$B$160,2,0),"0")</f>
        <v>43</v>
      </c>
      <c r="L39" s="95">
        <f>IFERROR(VLOOKUP(K39,S6M4!$B$1:$C$161,2,0),0)</f>
        <v>310.3078466</v>
      </c>
      <c r="M39" s="94">
        <f>IFERROR(VLOOKUP($B39,S6M5!$A$1:$B$160,2,0),"0")</f>
        <v>10</v>
      </c>
      <c r="N39" s="95">
        <f>IFERROR(VLOOKUP(M39,S6M5!$B$1:$C$161,2,0),0)</f>
        <v>1035.49274</v>
      </c>
      <c r="O39" s="94">
        <f>IFERROR(VLOOKUP($B39,S6M6!$A$1:$B$160,2,0),"0")</f>
        <v>31</v>
      </c>
      <c r="P39" s="95">
        <f>IFERROR(VLOOKUP(O39,S6M6!$B$1:$C$161,2,0),0)</f>
        <v>562.3854135</v>
      </c>
      <c r="Q39" s="94">
        <f>IFERROR(VLOOKUP($B39,S6M7!$A$1:$B$160,2,0),"0")</f>
        <v>39</v>
      </c>
      <c r="R39" s="95">
        <f>IFERROR(VLOOKUP(Q39,S6M7!$B$1:$C$161,2,0),0)</f>
        <v>241.057015</v>
      </c>
      <c r="S39" s="94">
        <f>IFERROR(VLOOKUP($B39,S6M8!$A$1:$B$160,2,0),"0")</f>
        <v>41</v>
      </c>
      <c r="T39" s="95">
        <f>IFERROR(VLOOKUP(S39,S6M8!$B$1:$C$161,2,0),0)</f>
        <v>219.1543227</v>
      </c>
      <c r="U39" s="94">
        <f>IFERROR(VLOOKUP($B39,S6M9!$A$1:$B$160,2,0),"0")</f>
        <v>37</v>
      </c>
      <c r="V39" s="95">
        <f>IFERROR(VLOOKUP(U39,S6M9!$B$1:$C$161,2,0),0)</f>
        <v>251.2628649</v>
      </c>
      <c r="W39" s="94">
        <f>IFERROR(VLOOKUP($B39,S6M10!$A$1:$B$160,2,0),"0")</f>
        <v>41</v>
      </c>
      <c r="X39" s="95">
        <f>IFERROR(VLOOKUP(W39,S6M10!$B$1:$C$161,2,0),0)</f>
        <v>136.5642267</v>
      </c>
      <c r="Y39" s="94" t="str">
        <f>IFERROR(VLOOKUP($B39,S6M11!$A$1:$B$160,2,0),"0")</f>
        <v>0</v>
      </c>
      <c r="Z39" s="95">
        <f>IFERROR(VLOOKUP(Y39,S6M11!$B$1:$C$161,2,0),0)</f>
        <v>0</v>
      </c>
      <c r="AA39" s="95">
        <f>IFERROR(VLOOKUP(E39,S6M1!$B$1:$C$161,2,0),0)</f>
        <v>191.3769871</v>
      </c>
      <c r="AB39" s="95">
        <f>IFERROR(VLOOKUP(G39,S6M2!$B$1:$C$161,2,0),0)</f>
        <v>603.5680462</v>
      </c>
      <c r="AC39" s="95">
        <f>IFERROR(VLOOKUP(I39,S6M3!$B$1:$C$161,2,0),0)</f>
        <v>709.4672554</v>
      </c>
      <c r="AD39" s="95">
        <f>IFERROR(VLOOKUP(K39,S6M4!$B$1:$C$161,2,0),0)</f>
        <v>310.3078466</v>
      </c>
      <c r="AE39" s="95">
        <f>IFERROR(VLOOKUP(M39,S6M5!$B$1:$C$161,2,0),0)</f>
        <v>1035.49274</v>
      </c>
      <c r="AF39" s="95">
        <f>IFERROR(VLOOKUP(O39,S6M6!$B$1:$C$161,2,0),0)</f>
        <v>562.3854135</v>
      </c>
      <c r="AG39" s="95">
        <f>IFERROR(VLOOKUP(Q39,S6M7!$B$1:$C$161,2,0),0)</f>
        <v>241.057015</v>
      </c>
      <c r="AH39" s="95">
        <f>IFERROR(VLOOKUP(S39,S6M8!$B$1:$C$161,2,0),0)</f>
        <v>219.1543227</v>
      </c>
      <c r="AI39" s="95">
        <f>IFERROR(VLOOKUP(U39,S6M9!$B$1:$C$161,2,0),0)</f>
        <v>251.2628649</v>
      </c>
      <c r="AJ39" s="95">
        <f>IFERROR(VLOOKUP(W39,S6M10!$B$1:$C$161,2,0),0)</f>
        <v>136.5642267</v>
      </c>
      <c r="AK39" s="95">
        <f>IFERROR(VLOOKUP(Y39,S6M11!$B$1:$C$161,2,0),0)</f>
        <v>0</v>
      </c>
    </row>
    <row r="40" ht="15.75" customHeight="1">
      <c r="A40" s="92">
        <v>39.0</v>
      </c>
      <c r="B40" s="6" t="s">
        <v>47</v>
      </c>
      <c r="C40" s="93">
        <f t="shared" si="1"/>
        <v>4043.487681</v>
      </c>
      <c r="D40" s="93"/>
      <c r="E40" s="94" t="str">
        <f>IFERROR(VLOOKUP($B40,S6M1!$A$1:$B$160,2,0),"0")</f>
        <v>0</v>
      </c>
      <c r="F40" s="95">
        <f>IFERROR(VLOOKUP(E40,S6M1!$B$1:$C$161,2,0),0)</f>
        <v>0</v>
      </c>
      <c r="G40" s="94">
        <f>IFERROR(VLOOKUP($B40,S6M2!$A$1:$B$160,2,0),"0")</f>
        <v>7</v>
      </c>
      <c r="H40" s="95">
        <f>IFERROR(VLOOKUP(G40,S6M2!$B$1:$C$161,2,0),0)</f>
        <v>1246.115945</v>
      </c>
      <c r="I40" s="94">
        <f>IFERROR(VLOOKUP($B40,S6M3!$A$1:$B$161,2,0),0)</f>
        <v>15</v>
      </c>
      <c r="J40" s="95">
        <f>IFERROR(VLOOKUP(I40,S6M3!$B$1:$C$161,2,0),0)</f>
        <v>923.8603567</v>
      </c>
      <c r="K40" s="94">
        <f>IFERROR(VLOOKUP($B40,S6M4!$A$1:$B$160,2,0),"0")</f>
        <v>34</v>
      </c>
      <c r="L40" s="95">
        <f>IFERROR(VLOOKUP(K40,S6M4!$B$1:$C$161,2,0),0)</f>
        <v>457.838473</v>
      </c>
      <c r="M40" s="94" t="str">
        <f>IFERROR(VLOOKUP($B40,S6M5!$A$1:$B$160,2,0),"0")</f>
        <v>0</v>
      </c>
      <c r="N40" s="95">
        <f>IFERROR(VLOOKUP(M40,S6M5!$B$1:$C$161,2,0),0)</f>
        <v>0</v>
      </c>
      <c r="O40" s="94">
        <f>IFERROR(VLOOKUP($B40,S6M6!$A$1:$B$160,2,0),"0")</f>
        <v>12</v>
      </c>
      <c r="P40" s="95">
        <f>IFERROR(VLOOKUP(O40,S6M6!$B$1:$C$161,2,0),0)</f>
        <v>1043.38972</v>
      </c>
      <c r="Q40" s="94" t="str">
        <f>IFERROR(VLOOKUP($B40,S6M7!$A$1:$B$160,2,0),"0")</f>
        <v>0</v>
      </c>
      <c r="R40" s="95">
        <f>IFERROR(VLOOKUP(Q40,S6M7!$B$1:$C$161,2,0),0)</f>
        <v>0</v>
      </c>
      <c r="S40" s="94" t="str">
        <f>IFERROR(VLOOKUP($B40,S6M8!$A$1:$B$160,2,0),"0")</f>
        <v>0</v>
      </c>
      <c r="T40" s="95">
        <f>IFERROR(VLOOKUP(S40,S6M8!$B$1:$C$161,2,0),0)</f>
        <v>0</v>
      </c>
      <c r="U40" s="94" t="str">
        <f>IFERROR(VLOOKUP($B40,S6M9!$A$1:$B$160,2,0),"0")</f>
        <v>0</v>
      </c>
      <c r="V40" s="95">
        <f>IFERROR(VLOOKUP(U40,S6M9!$B$1:$C$161,2,0),0)</f>
        <v>0</v>
      </c>
      <c r="W40" s="94">
        <f>IFERROR(VLOOKUP($B40,S6M10!$A$1:$B$160,2,0),"0")</f>
        <v>29</v>
      </c>
      <c r="X40" s="95">
        <f>IFERROR(VLOOKUP(W40,S6M10!$B$1:$C$161,2,0),0)</f>
        <v>372.283187</v>
      </c>
      <c r="Y40" s="94" t="str">
        <f>IFERROR(VLOOKUP($B40,S6M11!$A$1:$B$160,2,0),"0")</f>
        <v>0</v>
      </c>
      <c r="Z40" s="95">
        <f>IFERROR(VLOOKUP(Y40,S6M11!$B$1:$C$161,2,0),0)</f>
        <v>0</v>
      </c>
      <c r="AA40" s="95">
        <f>IFERROR(VLOOKUP(E40,S6M1!$B$1:$C$161,2,0),0)</f>
        <v>0</v>
      </c>
      <c r="AB40" s="95">
        <f>IFERROR(VLOOKUP(G40,S6M2!$B$1:$C$161,2,0),0)</f>
        <v>1246.115945</v>
      </c>
      <c r="AC40" s="95">
        <f>IFERROR(VLOOKUP(I40,S6M3!$B$1:$C$161,2,0),0)</f>
        <v>923.8603567</v>
      </c>
      <c r="AD40" s="95">
        <f>IFERROR(VLOOKUP(K40,S6M4!$B$1:$C$161,2,0),0)</f>
        <v>457.838473</v>
      </c>
      <c r="AE40" s="95">
        <f>IFERROR(VLOOKUP(M40,S6M5!$B$1:$C$161,2,0),0)</f>
        <v>0</v>
      </c>
      <c r="AF40" s="95">
        <f>IFERROR(VLOOKUP(O40,S6M6!$B$1:$C$161,2,0),0)</f>
        <v>1043.38972</v>
      </c>
      <c r="AG40" s="95">
        <f>IFERROR(VLOOKUP(Q40,S6M7!$B$1:$C$161,2,0),0)</f>
        <v>0</v>
      </c>
      <c r="AH40" s="95">
        <f>IFERROR(VLOOKUP(S40,S6M8!$B$1:$C$161,2,0),0)</f>
        <v>0</v>
      </c>
      <c r="AI40" s="95">
        <f>IFERROR(VLOOKUP(U40,S6M9!$B$1:$C$161,2,0),0)</f>
        <v>0</v>
      </c>
      <c r="AJ40" s="95">
        <f>IFERROR(VLOOKUP(W40,S6M10!$B$1:$C$161,2,0),0)</f>
        <v>372.283187</v>
      </c>
      <c r="AK40" s="95">
        <f>IFERROR(VLOOKUP(Y40,S6M11!$B$1:$C$161,2,0),0)</f>
        <v>0</v>
      </c>
    </row>
    <row r="41" ht="15.75" customHeight="1">
      <c r="A41" s="92">
        <v>40.0</v>
      </c>
      <c r="B41" s="6" t="s">
        <v>52</v>
      </c>
      <c r="C41" s="93">
        <f t="shared" si="1"/>
        <v>3970.797783</v>
      </c>
      <c r="D41" s="93"/>
      <c r="E41" s="94" t="str">
        <f>IFERROR(VLOOKUP($B41,S6M1!$A$1:$B$160,2,0),"0")</f>
        <v>0</v>
      </c>
      <c r="F41" s="95">
        <f>IFERROR(VLOOKUP(E41,S6M1!$B$1:$C$161,2,0),0)</f>
        <v>0</v>
      </c>
      <c r="G41" s="94" t="str">
        <f>IFERROR(VLOOKUP($B41,S6M2!$A$1:$B$160,2,0),"0")</f>
        <v>0</v>
      </c>
      <c r="H41" s="95">
        <f>IFERROR(VLOOKUP(G41,S6M2!$B$1:$C$161,2,0),0)</f>
        <v>0</v>
      </c>
      <c r="I41" s="94">
        <f>IFERROR(VLOOKUP($B41,S6M3!$A$1:$B$161,2,0),0)</f>
        <v>0</v>
      </c>
      <c r="J41" s="95">
        <f>IFERROR(VLOOKUP(I41,S6M3!$B$1:$C$161,2,0),0)</f>
        <v>0</v>
      </c>
      <c r="K41" s="94">
        <f>IFERROR(VLOOKUP($B41,S6M4!$A$1:$B$160,2,0),"0")</f>
        <v>35</v>
      </c>
      <c r="L41" s="95">
        <f>IFERROR(VLOOKUP(K41,S6M4!$B$1:$C$161,2,0),0)</f>
        <v>440.3284212</v>
      </c>
      <c r="M41" s="94">
        <f>IFERROR(VLOOKUP($B41,S6M5!$A$1:$B$160,2,0),"0")</f>
        <v>12</v>
      </c>
      <c r="N41" s="95">
        <f>IFERROR(VLOOKUP(M41,S6M5!$B$1:$C$161,2,0),0)</f>
        <v>948.9722757</v>
      </c>
      <c r="O41" s="94">
        <f>IFERROR(VLOOKUP($B41,S6M6!$A$1:$B$160,2,0),"0")</f>
        <v>70</v>
      </c>
      <c r="P41" s="95">
        <f>IFERROR(VLOOKUP(O41,S6M6!$B$1:$C$161,2,0),0)</f>
        <v>22.3792795</v>
      </c>
      <c r="Q41" s="94">
        <f>IFERROR(VLOOKUP($B41,S6M7!$A$1:$B$160,2,0),"0")</f>
        <v>21</v>
      </c>
      <c r="R41" s="95">
        <f>IFERROR(VLOOKUP(Q41,S6M7!$B$1:$C$161,2,0),0)</f>
        <v>619.0899919</v>
      </c>
      <c r="S41" s="94">
        <f>IFERROR(VLOOKUP($B41,S6M8!$A$1:$B$160,2,0),"0")</f>
        <v>10</v>
      </c>
      <c r="T41" s="95">
        <f>IFERROR(VLOOKUP(S41,S6M8!$B$1:$C$161,2,0),0)</f>
        <v>1002.375594</v>
      </c>
      <c r="U41" s="94" t="str">
        <f>IFERROR(VLOOKUP($B41,S6M9!$A$1:$B$160,2,0),"0")</f>
        <v>0</v>
      </c>
      <c r="V41" s="95">
        <f>IFERROR(VLOOKUP(U41,S6M9!$B$1:$C$161,2,0),0)</f>
        <v>0</v>
      </c>
      <c r="W41" s="94">
        <f>IFERROR(VLOOKUP($B41,S6M10!$A$1:$B$160,2,0),"0")</f>
        <v>38</v>
      </c>
      <c r="X41" s="95">
        <f>IFERROR(VLOOKUP(W41,S6M10!$B$1:$C$161,2,0),0)</f>
        <v>191.3769871</v>
      </c>
      <c r="Y41" s="94">
        <f>IFERROR(VLOOKUP($B41,S6M11!$A$1:$B$160,2,0),"0")</f>
        <v>15</v>
      </c>
      <c r="Z41" s="95">
        <f>IFERROR(VLOOKUP(Y41,S6M11!$B$1:$C$161,2,0),0)</f>
        <v>746.2752339</v>
      </c>
      <c r="AA41" s="97">
        <f>IFERROR(VLOOKUP(E41,S6M1!$B$1:$C$161,2,0),0)</f>
        <v>0</v>
      </c>
      <c r="AB41" s="97">
        <f>IFERROR(VLOOKUP(G41,S6M2!$B$1:$C$161,2,0),0)</f>
        <v>0</v>
      </c>
      <c r="AC41" s="97">
        <f>IFERROR(VLOOKUP(I41,S6M3!$B$1:$C$161,2,0),0)</f>
        <v>0</v>
      </c>
      <c r="AD41" s="97">
        <f>IFERROR(VLOOKUP(K41,S6M4!$B$1:$C$161,2,0),0)</f>
        <v>440.3284212</v>
      </c>
      <c r="AE41" s="97">
        <f>IFERROR(VLOOKUP(M41,S6M5!$B$1:$C$161,2,0),0)</f>
        <v>948.9722757</v>
      </c>
      <c r="AF41" s="97">
        <f>IFERROR(VLOOKUP(O41,S6M6!$B$1:$C$161,2,0),0)</f>
        <v>22.3792795</v>
      </c>
      <c r="AG41" s="97">
        <f>IFERROR(VLOOKUP(Q41,S6M7!$B$1:$C$161,2,0),0)</f>
        <v>619.0899919</v>
      </c>
      <c r="AH41" s="97">
        <f>IFERROR(VLOOKUP(S41,S6M8!$B$1:$C$161,2,0),0)</f>
        <v>1002.375594</v>
      </c>
      <c r="AI41" s="97">
        <f>IFERROR(VLOOKUP(U41,S6M9!$B$1:$C$161,2,0),0)</f>
        <v>0</v>
      </c>
      <c r="AJ41" s="97">
        <f>IFERROR(VLOOKUP(W41,S6M10!$B$1:$C$161,2,0),0)</f>
        <v>191.3769871</v>
      </c>
      <c r="AK41" s="97">
        <f>IFERROR(VLOOKUP(Y41,S6M11!$B$1:$C$161,2,0),0)</f>
        <v>746.2752339</v>
      </c>
    </row>
    <row r="42" ht="15.75" customHeight="1">
      <c r="A42" s="92">
        <v>41.0</v>
      </c>
      <c r="B42" s="6" t="s">
        <v>42</v>
      </c>
      <c r="C42" s="93">
        <f t="shared" si="1"/>
        <v>3913.670228</v>
      </c>
      <c r="D42" s="93"/>
      <c r="E42" s="94">
        <f>IFERROR(VLOOKUP($B42,S6M1!$A$1:$B$160,2,0),"0")</f>
        <v>34</v>
      </c>
      <c r="F42" s="95">
        <f>IFERROR(VLOOKUP(E42,S6M1!$B$1:$C$161,2,0),0)</f>
        <v>268.3270505</v>
      </c>
      <c r="G42" s="94" t="str">
        <f>IFERROR(VLOOKUP($B42,S6M2!$A$1:$B$160,2,0),"0")</f>
        <v>0</v>
      </c>
      <c r="H42" s="95">
        <f>IFERROR(VLOOKUP(G42,S6M2!$B$1:$C$161,2,0),0)</f>
        <v>0</v>
      </c>
      <c r="I42" s="94">
        <f>IFERROR(VLOOKUP($B42,S6M3!$A$1:$B$161,2,0),0)</f>
        <v>45</v>
      </c>
      <c r="J42" s="95">
        <f>IFERROR(VLOOKUP(I42,S6M3!$B$1:$C$161,2,0),0)</f>
        <v>319.082758</v>
      </c>
      <c r="K42" s="94">
        <f>IFERROR(VLOOKUP($B42,S6M4!$A$1:$B$160,2,0),"0")</f>
        <v>19</v>
      </c>
      <c r="L42" s="95">
        <f>IFERROR(VLOOKUP(K42,S6M4!$B$1:$C$161,2,0),0)</f>
        <v>777.7526384</v>
      </c>
      <c r="M42" s="94">
        <f>IFERROR(VLOOKUP($B42,S6M5!$A$1:$B$160,2,0),"0")</f>
        <v>52</v>
      </c>
      <c r="N42" s="95">
        <f>IFERROR(VLOOKUP(M42,S6M5!$B$1:$C$161,2,0),0)</f>
        <v>97.959866</v>
      </c>
      <c r="O42" s="94">
        <f>IFERROR(VLOOKUP($B42,S6M6!$A$1:$B$160,2,0),"0")</f>
        <v>59</v>
      </c>
      <c r="P42" s="95">
        <f>IFERROR(VLOOKUP(O42,S6M6!$B$1:$C$161,2,0),0)</f>
        <v>151.8171953</v>
      </c>
      <c r="Q42" s="94">
        <f>IFERROR(VLOOKUP($B42,S6M7!$A$1:$B$160,2,0),"0")</f>
        <v>9</v>
      </c>
      <c r="R42" s="95">
        <f>IFERROR(VLOOKUP(Q42,S6M7!$B$1:$C$161,2,0),0)</f>
        <v>1043.38972</v>
      </c>
      <c r="S42" s="94">
        <f>IFERROR(VLOOKUP($B42,S6M8!$A$1:$B$160,2,0),"0")</f>
        <v>42</v>
      </c>
      <c r="T42" s="95">
        <f>IFERROR(VLOOKUP(S42,S6M8!$B$1:$C$161,2,0),0)</f>
        <v>202.2781624</v>
      </c>
      <c r="U42" s="94" t="str">
        <f>IFERROR(VLOOKUP($B42,S6M9!$A$1:$B$160,2,0),"0")</f>
        <v>0</v>
      </c>
      <c r="V42" s="95">
        <f>IFERROR(VLOOKUP(U42,S6M9!$B$1:$C$161,2,0),0)</f>
        <v>0</v>
      </c>
      <c r="W42" s="94">
        <f>IFERROR(VLOOKUP($B42,S6M10!$A$1:$B$160,2,0),"0")</f>
        <v>8</v>
      </c>
      <c r="X42" s="95">
        <f>IFERROR(VLOOKUP(W42,S6M10!$B$1:$C$161,2,0),0)</f>
        <v>1053.062838</v>
      </c>
      <c r="Y42" s="94" t="str">
        <f>IFERROR(VLOOKUP($B42,S6M11!$A$1:$B$160,2,0),"0")</f>
        <v>0</v>
      </c>
      <c r="Z42" s="95">
        <f>IFERROR(VLOOKUP(Y42,S6M11!$B$1:$C$161,2,0),0)</f>
        <v>0</v>
      </c>
      <c r="AA42" s="97">
        <f>IFERROR(VLOOKUP(E42,S6M1!$B$1:$C$161,2,0),0)</f>
        <v>268.3270505</v>
      </c>
      <c r="AB42" s="97">
        <f>IFERROR(VLOOKUP(G42,S6M2!$B$1:$C$161,2,0),0)</f>
        <v>0</v>
      </c>
      <c r="AC42" s="97">
        <f>IFERROR(VLOOKUP(I42,S6M3!$B$1:$C$161,2,0),0)</f>
        <v>319.082758</v>
      </c>
      <c r="AD42" s="97">
        <f>IFERROR(VLOOKUP(K42,S6M4!$B$1:$C$161,2,0),0)</f>
        <v>777.7526384</v>
      </c>
      <c r="AE42" s="97">
        <f>IFERROR(VLOOKUP(M42,S6M5!$B$1:$C$161,2,0),0)</f>
        <v>97.959866</v>
      </c>
      <c r="AF42" s="97">
        <f>IFERROR(VLOOKUP(O42,S6M6!$B$1:$C$161,2,0),0)</f>
        <v>151.8171953</v>
      </c>
      <c r="AG42" s="97">
        <f>IFERROR(VLOOKUP(Q42,S6M7!$B$1:$C$161,2,0),0)</f>
        <v>1043.38972</v>
      </c>
      <c r="AH42" s="97">
        <f>IFERROR(VLOOKUP(S42,S6M8!$B$1:$C$161,2,0),0)</f>
        <v>202.2781624</v>
      </c>
      <c r="AI42" s="97">
        <f>IFERROR(VLOOKUP(U42,S6M9!$B$1:$C$161,2,0),0)</f>
        <v>0</v>
      </c>
      <c r="AJ42" s="97">
        <f>IFERROR(VLOOKUP(W42,S6M10!$B$1:$C$161,2,0),0)</f>
        <v>1053.062838</v>
      </c>
      <c r="AK42" s="97">
        <f>IFERROR(VLOOKUP(Y42,S6M11!$B$1:$C$161,2,0),0)</f>
        <v>0</v>
      </c>
    </row>
    <row r="43" ht="15.75" customHeight="1">
      <c r="A43" s="92">
        <v>42.0</v>
      </c>
      <c r="B43" s="6" t="s">
        <v>51</v>
      </c>
      <c r="C43" s="93">
        <f t="shared" si="1"/>
        <v>3902.401114</v>
      </c>
      <c r="D43" s="93"/>
      <c r="E43" s="94">
        <f>IFERROR(VLOOKUP($B43,S6M1!$A$1:$B$160,2,0),"0")</f>
        <v>8</v>
      </c>
      <c r="F43" s="95">
        <f>IFERROR(VLOOKUP(E43,S6M1!$B$1:$C$161,2,0),0)</f>
        <v>1053.062838</v>
      </c>
      <c r="G43" s="94">
        <f>IFERROR(VLOOKUP($B43,S6M2!$A$1:$B$160,2,0),"0")</f>
        <v>33</v>
      </c>
      <c r="H43" s="95">
        <f>IFERROR(VLOOKUP(G43,S6M2!$B$1:$C$161,2,0),0)</f>
        <v>466.5803697</v>
      </c>
      <c r="I43" s="94">
        <f>IFERROR(VLOOKUP($B43,S6M3!$A$1:$B$161,2,0),0)</f>
        <v>17</v>
      </c>
      <c r="J43" s="95">
        <f>IFERROR(VLOOKUP(I43,S6M3!$B$1:$C$161,2,0),0)</f>
        <v>862.8396545</v>
      </c>
      <c r="K43" s="94" t="str">
        <f>IFERROR(VLOOKUP($B43,S6M4!$A$1:$B$160,2,0),"0")</f>
        <v>0</v>
      </c>
      <c r="L43" s="95">
        <f>IFERROR(VLOOKUP(K43,S6M4!$B$1:$C$161,2,0),0)</f>
        <v>0</v>
      </c>
      <c r="M43" s="94">
        <f>IFERROR(VLOOKUP($B43,S6M5!$A$1:$B$160,2,0),"0")</f>
        <v>20</v>
      </c>
      <c r="N43" s="95">
        <f>IFERROR(VLOOKUP(M43,S6M5!$B$1:$C$161,2,0),0)</f>
        <v>693.0396569</v>
      </c>
      <c r="O43" s="94" t="str">
        <f>IFERROR(VLOOKUP($B43,S6M6!$A$1:$B$160,2,0),"0")</f>
        <v>0</v>
      </c>
      <c r="P43" s="95">
        <f>IFERROR(VLOOKUP(O43,S6M6!$B$1:$C$161,2,0),0)</f>
        <v>0</v>
      </c>
      <c r="Q43" s="94" t="str">
        <f>IFERROR(VLOOKUP($B43,S6M7!$A$1:$B$160,2,0),"0")</f>
        <v>0</v>
      </c>
      <c r="R43" s="95">
        <f>IFERROR(VLOOKUP(Q43,S6M7!$B$1:$C$161,2,0),0)</f>
        <v>0</v>
      </c>
      <c r="S43" s="94" t="str">
        <f>IFERROR(VLOOKUP($B43,S6M8!$A$1:$B$160,2,0),"0")</f>
        <v>0</v>
      </c>
      <c r="T43" s="95">
        <f>IFERROR(VLOOKUP(S43,S6M8!$B$1:$C$161,2,0),0)</f>
        <v>0</v>
      </c>
      <c r="U43" s="94" t="str">
        <f>IFERROR(VLOOKUP($B43,S6M9!$A$1:$B$160,2,0),"0")</f>
        <v>0</v>
      </c>
      <c r="V43" s="95">
        <f>IFERROR(VLOOKUP(U43,S6M9!$B$1:$C$161,2,0),0)</f>
        <v>0</v>
      </c>
      <c r="W43" s="94">
        <f>IFERROR(VLOOKUP($B43,S6M10!$A$1:$B$160,2,0),"0")</f>
        <v>22</v>
      </c>
      <c r="X43" s="95">
        <f>IFERROR(VLOOKUP(W43,S6M10!$B$1:$C$161,2,0),0)</f>
        <v>538.5189879</v>
      </c>
      <c r="Y43" s="94">
        <f>IFERROR(VLOOKUP($B43,S6M11!$A$1:$B$160,2,0),"0")</f>
        <v>33</v>
      </c>
      <c r="Z43" s="95">
        <f>IFERROR(VLOOKUP(Y43,S6M11!$B$1:$C$161,2,0),0)</f>
        <v>288.3596068</v>
      </c>
      <c r="AA43" s="95">
        <f>IFERROR(VLOOKUP(E43,S6M1!$B$1:$C$161,2,0),0)</f>
        <v>1053.062838</v>
      </c>
      <c r="AB43" s="95">
        <f>IFERROR(VLOOKUP(G43,S6M2!$B$1:$C$161,2,0),0)</f>
        <v>466.5803697</v>
      </c>
      <c r="AC43" s="95">
        <f>IFERROR(VLOOKUP(I43,S6M3!$B$1:$C$161,2,0),0)</f>
        <v>862.8396545</v>
      </c>
      <c r="AD43" s="95">
        <f>IFERROR(VLOOKUP(K43,S6M4!$B$1:$C$161,2,0),0)</f>
        <v>0</v>
      </c>
      <c r="AE43" s="95">
        <f>IFERROR(VLOOKUP(M43,S6M5!$B$1:$C$161,2,0),0)</f>
        <v>693.0396569</v>
      </c>
      <c r="AF43" s="95">
        <f>IFERROR(VLOOKUP(O43,S6M6!$B$1:$C$161,2,0),0)</f>
        <v>0</v>
      </c>
      <c r="AG43" s="95">
        <f>IFERROR(VLOOKUP(Q43,S6M7!$B$1:$C$161,2,0),0)</f>
        <v>0</v>
      </c>
      <c r="AH43" s="95">
        <f>IFERROR(VLOOKUP(S43,S6M8!$B$1:$C$161,2,0),0)</f>
        <v>0</v>
      </c>
      <c r="AI43" s="95">
        <f>IFERROR(VLOOKUP(U43,S6M9!$B$1:$C$161,2,0),0)</f>
        <v>0</v>
      </c>
      <c r="AJ43" s="95">
        <f>IFERROR(VLOOKUP(W43,S6M10!$B$1:$C$161,2,0),0)</f>
        <v>538.5189879</v>
      </c>
      <c r="AK43" s="95">
        <f>IFERROR(VLOOKUP(Y43,S6M11!$B$1:$C$161,2,0),0)</f>
        <v>288.3596068</v>
      </c>
    </row>
    <row r="44" ht="15.75" customHeight="1">
      <c r="A44" s="92">
        <v>43.0</v>
      </c>
      <c r="B44" s="6" t="s">
        <v>56</v>
      </c>
      <c r="C44" s="93">
        <f t="shared" si="1"/>
        <v>3751.806971</v>
      </c>
      <c r="D44" s="93"/>
      <c r="E44" s="94">
        <f>IFERROR(VLOOKUP($B44,S6M1!$A$1:$B$160,2,0),"0")</f>
        <v>3</v>
      </c>
      <c r="F44" s="95">
        <f>IFERROR(VLOOKUP(E44,S6M1!$B$1:$C$161,2,0),0)</f>
        <v>1509.80356</v>
      </c>
      <c r="G44" s="94">
        <f>IFERROR(VLOOKUP($B44,S6M2!$A$1:$B$160,2,0),"0")</f>
        <v>64</v>
      </c>
      <c r="H44" s="95">
        <f>IFERROR(VLOOKUP(G44,S6M2!$B$1:$C$161,2,0),0)</f>
        <v>12.35549007</v>
      </c>
      <c r="I44" s="94">
        <f>IFERROR(VLOOKUP($B44,S6M3!$A$1:$B$161,2,0),0)</f>
        <v>51</v>
      </c>
      <c r="J44" s="95">
        <f>IFERROR(VLOOKUP(I44,S6M3!$B$1:$C$161,2,0),0)</f>
        <v>235.0322802</v>
      </c>
      <c r="K44" s="94">
        <f>IFERROR(VLOOKUP($B44,S6M4!$A$1:$B$160,2,0),"0")</f>
        <v>29</v>
      </c>
      <c r="L44" s="95">
        <f>IFERROR(VLOOKUP(K44,S6M4!$B$1:$C$161,2,0),0)</f>
        <v>550.8511494</v>
      </c>
      <c r="M44" s="94">
        <f>IFERROR(VLOOKUP($B44,S6M5!$A$1:$B$160,2,0),"0")</f>
        <v>15</v>
      </c>
      <c r="N44" s="95">
        <f>IFERROR(VLOOKUP(M44,S6M5!$B$1:$C$161,2,0),0)</f>
        <v>840.1964457</v>
      </c>
      <c r="O44" s="94" t="str">
        <f>IFERROR(VLOOKUP($B44,S6M6!$A$1:$B$160,2,0),"0")</f>
        <v>0</v>
      </c>
      <c r="P44" s="95">
        <f>IFERROR(VLOOKUP(O44,S6M6!$B$1:$C$161,2,0),0)</f>
        <v>0</v>
      </c>
      <c r="Q44" s="94" t="str">
        <f>IFERROR(VLOOKUP($B44,S6M7!$A$1:$B$160,2,0),"0")</f>
        <v>0</v>
      </c>
      <c r="R44" s="95">
        <f>IFERROR(VLOOKUP(Q44,S6M7!$B$1:$C$161,2,0),0)</f>
        <v>0</v>
      </c>
      <c r="S44" s="94">
        <f>IFERROR(VLOOKUP($B44,S6M8!$A$1:$B$160,2,0),"0")</f>
        <v>22</v>
      </c>
      <c r="T44" s="95">
        <f>IFERROR(VLOOKUP(S44,S6M8!$B$1:$C$161,2,0),0)</f>
        <v>603.5680462</v>
      </c>
      <c r="U44" s="94" t="str">
        <f>IFERROR(VLOOKUP($B44,S6M9!$A$1:$B$160,2,0),"0")</f>
        <v>0</v>
      </c>
      <c r="V44" s="95">
        <f>IFERROR(VLOOKUP(U44,S6M9!$B$1:$C$161,2,0),0)</f>
        <v>0</v>
      </c>
      <c r="W44" s="94" t="str">
        <f>IFERROR(VLOOKUP($B44,S6M10!$A$1:$B$160,2,0),"0")</f>
        <v>0</v>
      </c>
      <c r="X44" s="95">
        <f>IFERROR(VLOOKUP(W44,S6M10!$B$1:$C$161,2,0),0)</f>
        <v>0</v>
      </c>
      <c r="Y44" s="94" t="str">
        <f>IFERROR(VLOOKUP($B44,S6M11!$A$1:$B$160,2,0),"0")</f>
        <v>0</v>
      </c>
      <c r="Z44" s="95">
        <f>IFERROR(VLOOKUP(Y44,S6M11!$B$1:$C$161,2,0),0)</f>
        <v>0</v>
      </c>
      <c r="AA44" s="95">
        <f>IFERROR(VLOOKUP(E44,S6M1!$B$1:$C$161,2,0),0)</f>
        <v>1509.80356</v>
      </c>
      <c r="AB44" s="95">
        <f>IFERROR(VLOOKUP(G44,S6M2!$B$1:$C$161,2,0),0)</f>
        <v>12.35549007</v>
      </c>
      <c r="AC44" s="95">
        <f>IFERROR(VLOOKUP(I44,S6M3!$B$1:$C$161,2,0),0)</f>
        <v>235.0322802</v>
      </c>
      <c r="AD44" s="95">
        <f>IFERROR(VLOOKUP(K44,S6M4!$B$1:$C$161,2,0),0)</f>
        <v>550.8511494</v>
      </c>
      <c r="AE44" s="95">
        <f>IFERROR(VLOOKUP(M44,S6M5!$B$1:$C$161,2,0),0)</f>
        <v>840.1964457</v>
      </c>
      <c r="AF44" s="95">
        <f>IFERROR(VLOOKUP(O44,S6M6!$B$1:$C$161,2,0),0)</f>
        <v>0</v>
      </c>
      <c r="AG44" s="95">
        <f>IFERROR(VLOOKUP(Q44,S6M7!$B$1:$C$161,2,0),0)</f>
        <v>0</v>
      </c>
      <c r="AH44" s="95">
        <f>IFERROR(VLOOKUP(S44,S6M8!$B$1:$C$161,2,0),0)</f>
        <v>603.5680462</v>
      </c>
      <c r="AI44" s="95">
        <f>IFERROR(VLOOKUP(U44,S6M9!$B$1:$C$161,2,0),0)</f>
        <v>0</v>
      </c>
      <c r="AJ44" s="95">
        <f>IFERROR(VLOOKUP(W44,S6M10!$B$1:$C$161,2,0),0)</f>
        <v>0</v>
      </c>
      <c r="AK44" s="95">
        <f>IFERROR(VLOOKUP(Y44,S6M11!$B$1:$C$161,2,0),0)</f>
        <v>0</v>
      </c>
    </row>
    <row r="45" ht="15.75" customHeight="1">
      <c r="A45" s="92">
        <v>44.0</v>
      </c>
      <c r="B45" s="99" t="s">
        <v>69</v>
      </c>
      <c r="C45" s="93">
        <f t="shared" si="1"/>
        <v>3612.441936</v>
      </c>
      <c r="D45" s="93"/>
      <c r="E45" s="94" t="str">
        <f>IFERROR(VLOOKUP($B45,S6M1!$A$1:$B$160,2,0),"0")</f>
        <v>0</v>
      </c>
      <c r="F45" s="95">
        <f>IFERROR(VLOOKUP(E45,S6M1!$B$1:$C$161,2,0),0)</f>
        <v>0</v>
      </c>
      <c r="G45" s="94" t="str">
        <f>IFERROR(VLOOKUP($B45,S6M2!$A$1:$B$160,2,0),"0")</f>
        <v>0</v>
      </c>
      <c r="H45" s="95">
        <f>IFERROR(VLOOKUP(G45,S6M2!$B$1:$C$161,2,0),0)</f>
        <v>0</v>
      </c>
      <c r="I45" s="94">
        <f>IFERROR(VLOOKUP($B45,S6M3!$A$1:$B$161,2,0),0)</f>
        <v>28</v>
      </c>
      <c r="J45" s="95">
        <f>IFERROR(VLOOKUP(I45,S6M3!$B$1:$C$161,2,0),0)</f>
        <v>603.5680462</v>
      </c>
      <c r="K45" s="94">
        <f>IFERROR(VLOOKUP($B45,S6M4!$A$1:$B$160,2,0),"0")</f>
        <v>2</v>
      </c>
      <c r="L45" s="95">
        <f>IFERROR(VLOOKUP(K45,S6M4!$B$1:$C$161,2,0),0)</f>
        <v>1859.321582</v>
      </c>
      <c r="M45" s="94">
        <f>IFERROR(VLOOKUP($B45,S6M5!$A$1:$B$160,2,0),"0")</f>
        <v>53</v>
      </c>
      <c r="N45" s="95">
        <f>IFERROR(VLOOKUP(M45,S6M5!$B$1:$C$161,2,0),0)</f>
        <v>83.56670169</v>
      </c>
      <c r="O45" s="94">
        <f>IFERROR(VLOOKUP($B45,S6M6!$A$1:$B$160,2,0),"0")</f>
        <v>17</v>
      </c>
      <c r="P45" s="95">
        <f>IFERROR(VLOOKUP(O45,S6M6!$B$1:$C$161,2,0),0)</f>
        <v>876.6799492</v>
      </c>
      <c r="Q45" s="94">
        <f>IFERROR(VLOOKUP($B45,S6M7!$A$1:$B$160,2,0),"0")</f>
        <v>42</v>
      </c>
      <c r="R45" s="95">
        <f>IFERROR(VLOOKUP(Q45,S6M7!$B$1:$C$161,2,0),0)</f>
        <v>189.3056563</v>
      </c>
      <c r="S45" s="94" t="str">
        <f>IFERROR(VLOOKUP($B45,S6M8!$A$1:$B$160,2,0),"0")</f>
        <v>0</v>
      </c>
      <c r="T45" s="95">
        <f>IFERROR(VLOOKUP(S45,S6M8!$B$1:$C$161,2,0),0)</f>
        <v>0</v>
      </c>
      <c r="U45" s="94" t="str">
        <f>IFERROR(VLOOKUP($B45,S6M9!$A$1:$B$160,2,0),"0")</f>
        <v>0</v>
      </c>
      <c r="V45" s="95">
        <f>IFERROR(VLOOKUP(U45,S6M9!$B$1:$C$161,2,0),0)</f>
        <v>0</v>
      </c>
      <c r="W45" s="94" t="str">
        <f>IFERROR(VLOOKUP($B45,S6M10!$A$1:$B$160,2,0),"0")</f>
        <v>0</v>
      </c>
      <c r="X45" s="95">
        <f>IFERROR(VLOOKUP(W45,S6M10!$B$1:$C$161,2,0),0)</f>
        <v>0</v>
      </c>
      <c r="Y45" s="94" t="str">
        <f>IFERROR(VLOOKUP($B45,S6M11!$A$1:$B$160,2,0),"0")</f>
        <v>0</v>
      </c>
      <c r="Z45" s="95">
        <f>IFERROR(VLOOKUP(Y45,S6M11!$B$1:$C$161,2,0),0)</f>
        <v>0</v>
      </c>
      <c r="AA45" s="95">
        <f>IFERROR(VLOOKUP(E45,S6M1!$B$1:$C$161,2,0),0)</f>
        <v>0</v>
      </c>
      <c r="AB45" s="95">
        <f>IFERROR(VLOOKUP(G45,S6M2!$B$1:$C$161,2,0),0)</f>
        <v>0</v>
      </c>
      <c r="AC45" s="95">
        <f>IFERROR(VLOOKUP(I45,S6M3!$B$1:$C$161,2,0),0)</f>
        <v>603.5680462</v>
      </c>
      <c r="AD45" s="95">
        <f>IFERROR(VLOOKUP(K45,S6M4!$B$1:$C$161,2,0),0)</f>
        <v>1859.321582</v>
      </c>
      <c r="AE45" s="95">
        <f>IFERROR(VLOOKUP(M45,S6M5!$B$1:$C$161,2,0),0)</f>
        <v>83.56670169</v>
      </c>
      <c r="AF45" s="95">
        <f>IFERROR(VLOOKUP(O45,S6M6!$B$1:$C$161,2,0),0)</f>
        <v>876.6799492</v>
      </c>
      <c r="AG45" s="95">
        <f>IFERROR(VLOOKUP(Q45,S6M7!$B$1:$C$161,2,0),0)</f>
        <v>189.3056563</v>
      </c>
      <c r="AH45" s="95">
        <f>IFERROR(VLOOKUP(S45,S6M8!$B$1:$C$161,2,0),0)</f>
        <v>0</v>
      </c>
      <c r="AI45" s="95">
        <f>IFERROR(VLOOKUP(U45,S6M9!$B$1:$C$161,2,0),0)</f>
        <v>0</v>
      </c>
      <c r="AJ45" s="95">
        <f>IFERROR(VLOOKUP(W45,S6M10!$B$1:$C$161,2,0),0)</f>
        <v>0</v>
      </c>
      <c r="AK45" s="95">
        <f>IFERROR(VLOOKUP(Y45,S6M11!$B$1:$C$161,2,0),0)</f>
        <v>0</v>
      </c>
    </row>
    <row r="46" ht="15.75" customHeight="1">
      <c r="A46" s="92">
        <v>45.0</v>
      </c>
      <c r="B46" s="6" t="s">
        <v>44</v>
      </c>
      <c r="C46" s="93">
        <f t="shared" si="1"/>
        <v>3493.515074</v>
      </c>
      <c r="D46" s="93"/>
      <c r="E46" s="94" t="str">
        <f>IFERROR(VLOOKUP($B46,S6M1!$A$1:$B$160,2,0),"0")</f>
        <v>0</v>
      </c>
      <c r="F46" s="95">
        <f>IFERROR(VLOOKUP(E46,S6M1!$B$1:$C$161,2,0),0)</f>
        <v>0</v>
      </c>
      <c r="G46" s="94" t="str">
        <f>IFERROR(VLOOKUP($B46,S6M2!$A$1:$B$160,2,0),"0")</f>
        <v>0</v>
      </c>
      <c r="H46" s="95">
        <f>IFERROR(VLOOKUP(G46,S6M2!$B$1:$C$161,2,0),0)</f>
        <v>0</v>
      </c>
      <c r="I46" s="94">
        <f>IFERROR(VLOOKUP($B46,S6M3!$A$1:$B$161,2,0),0)</f>
        <v>5</v>
      </c>
      <c r="J46" s="95">
        <f>IFERROR(VLOOKUP(I46,S6M3!$B$1:$C$161,2,0),0)</f>
        <v>1436.935626</v>
      </c>
      <c r="K46" s="94">
        <f>IFERROR(VLOOKUP($B46,S6M4!$A$1:$B$160,2,0),"0")</f>
        <v>22</v>
      </c>
      <c r="L46" s="95">
        <f>IFERROR(VLOOKUP(K46,S6M4!$B$1:$C$161,2,0),0)</f>
        <v>701.9061402</v>
      </c>
      <c r="M46" s="94" t="str">
        <f>IFERROR(VLOOKUP($B46,S6M5!$A$1:$B$160,2,0),"0")</f>
        <v>0</v>
      </c>
      <c r="N46" s="95">
        <f>IFERROR(VLOOKUP(M46,S6M5!$B$1:$C$161,2,0),0)</f>
        <v>0</v>
      </c>
      <c r="O46" s="94">
        <f>IFERROR(VLOOKUP($B46,S6M6!$A$1:$B$160,2,0),"0")</f>
        <v>60</v>
      </c>
      <c r="P46" s="95">
        <f>IFERROR(VLOOKUP(O46,S6M6!$B$1:$C$161,2,0),0)</f>
        <v>139.5513519</v>
      </c>
      <c r="Q46" s="94">
        <f>IFERROR(VLOOKUP($B46,S6M7!$A$1:$B$160,2,0),"0")</f>
        <v>41</v>
      </c>
      <c r="R46" s="95">
        <f>IFERROR(VLOOKUP(Q46,S6M7!$B$1:$C$161,2,0),0)</f>
        <v>206.320345</v>
      </c>
      <c r="S46" s="94">
        <f>IFERROR(VLOOKUP($B46,S6M8!$A$1:$B$160,2,0),"0")</f>
        <v>29</v>
      </c>
      <c r="T46" s="95">
        <f>IFERROR(VLOOKUP(S46,S6M8!$B$1:$C$161,2,0),0)</f>
        <v>443.8046194</v>
      </c>
      <c r="U46" s="94" t="str">
        <f>IFERROR(VLOOKUP($B46,S6M9!$A$1:$B$160,2,0),"0")</f>
        <v>0</v>
      </c>
      <c r="V46" s="95">
        <f>IFERROR(VLOOKUP(U46,S6M9!$B$1:$C$161,2,0),0)</f>
        <v>0</v>
      </c>
      <c r="W46" s="94">
        <f>IFERROR(VLOOKUP($B46,S6M10!$A$1:$B$160,2,0),"0")</f>
        <v>21</v>
      </c>
      <c r="X46" s="95">
        <f>IFERROR(VLOOKUP(W46,S6M10!$B$1:$C$161,2,0),0)</f>
        <v>564.9969906</v>
      </c>
      <c r="Y46" s="94" t="str">
        <f>IFERROR(VLOOKUP($B46,S6M11!$A$1:$B$160,2,0),"0")</f>
        <v>0</v>
      </c>
      <c r="Z46" s="95">
        <f>IFERROR(VLOOKUP(Y46,S6M11!$B$1:$C$161,2,0),0)</f>
        <v>0</v>
      </c>
      <c r="AA46" s="95">
        <f>IFERROR(VLOOKUP(E46,S6M1!$B$1:$C$161,2,0),0)</f>
        <v>0</v>
      </c>
      <c r="AB46" s="95">
        <f>IFERROR(VLOOKUP(G46,S6M2!$B$1:$C$161,2,0),0)</f>
        <v>0</v>
      </c>
      <c r="AC46" s="95">
        <f>IFERROR(VLOOKUP(I46,S6M3!$B$1:$C$161,2,0),0)</f>
        <v>1436.935626</v>
      </c>
      <c r="AD46" s="95">
        <f>IFERROR(VLOOKUP(K46,S6M4!$B$1:$C$161,2,0),0)</f>
        <v>701.9061402</v>
      </c>
      <c r="AE46" s="95">
        <f>IFERROR(VLOOKUP(M46,S6M5!$B$1:$C$161,2,0),0)</f>
        <v>0</v>
      </c>
      <c r="AF46" s="95">
        <f>IFERROR(VLOOKUP(O46,S6M6!$B$1:$C$161,2,0),0)</f>
        <v>139.5513519</v>
      </c>
      <c r="AG46" s="95">
        <f>IFERROR(VLOOKUP(Q46,S6M7!$B$1:$C$161,2,0),0)</f>
        <v>206.320345</v>
      </c>
      <c r="AH46" s="95">
        <f>IFERROR(VLOOKUP(S46,S6M8!$B$1:$C$161,2,0),0)</f>
        <v>443.8046194</v>
      </c>
      <c r="AI46" s="95">
        <f>IFERROR(VLOOKUP(U46,S6M9!$B$1:$C$161,2,0),0)</f>
        <v>0</v>
      </c>
      <c r="AJ46" s="95">
        <f>IFERROR(VLOOKUP(W46,S6M10!$B$1:$C$161,2,0),0)</f>
        <v>564.9969906</v>
      </c>
      <c r="AK46" s="95">
        <f>IFERROR(VLOOKUP(Y46,S6M11!$B$1:$C$161,2,0),0)</f>
        <v>0</v>
      </c>
    </row>
    <row r="47" ht="15.75" customHeight="1">
      <c r="A47" s="92">
        <v>46.0</v>
      </c>
      <c r="B47" s="17" t="s">
        <v>43</v>
      </c>
      <c r="C47" s="93">
        <f t="shared" si="1"/>
        <v>3466.914748</v>
      </c>
      <c r="D47" s="93"/>
      <c r="E47" s="94" t="str">
        <f>IFERROR(VLOOKUP($B47,S6M1!$A$1:$B$160,2,0),"0")</f>
        <v>0</v>
      </c>
      <c r="F47" s="95">
        <f>IFERROR(VLOOKUP(E47,S6M1!$B$1:$C$161,2,0),0)</f>
        <v>0</v>
      </c>
      <c r="G47" s="94" t="str">
        <f>IFERROR(VLOOKUP($B47,S6M2!$A$1:$B$160,2,0),"0")</f>
        <v>0</v>
      </c>
      <c r="H47" s="95">
        <f>IFERROR(VLOOKUP(G47,S6M2!$B$1:$C$161,2,0),0)</f>
        <v>0</v>
      </c>
      <c r="I47" s="94">
        <f>IFERROR(VLOOKUP($B47,S6M3!$A$1:$B$161,2,0),0)</f>
        <v>0</v>
      </c>
      <c r="J47" s="95">
        <f>IFERROR(VLOOKUP(I47,S6M3!$B$1:$C$161,2,0),0)</f>
        <v>0</v>
      </c>
      <c r="K47" s="94" t="str">
        <f>IFERROR(VLOOKUP($B47,S6M4!$A$1:$B$160,2,0),"0")</f>
        <v>0</v>
      </c>
      <c r="L47" s="95">
        <f>IFERROR(VLOOKUP(K47,S6M4!$B$1:$C$161,2,0),0)</f>
        <v>0</v>
      </c>
      <c r="M47" s="94" t="str">
        <f>IFERROR(VLOOKUP($B47,S6M5!$A$1:$B$160,2,0),"0")</f>
        <v>0</v>
      </c>
      <c r="N47" s="95">
        <f>IFERROR(VLOOKUP(M47,S6M5!$B$1:$C$161,2,0),0)</f>
        <v>0</v>
      </c>
      <c r="O47" s="94">
        <f>IFERROR(VLOOKUP($B47,S6M6!$A$1:$B$160,2,0),"0")</f>
        <v>55</v>
      </c>
      <c r="P47" s="95">
        <f>IFERROR(VLOOKUP(O47,S6M6!$B$1:$C$161,2,0),0)</f>
        <v>202.0453518</v>
      </c>
      <c r="Q47" s="94">
        <f>IFERROR(VLOOKUP($B47,S6M7!$A$1:$B$160,2,0),"0")</f>
        <v>32</v>
      </c>
      <c r="R47" s="95">
        <f>IFERROR(VLOOKUP(Q47,S6M7!$B$1:$C$161,2,0),0)</f>
        <v>371.4752241</v>
      </c>
      <c r="S47" s="94">
        <f>IFERROR(VLOOKUP($B47,S6M8!$A$1:$B$160,2,0),"0")</f>
        <v>48</v>
      </c>
      <c r="T47" s="95">
        <f>IFERROR(VLOOKUP(S47,S6M8!$B$1:$C$161,2,0),0)</f>
        <v>105.3430044</v>
      </c>
      <c r="U47" s="94">
        <f>IFERROR(VLOOKUP($B47,S6M9!$A$1:$B$160,2,0),"0")</f>
        <v>8</v>
      </c>
      <c r="V47" s="95">
        <f>IFERROR(VLOOKUP(U47,S6M9!$B$1:$C$161,2,0),0)</f>
        <v>1080.855555</v>
      </c>
      <c r="W47" s="94" t="str">
        <f>IFERROR(VLOOKUP($B47,S6M10!$A$1:$B$160,2,0),"0")</f>
        <v>0</v>
      </c>
      <c r="X47" s="95">
        <f>IFERROR(VLOOKUP(W47,S6M10!$B$1:$C$161,2,0),0)</f>
        <v>0</v>
      </c>
      <c r="Y47" s="94">
        <f>IFERROR(VLOOKUP($B47,S6M11!$A$1:$B$160,2,0),"0")</f>
        <v>2</v>
      </c>
      <c r="Z47" s="95">
        <f>IFERROR(VLOOKUP(Y47,S6M11!$B$1:$C$161,2,0),0)</f>
        <v>1707.195613</v>
      </c>
      <c r="AA47" s="97">
        <f>IFERROR(VLOOKUP(E47,S6M1!$B$1:$C$161,2,0),0)</f>
        <v>0</v>
      </c>
      <c r="AB47" s="97">
        <f>IFERROR(VLOOKUP(G47,S6M2!$B$1:$C$161,2,0),0)</f>
        <v>0</v>
      </c>
      <c r="AC47" s="97">
        <f>IFERROR(VLOOKUP(I47,S6M3!$B$1:$C$161,2,0),0)</f>
        <v>0</v>
      </c>
      <c r="AD47" s="97">
        <f>IFERROR(VLOOKUP(K47,S6M4!$B$1:$C$161,2,0),0)</f>
        <v>0</v>
      </c>
      <c r="AE47" s="97">
        <f>IFERROR(VLOOKUP(M47,S6M5!$B$1:$C$161,2,0),0)</f>
        <v>0</v>
      </c>
      <c r="AF47" s="97">
        <f>IFERROR(VLOOKUP(O47,S6M6!$B$1:$C$161,2,0),0)</f>
        <v>202.0453518</v>
      </c>
      <c r="AG47" s="97">
        <f>IFERROR(VLOOKUP(Q47,S6M7!$B$1:$C$161,2,0),0)</f>
        <v>371.4752241</v>
      </c>
      <c r="AH47" s="97">
        <f>IFERROR(VLOOKUP(S47,S6M8!$B$1:$C$161,2,0),0)</f>
        <v>105.3430044</v>
      </c>
      <c r="AI47" s="97">
        <f>IFERROR(VLOOKUP(U47,S6M9!$B$1:$C$161,2,0),0)</f>
        <v>1080.855555</v>
      </c>
      <c r="AJ47" s="97">
        <f>IFERROR(VLOOKUP(W47,S6M10!$B$1:$C$161,2,0),0)</f>
        <v>0</v>
      </c>
      <c r="AK47" s="97">
        <f>IFERROR(VLOOKUP(Y47,S6M11!$B$1:$C$161,2,0),0)</f>
        <v>1707.195613</v>
      </c>
    </row>
    <row r="48" ht="15.75" customHeight="1">
      <c r="A48" s="92">
        <v>47.0</v>
      </c>
      <c r="B48" s="13" t="s">
        <v>55</v>
      </c>
      <c r="C48" s="93">
        <f t="shared" si="1"/>
        <v>3206.635021</v>
      </c>
      <c r="D48" s="93"/>
      <c r="E48" s="94" t="str">
        <f>IFERROR(VLOOKUP($B48,S6M1!$A$1:$B$160,2,0),"0")</f>
        <v>0</v>
      </c>
      <c r="F48" s="95">
        <f>IFERROR(VLOOKUP(E48,S6M1!$B$1:$C$161,2,0),0)</f>
        <v>0</v>
      </c>
      <c r="G48" s="94">
        <f>IFERROR(VLOOKUP($B48,S6M2!$A$1:$B$160,2,0),"0")</f>
        <v>46</v>
      </c>
      <c r="H48" s="95">
        <f>IFERROR(VLOOKUP(G48,S6M2!$B$1:$C$161,2,0),0)</f>
        <v>254.9582752</v>
      </c>
      <c r="I48" s="94">
        <f>IFERROR(VLOOKUP($B48,S6M3!$A$1:$B$161,2,0),0)</f>
        <v>0</v>
      </c>
      <c r="J48" s="95">
        <f>IFERROR(VLOOKUP(I48,S6M3!$B$1:$C$161,2,0),0)</f>
        <v>0</v>
      </c>
      <c r="K48" s="94" t="str">
        <f>IFERROR(VLOOKUP($B48,S6M4!$A$1:$B$160,2,0),"0")</f>
        <v>0</v>
      </c>
      <c r="L48" s="95">
        <f>IFERROR(VLOOKUP(K48,S6M4!$B$1:$C$161,2,0),0)</f>
        <v>0</v>
      </c>
      <c r="M48" s="94">
        <f>IFERROR(VLOOKUP($B48,S6M5!$A$1:$B$160,2,0),"0")</f>
        <v>32</v>
      </c>
      <c r="N48" s="95">
        <f>IFERROR(VLOOKUP(M48,S6M5!$B$1:$C$161,2,0),0)</f>
        <v>426.6062834</v>
      </c>
      <c r="O48" s="94">
        <f>IFERROR(VLOOKUP($B48,S6M6!$A$1:$B$160,2,0),"0")</f>
        <v>7</v>
      </c>
      <c r="P48" s="95">
        <f>IFERROR(VLOOKUP(O48,S6M6!$B$1:$C$161,2,0),0)</f>
        <v>1293.389888</v>
      </c>
      <c r="Q48" s="94">
        <f>IFERROR(VLOOKUP($B48,S6M7!$A$1:$B$160,2,0),"0")</f>
        <v>6</v>
      </c>
      <c r="R48" s="95">
        <f>IFERROR(VLOOKUP(Q48,S6M7!$B$1:$C$161,2,0),0)</f>
        <v>1231.680574</v>
      </c>
      <c r="S48" s="94" t="str">
        <f>IFERROR(VLOOKUP($B48,S6M8!$A$1:$B$160,2,0),"0")</f>
        <v>0</v>
      </c>
      <c r="T48" s="95">
        <f>IFERROR(VLOOKUP(S48,S6M8!$B$1:$C$161,2,0),0)</f>
        <v>0</v>
      </c>
      <c r="U48" s="94" t="str">
        <f>IFERROR(VLOOKUP($B48,S6M9!$A$1:$B$160,2,0),"0")</f>
        <v>0</v>
      </c>
      <c r="V48" s="95">
        <f>IFERROR(VLOOKUP(U48,S6M9!$B$1:$C$161,2,0),0)</f>
        <v>0</v>
      </c>
      <c r="W48" s="94" t="str">
        <f>IFERROR(VLOOKUP($B48,S6M10!$A$1:$B$160,2,0),"0")</f>
        <v>0</v>
      </c>
      <c r="X48" s="95">
        <f>IFERROR(VLOOKUP(W48,S6M10!$B$1:$C$161,2,0),0)</f>
        <v>0</v>
      </c>
      <c r="Y48" s="94" t="str">
        <f>IFERROR(VLOOKUP($B48,S6M11!$A$1:$B$160,2,0),"0")</f>
        <v>0</v>
      </c>
      <c r="Z48" s="95">
        <f>IFERROR(VLOOKUP(Y48,S6M11!$B$1:$C$161,2,0),0)</f>
        <v>0</v>
      </c>
      <c r="AA48" s="95">
        <f>IFERROR(VLOOKUP(E48,S6M1!$B$1:$C$161,2,0),0)</f>
        <v>0</v>
      </c>
      <c r="AB48" s="95">
        <f>IFERROR(VLOOKUP(G48,S6M2!$B$1:$C$161,2,0),0)</f>
        <v>254.9582752</v>
      </c>
      <c r="AC48" s="95">
        <f>IFERROR(VLOOKUP(I48,S6M3!$B$1:$C$161,2,0),0)</f>
        <v>0</v>
      </c>
      <c r="AD48" s="95">
        <f>IFERROR(VLOOKUP(K48,S6M4!$B$1:$C$161,2,0),0)</f>
        <v>0</v>
      </c>
      <c r="AE48" s="95">
        <f>IFERROR(VLOOKUP(M48,S6M5!$B$1:$C$161,2,0),0)</f>
        <v>426.6062834</v>
      </c>
      <c r="AF48" s="95">
        <f>IFERROR(VLOOKUP(O48,S6M6!$B$1:$C$161,2,0),0)</f>
        <v>1293.389888</v>
      </c>
      <c r="AG48" s="95">
        <f>IFERROR(VLOOKUP(Q48,S6M7!$B$1:$C$161,2,0),0)</f>
        <v>1231.680574</v>
      </c>
      <c r="AH48" s="95">
        <f>IFERROR(VLOOKUP(S48,S6M8!$B$1:$C$161,2,0),0)</f>
        <v>0</v>
      </c>
      <c r="AI48" s="95">
        <f>IFERROR(VLOOKUP(U48,S6M9!$B$1:$C$161,2,0),0)</f>
        <v>0</v>
      </c>
      <c r="AJ48" s="95">
        <f>IFERROR(VLOOKUP(W48,S6M10!$B$1:$C$161,2,0),0)</f>
        <v>0</v>
      </c>
      <c r="AK48" s="95">
        <f>IFERROR(VLOOKUP(Y48,S6M11!$B$1:$C$161,2,0),0)</f>
        <v>0</v>
      </c>
    </row>
    <row r="49" ht="15.75" customHeight="1">
      <c r="A49" s="92">
        <v>48.0</v>
      </c>
      <c r="B49" s="100" t="s">
        <v>83</v>
      </c>
      <c r="C49" s="93">
        <f t="shared" si="1"/>
        <v>2947.911757</v>
      </c>
      <c r="D49" s="93"/>
      <c r="E49" s="94" t="str">
        <f>IFERROR(VLOOKUP($B49,S6M1!$A$1:$B$160,2,0),"0")</f>
        <v>0</v>
      </c>
      <c r="F49" s="95">
        <f>IFERROR(VLOOKUP(E49,S6M1!$B$1:$C$161,2,0),0)</f>
        <v>0</v>
      </c>
      <c r="G49" s="94" t="str">
        <f>IFERROR(VLOOKUP($B49,S6M2!$A$1:$B$160,2,0),"0")</f>
        <v>0</v>
      </c>
      <c r="H49" s="95">
        <f>IFERROR(VLOOKUP(G49,S6M2!$B$1:$C$161,2,0),0)</f>
        <v>0</v>
      </c>
      <c r="I49" s="94">
        <f>IFERROR(VLOOKUP($B49,S6M3!$A$1:$B$161,2,0),0)</f>
        <v>11</v>
      </c>
      <c r="J49" s="95">
        <f>IFERROR(VLOOKUP(I49,S6M3!$B$1:$C$161,2,0),0)</f>
        <v>1070.952718</v>
      </c>
      <c r="K49" s="94">
        <f>IFERROR(VLOOKUP($B49,S6M4!$A$1:$B$160,2,0),"0")</f>
        <v>48</v>
      </c>
      <c r="L49" s="95">
        <f>IFERROR(VLOOKUP(K49,S6M4!$B$1:$C$161,2,0),0)</f>
        <v>236.2621932</v>
      </c>
      <c r="M49" s="94" t="str">
        <f>IFERROR(VLOOKUP($B49,S6M5!$A$1:$B$160,2,0),"0")</f>
        <v>0</v>
      </c>
      <c r="N49" s="95">
        <f>IFERROR(VLOOKUP(M49,S6M5!$B$1:$C$161,2,0),0)</f>
        <v>0</v>
      </c>
      <c r="O49" s="94">
        <f>IFERROR(VLOOKUP($B49,S6M6!$A$1:$B$160,2,0),"0")</f>
        <v>40</v>
      </c>
      <c r="P49" s="95">
        <f>IFERROR(VLOOKUP(O49,S6M6!$B$1:$C$161,2,0),0)</f>
        <v>411.8372214</v>
      </c>
      <c r="Q49" s="94">
        <f>IFERROR(VLOOKUP($B49,S6M7!$A$1:$B$160,2,0),"0")</f>
        <v>35</v>
      </c>
      <c r="R49" s="95">
        <f>IFERROR(VLOOKUP(Q49,S6M7!$B$1:$C$161,2,0),0)</f>
        <v>313.7120907</v>
      </c>
      <c r="S49" s="94">
        <f>IFERROR(VLOOKUP($B49,S6M8!$A$1:$B$160,2,0),"0")</f>
        <v>12</v>
      </c>
      <c r="T49" s="95">
        <f>IFERROR(VLOOKUP(S49,S6M8!$B$1:$C$161,2,0),0)</f>
        <v>915.1475343</v>
      </c>
      <c r="U49" s="94" t="str">
        <f>IFERROR(VLOOKUP($B49,S6M9!$A$1:$B$160,2,0),"0")</f>
        <v>0</v>
      </c>
      <c r="V49" s="95">
        <f>IFERROR(VLOOKUP(U49,S6M9!$B$1:$C$161,2,0),0)</f>
        <v>0</v>
      </c>
      <c r="W49" s="94" t="str">
        <f>IFERROR(VLOOKUP($B49,S6M10!$A$1:$B$160,2,0),"0")</f>
        <v>0</v>
      </c>
      <c r="X49" s="95">
        <f>IFERROR(VLOOKUP(W49,S6M10!$B$1:$C$161,2,0),0)</f>
        <v>0</v>
      </c>
      <c r="Y49" s="94" t="str">
        <f>IFERROR(VLOOKUP($B49,S6M11!$A$1:$B$160,2,0),"0")</f>
        <v>0</v>
      </c>
      <c r="Z49" s="95">
        <f>IFERROR(VLOOKUP(Y49,S6M11!$B$1:$C$161,2,0),0)</f>
        <v>0</v>
      </c>
      <c r="AA49" s="95">
        <f>IFERROR(VLOOKUP(E49,S6M1!$B$1:$C$161,2,0),0)</f>
        <v>0</v>
      </c>
      <c r="AB49" s="95">
        <f>IFERROR(VLOOKUP(G49,S6M2!$B$1:$C$161,2,0),0)</f>
        <v>0</v>
      </c>
      <c r="AC49" s="95">
        <f>IFERROR(VLOOKUP(I49,S6M3!$B$1:$C$161,2,0),0)</f>
        <v>1070.952718</v>
      </c>
      <c r="AD49" s="95">
        <f>IFERROR(VLOOKUP(K49,S6M4!$B$1:$C$161,2,0),0)</f>
        <v>236.2621932</v>
      </c>
      <c r="AE49" s="95">
        <f>IFERROR(VLOOKUP(M49,S6M5!$B$1:$C$161,2,0),0)</f>
        <v>0</v>
      </c>
      <c r="AF49" s="95">
        <f>IFERROR(VLOOKUP(O49,S6M6!$B$1:$C$161,2,0),0)</f>
        <v>411.8372214</v>
      </c>
      <c r="AG49" s="95">
        <f>IFERROR(VLOOKUP(Q49,S6M7!$B$1:$C$161,2,0),0)</f>
        <v>313.7120907</v>
      </c>
      <c r="AH49" s="95">
        <f>IFERROR(VLOOKUP(S49,S6M8!$B$1:$C$161,2,0),0)</f>
        <v>915.1475343</v>
      </c>
      <c r="AI49" s="95">
        <f>IFERROR(VLOOKUP(U49,S6M9!$B$1:$C$161,2,0),0)</f>
        <v>0</v>
      </c>
      <c r="AJ49" s="95">
        <f>IFERROR(VLOOKUP(W49,S6M10!$B$1:$C$161,2,0),0)</f>
        <v>0</v>
      </c>
      <c r="AK49" s="95">
        <f>IFERROR(VLOOKUP(Y49,S6M11!$B$1:$C$161,2,0),0)</f>
        <v>0</v>
      </c>
    </row>
    <row r="50" ht="15.75" customHeight="1">
      <c r="A50" s="92">
        <v>49.0</v>
      </c>
      <c r="B50" s="6" t="s">
        <v>46</v>
      </c>
      <c r="C50" s="93">
        <f t="shared" si="1"/>
        <v>2943.23873</v>
      </c>
      <c r="D50" s="93"/>
      <c r="E50" s="94">
        <f>IFERROR(VLOOKUP($B50,S6M1!$A$1:$B$160,2,0),"0")</f>
        <v>12</v>
      </c>
      <c r="F50" s="95">
        <f>IFERROR(VLOOKUP(E50,S6M1!$B$1:$C$161,2,0),0)</f>
        <v>858.715574</v>
      </c>
      <c r="G50" s="94">
        <f>IFERROR(VLOOKUP($B50,S6M2!$A$1:$B$160,2,0),"0")</f>
        <v>51</v>
      </c>
      <c r="H50" s="95">
        <f>IFERROR(VLOOKUP(G50,S6M2!$B$1:$C$161,2,0),0)</f>
        <v>183.0798134</v>
      </c>
      <c r="I50" s="94">
        <f>IFERROR(VLOOKUP($B50,S6M3!$A$1:$B$161,2,0),0)</f>
        <v>61</v>
      </c>
      <c r="J50" s="95">
        <f>IFERROR(VLOOKUP(I50,S6M3!$B$1:$C$161,2,0),0)</f>
        <v>106.4575599</v>
      </c>
      <c r="K50" s="94">
        <f>IFERROR(VLOOKUP($B50,S6M4!$A$1:$B$160,2,0),"0")</f>
        <v>50</v>
      </c>
      <c r="L50" s="95">
        <f>IFERROR(VLOOKUP(K50,S6M4!$B$1:$C$161,2,0),0)</f>
        <v>207.8784725</v>
      </c>
      <c r="M50" s="94">
        <f>IFERROR(VLOOKUP($B50,S6M5!$A$1:$B$160,2,0),"0")</f>
        <v>48</v>
      </c>
      <c r="N50" s="95">
        <f>IFERROR(VLOOKUP(M50,S6M5!$B$1:$C$161,2,0),0)</f>
        <v>157.0483414</v>
      </c>
      <c r="O50" s="94">
        <f>IFERROR(VLOOKUP($B50,S6M6!$A$1:$B$160,2,0),"0")</f>
        <v>44</v>
      </c>
      <c r="P50" s="95">
        <f>IFERROR(VLOOKUP(O50,S6M6!$B$1:$C$161,2,0),0)</f>
        <v>351.8726218</v>
      </c>
      <c r="Q50" s="94">
        <f>IFERROR(VLOOKUP($B50,S6M7!$A$1:$B$160,2,0),"0")</f>
        <v>33</v>
      </c>
      <c r="R50" s="95">
        <f>IFERROR(VLOOKUP(Q50,S6M7!$B$1:$C$161,2,0),0)</f>
        <v>351.8726218</v>
      </c>
      <c r="S50" s="94">
        <f>IFERROR(VLOOKUP($B50,S6M8!$A$1:$B$160,2,0),"0")</f>
        <v>51</v>
      </c>
      <c r="T50" s="95">
        <f>IFERROR(VLOOKUP(S50,S6M8!$B$1:$C$161,2,0),0)</f>
        <v>59.29054156</v>
      </c>
      <c r="U50" s="94">
        <f>IFERROR(VLOOKUP($B50,S6M9!$A$1:$B$160,2,0),"0")</f>
        <v>33</v>
      </c>
      <c r="V50" s="95">
        <f>IFERROR(VLOOKUP(U50,S6M9!$B$1:$C$161,2,0),0)</f>
        <v>327.5009735</v>
      </c>
      <c r="W50" s="94">
        <f>IFERROR(VLOOKUP($B50,S6M10!$A$1:$B$160,2,0),"0")</f>
        <v>30</v>
      </c>
      <c r="X50" s="95">
        <f>IFERROR(VLOOKUP(W50,S6M10!$B$1:$C$161,2,0),0)</f>
        <v>350.6842121</v>
      </c>
      <c r="Y50" s="94">
        <f>IFERROR(VLOOKUP($B50,S6M11!$A$1:$B$160,2,0),"0")</f>
        <v>40</v>
      </c>
      <c r="Z50" s="95">
        <f>IFERROR(VLOOKUP(Y50,S6M11!$B$1:$C$161,2,0),0)</f>
        <v>154.5860993</v>
      </c>
      <c r="AA50" s="95">
        <f>IFERROR(VLOOKUP(E50,S6M1!$B$1:$C$161,2,0),0)</f>
        <v>858.715574</v>
      </c>
      <c r="AB50" s="95">
        <f>IFERROR(VLOOKUP(G50,S6M2!$B$1:$C$161,2,0),0)</f>
        <v>183.0798134</v>
      </c>
      <c r="AC50" s="95">
        <f>IFERROR(VLOOKUP(I50,S6M3!$B$1:$C$161,2,0),0)</f>
        <v>106.4575599</v>
      </c>
      <c r="AD50" s="95">
        <f>IFERROR(VLOOKUP(K50,S6M4!$B$1:$C$161,2,0),0)</f>
        <v>207.8784725</v>
      </c>
      <c r="AE50" s="95">
        <f>IFERROR(VLOOKUP(M50,S6M5!$B$1:$C$161,2,0),0)</f>
        <v>157.0483414</v>
      </c>
      <c r="AF50" s="95">
        <f>IFERROR(VLOOKUP(O50,S6M6!$B$1:$C$161,2,0),0)</f>
        <v>351.8726218</v>
      </c>
      <c r="AG50" s="95">
        <f>IFERROR(VLOOKUP(Q50,S6M7!$B$1:$C$161,2,0),0)</f>
        <v>351.8726218</v>
      </c>
      <c r="AH50" s="95">
        <f>IFERROR(VLOOKUP(S50,S6M8!$B$1:$C$161,2,0),0)</f>
        <v>59.29054156</v>
      </c>
      <c r="AI50" s="95">
        <f>IFERROR(VLOOKUP(U50,S6M9!$B$1:$C$161,2,0),0)</f>
        <v>327.5009735</v>
      </c>
      <c r="AJ50" s="95">
        <f>IFERROR(VLOOKUP(W50,S6M10!$B$1:$C$161,2,0),0)</f>
        <v>350.6842121</v>
      </c>
      <c r="AK50" s="95">
        <f>IFERROR(VLOOKUP(Y50,S6M11!$B$1:$C$161,2,0),0)</f>
        <v>154.5860993</v>
      </c>
    </row>
    <row r="51" ht="15.75" customHeight="1">
      <c r="A51" s="92">
        <v>50.0</v>
      </c>
      <c r="B51" s="6" t="s">
        <v>71</v>
      </c>
      <c r="C51" s="93">
        <f t="shared" si="1"/>
        <v>2926.036155</v>
      </c>
      <c r="D51" s="93"/>
      <c r="E51" s="94">
        <f>IFERROR(VLOOKUP($B51,S6M1!$A$1:$B$160,2,0),"0")</f>
        <v>2</v>
      </c>
      <c r="F51" s="95">
        <f>IFERROR(VLOOKUP(E51,S6M1!$B$1:$C$161,2,0),0)</f>
        <v>1707.195613</v>
      </c>
      <c r="G51" s="94">
        <f>IFERROR(VLOOKUP($B51,S6M2!$A$1:$B$160,2,0),"0")</f>
        <v>11</v>
      </c>
      <c r="H51" s="95">
        <f>IFERROR(VLOOKUP(G51,S6M2!$B$1:$C$161,2,0),0)</f>
        <v>1036.21663</v>
      </c>
      <c r="I51" s="94">
        <f>IFERROR(VLOOKUP($B51,S6M3!$A$1:$B$161,2,0),0)</f>
        <v>64</v>
      </c>
      <c r="J51" s="95">
        <f>IFERROR(VLOOKUP(I51,S6M3!$B$1:$C$161,2,0),0)</f>
        <v>70.1249741</v>
      </c>
      <c r="K51" s="94" t="str">
        <f>IFERROR(VLOOKUP($B51,S6M4!$A$1:$B$160,2,0),"0")</f>
        <v>0</v>
      </c>
      <c r="L51" s="95">
        <f>IFERROR(VLOOKUP(K51,S6M4!$B$1:$C$161,2,0),0)</f>
        <v>0</v>
      </c>
      <c r="M51" s="94">
        <f>IFERROR(VLOOKUP($B51,S6M5!$A$1:$B$160,2,0),"0")</f>
        <v>51</v>
      </c>
      <c r="N51" s="95">
        <f>IFERROR(VLOOKUP(M51,S6M5!$B$1:$C$161,2,0),0)</f>
        <v>112.4989376</v>
      </c>
      <c r="O51" s="94" t="str">
        <f>IFERROR(VLOOKUP($B51,S6M6!$A$1:$B$160,2,0),"0")</f>
        <v>0</v>
      </c>
      <c r="P51" s="95">
        <f>IFERROR(VLOOKUP(O51,S6M6!$B$1:$C$161,2,0),0)</f>
        <v>0</v>
      </c>
      <c r="Q51" s="94" t="str">
        <f>IFERROR(VLOOKUP($B51,S6M7!$A$1:$B$160,2,0),"0")</f>
        <v>0</v>
      </c>
      <c r="R51" s="95">
        <f>IFERROR(VLOOKUP(Q51,S6M7!$B$1:$C$161,2,0),0)</f>
        <v>0</v>
      </c>
      <c r="S51" s="94" t="str">
        <f>IFERROR(VLOOKUP($B51,S6M8!$A$1:$B$160,2,0),"0")</f>
        <v>0</v>
      </c>
      <c r="T51" s="95">
        <f>IFERROR(VLOOKUP(S51,S6M8!$B$1:$C$161,2,0),0)</f>
        <v>0</v>
      </c>
      <c r="U51" s="94" t="str">
        <f>IFERROR(VLOOKUP($B51,S6M9!$A$1:$B$160,2,0),"0")</f>
        <v>0</v>
      </c>
      <c r="V51" s="95">
        <f>IFERROR(VLOOKUP(U51,S6M9!$B$1:$C$161,2,0),0)</f>
        <v>0</v>
      </c>
      <c r="W51" s="94" t="str">
        <f>IFERROR(VLOOKUP($B51,S6M10!$A$1:$B$160,2,0),"0")</f>
        <v>0</v>
      </c>
      <c r="X51" s="95">
        <f>IFERROR(VLOOKUP(W51,S6M10!$B$1:$C$161,2,0),0)</f>
        <v>0</v>
      </c>
      <c r="Y51" s="94" t="str">
        <f>IFERROR(VLOOKUP($B51,S6M11!$A$1:$B$160,2,0),"0")</f>
        <v>0</v>
      </c>
      <c r="Z51" s="95">
        <f>IFERROR(VLOOKUP(Y51,S6M11!$B$1:$C$161,2,0),0)</f>
        <v>0</v>
      </c>
      <c r="AA51" s="95">
        <f>IFERROR(VLOOKUP(E51,S6M1!$B$1:$C$161,2,0),0)</f>
        <v>1707.195613</v>
      </c>
      <c r="AB51" s="95">
        <f>IFERROR(VLOOKUP(G51,S6M2!$B$1:$C$161,2,0),0)</f>
        <v>1036.21663</v>
      </c>
      <c r="AC51" s="95">
        <f>IFERROR(VLOOKUP(I51,S6M3!$B$1:$C$161,2,0),0)</f>
        <v>70.1249741</v>
      </c>
      <c r="AD51" s="95">
        <f>IFERROR(VLOOKUP(K51,S6M4!$B$1:$C$161,2,0),0)</f>
        <v>0</v>
      </c>
      <c r="AE51" s="95">
        <f>IFERROR(VLOOKUP(M51,S6M5!$B$1:$C$161,2,0),0)</f>
        <v>112.4989376</v>
      </c>
      <c r="AF51" s="95">
        <f>IFERROR(VLOOKUP(O51,S6M6!$B$1:$C$161,2,0),0)</f>
        <v>0</v>
      </c>
      <c r="AG51" s="95">
        <f>IFERROR(VLOOKUP(Q51,S6M7!$B$1:$C$161,2,0),0)</f>
        <v>0</v>
      </c>
      <c r="AH51" s="95">
        <f>IFERROR(VLOOKUP(S51,S6M8!$B$1:$C$161,2,0),0)</f>
        <v>0</v>
      </c>
      <c r="AI51" s="95">
        <f>IFERROR(VLOOKUP(U51,S6M9!$B$1:$C$161,2,0),0)</f>
        <v>0</v>
      </c>
      <c r="AJ51" s="95">
        <f>IFERROR(VLOOKUP(W51,S6M10!$B$1:$C$161,2,0),0)</f>
        <v>0</v>
      </c>
      <c r="AK51" s="95">
        <f>IFERROR(VLOOKUP(Y51,S6M11!$B$1:$C$161,2,0),0)</f>
        <v>0</v>
      </c>
    </row>
    <row r="52" ht="15.75" customHeight="1">
      <c r="A52" s="92">
        <v>51.0</v>
      </c>
      <c r="B52" s="101" t="s">
        <v>72</v>
      </c>
      <c r="C52" s="93">
        <f t="shared" si="1"/>
        <v>2890.494816</v>
      </c>
      <c r="D52" s="93"/>
      <c r="E52" s="94" t="str">
        <f>IFERROR(VLOOKUP($B52,S6M1!$A$1:$B$160,2,0),"0")</f>
        <v>0</v>
      </c>
      <c r="F52" s="95">
        <f>IFERROR(VLOOKUP(E52,S6M1!$B$1:$C$161,2,0),0)</f>
        <v>0</v>
      </c>
      <c r="G52" s="94">
        <f>IFERROR(VLOOKUP($B52,S6M2!$A$1:$B$160,2,0),"0")</f>
        <v>4</v>
      </c>
      <c r="H52" s="95">
        <f>IFERROR(VLOOKUP(G52,S6M2!$B$1:$C$161,2,0),0)</f>
        <v>1507.369789</v>
      </c>
      <c r="I52" s="94">
        <f>IFERROR(VLOOKUP($B52,S6M3!$A$1:$B$161,2,0),0)</f>
        <v>50</v>
      </c>
      <c r="J52" s="95">
        <f>IFERROR(VLOOKUP(I52,S6M3!$B$1:$C$161,2,0),0)</f>
        <v>248.6302414</v>
      </c>
      <c r="K52" s="94">
        <f>IFERROR(VLOOKUP($B52,S6M4!$A$1:$B$160,2,0),"0")</f>
        <v>54</v>
      </c>
      <c r="L52" s="95">
        <f>IFERROR(VLOOKUP(K52,S6M4!$B$1:$C$161,2,0),0)</f>
        <v>152.937801</v>
      </c>
      <c r="M52" s="94">
        <f>IFERROR(VLOOKUP($B52,S6M5!$A$1:$B$160,2,0),"0")</f>
        <v>44</v>
      </c>
      <c r="N52" s="95">
        <f>IFERROR(VLOOKUP(M52,S6M5!$B$1:$C$161,2,0),0)</f>
        <v>218.8663867</v>
      </c>
      <c r="O52" s="94">
        <f>IFERROR(VLOOKUP($B52,S6M6!$A$1:$B$160,2,0),"0")</f>
        <v>22</v>
      </c>
      <c r="P52" s="95">
        <f>IFERROR(VLOOKUP(O52,S6M6!$B$1:$C$161,2,0),0)</f>
        <v>747.2311167</v>
      </c>
      <c r="Q52" s="94" t="str">
        <f>IFERROR(VLOOKUP($B52,S6M7!$A$1:$B$160,2,0),"0")</f>
        <v>0</v>
      </c>
      <c r="R52" s="95">
        <f>IFERROR(VLOOKUP(Q52,S6M7!$B$1:$C$161,2,0),0)</f>
        <v>0</v>
      </c>
      <c r="S52" s="94" t="str">
        <f>IFERROR(VLOOKUP($B52,S6M8!$A$1:$B$160,2,0),"0")</f>
        <v>0</v>
      </c>
      <c r="T52" s="95">
        <f>IFERROR(VLOOKUP(S52,S6M8!$B$1:$C$161,2,0),0)</f>
        <v>0</v>
      </c>
      <c r="U52" s="94">
        <f>IFERROR(VLOOKUP($B52,S6M9!$A$1:$B$160,2,0),"0")</f>
        <v>51</v>
      </c>
      <c r="V52" s="95">
        <f>IFERROR(VLOOKUP(U52,S6M9!$B$1:$C$161,2,0),0)</f>
        <v>15.4594819</v>
      </c>
      <c r="W52" s="94" t="str">
        <f>IFERROR(VLOOKUP($B52,S6M10!$A$1:$B$160,2,0),"0")</f>
        <v>0</v>
      </c>
      <c r="X52" s="95">
        <f>IFERROR(VLOOKUP(W52,S6M10!$B$1:$C$161,2,0),0)</f>
        <v>0</v>
      </c>
      <c r="Y52" s="94" t="str">
        <f>IFERROR(VLOOKUP($B52,S6M11!$A$1:$B$160,2,0),"0")</f>
        <v>0</v>
      </c>
      <c r="Z52" s="95">
        <f>IFERROR(VLOOKUP(Y52,S6M11!$B$1:$C$161,2,0),0)</f>
        <v>0</v>
      </c>
      <c r="AA52" s="95">
        <f>IFERROR(VLOOKUP(E52,S6M1!$B$1:$C$161,2,0),0)</f>
        <v>0</v>
      </c>
      <c r="AB52" s="95">
        <f>IFERROR(VLOOKUP(G52,S6M2!$B$1:$C$161,2,0),0)</f>
        <v>1507.369789</v>
      </c>
      <c r="AC52" s="95">
        <f>IFERROR(VLOOKUP(I52,S6M3!$B$1:$C$161,2,0),0)</f>
        <v>248.6302414</v>
      </c>
      <c r="AD52" s="95">
        <f>IFERROR(VLOOKUP(K52,S6M4!$B$1:$C$161,2,0),0)</f>
        <v>152.937801</v>
      </c>
      <c r="AE52" s="95">
        <f>IFERROR(VLOOKUP(M52,S6M5!$B$1:$C$161,2,0),0)</f>
        <v>218.8663867</v>
      </c>
      <c r="AF52" s="95">
        <f>IFERROR(VLOOKUP(O52,S6M6!$B$1:$C$161,2,0),0)</f>
        <v>747.2311167</v>
      </c>
      <c r="AG52" s="95">
        <f>IFERROR(VLOOKUP(Q52,S6M7!$B$1:$C$161,2,0),0)</f>
        <v>0</v>
      </c>
      <c r="AH52" s="95">
        <f>IFERROR(VLOOKUP(S52,S6M8!$B$1:$C$161,2,0),0)</f>
        <v>0</v>
      </c>
      <c r="AI52" s="95">
        <f>IFERROR(VLOOKUP(U52,S6M9!$B$1:$C$161,2,0),0)</f>
        <v>15.4594819</v>
      </c>
      <c r="AJ52" s="95">
        <f>IFERROR(VLOOKUP(W52,S6M10!$B$1:$C$161,2,0),0)</f>
        <v>0</v>
      </c>
      <c r="AK52" s="95">
        <f>IFERROR(VLOOKUP(Y52,S6M11!$B$1:$C$161,2,0),0)</f>
        <v>0</v>
      </c>
    </row>
    <row r="53" ht="15.75" customHeight="1">
      <c r="A53" s="92">
        <v>52.0</v>
      </c>
      <c r="B53" s="98" t="s">
        <v>40</v>
      </c>
      <c r="C53" s="93">
        <f t="shared" si="1"/>
        <v>2886.995038</v>
      </c>
      <c r="D53" s="93"/>
      <c r="E53" s="94" t="str">
        <f>IFERROR(VLOOKUP($B53,S6M1!$A$1:$B$160,2,0),"0")</f>
        <v>0</v>
      </c>
      <c r="F53" s="95">
        <f>IFERROR(VLOOKUP(E53,S6M1!$B$1:$C$161,2,0),0)</f>
        <v>0</v>
      </c>
      <c r="G53" s="94" t="str">
        <f>IFERROR(VLOOKUP($B53,S6M2!$A$1:$B$160,2,0),"0")</f>
        <v>0</v>
      </c>
      <c r="H53" s="95">
        <f>IFERROR(VLOOKUP(G53,S6M2!$B$1:$C$161,2,0),0)</f>
        <v>0</v>
      </c>
      <c r="I53" s="94">
        <f>IFERROR(VLOOKUP($B53,S6M3!$A$1:$B$161,2,0),0)</f>
        <v>19</v>
      </c>
      <c r="J53" s="95">
        <f>IFERROR(VLOOKUP(I53,S6M3!$B$1:$C$161,2,0),0)</f>
        <v>807.5106017</v>
      </c>
      <c r="K53" s="94" t="str">
        <f>IFERROR(VLOOKUP($B53,S6M4!$A$1:$B$160,2,0),"0")</f>
        <v>0</v>
      </c>
      <c r="L53" s="95">
        <f>IFERROR(VLOOKUP(K53,S6M4!$B$1:$C$161,2,0),0)</f>
        <v>0</v>
      </c>
      <c r="M53" s="94">
        <f>IFERROR(VLOOKUP($B53,S6M5!$A$1:$B$160,2,0),"0")</f>
        <v>43</v>
      </c>
      <c r="N53" s="95">
        <f>IFERROR(VLOOKUP(M53,S6M5!$B$1:$C$161,2,0),0)</f>
        <v>234.8031111</v>
      </c>
      <c r="O53" s="94">
        <f>IFERROR(VLOOKUP($B53,S6M6!$A$1:$B$160,2,0),"0")</f>
        <v>71</v>
      </c>
      <c r="P53" s="95">
        <f>IFERROR(VLOOKUP(O53,S6M6!$B$1:$C$161,2,0),0)</f>
        <v>11.15002978</v>
      </c>
      <c r="Q53" s="94">
        <f>IFERROR(VLOOKUP($B53,S6M7!$A$1:$B$160,2,0),"0")</f>
        <v>30</v>
      </c>
      <c r="R53" s="95">
        <f>IFERROR(VLOOKUP(Q53,S6M7!$B$1:$C$161,2,0),0)</f>
        <v>411.8372214</v>
      </c>
      <c r="S53" s="94" t="str">
        <f>IFERROR(VLOOKUP($B53,S6M8!$A$1:$B$160,2,0),"0")</f>
        <v>0</v>
      </c>
      <c r="T53" s="95">
        <f>IFERROR(VLOOKUP(S53,S6M8!$B$1:$C$161,2,0),0)</f>
        <v>0</v>
      </c>
      <c r="U53" s="94">
        <f>IFERROR(VLOOKUP($B53,S6M9!$A$1:$B$160,2,0),"0")</f>
        <v>34</v>
      </c>
      <c r="V53" s="95">
        <f>IFERROR(VLOOKUP(U53,S6M9!$B$1:$C$161,2,0),0)</f>
        <v>307.957124</v>
      </c>
      <c r="W53" s="94">
        <f>IFERROR(VLOOKUP($B53,S6M10!$A$1:$B$160,2,0),"0")</f>
        <v>18</v>
      </c>
      <c r="X53" s="95">
        <f>IFERROR(VLOOKUP(W53,S6M10!$B$1:$C$161,2,0),0)</f>
        <v>650.1094733</v>
      </c>
      <c r="Y53" s="94">
        <f>IFERROR(VLOOKUP($B53,S6M11!$A$1:$B$160,2,0),"0")</f>
        <v>25</v>
      </c>
      <c r="Z53" s="95">
        <f>IFERROR(VLOOKUP(Y53,S6M11!$B$1:$C$161,2,0),0)</f>
        <v>463.6274769</v>
      </c>
      <c r="AA53" s="95">
        <f>IFERROR(VLOOKUP(E53,S6M1!$B$1:$C$161,2,0),0)</f>
        <v>0</v>
      </c>
      <c r="AB53" s="95">
        <f>IFERROR(VLOOKUP(G53,S6M2!$B$1:$C$161,2,0),0)</f>
        <v>0</v>
      </c>
      <c r="AC53" s="95">
        <f>IFERROR(VLOOKUP(I53,S6M3!$B$1:$C$161,2,0),0)</f>
        <v>807.5106017</v>
      </c>
      <c r="AD53" s="95">
        <f>IFERROR(VLOOKUP(K53,S6M4!$B$1:$C$161,2,0),0)</f>
        <v>0</v>
      </c>
      <c r="AE53" s="95">
        <f>IFERROR(VLOOKUP(M53,S6M5!$B$1:$C$161,2,0),0)</f>
        <v>234.8031111</v>
      </c>
      <c r="AF53" s="95">
        <f>IFERROR(VLOOKUP(O53,S6M6!$B$1:$C$161,2,0),0)</f>
        <v>11.15002978</v>
      </c>
      <c r="AG53" s="95">
        <f>IFERROR(VLOOKUP(Q53,S6M7!$B$1:$C$161,2,0),0)</f>
        <v>411.8372214</v>
      </c>
      <c r="AH53" s="95">
        <f>IFERROR(VLOOKUP(S53,S6M8!$B$1:$C$161,2,0),0)</f>
        <v>0</v>
      </c>
      <c r="AI53" s="95">
        <f>IFERROR(VLOOKUP(U53,S6M9!$B$1:$C$161,2,0),0)</f>
        <v>307.957124</v>
      </c>
      <c r="AJ53" s="95">
        <f>IFERROR(VLOOKUP(W53,S6M10!$B$1:$C$161,2,0),0)</f>
        <v>650.1094733</v>
      </c>
      <c r="AK53" s="95">
        <f>IFERROR(VLOOKUP(Y53,S6M11!$B$1:$C$161,2,0),0)</f>
        <v>463.6274769</v>
      </c>
    </row>
    <row r="54" ht="15.75" customHeight="1">
      <c r="A54" s="92">
        <v>53.0</v>
      </c>
      <c r="B54" s="6" t="s">
        <v>36</v>
      </c>
      <c r="C54" s="93">
        <f t="shared" si="1"/>
        <v>2884.821805</v>
      </c>
      <c r="D54" s="93"/>
      <c r="E54" s="94">
        <f>IFERROR(VLOOKUP($B54,S6M1!$A$1:$B$160,2,0),"0")</f>
        <v>25</v>
      </c>
      <c r="F54" s="95">
        <f>IFERROR(VLOOKUP(E54,S6M1!$B$1:$C$161,2,0),0)</f>
        <v>463.6274769</v>
      </c>
      <c r="G54" s="94">
        <f>IFERROR(VLOOKUP($B54,S6M2!$A$1:$B$160,2,0),"0")</f>
        <v>25</v>
      </c>
      <c r="H54" s="95">
        <f>IFERROR(VLOOKUP(G54,S6M2!$B$1:$C$161,2,0),0)</f>
        <v>625.1438437</v>
      </c>
      <c r="I54" s="94">
        <f>IFERROR(VLOOKUP($B54,S6M3!$A$1:$B$161,2,0),0)</f>
        <v>63</v>
      </c>
      <c r="J54" s="95">
        <f>IFERROR(VLOOKUP(I54,S6M3!$B$1:$C$161,2,0),0)</f>
        <v>82.13520769</v>
      </c>
      <c r="K54" s="94">
        <f>IFERROR(VLOOKUP($B54,S6M4!$A$1:$B$160,2,0),"0")</f>
        <v>64</v>
      </c>
      <c r="L54" s="95">
        <f>IFERROR(VLOOKUP(K54,S6M4!$B$1:$C$161,2,0),0)</f>
        <v>24.42963833</v>
      </c>
      <c r="M54" s="94">
        <f>IFERROR(VLOOKUP($B54,S6M5!$A$1:$B$160,2,0),"0")</f>
        <v>42</v>
      </c>
      <c r="N54" s="95">
        <f>IFERROR(VLOOKUP(M54,S6M5!$B$1:$C$161,2,0),0)</f>
        <v>250.9502179</v>
      </c>
      <c r="O54" s="94">
        <f>IFERROR(VLOOKUP($B54,S6M6!$A$1:$B$160,2,0),"0")</f>
        <v>23</v>
      </c>
      <c r="P54" s="95">
        <f>IFERROR(VLOOKUP(O54,S6M6!$B$1:$C$161,2,0),0)</f>
        <v>724.1936888</v>
      </c>
      <c r="Q54" s="94" t="str">
        <f>IFERROR(VLOOKUP($B54,S6M7!$A$1:$B$160,2,0),"0")</f>
        <v>0</v>
      </c>
      <c r="R54" s="95">
        <f>IFERROR(VLOOKUP(Q54,S6M7!$B$1:$C$161,2,0),0)</f>
        <v>0</v>
      </c>
      <c r="S54" s="94">
        <f>IFERROR(VLOOKUP($B54,S6M8!$A$1:$B$160,2,0),"0")</f>
        <v>35</v>
      </c>
      <c r="T54" s="95">
        <f>IFERROR(VLOOKUP(S54,S6M8!$B$1:$C$161,2,0),0)</f>
        <v>325.7098964</v>
      </c>
      <c r="U54" s="94">
        <f>IFERROR(VLOOKUP($B54,S6M9!$A$1:$B$160,2,0),"0")</f>
        <v>36</v>
      </c>
      <c r="V54" s="95">
        <f>IFERROR(VLOOKUP(U54,S6M9!$B$1:$C$161,2,0),0)</f>
        <v>269.8558497</v>
      </c>
      <c r="W54" s="94">
        <f>IFERROR(VLOOKUP($B54,S6M10!$A$1:$B$160,2,0),"0")</f>
        <v>42</v>
      </c>
      <c r="X54" s="95">
        <f>IFERROR(VLOOKUP(W54,S6M10!$B$1:$C$161,2,0),0)</f>
        <v>118.775986</v>
      </c>
      <c r="Y54" s="94" t="str">
        <f>IFERROR(VLOOKUP($B54,S6M11!$A$1:$B$160,2,0),"0")</f>
        <v>0</v>
      </c>
      <c r="Z54" s="95">
        <f>IFERROR(VLOOKUP(Y54,S6M11!$B$1:$C$161,2,0),0)</f>
        <v>0</v>
      </c>
      <c r="AA54" s="95">
        <f>IFERROR(VLOOKUP(E54,S6M1!$B$1:$C$161,2,0),0)</f>
        <v>463.6274769</v>
      </c>
      <c r="AB54" s="95">
        <f>IFERROR(VLOOKUP(G54,S6M2!$B$1:$C$161,2,0),0)</f>
        <v>625.1438437</v>
      </c>
      <c r="AC54" s="95">
        <f>IFERROR(VLOOKUP(I54,S6M3!$B$1:$C$161,2,0),0)</f>
        <v>82.13520769</v>
      </c>
      <c r="AD54" s="95">
        <f>IFERROR(VLOOKUP(K54,S6M4!$B$1:$C$161,2,0),0)</f>
        <v>24.42963833</v>
      </c>
      <c r="AE54" s="95">
        <f>IFERROR(VLOOKUP(M54,S6M5!$B$1:$C$161,2,0),0)</f>
        <v>250.9502179</v>
      </c>
      <c r="AF54" s="95">
        <f>IFERROR(VLOOKUP(O54,S6M6!$B$1:$C$161,2,0),0)</f>
        <v>724.1936888</v>
      </c>
      <c r="AG54" s="95">
        <f>IFERROR(VLOOKUP(Q54,S6M7!$B$1:$C$161,2,0),0)</f>
        <v>0</v>
      </c>
      <c r="AH54" s="95">
        <f>IFERROR(VLOOKUP(S54,S6M8!$B$1:$C$161,2,0),0)</f>
        <v>325.7098964</v>
      </c>
      <c r="AI54" s="95">
        <f>IFERROR(VLOOKUP(U54,S6M9!$B$1:$C$161,2,0),0)</f>
        <v>269.8558497</v>
      </c>
      <c r="AJ54" s="95">
        <f>IFERROR(VLOOKUP(W54,S6M10!$B$1:$C$161,2,0),0)</f>
        <v>118.775986</v>
      </c>
      <c r="AK54" s="95">
        <f>IFERROR(VLOOKUP(Y54,S6M11!$B$1:$C$161,2,0),0)</f>
        <v>0</v>
      </c>
    </row>
    <row r="55" ht="15.75" customHeight="1">
      <c r="A55" s="92">
        <v>54.0</v>
      </c>
      <c r="B55" s="6" t="s">
        <v>58</v>
      </c>
      <c r="C55" s="93">
        <f t="shared" si="1"/>
        <v>2884.385361</v>
      </c>
      <c r="D55" s="93"/>
      <c r="E55" s="94" t="str">
        <f>IFERROR(VLOOKUP($B55,S6M1!$A$1:$B$160,2,0),"0")</f>
        <v>0</v>
      </c>
      <c r="F55" s="95">
        <f>IFERROR(VLOOKUP(E55,S6M1!$B$1:$C$161,2,0),0)</f>
        <v>0</v>
      </c>
      <c r="G55" s="94">
        <f>IFERROR(VLOOKUP($B55,S6M2!$A$1:$B$160,2,0),"0")</f>
        <v>28</v>
      </c>
      <c r="H55" s="95">
        <f>IFERROR(VLOOKUP(G55,S6M2!$B$1:$C$161,2,0),0)</f>
        <v>562.10466</v>
      </c>
      <c r="I55" s="94">
        <f>IFERROR(VLOOKUP($B55,S6M3!$A$1:$B$161,2,0),0)</f>
        <v>31</v>
      </c>
      <c r="J55" s="95">
        <f>IFERROR(VLOOKUP(I55,S6M3!$B$1:$C$161,2,0),0)</f>
        <v>546.3747749</v>
      </c>
      <c r="K55" s="94">
        <f>IFERROR(VLOOKUP($B55,S6M4!$A$1:$B$160,2,0),"0")</f>
        <v>9</v>
      </c>
      <c r="L55" s="95">
        <f>IFERROR(VLOOKUP(K55,S6M4!$B$1:$C$161,2,0),0)</f>
        <v>1136.962822</v>
      </c>
      <c r="M55" s="94" t="str">
        <f>IFERROR(VLOOKUP($B55,S6M5!$A$1:$B$160,2,0),"0")</f>
        <v>0</v>
      </c>
      <c r="N55" s="95">
        <f>IFERROR(VLOOKUP(M55,S6M5!$B$1:$C$161,2,0),0)</f>
        <v>0</v>
      </c>
      <c r="O55" s="94">
        <f>IFERROR(VLOOKUP($B55,S6M6!$A$1:$B$160,2,0),"0")</f>
        <v>27</v>
      </c>
      <c r="P55" s="95">
        <f>IFERROR(VLOOKUP(O55,S6M6!$B$1:$C$161,2,0),0)</f>
        <v>638.9431042</v>
      </c>
      <c r="Q55" s="94" t="str">
        <f>IFERROR(VLOOKUP($B55,S6M7!$A$1:$B$160,2,0),"0")</f>
        <v>0</v>
      </c>
      <c r="R55" s="95">
        <f>IFERROR(VLOOKUP(Q55,S6M7!$B$1:$C$161,2,0),0)</f>
        <v>0</v>
      </c>
      <c r="S55" s="94" t="str">
        <f>IFERROR(VLOOKUP($B55,S6M8!$A$1:$B$160,2,0),"0")</f>
        <v>0</v>
      </c>
      <c r="T55" s="95">
        <f>IFERROR(VLOOKUP(S55,S6M8!$B$1:$C$161,2,0),0)</f>
        <v>0</v>
      </c>
      <c r="U55" s="94" t="str">
        <f>IFERROR(VLOOKUP($B55,S6M9!$A$1:$B$160,2,0),"0")</f>
        <v>0</v>
      </c>
      <c r="V55" s="95">
        <f>IFERROR(VLOOKUP(U55,S6M9!$B$1:$C$161,2,0),0)</f>
        <v>0</v>
      </c>
      <c r="W55" s="94" t="str">
        <f>IFERROR(VLOOKUP($B55,S6M10!$A$1:$B$160,2,0),"0")</f>
        <v>0</v>
      </c>
      <c r="X55" s="95">
        <f>IFERROR(VLOOKUP(W55,S6M10!$B$1:$C$161,2,0),0)</f>
        <v>0</v>
      </c>
      <c r="Y55" s="94" t="str">
        <f>IFERROR(VLOOKUP($B55,S6M11!$A$1:$B$160,2,0),"0")</f>
        <v>0</v>
      </c>
      <c r="Z55" s="95">
        <f>IFERROR(VLOOKUP(Y55,S6M11!$B$1:$C$161,2,0),0)</f>
        <v>0</v>
      </c>
      <c r="AA55" s="95">
        <f>IFERROR(VLOOKUP(E55,S6M1!$B$1:$C$161,2,0),0)</f>
        <v>0</v>
      </c>
      <c r="AB55" s="95">
        <f>IFERROR(VLOOKUP(G55,S6M2!$B$1:$C$161,2,0),0)</f>
        <v>562.10466</v>
      </c>
      <c r="AC55" s="95">
        <f>IFERROR(VLOOKUP(I55,S6M3!$B$1:$C$161,2,0),0)</f>
        <v>546.3747749</v>
      </c>
      <c r="AD55" s="95">
        <f>IFERROR(VLOOKUP(K55,S6M4!$B$1:$C$161,2,0),0)</f>
        <v>1136.962822</v>
      </c>
      <c r="AE55" s="95">
        <f>IFERROR(VLOOKUP(M55,S6M5!$B$1:$C$161,2,0),0)</f>
        <v>0</v>
      </c>
      <c r="AF55" s="95">
        <f>IFERROR(VLOOKUP(O55,S6M6!$B$1:$C$161,2,0),0)</f>
        <v>638.9431042</v>
      </c>
      <c r="AG55" s="95">
        <f>IFERROR(VLOOKUP(Q55,S6M7!$B$1:$C$161,2,0),0)</f>
        <v>0</v>
      </c>
      <c r="AH55" s="95">
        <f>IFERROR(VLOOKUP(S55,S6M8!$B$1:$C$161,2,0),0)</f>
        <v>0</v>
      </c>
      <c r="AI55" s="95">
        <f>IFERROR(VLOOKUP(U55,S6M9!$B$1:$C$161,2,0),0)</f>
        <v>0</v>
      </c>
      <c r="AJ55" s="95">
        <f>IFERROR(VLOOKUP(W55,S6M10!$B$1:$C$161,2,0),0)</f>
        <v>0</v>
      </c>
      <c r="AK55" s="95">
        <f>IFERROR(VLOOKUP(Y55,S6M11!$B$1:$C$161,2,0),0)</f>
        <v>0</v>
      </c>
    </row>
    <row r="56" ht="15.75" customHeight="1">
      <c r="A56" s="92">
        <v>55.0</v>
      </c>
      <c r="B56" s="24" t="s">
        <v>61</v>
      </c>
      <c r="C56" s="93">
        <f t="shared" si="1"/>
        <v>2864.888152</v>
      </c>
      <c r="D56" s="93"/>
      <c r="E56" s="94" t="str">
        <f>IFERROR(VLOOKUP($B56,S6M1!$A$1:$B$160,2,0),"0")</f>
        <v>0</v>
      </c>
      <c r="F56" s="95">
        <f>IFERROR(VLOOKUP(E56,S6M1!$B$1:$C$161,2,0),0)</f>
        <v>0</v>
      </c>
      <c r="G56" s="94" t="str">
        <f>IFERROR(VLOOKUP($B56,S6M2!$A$1:$B$160,2,0),"0")</f>
        <v>0</v>
      </c>
      <c r="H56" s="95">
        <f>IFERROR(VLOOKUP(G56,S6M2!$B$1:$C$161,2,0),0)</f>
        <v>0</v>
      </c>
      <c r="I56" s="94">
        <f>IFERROR(VLOOKUP($B56,S6M3!$A$1:$B$161,2,0),0)</f>
        <v>0</v>
      </c>
      <c r="J56" s="95">
        <f>IFERROR(VLOOKUP(I56,S6M3!$B$1:$C$161,2,0),0)</f>
        <v>0</v>
      </c>
      <c r="K56" s="94" t="str">
        <f>IFERROR(VLOOKUP($B56,S6M4!$A$1:$B$160,2,0),"0")</f>
        <v>0</v>
      </c>
      <c r="L56" s="95">
        <f>IFERROR(VLOOKUP(K56,S6M4!$B$1:$C$161,2,0),0)</f>
        <v>0</v>
      </c>
      <c r="M56" s="94" t="str">
        <f>IFERROR(VLOOKUP($B56,S6M5!$A$1:$B$160,2,0),"0")</f>
        <v>0</v>
      </c>
      <c r="N56" s="95">
        <f>IFERROR(VLOOKUP(M56,S6M5!$B$1:$C$161,2,0),0)</f>
        <v>0</v>
      </c>
      <c r="O56" s="94" t="str">
        <f>IFERROR(VLOOKUP($B56,S6M6!$A$1:$B$160,2,0),"0")</f>
        <v>0</v>
      </c>
      <c r="P56" s="95">
        <f>IFERROR(VLOOKUP(O56,S6M6!$B$1:$C$161,2,0),0)</f>
        <v>0</v>
      </c>
      <c r="Q56" s="94">
        <f>IFERROR(VLOOKUP($B56,S6M7!$A$1:$B$160,2,0),"0")</f>
        <v>3</v>
      </c>
      <c r="R56" s="95">
        <f>IFERROR(VLOOKUP(Q56,S6M7!$B$1:$C$161,2,0),0)</f>
        <v>1556.268509</v>
      </c>
      <c r="S56" s="94">
        <f>IFERROR(VLOOKUP($B56,S6M8!$A$1:$B$160,2,0),"0")</f>
        <v>44</v>
      </c>
      <c r="T56" s="95">
        <f>IFERROR(VLOOKUP(S56,S6M8!$B$1:$C$161,2,0),0)</f>
        <v>169.1794022</v>
      </c>
      <c r="U56" s="94">
        <f>IFERROR(VLOOKUP($B56,S6M9!$A$1:$B$160,2,0),"0")</f>
        <v>23</v>
      </c>
      <c r="V56" s="95">
        <f>IFERROR(VLOOKUP(U56,S6M9!$B$1:$C$161,2,0),0)</f>
        <v>547.0833759</v>
      </c>
      <c r="W56" s="94">
        <f>IFERROR(VLOOKUP($B56,S6M10!$A$1:$B$160,2,0),"0")</f>
        <v>20</v>
      </c>
      <c r="X56" s="95">
        <f>IFERROR(VLOOKUP(W56,S6M10!$B$1:$C$161,2,0),0)</f>
        <v>592.356865</v>
      </c>
      <c r="Y56" s="94" t="str">
        <f>IFERROR(VLOOKUP($B56,S6M11!$A$1:$B$160,2,0),"0")</f>
        <v>0</v>
      </c>
      <c r="Z56" s="95">
        <f>IFERROR(VLOOKUP(Y56,S6M11!$B$1:$C$161,2,0),0)</f>
        <v>0</v>
      </c>
      <c r="AA56" s="97">
        <f>IFERROR(VLOOKUP(E56,S6M1!$B$1:$C$161,2,0),0)</f>
        <v>0</v>
      </c>
      <c r="AB56" s="97">
        <f>IFERROR(VLOOKUP(G56,S6M2!$B$1:$C$161,2,0),0)</f>
        <v>0</v>
      </c>
      <c r="AC56" s="97">
        <f>IFERROR(VLOOKUP(I56,S6M3!$B$1:$C$161,2,0),0)</f>
        <v>0</v>
      </c>
      <c r="AD56" s="97">
        <f>IFERROR(VLOOKUP(K56,S6M4!$B$1:$C$161,2,0),0)</f>
        <v>0</v>
      </c>
      <c r="AE56" s="97">
        <f>IFERROR(VLOOKUP(M56,S6M5!$B$1:$C$161,2,0),0)</f>
        <v>0</v>
      </c>
      <c r="AF56" s="97">
        <f>IFERROR(VLOOKUP(O56,S6M6!$B$1:$C$161,2,0),0)</f>
        <v>0</v>
      </c>
      <c r="AG56" s="97">
        <f>IFERROR(VLOOKUP(Q56,S6M7!$B$1:$C$161,2,0),0)</f>
        <v>1556.268509</v>
      </c>
      <c r="AH56" s="97">
        <f>IFERROR(VLOOKUP(S56,S6M8!$B$1:$C$161,2,0),0)</f>
        <v>169.1794022</v>
      </c>
      <c r="AI56" s="97">
        <f>IFERROR(VLOOKUP(U56,S6M9!$B$1:$C$161,2,0),0)</f>
        <v>547.0833759</v>
      </c>
      <c r="AJ56" s="97">
        <f>IFERROR(VLOOKUP(W56,S6M10!$B$1:$C$161,2,0),0)</f>
        <v>592.356865</v>
      </c>
      <c r="AK56" s="97">
        <f>IFERROR(VLOOKUP(Y56,S6M11!$B$1:$C$161,2,0),0)</f>
        <v>0</v>
      </c>
    </row>
    <row r="57" ht="15.75" customHeight="1">
      <c r="A57" s="92">
        <v>56.0</v>
      </c>
      <c r="B57" s="6" t="s">
        <v>78</v>
      </c>
      <c r="C57" s="93">
        <f t="shared" si="1"/>
        <v>2787.432305</v>
      </c>
      <c r="D57" s="93"/>
      <c r="E57" s="94">
        <f>IFERROR(VLOOKUP($B57,S6M1!$A$1:$B$160,2,0),"0")</f>
        <v>41</v>
      </c>
      <c r="F57" s="95">
        <f>IFERROR(VLOOKUP(E57,S6M1!$B$1:$C$161,2,0),0)</f>
        <v>136.5642267</v>
      </c>
      <c r="G57" s="94">
        <f>IFERROR(VLOOKUP($B57,S6M2!$A$1:$B$160,2,0),"0")</f>
        <v>21</v>
      </c>
      <c r="H57" s="95">
        <f>IFERROR(VLOOKUP(G57,S6M2!$B$1:$C$161,2,0),0)</f>
        <v>718.2949652</v>
      </c>
      <c r="I57" s="94">
        <f>IFERROR(VLOOKUP($B57,S6M3!$A$1:$B$161,2,0),0)</f>
        <v>35</v>
      </c>
      <c r="J57" s="95">
        <f>IFERROR(VLOOKUP(I57,S6M3!$B$1:$C$161,2,0),0)</f>
        <v>475.682846</v>
      </c>
      <c r="K57" s="94">
        <f>IFERROR(VLOOKUP($B57,S6M4!$A$1:$B$160,2,0),"0")</f>
        <v>44</v>
      </c>
      <c r="L57" s="95">
        <f>IFERROR(VLOOKUP(K57,S6M4!$B$1:$C$161,2,0),0)</f>
        <v>295.1151786</v>
      </c>
      <c r="M57" s="94">
        <f>IFERROR(VLOOKUP($B57,S6M5!$A$1:$B$160,2,0),"0")</f>
        <v>41</v>
      </c>
      <c r="N57" s="95">
        <f>IFERROR(VLOOKUP(M57,S6M5!$B$1:$C$161,2,0),0)</f>
        <v>267.317579</v>
      </c>
      <c r="O57" s="94">
        <f>IFERROR(VLOOKUP($B57,S6M6!$A$1:$B$160,2,0),"0")</f>
        <v>21</v>
      </c>
      <c r="P57" s="95">
        <f>IFERROR(VLOOKUP(O57,S6M6!$B$1:$C$161,2,0),0)</f>
        <v>771.0915911</v>
      </c>
      <c r="Q57" s="94">
        <f>IFERROR(VLOOKUP($B57,S6M7!$A$1:$B$160,2,0),"0")</f>
        <v>46</v>
      </c>
      <c r="R57" s="95">
        <f>IFERROR(VLOOKUP(Q57,S6M7!$B$1:$C$161,2,0),0)</f>
        <v>123.3659184</v>
      </c>
      <c r="S57" s="94" t="str">
        <f>IFERROR(VLOOKUP($B57,S6M8!$A$1:$B$160,2,0),"0")</f>
        <v>0</v>
      </c>
      <c r="T57" s="95">
        <f>IFERROR(VLOOKUP(S57,S6M8!$B$1:$C$161,2,0),0)</f>
        <v>0</v>
      </c>
      <c r="U57" s="94" t="str">
        <f>IFERROR(VLOOKUP($B57,S6M9!$A$1:$B$160,2,0),"0")</f>
        <v>0</v>
      </c>
      <c r="V57" s="95">
        <f>IFERROR(VLOOKUP(U57,S6M9!$B$1:$C$161,2,0),0)</f>
        <v>0</v>
      </c>
      <c r="W57" s="94" t="str">
        <f>IFERROR(VLOOKUP($B57,S6M10!$A$1:$B$160,2,0),"0")</f>
        <v>0</v>
      </c>
      <c r="X57" s="95">
        <f>IFERROR(VLOOKUP(W57,S6M10!$B$1:$C$161,2,0),0)</f>
        <v>0</v>
      </c>
      <c r="Y57" s="94" t="str">
        <f>IFERROR(VLOOKUP($B57,S6M11!$A$1:$B$160,2,0),"0")</f>
        <v>0</v>
      </c>
      <c r="Z57" s="95">
        <f>IFERROR(VLOOKUP(Y57,S6M11!$B$1:$C$161,2,0),0)</f>
        <v>0</v>
      </c>
      <c r="AA57" s="95">
        <f>IFERROR(VLOOKUP(E57,S6M1!$B$1:$C$161,2,0),0)</f>
        <v>136.5642267</v>
      </c>
      <c r="AB57" s="95">
        <f>IFERROR(VLOOKUP(G57,S6M2!$B$1:$C$161,2,0),0)</f>
        <v>718.2949652</v>
      </c>
      <c r="AC57" s="95">
        <f>IFERROR(VLOOKUP(I57,S6M3!$B$1:$C$161,2,0),0)</f>
        <v>475.682846</v>
      </c>
      <c r="AD57" s="95">
        <f>IFERROR(VLOOKUP(K57,S6M4!$B$1:$C$161,2,0),0)</f>
        <v>295.1151786</v>
      </c>
      <c r="AE57" s="95">
        <f>IFERROR(VLOOKUP(M57,S6M5!$B$1:$C$161,2,0),0)</f>
        <v>267.317579</v>
      </c>
      <c r="AF57" s="95">
        <f>IFERROR(VLOOKUP(O57,S6M6!$B$1:$C$161,2,0),0)</f>
        <v>771.0915911</v>
      </c>
      <c r="AG57" s="95">
        <f>IFERROR(VLOOKUP(Q57,S6M7!$B$1:$C$161,2,0),0)</f>
        <v>123.3659184</v>
      </c>
      <c r="AH57" s="95">
        <f>IFERROR(VLOOKUP(S57,S6M8!$B$1:$C$161,2,0),0)</f>
        <v>0</v>
      </c>
      <c r="AI57" s="95">
        <f>IFERROR(VLOOKUP(U57,S6M9!$B$1:$C$161,2,0),0)</f>
        <v>0</v>
      </c>
      <c r="AJ57" s="95">
        <f>IFERROR(VLOOKUP(W57,S6M10!$B$1:$C$161,2,0),0)</f>
        <v>0</v>
      </c>
      <c r="AK57" s="95">
        <f>IFERROR(VLOOKUP(Y57,S6M11!$B$1:$C$161,2,0),0)</f>
        <v>0</v>
      </c>
    </row>
    <row r="58" ht="15.75" customHeight="1">
      <c r="A58" s="92">
        <v>57.0</v>
      </c>
      <c r="B58" s="6" t="s">
        <v>53</v>
      </c>
      <c r="C58" s="93">
        <f t="shared" si="1"/>
        <v>2786.269577</v>
      </c>
      <c r="D58" s="93"/>
      <c r="E58" s="94">
        <f>IFERROR(VLOOKUP($B58,S6M1!$A$1:$B$160,2,0),"0")</f>
        <v>16</v>
      </c>
      <c r="F58" s="95">
        <f>IFERROR(VLOOKUP(E58,S6M1!$B$1:$C$161,2,0),0)</f>
        <v>712.7330062</v>
      </c>
      <c r="G58" s="94" t="str">
        <f>IFERROR(VLOOKUP($B58,S6M2!$A$1:$B$160,2,0),"0")</f>
        <v>0</v>
      </c>
      <c r="H58" s="95">
        <f>IFERROR(VLOOKUP(G58,S6M2!$B$1:$C$161,2,0),0)</f>
        <v>0</v>
      </c>
      <c r="I58" s="94">
        <f>IFERROR(VLOOKUP($B58,S6M3!$A$1:$B$161,2,0),0)</f>
        <v>12</v>
      </c>
      <c r="J58" s="95">
        <f>IFERROR(VLOOKUP(I58,S6M3!$B$1:$C$161,2,0),0)</f>
        <v>1030.14685</v>
      </c>
      <c r="K58" s="94">
        <f>IFERROR(VLOOKUP($B58,S6M4!$A$1:$B$160,2,0),"0")</f>
        <v>11</v>
      </c>
      <c r="L58" s="95">
        <f>IFERROR(VLOOKUP(K58,S6M4!$B$1:$C$161,2,0),0)</f>
        <v>1043.38972</v>
      </c>
      <c r="M58" s="94" t="str">
        <f>IFERROR(VLOOKUP($B58,S6M5!$A$1:$B$160,2,0),"0")</f>
        <v>0</v>
      </c>
      <c r="N58" s="95">
        <f>IFERROR(VLOOKUP(M58,S6M5!$B$1:$C$161,2,0),0)</f>
        <v>0</v>
      </c>
      <c r="O58" s="94" t="str">
        <f>IFERROR(VLOOKUP($B58,S6M6!$A$1:$B$160,2,0),"0")</f>
        <v>0</v>
      </c>
      <c r="P58" s="95">
        <f>IFERROR(VLOOKUP(O58,S6M6!$B$1:$C$161,2,0),0)</f>
        <v>0</v>
      </c>
      <c r="Q58" s="94" t="str">
        <f>IFERROR(VLOOKUP($B58,S6M7!$A$1:$B$160,2,0),"0")</f>
        <v>0</v>
      </c>
      <c r="R58" s="95">
        <f>IFERROR(VLOOKUP(Q58,S6M7!$B$1:$C$161,2,0),0)</f>
        <v>0</v>
      </c>
      <c r="S58" s="94" t="str">
        <f>IFERROR(VLOOKUP($B58,S6M8!$A$1:$B$160,2,0),"0")</f>
        <v>0</v>
      </c>
      <c r="T58" s="95">
        <f>IFERROR(VLOOKUP(S58,S6M8!$B$1:$C$161,2,0),0)</f>
        <v>0</v>
      </c>
      <c r="U58" s="94" t="str">
        <f>IFERROR(VLOOKUP($B58,S6M9!$A$1:$B$160,2,0),"0")</f>
        <v>0</v>
      </c>
      <c r="V58" s="95">
        <f>IFERROR(VLOOKUP(U58,S6M9!$B$1:$C$161,2,0),0)</f>
        <v>0</v>
      </c>
      <c r="W58" s="94" t="str">
        <f>IFERROR(VLOOKUP($B58,S6M10!$A$1:$B$160,2,0),"0")</f>
        <v>0</v>
      </c>
      <c r="X58" s="95">
        <f>IFERROR(VLOOKUP(W58,S6M10!$B$1:$C$161,2,0),0)</f>
        <v>0</v>
      </c>
      <c r="Y58" s="94" t="str">
        <f>IFERROR(VLOOKUP($B58,S6M11!$A$1:$B$160,2,0),"0")</f>
        <v>0</v>
      </c>
      <c r="Z58" s="95">
        <f>IFERROR(VLOOKUP(Y58,S6M11!$B$1:$C$161,2,0),0)</f>
        <v>0</v>
      </c>
      <c r="AA58" s="95">
        <f>IFERROR(VLOOKUP(E58,S6M1!$B$1:$C$161,2,0),0)</f>
        <v>712.7330062</v>
      </c>
      <c r="AB58" s="95">
        <f>IFERROR(VLOOKUP(G58,S6M2!$B$1:$C$161,2,0),0)</f>
        <v>0</v>
      </c>
      <c r="AC58" s="95">
        <f>IFERROR(VLOOKUP(I58,S6M3!$B$1:$C$161,2,0),0)</f>
        <v>1030.14685</v>
      </c>
      <c r="AD58" s="95">
        <f>IFERROR(VLOOKUP(K58,S6M4!$B$1:$C$161,2,0),0)</f>
        <v>1043.38972</v>
      </c>
      <c r="AE58" s="95">
        <f>IFERROR(VLOOKUP(M58,S6M5!$B$1:$C$161,2,0),0)</f>
        <v>0</v>
      </c>
      <c r="AF58" s="95">
        <f>IFERROR(VLOOKUP(O58,S6M6!$B$1:$C$161,2,0),0)</f>
        <v>0</v>
      </c>
      <c r="AG58" s="95">
        <f>IFERROR(VLOOKUP(Q58,S6M7!$B$1:$C$161,2,0),0)</f>
        <v>0</v>
      </c>
      <c r="AH58" s="95">
        <f>IFERROR(VLOOKUP(S58,S6M8!$B$1:$C$161,2,0),0)</f>
        <v>0</v>
      </c>
      <c r="AI58" s="95">
        <f>IFERROR(VLOOKUP(U58,S6M9!$B$1:$C$161,2,0),0)</f>
        <v>0</v>
      </c>
      <c r="AJ58" s="95">
        <f>IFERROR(VLOOKUP(W58,S6M10!$B$1:$C$161,2,0),0)</f>
        <v>0</v>
      </c>
      <c r="AK58" s="95">
        <f>IFERROR(VLOOKUP(Y58,S6M11!$B$1:$C$161,2,0),0)</f>
        <v>0</v>
      </c>
    </row>
    <row r="59" ht="15.75" customHeight="1">
      <c r="A59" s="92">
        <v>58.0</v>
      </c>
      <c r="B59" s="6" t="s">
        <v>67</v>
      </c>
      <c r="C59" s="93">
        <f t="shared" si="1"/>
        <v>2728.25152</v>
      </c>
      <c r="D59" s="93"/>
      <c r="E59" s="94">
        <f>IFERROR(VLOOKUP($B59,S6M1!$A$1:$B$160,2,0),"0")</f>
        <v>13</v>
      </c>
      <c r="F59" s="95">
        <f>IFERROR(VLOOKUP(E59,S6M1!$B$1:$C$161,2,0),0)</f>
        <v>818.9541531</v>
      </c>
      <c r="G59" s="94">
        <f>IFERROR(VLOOKUP($B59,S6M2!$A$1:$B$160,2,0),"0")</f>
        <v>59</v>
      </c>
      <c r="H59" s="95">
        <f>IFERROR(VLOOKUP(G59,S6M2!$B$1:$C$161,2,0),0)</f>
        <v>75.65597229</v>
      </c>
      <c r="I59" s="94">
        <f>IFERROR(VLOOKUP($B59,S6M3!$A$1:$B$161,2,0),0)</f>
        <v>0</v>
      </c>
      <c r="J59" s="95">
        <f>IFERROR(VLOOKUP(I59,S6M3!$B$1:$C$161,2,0),0)</f>
        <v>0</v>
      </c>
      <c r="K59" s="94" t="str">
        <f>IFERROR(VLOOKUP($B59,S6M4!$A$1:$B$160,2,0),"0")</f>
        <v>0</v>
      </c>
      <c r="L59" s="95">
        <f>IFERROR(VLOOKUP(K59,S6M4!$B$1:$C$161,2,0),0)</f>
        <v>0</v>
      </c>
      <c r="M59" s="94">
        <f>IFERROR(VLOOKUP($B59,S6M5!$A$1:$B$160,2,0),"0")</f>
        <v>22</v>
      </c>
      <c r="N59" s="95">
        <f>IFERROR(VLOOKUP(M59,S6M5!$B$1:$C$161,2,0),0)</f>
        <v>642.0177454</v>
      </c>
      <c r="O59" s="94">
        <f>IFERROR(VLOOKUP($B59,S6M6!$A$1:$B$160,2,0),"0")</f>
        <v>48</v>
      </c>
      <c r="P59" s="95">
        <f>IFERROR(VLOOKUP(O59,S6M6!$B$1:$C$161,2,0),0)</f>
        <v>295.1151786</v>
      </c>
      <c r="Q59" s="94">
        <f>IFERROR(VLOOKUP($B59,S6M7!$A$1:$B$160,2,0),"0")</f>
        <v>13</v>
      </c>
      <c r="R59" s="95">
        <f>IFERROR(VLOOKUP(Q59,S6M7!$B$1:$C$161,2,0),0)</f>
        <v>867.1469198</v>
      </c>
      <c r="S59" s="94">
        <f>IFERROR(VLOOKUP($B59,S6M8!$A$1:$B$160,2,0),"0")</f>
        <v>53</v>
      </c>
      <c r="T59" s="95">
        <f>IFERROR(VLOOKUP(S59,S6M8!$B$1:$C$161,2,0),0)</f>
        <v>29.36155134</v>
      </c>
      <c r="U59" s="94" t="str">
        <f>IFERROR(VLOOKUP($B59,S6M9!$A$1:$B$160,2,0),"0")</f>
        <v>0</v>
      </c>
      <c r="V59" s="95">
        <f>IFERROR(VLOOKUP(U59,S6M9!$B$1:$C$161,2,0),0)</f>
        <v>0</v>
      </c>
      <c r="W59" s="94" t="str">
        <f>IFERROR(VLOOKUP($B59,S6M10!$A$1:$B$160,2,0),"0")</f>
        <v>0</v>
      </c>
      <c r="X59" s="95">
        <f>IFERROR(VLOOKUP(W59,S6M10!$B$1:$C$161,2,0),0)</f>
        <v>0</v>
      </c>
      <c r="Y59" s="94" t="str">
        <f>IFERROR(VLOOKUP($B59,S6M11!$A$1:$B$160,2,0),"0")</f>
        <v>0</v>
      </c>
      <c r="Z59" s="95">
        <f>IFERROR(VLOOKUP(Y59,S6M11!$B$1:$C$161,2,0),0)</f>
        <v>0</v>
      </c>
      <c r="AA59" s="95">
        <f>IFERROR(VLOOKUP(E59,S6M1!$B$1:$C$161,2,0),0)</f>
        <v>818.9541531</v>
      </c>
      <c r="AB59" s="95">
        <f>IFERROR(VLOOKUP(G59,S6M2!$B$1:$C$161,2,0),0)</f>
        <v>75.65597229</v>
      </c>
      <c r="AC59" s="95">
        <f>IFERROR(VLOOKUP(I59,S6M3!$B$1:$C$161,2,0),0)</f>
        <v>0</v>
      </c>
      <c r="AD59" s="95">
        <f>IFERROR(VLOOKUP(K59,S6M4!$B$1:$C$161,2,0),0)</f>
        <v>0</v>
      </c>
      <c r="AE59" s="95">
        <f>IFERROR(VLOOKUP(M59,S6M5!$B$1:$C$161,2,0),0)</f>
        <v>642.0177454</v>
      </c>
      <c r="AF59" s="95">
        <f>IFERROR(VLOOKUP(O59,S6M6!$B$1:$C$161,2,0),0)</f>
        <v>295.1151786</v>
      </c>
      <c r="AG59" s="95">
        <f>IFERROR(VLOOKUP(Q59,S6M7!$B$1:$C$161,2,0),0)</f>
        <v>867.1469198</v>
      </c>
      <c r="AH59" s="95">
        <f>IFERROR(VLOOKUP(S59,S6M8!$B$1:$C$161,2,0),0)</f>
        <v>29.36155134</v>
      </c>
      <c r="AI59" s="95">
        <f>IFERROR(VLOOKUP(U59,S6M9!$B$1:$C$161,2,0),0)</f>
        <v>0</v>
      </c>
      <c r="AJ59" s="95">
        <f>IFERROR(VLOOKUP(W59,S6M10!$B$1:$C$161,2,0),0)</f>
        <v>0</v>
      </c>
      <c r="AK59" s="95">
        <f>IFERROR(VLOOKUP(Y59,S6M11!$B$1:$C$161,2,0),0)</f>
        <v>0</v>
      </c>
    </row>
    <row r="60" ht="15.75" customHeight="1">
      <c r="A60" s="92">
        <v>59.0</v>
      </c>
      <c r="B60" s="100" t="s">
        <v>87</v>
      </c>
      <c r="C60" s="93">
        <f t="shared" si="1"/>
        <v>2570.660011</v>
      </c>
      <c r="D60" s="93"/>
      <c r="E60" s="94" t="str">
        <f>IFERROR(VLOOKUP($B60,S6M1!$A$1:$B$160,2,0),"0")</f>
        <v>0</v>
      </c>
      <c r="F60" s="95">
        <f>IFERROR(VLOOKUP(E60,S6M1!$B$1:$C$161,2,0),0)</f>
        <v>0</v>
      </c>
      <c r="G60" s="94" t="str">
        <f>IFERROR(VLOOKUP($B60,S6M2!$A$1:$B$160,2,0),"0")</f>
        <v>0</v>
      </c>
      <c r="H60" s="95">
        <f>IFERROR(VLOOKUP(G60,S6M2!$B$1:$C$161,2,0),0)</f>
        <v>0</v>
      </c>
      <c r="I60" s="94">
        <f>IFERROR(VLOOKUP($B60,S6M3!$A$1:$B$161,2,0),0)</f>
        <v>7</v>
      </c>
      <c r="J60" s="95">
        <f>IFERROR(VLOOKUP(I60,S6M3!$B$1:$C$161,2,0),0)</f>
        <v>1280.361175</v>
      </c>
      <c r="K60" s="94" t="str">
        <f>IFERROR(VLOOKUP($B60,S6M4!$A$1:$B$160,2,0),"0")</f>
        <v>0</v>
      </c>
      <c r="L60" s="95">
        <f>IFERROR(VLOOKUP(K60,S6M4!$B$1:$C$161,2,0),0)</f>
        <v>0</v>
      </c>
      <c r="M60" s="94">
        <f>IFERROR(VLOOKUP($B60,S6M5!$A$1:$B$160,2,0),"0")</f>
        <v>36</v>
      </c>
      <c r="N60" s="95">
        <f>IFERROR(VLOOKUP(M60,S6M5!$B$1:$C$161,2,0),0)</f>
        <v>352.8606169</v>
      </c>
      <c r="O60" s="94">
        <f>IFERROR(VLOOKUP($B60,S6M6!$A$1:$B$160,2,0),"0")</f>
        <v>15</v>
      </c>
      <c r="P60" s="95">
        <f>IFERROR(VLOOKUP(O60,S6M6!$B$1:$C$161,2,0),0)</f>
        <v>937.438219</v>
      </c>
      <c r="Q60" s="94" t="str">
        <f>IFERROR(VLOOKUP($B60,S6M7!$A$1:$B$160,2,0),"0")</f>
        <v>0</v>
      </c>
      <c r="R60" s="95">
        <f>IFERROR(VLOOKUP(Q60,S6M7!$B$1:$C$161,2,0),0)</f>
        <v>0</v>
      </c>
      <c r="S60" s="94" t="str">
        <f>IFERROR(VLOOKUP($B60,S6M8!$A$1:$B$160,2,0),"0")</f>
        <v>0</v>
      </c>
      <c r="T60" s="95">
        <f>IFERROR(VLOOKUP(S60,S6M8!$B$1:$C$161,2,0),0)</f>
        <v>0</v>
      </c>
      <c r="U60" s="94" t="str">
        <f>IFERROR(VLOOKUP($B60,S6M9!$A$1:$B$160,2,0),"0")</f>
        <v>0</v>
      </c>
      <c r="V60" s="95">
        <f>IFERROR(VLOOKUP(U60,S6M9!$B$1:$C$161,2,0),0)</f>
        <v>0</v>
      </c>
      <c r="W60" s="94" t="str">
        <f>IFERROR(VLOOKUP($B60,S6M10!$A$1:$B$160,2,0),"0")</f>
        <v>0</v>
      </c>
      <c r="X60" s="95">
        <f>IFERROR(VLOOKUP(W60,S6M10!$B$1:$C$161,2,0),0)</f>
        <v>0</v>
      </c>
      <c r="Y60" s="94" t="str">
        <f>IFERROR(VLOOKUP($B60,S6M11!$A$1:$B$160,2,0),"0")</f>
        <v>0</v>
      </c>
      <c r="Z60" s="95">
        <f>IFERROR(VLOOKUP(Y60,S6M11!$B$1:$C$161,2,0),0)</f>
        <v>0</v>
      </c>
      <c r="AA60" s="97">
        <f>IFERROR(VLOOKUP(E60,S6M1!$B$1:$C$161,2,0),0)</f>
        <v>0</v>
      </c>
      <c r="AB60" s="97">
        <f>IFERROR(VLOOKUP(G60,S6M2!$B$1:$C$161,2,0),0)</f>
        <v>0</v>
      </c>
      <c r="AC60" s="97">
        <f>IFERROR(VLOOKUP(I60,S6M3!$B$1:$C$161,2,0),0)</f>
        <v>1280.361175</v>
      </c>
      <c r="AD60" s="97">
        <f>IFERROR(VLOOKUP(K60,S6M4!$B$1:$C$161,2,0),0)</f>
        <v>0</v>
      </c>
      <c r="AE60" s="97">
        <f>IFERROR(VLOOKUP(M60,S6M5!$B$1:$C$161,2,0),0)</f>
        <v>352.8606169</v>
      </c>
      <c r="AF60" s="97">
        <f>IFERROR(VLOOKUP(O60,S6M6!$B$1:$C$161,2,0),0)</f>
        <v>937.438219</v>
      </c>
      <c r="AG60" s="97">
        <f>IFERROR(VLOOKUP(Q60,S6M7!$B$1:$C$161,2,0),0)</f>
        <v>0</v>
      </c>
      <c r="AH60" s="97">
        <f>IFERROR(VLOOKUP(S60,S6M8!$B$1:$C$161,2,0),0)</f>
        <v>0</v>
      </c>
      <c r="AI60" s="97">
        <f>IFERROR(VLOOKUP(U60,S6M9!$B$1:$C$161,2,0),0)</f>
        <v>0</v>
      </c>
      <c r="AJ60" s="97">
        <f>IFERROR(VLOOKUP(W60,S6M10!$B$1:$C$161,2,0),0)</f>
        <v>0</v>
      </c>
      <c r="AK60" s="97">
        <f>IFERROR(VLOOKUP(Y60,S6M11!$B$1:$C$161,2,0),0)</f>
        <v>0</v>
      </c>
    </row>
    <row r="61" ht="15.75" customHeight="1">
      <c r="A61" s="92">
        <v>60.0</v>
      </c>
      <c r="B61" s="98" t="s">
        <v>76</v>
      </c>
      <c r="C61" s="93">
        <f t="shared" si="1"/>
        <v>2548.447431</v>
      </c>
      <c r="D61" s="93"/>
      <c r="E61" s="94" t="str">
        <f>IFERROR(VLOOKUP($B61,S6M1!$A$1:$B$160,2,0),"0")</f>
        <v>0</v>
      </c>
      <c r="F61" s="95">
        <f>IFERROR(VLOOKUP(E61,S6M1!$B$1:$C$161,2,0),0)</f>
        <v>0</v>
      </c>
      <c r="G61" s="94">
        <f>IFERROR(VLOOKUP($B61,S6M2!$A$1:$B$160,2,0),"0")</f>
        <v>20</v>
      </c>
      <c r="H61" s="95">
        <f>IFERROR(VLOOKUP(G61,S6M2!$B$1:$C$161,2,0),0)</f>
        <v>743.6352778</v>
      </c>
      <c r="I61" s="94">
        <f>IFERROR(VLOOKUP($B61,S6M3!$A$1:$B$161,2,0),0)</f>
        <v>29</v>
      </c>
      <c r="J61" s="95">
        <f>IFERROR(VLOOKUP(I61,S6M3!$B$1:$C$161,2,0),0)</f>
        <v>584.051057</v>
      </c>
      <c r="K61" s="94">
        <f>IFERROR(VLOOKUP($B61,S6M4!$A$1:$B$160,2,0),"0")</f>
        <v>31</v>
      </c>
      <c r="L61" s="95">
        <f>IFERROR(VLOOKUP(K61,S6M4!$B$1:$C$161,2,0),0)</f>
        <v>512.4596271</v>
      </c>
      <c r="M61" s="94" t="str">
        <f>IFERROR(VLOOKUP($B61,S6M5!$A$1:$B$160,2,0),"0")</f>
        <v>0</v>
      </c>
      <c r="N61" s="95">
        <f>IFERROR(VLOOKUP(M61,S6M5!$B$1:$C$161,2,0),0)</f>
        <v>0</v>
      </c>
      <c r="O61" s="94" t="str">
        <f>IFERROR(VLOOKUP($B61,S6M6!$A$1:$B$160,2,0),"0")</f>
        <v>0</v>
      </c>
      <c r="P61" s="95">
        <f>IFERROR(VLOOKUP(O61,S6M6!$B$1:$C$161,2,0),0)</f>
        <v>0</v>
      </c>
      <c r="Q61" s="94" t="str">
        <f>IFERROR(VLOOKUP($B61,S6M7!$A$1:$B$160,2,0),"0")</f>
        <v>0</v>
      </c>
      <c r="R61" s="95">
        <f>IFERROR(VLOOKUP(Q61,S6M7!$B$1:$C$161,2,0),0)</f>
        <v>0</v>
      </c>
      <c r="S61" s="94" t="str">
        <f>IFERROR(VLOOKUP($B61,S6M8!$A$1:$B$160,2,0),"0")</f>
        <v>0</v>
      </c>
      <c r="T61" s="95">
        <f>IFERROR(VLOOKUP(S61,S6M8!$B$1:$C$161,2,0),0)</f>
        <v>0</v>
      </c>
      <c r="U61" s="94" t="str">
        <f>IFERROR(VLOOKUP($B61,S6M9!$A$1:$B$160,2,0),"0")</f>
        <v>0</v>
      </c>
      <c r="V61" s="95">
        <f>IFERROR(VLOOKUP(U61,S6M9!$B$1:$C$161,2,0),0)</f>
        <v>0</v>
      </c>
      <c r="W61" s="94">
        <f>IFERROR(VLOOKUP($B61,S6M10!$A$1:$B$160,2,0),"0")</f>
        <v>34</v>
      </c>
      <c r="X61" s="95">
        <f>IFERROR(VLOOKUP(W61,S6M10!$B$1:$C$161,2,0),0)</f>
        <v>268.3270505</v>
      </c>
      <c r="Y61" s="94">
        <f>IFERROR(VLOOKUP($B61,S6M11!$A$1:$B$160,2,0),"0")</f>
        <v>26</v>
      </c>
      <c r="Z61" s="95">
        <f>IFERROR(VLOOKUP(Y61,S6M11!$B$1:$C$161,2,0),0)</f>
        <v>439.9744185</v>
      </c>
      <c r="AA61" s="95">
        <f>IFERROR(VLOOKUP(E61,S6M1!$B$1:$C$161,2,0),0)</f>
        <v>0</v>
      </c>
      <c r="AB61" s="95">
        <f>IFERROR(VLOOKUP(G61,S6M2!$B$1:$C$161,2,0),0)</f>
        <v>743.6352778</v>
      </c>
      <c r="AC61" s="95">
        <f>IFERROR(VLOOKUP(I61,S6M3!$B$1:$C$161,2,0),0)</f>
        <v>584.051057</v>
      </c>
      <c r="AD61" s="95">
        <f>IFERROR(VLOOKUP(K61,S6M4!$B$1:$C$161,2,0),0)</f>
        <v>512.4596271</v>
      </c>
      <c r="AE61" s="95">
        <f>IFERROR(VLOOKUP(M61,S6M5!$B$1:$C$161,2,0),0)</f>
        <v>0</v>
      </c>
      <c r="AF61" s="95">
        <f>IFERROR(VLOOKUP(O61,S6M6!$B$1:$C$161,2,0),0)</f>
        <v>0</v>
      </c>
      <c r="AG61" s="95">
        <f>IFERROR(VLOOKUP(Q61,S6M7!$B$1:$C$161,2,0),0)</f>
        <v>0</v>
      </c>
      <c r="AH61" s="95">
        <f>IFERROR(VLOOKUP(S61,S6M8!$B$1:$C$161,2,0),0)</f>
        <v>0</v>
      </c>
      <c r="AI61" s="95">
        <f>IFERROR(VLOOKUP(U61,S6M9!$B$1:$C$161,2,0),0)</f>
        <v>0</v>
      </c>
      <c r="AJ61" s="95">
        <f>IFERROR(VLOOKUP(W61,S6M10!$B$1:$C$161,2,0),0)</f>
        <v>268.3270505</v>
      </c>
      <c r="AK61" s="95">
        <f>IFERROR(VLOOKUP(Y61,S6M11!$B$1:$C$161,2,0),0)</f>
        <v>439.9744185</v>
      </c>
    </row>
    <row r="62" ht="15.75" customHeight="1">
      <c r="A62" s="92">
        <v>61.0</v>
      </c>
      <c r="B62" s="24" t="s">
        <v>50</v>
      </c>
      <c r="C62" s="93">
        <f t="shared" si="1"/>
        <v>2511.235219</v>
      </c>
      <c r="D62" s="93"/>
      <c r="E62" s="94" t="str">
        <f>IFERROR(VLOOKUP($B62,S6M1!$A$1:$B$160,2,0),"0")</f>
        <v>0</v>
      </c>
      <c r="F62" s="95">
        <f>IFERROR(VLOOKUP(E62,S6M1!$B$1:$C$161,2,0),0)</f>
        <v>0</v>
      </c>
      <c r="G62" s="94" t="str">
        <f>IFERROR(VLOOKUP($B62,S6M2!$A$1:$B$160,2,0),"0")</f>
        <v>0</v>
      </c>
      <c r="H62" s="95">
        <f>IFERROR(VLOOKUP(G62,S6M2!$B$1:$C$161,2,0),0)</f>
        <v>0</v>
      </c>
      <c r="I62" s="94">
        <f>IFERROR(VLOOKUP($B62,S6M3!$A$1:$B$161,2,0),0)</f>
        <v>0</v>
      </c>
      <c r="J62" s="95">
        <f>IFERROR(VLOOKUP(I62,S6M3!$B$1:$C$161,2,0),0)</f>
        <v>0</v>
      </c>
      <c r="K62" s="94">
        <f>IFERROR(VLOOKUP($B62,S6M4!$A$1:$B$160,2,0),"0")</f>
        <v>30</v>
      </c>
      <c r="L62" s="95">
        <f>IFERROR(VLOOKUP(K62,S6M4!$B$1:$C$161,2,0),0)</f>
        <v>531.4399792</v>
      </c>
      <c r="M62" s="94" t="str">
        <f>IFERROR(VLOOKUP($B62,S6M5!$A$1:$B$160,2,0),"0")</f>
        <v>0</v>
      </c>
      <c r="N62" s="95">
        <f>IFERROR(VLOOKUP(M62,S6M5!$B$1:$C$161,2,0),0)</f>
        <v>0</v>
      </c>
      <c r="O62" s="94">
        <f>IFERROR(VLOOKUP($B62,S6M6!$A$1:$B$160,2,0),"0")</f>
        <v>18</v>
      </c>
      <c r="P62" s="95">
        <f>IFERROR(VLOOKUP(O62,S6M6!$B$1:$C$161,2,0),0)</f>
        <v>848.5281374</v>
      </c>
      <c r="Q62" s="94">
        <f>IFERROR(VLOOKUP($B62,S6M7!$A$1:$B$160,2,0),"0")</f>
        <v>27</v>
      </c>
      <c r="R62" s="95">
        <f>IFERROR(VLOOKUP(Q62,S6M7!$B$1:$C$161,2,0),0)</f>
        <v>475.682846</v>
      </c>
      <c r="S62" s="94">
        <f>IFERROR(VLOOKUP($B62,S6M8!$A$1:$B$160,2,0),"0")</f>
        <v>20</v>
      </c>
      <c r="T62" s="95">
        <f>IFERROR(VLOOKUP(S62,S6M8!$B$1:$C$161,2,0),0)</f>
        <v>655.5842559</v>
      </c>
      <c r="U62" s="94" t="str">
        <f>IFERROR(VLOOKUP($B62,S6M9!$A$1:$B$160,2,0),"0")</f>
        <v>0</v>
      </c>
      <c r="V62" s="95">
        <f>IFERROR(VLOOKUP(U62,S6M9!$B$1:$C$161,2,0),0)</f>
        <v>0</v>
      </c>
      <c r="W62" s="94" t="str">
        <f>IFERROR(VLOOKUP($B62,S6M10!$A$1:$B$160,2,0),"0")</f>
        <v>0</v>
      </c>
      <c r="X62" s="95">
        <f>IFERROR(VLOOKUP(W62,S6M10!$B$1:$C$161,2,0),0)</f>
        <v>0</v>
      </c>
      <c r="Y62" s="94" t="str">
        <f>IFERROR(VLOOKUP($B62,S6M11!$A$1:$B$160,2,0),"0")</f>
        <v>0</v>
      </c>
      <c r="Z62" s="95">
        <f>IFERROR(VLOOKUP(Y62,S6M11!$B$1:$C$161,2,0),0)</f>
        <v>0</v>
      </c>
      <c r="AA62" s="97">
        <f>IFERROR(VLOOKUP(E62,S6M1!$B$1:$C$161,2,0),0)</f>
        <v>0</v>
      </c>
      <c r="AB62" s="97">
        <f>IFERROR(VLOOKUP(G62,S6M2!$B$1:$C$161,2,0),0)</f>
        <v>0</v>
      </c>
      <c r="AC62" s="97">
        <f>IFERROR(VLOOKUP(I62,S6M3!$B$1:$C$161,2,0),0)</f>
        <v>0</v>
      </c>
      <c r="AD62" s="97">
        <f>IFERROR(VLOOKUP(K62,S6M4!$B$1:$C$161,2,0),0)</f>
        <v>531.4399792</v>
      </c>
      <c r="AE62" s="97">
        <f>IFERROR(VLOOKUP(M62,S6M5!$B$1:$C$161,2,0),0)</f>
        <v>0</v>
      </c>
      <c r="AF62" s="97">
        <f>IFERROR(VLOOKUP(O62,S6M6!$B$1:$C$161,2,0),0)</f>
        <v>848.5281374</v>
      </c>
      <c r="AG62" s="97">
        <f>IFERROR(VLOOKUP(Q62,S6M7!$B$1:$C$161,2,0),0)</f>
        <v>475.682846</v>
      </c>
      <c r="AH62" s="97">
        <f>IFERROR(VLOOKUP(S62,S6M8!$B$1:$C$161,2,0),0)</f>
        <v>655.5842559</v>
      </c>
      <c r="AI62" s="97">
        <f>IFERROR(VLOOKUP(U62,S6M9!$B$1:$C$161,2,0),0)</f>
        <v>0</v>
      </c>
      <c r="AJ62" s="97">
        <f>IFERROR(VLOOKUP(W62,S6M10!$B$1:$C$161,2,0),0)</f>
        <v>0</v>
      </c>
      <c r="AK62" s="97">
        <f>IFERROR(VLOOKUP(Y62,S6M11!$B$1:$C$161,2,0),0)</f>
        <v>0</v>
      </c>
    </row>
    <row r="63" ht="15.75" customHeight="1">
      <c r="A63" s="92">
        <v>62.0</v>
      </c>
      <c r="B63" s="6" t="s">
        <v>62</v>
      </c>
      <c r="C63" s="93">
        <f t="shared" si="1"/>
        <v>2480.477801</v>
      </c>
      <c r="D63" s="93"/>
      <c r="E63" s="94">
        <f>IFERROR(VLOOKUP($B63,S6M1!$A$1:$B$160,2,0),"0")</f>
        <v>33</v>
      </c>
      <c r="F63" s="95">
        <f>IFERROR(VLOOKUP(E63,S6M1!$B$1:$C$161,2,0),0)</f>
        <v>288.3596068</v>
      </c>
      <c r="G63" s="94">
        <f>IFERROR(VLOOKUP($B63,S6M2!$A$1:$B$160,2,0),"0")</f>
        <v>62</v>
      </c>
      <c r="H63" s="95">
        <f>IFERROR(VLOOKUP(G63,S6M2!$B$1:$C$161,2,0),0)</f>
        <v>37.36184392</v>
      </c>
      <c r="I63" s="94">
        <f>IFERROR(VLOOKUP($B63,S6M3!$A$1:$B$161,2,0),0)</f>
        <v>0</v>
      </c>
      <c r="J63" s="95">
        <f>IFERROR(VLOOKUP(I63,S6M3!$B$1:$C$161,2,0),0)</f>
        <v>0</v>
      </c>
      <c r="K63" s="94">
        <f>IFERROR(VLOOKUP($B63,S6M4!$A$1:$B$160,2,0),"0")</f>
        <v>57</v>
      </c>
      <c r="L63" s="95">
        <f>IFERROR(VLOOKUP(K63,S6M4!$B$1:$C$161,2,0),0)</f>
        <v>113.1633592</v>
      </c>
      <c r="M63" s="94">
        <f>IFERROR(VLOOKUP($B63,S6M5!$A$1:$B$160,2,0),"0")</f>
        <v>16</v>
      </c>
      <c r="N63" s="95">
        <f>IFERROR(VLOOKUP(M63,S6M5!$B$1:$C$161,2,0),0)</f>
        <v>807.9592143</v>
      </c>
      <c r="O63" s="94" t="str">
        <f>IFERROR(VLOOKUP($B63,S6M6!$A$1:$B$160,2,0),"0")</f>
        <v>0</v>
      </c>
      <c r="P63" s="95">
        <f>IFERROR(VLOOKUP(O63,S6M6!$B$1:$C$161,2,0),0)</f>
        <v>0</v>
      </c>
      <c r="Q63" s="94" t="str">
        <f>IFERROR(VLOOKUP($B63,S6M7!$A$1:$B$160,2,0),"0")</f>
        <v>0</v>
      </c>
      <c r="R63" s="95">
        <f>IFERROR(VLOOKUP(Q63,S6M7!$B$1:$C$161,2,0),0)</f>
        <v>0</v>
      </c>
      <c r="S63" s="94" t="str">
        <f>IFERROR(VLOOKUP($B63,S6M8!$A$1:$B$160,2,0),"0")</f>
        <v>0</v>
      </c>
      <c r="T63" s="95">
        <f>IFERROR(VLOOKUP(S63,S6M8!$B$1:$C$161,2,0),0)</f>
        <v>0</v>
      </c>
      <c r="U63" s="94">
        <f>IFERROR(VLOOKUP($B63,S6M9!$A$1:$B$160,2,0),"0")</f>
        <v>49</v>
      </c>
      <c r="V63" s="95">
        <f>IFERROR(VLOOKUP(U63,S6M9!$B$1:$C$161,2,0),0)</f>
        <v>46.84461931</v>
      </c>
      <c r="W63" s="94" t="str">
        <f>IFERROR(VLOOKUP($B63,S6M10!$A$1:$B$160,2,0),"0")</f>
        <v>0</v>
      </c>
      <c r="X63" s="95">
        <f>IFERROR(VLOOKUP(W63,S6M10!$B$1:$C$161,2,0),0)</f>
        <v>0</v>
      </c>
      <c r="Y63" s="94">
        <f>IFERROR(VLOOKUP($B63,S6M11!$A$1:$B$160,2,0),"0")</f>
        <v>6</v>
      </c>
      <c r="Z63" s="95">
        <f>IFERROR(VLOOKUP(Y63,S6M11!$B$1:$C$161,2,0),0)</f>
        <v>1186.789158</v>
      </c>
      <c r="AA63" s="95">
        <f>IFERROR(VLOOKUP(E63,S6M1!$B$1:$C$161,2,0),0)</f>
        <v>288.3596068</v>
      </c>
      <c r="AB63" s="95">
        <f>IFERROR(VLOOKUP(G63,S6M2!$B$1:$C$161,2,0),0)</f>
        <v>37.36184392</v>
      </c>
      <c r="AC63" s="95">
        <f>IFERROR(VLOOKUP(I63,S6M3!$B$1:$C$161,2,0),0)</f>
        <v>0</v>
      </c>
      <c r="AD63" s="95">
        <f>IFERROR(VLOOKUP(K63,S6M4!$B$1:$C$161,2,0),0)</f>
        <v>113.1633592</v>
      </c>
      <c r="AE63" s="95">
        <f>IFERROR(VLOOKUP(M63,S6M5!$B$1:$C$161,2,0),0)</f>
        <v>807.9592143</v>
      </c>
      <c r="AF63" s="95">
        <f>IFERROR(VLOOKUP(O63,S6M6!$B$1:$C$161,2,0),0)</f>
        <v>0</v>
      </c>
      <c r="AG63" s="95">
        <f>IFERROR(VLOOKUP(Q63,S6M7!$B$1:$C$161,2,0),0)</f>
        <v>0</v>
      </c>
      <c r="AH63" s="95">
        <f>IFERROR(VLOOKUP(S63,S6M8!$B$1:$C$161,2,0),0)</f>
        <v>0</v>
      </c>
      <c r="AI63" s="95">
        <f>IFERROR(VLOOKUP(U63,S6M9!$B$1:$C$161,2,0),0)</f>
        <v>46.84461931</v>
      </c>
      <c r="AJ63" s="95">
        <f>IFERROR(VLOOKUP(W63,S6M10!$B$1:$C$161,2,0),0)</f>
        <v>0</v>
      </c>
      <c r="AK63" s="95">
        <f>IFERROR(VLOOKUP(Y63,S6M11!$B$1:$C$161,2,0),0)</f>
        <v>1186.789158</v>
      </c>
    </row>
    <row r="64" ht="15.75" customHeight="1">
      <c r="A64" s="92">
        <v>63.0</v>
      </c>
      <c r="B64" s="6" t="s">
        <v>64</v>
      </c>
      <c r="C64" s="93">
        <f t="shared" si="1"/>
        <v>2424.499814</v>
      </c>
      <c r="D64" s="93"/>
      <c r="E64" s="94">
        <f>IFERROR(VLOOKUP($B64,S6M1!$A$1:$B$160,2,0),"0")</f>
        <v>30</v>
      </c>
      <c r="F64" s="95">
        <f>IFERROR(VLOOKUP(E64,S6M1!$B$1:$C$161,2,0),0)</f>
        <v>350.6842121</v>
      </c>
      <c r="G64" s="94">
        <f>IFERROR(VLOOKUP($B64,S6M2!$A$1:$B$160,2,0),"0")</f>
        <v>39</v>
      </c>
      <c r="H64" s="95">
        <f>IFERROR(VLOOKUP(G64,S6M2!$B$1:$C$161,2,0),0)</f>
        <v>363.5901973</v>
      </c>
      <c r="I64" s="94">
        <f>IFERROR(VLOOKUP($B64,S6M3!$A$1:$B$161,2,0),0)</f>
        <v>48</v>
      </c>
      <c r="J64" s="95">
        <f>IFERROR(VLOOKUP(I64,S6M3!$B$1:$C$161,2,0),0)</f>
        <v>276.2986917</v>
      </c>
      <c r="K64" s="94">
        <f>IFERROR(VLOOKUP($B64,S6M4!$A$1:$B$160,2,0),"0")</f>
        <v>27</v>
      </c>
      <c r="L64" s="95">
        <f>IFERROR(VLOOKUP(K64,S6M4!$B$1:$C$161,2,0),0)</f>
        <v>591.0928436</v>
      </c>
      <c r="M64" s="94" t="str">
        <f>IFERROR(VLOOKUP($B64,S6M5!$A$1:$B$160,2,0),"0")</f>
        <v>0</v>
      </c>
      <c r="N64" s="95">
        <f>IFERROR(VLOOKUP(M64,S6M5!$B$1:$C$161,2,0),0)</f>
        <v>0</v>
      </c>
      <c r="O64" s="94">
        <f>IFERROR(VLOOKUP($B64,S6M6!$A$1:$B$160,2,0),"0")</f>
        <v>65</v>
      </c>
      <c r="P64" s="95">
        <f>IFERROR(VLOOKUP(O64,S6M6!$B$1:$C$161,2,0),0)</f>
        <v>79.79217723</v>
      </c>
      <c r="Q64" s="94">
        <f>IFERROR(VLOOKUP($B64,S6M7!$A$1:$B$160,2,0),"0")</f>
        <v>16</v>
      </c>
      <c r="R64" s="95">
        <f>IFERROR(VLOOKUP(Q64,S6M7!$B$1:$C$161,2,0),0)</f>
        <v>763.0416919</v>
      </c>
      <c r="S64" s="94" t="str">
        <f>IFERROR(VLOOKUP($B64,S6M8!$A$1:$B$160,2,0),"0")</f>
        <v>0</v>
      </c>
      <c r="T64" s="95">
        <f>IFERROR(VLOOKUP(S64,S6M8!$B$1:$C$161,2,0),0)</f>
        <v>0</v>
      </c>
      <c r="U64" s="94" t="str">
        <f>IFERROR(VLOOKUP($B64,S6M9!$A$1:$B$160,2,0),"0")</f>
        <v>0</v>
      </c>
      <c r="V64" s="95">
        <f>IFERROR(VLOOKUP(U64,S6M9!$B$1:$C$161,2,0),0)</f>
        <v>0</v>
      </c>
      <c r="W64" s="94" t="str">
        <f>IFERROR(VLOOKUP($B64,S6M10!$A$1:$B$160,2,0),"0")</f>
        <v>0</v>
      </c>
      <c r="X64" s="95">
        <f>IFERROR(VLOOKUP(W64,S6M10!$B$1:$C$161,2,0),0)</f>
        <v>0</v>
      </c>
      <c r="Y64" s="94" t="str">
        <f>IFERROR(VLOOKUP($B64,S6M11!$A$1:$B$160,2,0),"0")</f>
        <v>0</v>
      </c>
      <c r="Z64" s="95">
        <f>IFERROR(VLOOKUP(Y64,S6M11!$B$1:$C$161,2,0),0)</f>
        <v>0</v>
      </c>
      <c r="AA64" s="95">
        <f>IFERROR(VLOOKUP(E64,S6M1!$B$1:$C$161,2,0),0)</f>
        <v>350.6842121</v>
      </c>
      <c r="AB64" s="95">
        <f>IFERROR(VLOOKUP(G64,S6M2!$B$1:$C$161,2,0),0)</f>
        <v>363.5901973</v>
      </c>
      <c r="AC64" s="95">
        <f>IFERROR(VLOOKUP(I64,S6M3!$B$1:$C$161,2,0),0)</f>
        <v>276.2986917</v>
      </c>
      <c r="AD64" s="95">
        <f>IFERROR(VLOOKUP(K64,S6M4!$B$1:$C$161,2,0),0)</f>
        <v>591.0928436</v>
      </c>
      <c r="AE64" s="95">
        <f>IFERROR(VLOOKUP(M64,S6M5!$B$1:$C$161,2,0),0)</f>
        <v>0</v>
      </c>
      <c r="AF64" s="95">
        <f>IFERROR(VLOOKUP(O64,S6M6!$B$1:$C$161,2,0),0)</f>
        <v>79.79217723</v>
      </c>
      <c r="AG64" s="95">
        <f>IFERROR(VLOOKUP(Q64,S6M7!$B$1:$C$161,2,0),0)</f>
        <v>763.0416919</v>
      </c>
      <c r="AH64" s="95">
        <f>IFERROR(VLOOKUP(S64,S6M8!$B$1:$C$161,2,0),0)</f>
        <v>0</v>
      </c>
      <c r="AI64" s="95">
        <f>IFERROR(VLOOKUP(U64,S6M9!$B$1:$C$161,2,0),0)</f>
        <v>0</v>
      </c>
      <c r="AJ64" s="95">
        <f>IFERROR(VLOOKUP(W64,S6M10!$B$1:$C$161,2,0),0)</f>
        <v>0</v>
      </c>
      <c r="AK64" s="95">
        <f>IFERROR(VLOOKUP(Y64,S6M11!$B$1:$C$161,2,0),0)</f>
        <v>0</v>
      </c>
    </row>
    <row r="65" ht="15.75" customHeight="1">
      <c r="A65" s="92">
        <v>64.0</v>
      </c>
      <c r="B65" s="102" t="s">
        <v>81</v>
      </c>
      <c r="C65" s="93">
        <f t="shared" si="1"/>
        <v>2396.028614</v>
      </c>
      <c r="D65" s="93"/>
      <c r="E65" s="94" t="str">
        <f>IFERROR(VLOOKUP($B65,S6M1!$A$1:$B$160,2,0),"0")</f>
        <v>0</v>
      </c>
      <c r="F65" s="95">
        <f>IFERROR(VLOOKUP(E65,S6M1!$B$1:$C$161,2,0),0)</f>
        <v>0</v>
      </c>
      <c r="G65" s="94" t="str">
        <f>IFERROR(VLOOKUP($B65,S6M2!$A$1:$B$160,2,0),"0")</f>
        <v>0</v>
      </c>
      <c r="H65" s="95">
        <f>IFERROR(VLOOKUP(G65,S6M2!$B$1:$C$161,2,0),0)</f>
        <v>0</v>
      </c>
      <c r="I65" s="94">
        <f>IFERROR(VLOOKUP($B65,S6M3!$A$1:$B$161,2,0),0)</f>
        <v>58</v>
      </c>
      <c r="J65" s="95">
        <f>IFERROR(VLOOKUP(I65,S6M3!$B$1:$C$161,2,0),0)</f>
        <v>143.7443239</v>
      </c>
      <c r="K65" s="94">
        <f>IFERROR(VLOOKUP($B65,S6M4!$A$1:$B$160,2,0),"0")</f>
        <v>14</v>
      </c>
      <c r="L65" s="95">
        <f>IFERROR(VLOOKUP(K65,S6M4!$B$1:$C$161,2,0),0)</f>
        <v>928.759716</v>
      </c>
      <c r="M65" s="94">
        <f>IFERROR(VLOOKUP($B65,S6M5!$A$1:$B$160,2,0),"0")</f>
        <v>38</v>
      </c>
      <c r="N65" s="95">
        <f>IFERROR(VLOOKUP(M65,S6M5!$B$1:$C$161,2,0),0)</f>
        <v>317.8515794</v>
      </c>
      <c r="O65" s="94">
        <f>IFERROR(VLOOKUP($B65,S6M6!$A$1:$B$160,2,0),"0")</f>
        <v>13</v>
      </c>
      <c r="P65" s="95">
        <f>IFERROR(VLOOKUP(O65,S6M6!$B$1:$C$161,2,0),0)</f>
        <v>1005.672995</v>
      </c>
      <c r="Q65" s="94" t="str">
        <f>IFERROR(VLOOKUP($B65,S6M7!$A$1:$B$160,2,0),"0")</f>
        <v>0</v>
      </c>
      <c r="R65" s="95">
        <f>IFERROR(VLOOKUP(Q65,S6M7!$B$1:$C$161,2,0),0)</f>
        <v>0</v>
      </c>
      <c r="S65" s="94" t="str">
        <f>IFERROR(VLOOKUP($B65,S6M8!$A$1:$B$160,2,0),"0")</f>
        <v>0</v>
      </c>
      <c r="T65" s="95">
        <f>IFERROR(VLOOKUP(S65,S6M8!$B$1:$C$161,2,0),0)</f>
        <v>0</v>
      </c>
      <c r="U65" s="94" t="str">
        <f>IFERROR(VLOOKUP($B65,S6M9!$A$1:$B$160,2,0),"0")</f>
        <v>0</v>
      </c>
      <c r="V65" s="95">
        <f>IFERROR(VLOOKUP(U65,S6M9!$B$1:$C$161,2,0),0)</f>
        <v>0</v>
      </c>
      <c r="W65" s="94" t="str">
        <f>IFERROR(VLOOKUP($B65,S6M10!$A$1:$B$160,2,0),"0")</f>
        <v>0</v>
      </c>
      <c r="X65" s="95">
        <f>IFERROR(VLOOKUP(W65,S6M10!$B$1:$C$161,2,0),0)</f>
        <v>0</v>
      </c>
      <c r="Y65" s="94" t="str">
        <f>IFERROR(VLOOKUP($B65,S6M11!$A$1:$B$160,2,0),"0")</f>
        <v>0</v>
      </c>
      <c r="Z65" s="95">
        <f>IFERROR(VLOOKUP(Y65,S6M11!$B$1:$C$161,2,0),0)</f>
        <v>0</v>
      </c>
      <c r="AA65" s="97">
        <f>IFERROR(VLOOKUP(E65,S6M1!$B$1:$C$161,2,0),0)</f>
        <v>0</v>
      </c>
      <c r="AB65" s="97">
        <f>IFERROR(VLOOKUP(G65,S6M2!$B$1:$C$161,2,0),0)</f>
        <v>0</v>
      </c>
      <c r="AC65" s="97">
        <f>IFERROR(VLOOKUP(I65,S6M3!$B$1:$C$161,2,0),0)</f>
        <v>143.7443239</v>
      </c>
      <c r="AD65" s="97">
        <f>IFERROR(VLOOKUP(K65,S6M4!$B$1:$C$161,2,0),0)</f>
        <v>928.759716</v>
      </c>
      <c r="AE65" s="97">
        <f>IFERROR(VLOOKUP(M65,S6M5!$B$1:$C$161,2,0),0)</f>
        <v>317.8515794</v>
      </c>
      <c r="AF65" s="97">
        <f>IFERROR(VLOOKUP(O65,S6M6!$B$1:$C$161,2,0),0)</f>
        <v>1005.672995</v>
      </c>
      <c r="AG65" s="97">
        <f>IFERROR(VLOOKUP(Q65,S6M7!$B$1:$C$161,2,0),0)</f>
        <v>0</v>
      </c>
      <c r="AH65" s="97">
        <f>IFERROR(VLOOKUP(S65,S6M8!$B$1:$C$161,2,0),0)</f>
        <v>0</v>
      </c>
      <c r="AI65" s="97">
        <f>IFERROR(VLOOKUP(U65,S6M9!$B$1:$C$161,2,0),0)</f>
        <v>0</v>
      </c>
      <c r="AJ65" s="97">
        <f>IFERROR(VLOOKUP(W65,S6M10!$B$1:$C$161,2,0),0)</f>
        <v>0</v>
      </c>
      <c r="AK65" s="97">
        <f>IFERROR(VLOOKUP(Y65,S6M11!$B$1:$C$161,2,0),0)</f>
        <v>0</v>
      </c>
    </row>
    <row r="66" ht="15.75" customHeight="1">
      <c r="A66" s="92">
        <v>65.0</v>
      </c>
      <c r="B66" s="6" t="s">
        <v>66</v>
      </c>
      <c r="C66" s="93">
        <f t="shared" si="1"/>
        <v>2354.341043</v>
      </c>
      <c r="D66" s="93"/>
      <c r="E66" s="94" t="str">
        <f>IFERROR(VLOOKUP($B66,S6M1!$A$1:$B$160,2,0),"0")</f>
        <v>0</v>
      </c>
      <c r="F66" s="95">
        <f>IFERROR(VLOOKUP(E66,S6M1!$B$1:$C$161,2,0),0)</f>
        <v>0</v>
      </c>
      <c r="G66" s="94" t="str">
        <f>IFERROR(VLOOKUP($B66,S6M2!$A$1:$B$160,2,0),"0")</f>
        <v>0</v>
      </c>
      <c r="H66" s="95">
        <f>IFERROR(VLOOKUP(G66,S6M2!$B$1:$C$161,2,0),0)</f>
        <v>0</v>
      </c>
      <c r="I66" s="94">
        <f>IFERROR(VLOOKUP($B66,S6M3!$A$1:$B$161,2,0),0)</f>
        <v>46</v>
      </c>
      <c r="J66" s="95">
        <f>IFERROR(VLOOKUP(I66,S6M3!$B$1:$C$161,2,0),0)</f>
        <v>304.6409218</v>
      </c>
      <c r="K66" s="94" t="str">
        <f>IFERROR(VLOOKUP($B66,S6M4!$A$1:$B$160,2,0),"0")</f>
        <v>0</v>
      </c>
      <c r="L66" s="95">
        <f>IFERROR(VLOOKUP(K66,S6M4!$B$1:$C$161,2,0),0)</f>
        <v>0</v>
      </c>
      <c r="M66" s="94" t="str">
        <f>IFERROR(VLOOKUP($B66,S6M5!$A$1:$B$160,2,0),"0")</f>
        <v>0</v>
      </c>
      <c r="N66" s="95">
        <f>IFERROR(VLOOKUP(M66,S6M5!$B$1:$C$161,2,0),0)</f>
        <v>0</v>
      </c>
      <c r="O66" s="94">
        <f>IFERROR(VLOOKUP($B66,S6M6!$A$1:$B$160,2,0),"0")</f>
        <v>34</v>
      </c>
      <c r="P66" s="95">
        <f>IFERROR(VLOOKUP(O66,S6M6!$B$1:$C$161,2,0),0)</f>
        <v>509.3361275</v>
      </c>
      <c r="Q66" s="94">
        <f>IFERROR(VLOOKUP($B66,S6M7!$A$1:$B$160,2,0),"0")</f>
        <v>34</v>
      </c>
      <c r="R66" s="95">
        <f>IFERROR(VLOOKUP(Q66,S6M7!$B$1:$C$161,2,0),0)</f>
        <v>332.6250352</v>
      </c>
      <c r="S66" s="94" t="str">
        <f>IFERROR(VLOOKUP($B66,S6M8!$A$1:$B$160,2,0),"0")</f>
        <v>0</v>
      </c>
      <c r="T66" s="95">
        <f>IFERROR(VLOOKUP(S66,S6M8!$B$1:$C$161,2,0),0)</f>
        <v>0</v>
      </c>
      <c r="U66" s="94" t="str">
        <f>IFERROR(VLOOKUP($B66,S6M9!$A$1:$B$160,2,0),"0")</f>
        <v>0</v>
      </c>
      <c r="V66" s="95">
        <f>IFERROR(VLOOKUP(U66,S6M9!$B$1:$C$161,2,0),0)</f>
        <v>0</v>
      </c>
      <c r="W66" s="94">
        <f>IFERROR(VLOOKUP($B66,S6M10!$A$1:$B$160,2,0),"0")</f>
        <v>37</v>
      </c>
      <c r="X66" s="95">
        <f>IFERROR(VLOOKUP(W66,S6M10!$B$1:$C$161,2,0),0)</f>
        <v>210.1714604</v>
      </c>
      <c r="Y66" s="94">
        <f>IFERROR(VLOOKUP($B66,S6M11!$A$1:$B$160,2,0),"0")</f>
        <v>9</v>
      </c>
      <c r="Z66" s="95">
        <f>IFERROR(VLOOKUP(Y66,S6M11!$B$1:$C$161,2,0),0)</f>
        <v>997.5674982</v>
      </c>
      <c r="AA66" s="95">
        <f>IFERROR(VLOOKUP(E66,S6M1!$B$1:$C$161,2,0),0)</f>
        <v>0</v>
      </c>
      <c r="AB66" s="95">
        <f>IFERROR(VLOOKUP(G66,S6M2!$B$1:$C$161,2,0),0)</f>
        <v>0</v>
      </c>
      <c r="AC66" s="95">
        <f>IFERROR(VLOOKUP(I66,S6M3!$B$1:$C$161,2,0),0)</f>
        <v>304.6409218</v>
      </c>
      <c r="AD66" s="95">
        <f>IFERROR(VLOOKUP(K66,S6M4!$B$1:$C$161,2,0),0)</f>
        <v>0</v>
      </c>
      <c r="AE66" s="95">
        <f>IFERROR(VLOOKUP(M66,S6M5!$B$1:$C$161,2,0),0)</f>
        <v>0</v>
      </c>
      <c r="AF66" s="95">
        <f>IFERROR(VLOOKUP(O66,S6M6!$B$1:$C$161,2,0),0)</f>
        <v>509.3361275</v>
      </c>
      <c r="AG66" s="95">
        <f>IFERROR(VLOOKUP(Q66,S6M7!$B$1:$C$161,2,0),0)</f>
        <v>332.6250352</v>
      </c>
      <c r="AH66" s="95">
        <f>IFERROR(VLOOKUP(S66,S6M8!$B$1:$C$161,2,0),0)</f>
        <v>0</v>
      </c>
      <c r="AI66" s="95">
        <f>IFERROR(VLOOKUP(U66,S6M9!$B$1:$C$161,2,0),0)</f>
        <v>0</v>
      </c>
      <c r="AJ66" s="95">
        <f>IFERROR(VLOOKUP(W66,S6M10!$B$1:$C$161,2,0),0)</f>
        <v>210.1714604</v>
      </c>
      <c r="AK66" s="95">
        <f>IFERROR(VLOOKUP(Y66,S6M11!$B$1:$C$161,2,0),0)</f>
        <v>997.5674982</v>
      </c>
    </row>
    <row r="67" ht="15.75" customHeight="1">
      <c r="A67" s="92">
        <v>66.0</v>
      </c>
      <c r="B67" s="6" t="s">
        <v>45</v>
      </c>
      <c r="C67" s="93">
        <f t="shared" si="1"/>
        <v>2286.41456</v>
      </c>
      <c r="D67" s="93"/>
      <c r="E67" s="94" t="str">
        <f>IFERROR(VLOOKUP($B67,S6M1!$A$1:$B$160,2,0),"0")</f>
        <v>0</v>
      </c>
      <c r="F67" s="95">
        <f>IFERROR(VLOOKUP(E67,S6M1!$B$1:$C$161,2,0),0)</f>
        <v>0</v>
      </c>
      <c r="G67" s="94">
        <f>IFERROR(VLOOKUP($B67,S6M2!$A$1:$B$160,2,0),"0")</f>
        <v>56</v>
      </c>
      <c r="H67" s="95">
        <f>IFERROR(VLOOKUP(G67,S6M2!$B$1:$C$161,2,0),0)</f>
        <v>114.9742201</v>
      </c>
      <c r="I67" s="94">
        <f>IFERROR(VLOOKUP($B67,S6M3!$A$1:$B$161,2,0),0)</f>
        <v>62</v>
      </c>
      <c r="J67" s="95">
        <f>IFERROR(VLOOKUP(I67,S6M3!$B$1:$C$161,2,0),0)</f>
        <v>94.24504401</v>
      </c>
      <c r="K67" s="94">
        <f>IFERROR(VLOOKUP($B67,S6M4!$A$1:$B$160,2,0),"0")</f>
        <v>18</v>
      </c>
      <c r="L67" s="95">
        <f>IFERROR(VLOOKUP(K67,S6M4!$B$1:$C$161,2,0),0)</f>
        <v>805.109862</v>
      </c>
      <c r="M67" s="94">
        <f>IFERROR(VLOOKUP($B67,S6M5!$A$1:$B$160,2,0),"0")</f>
        <v>58</v>
      </c>
      <c r="N67" s="95">
        <f>IFERROR(VLOOKUP(M67,S6M5!$B$1:$C$161,2,0),0)</f>
        <v>13.61739326</v>
      </c>
      <c r="O67" s="94" t="str">
        <f>IFERROR(VLOOKUP($B67,S6M6!$A$1:$B$160,2,0),"0")</f>
        <v>0</v>
      </c>
      <c r="P67" s="95">
        <f>IFERROR(VLOOKUP(O67,S6M6!$B$1:$C$161,2,0),0)</f>
        <v>0</v>
      </c>
      <c r="Q67" s="94" t="str">
        <f>IFERROR(VLOOKUP($B67,S6M7!$A$1:$B$160,2,0),"0")</f>
        <v>0</v>
      </c>
      <c r="R67" s="95">
        <f>IFERROR(VLOOKUP(Q67,S6M7!$B$1:$C$161,2,0),0)</f>
        <v>0</v>
      </c>
      <c r="S67" s="94">
        <f>IFERROR(VLOOKUP($B67,S6M8!$A$1:$B$160,2,0),"0")</f>
        <v>49</v>
      </c>
      <c r="T67" s="95">
        <f>IFERROR(VLOOKUP(S67,S6M8!$B$1:$C$161,2,0),0)</f>
        <v>89.82975191</v>
      </c>
      <c r="U67" s="94" t="str">
        <f>IFERROR(VLOOKUP($B67,S6M9!$A$1:$B$160,2,0),"0")</f>
        <v>0</v>
      </c>
      <c r="V67" s="95">
        <f>IFERROR(VLOOKUP(U67,S6M9!$B$1:$C$161,2,0),0)</f>
        <v>0</v>
      </c>
      <c r="W67" s="94">
        <f>IFERROR(VLOOKUP($B67,S6M10!$A$1:$B$160,2,0),"0")</f>
        <v>17</v>
      </c>
      <c r="X67" s="95">
        <f>IFERROR(VLOOKUP(W67,S6M10!$B$1:$C$161,2,0),0)</f>
        <v>680.7390668</v>
      </c>
      <c r="Y67" s="94">
        <f>IFERROR(VLOOKUP($B67,S6M11!$A$1:$B$160,2,0),"0")</f>
        <v>24</v>
      </c>
      <c r="Z67" s="95">
        <f>IFERROR(VLOOKUP(Y67,S6M11!$B$1:$C$161,2,0),0)</f>
        <v>487.8992216</v>
      </c>
      <c r="AA67" s="97">
        <f>IFERROR(VLOOKUP(E67,S6M1!$B$1:$C$161,2,0),0)</f>
        <v>0</v>
      </c>
      <c r="AB67" s="97">
        <f>IFERROR(VLOOKUP(G67,S6M2!$B$1:$C$161,2,0),0)</f>
        <v>114.9742201</v>
      </c>
      <c r="AC67" s="97">
        <f>IFERROR(VLOOKUP(I67,S6M3!$B$1:$C$161,2,0),0)</f>
        <v>94.24504401</v>
      </c>
      <c r="AD67" s="97">
        <f>IFERROR(VLOOKUP(K67,S6M4!$B$1:$C$161,2,0),0)</f>
        <v>805.109862</v>
      </c>
      <c r="AE67" s="97">
        <f>IFERROR(VLOOKUP(M67,S6M5!$B$1:$C$161,2,0),0)</f>
        <v>13.61739326</v>
      </c>
      <c r="AF67" s="97">
        <f>IFERROR(VLOOKUP(O67,S6M6!$B$1:$C$161,2,0),0)</f>
        <v>0</v>
      </c>
      <c r="AG67" s="97">
        <f>IFERROR(VLOOKUP(Q67,S6M7!$B$1:$C$161,2,0),0)</f>
        <v>0</v>
      </c>
      <c r="AH67" s="97">
        <f>IFERROR(VLOOKUP(S67,S6M8!$B$1:$C$161,2,0),0)</f>
        <v>89.82975191</v>
      </c>
      <c r="AI67" s="97">
        <f>IFERROR(VLOOKUP(U67,S6M9!$B$1:$C$161,2,0),0)</f>
        <v>0</v>
      </c>
      <c r="AJ67" s="97">
        <f>IFERROR(VLOOKUP(W67,S6M10!$B$1:$C$161,2,0),0)</f>
        <v>680.7390668</v>
      </c>
      <c r="AK67" s="97">
        <f>IFERROR(VLOOKUP(Y67,S6M11!$B$1:$C$161,2,0),0)</f>
        <v>487.8992216</v>
      </c>
    </row>
    <row r="68" ht="15.75" customHeight="1">
      <c r="A68" s="92">
        <v>67.0</v>
      </c>
      <c r="B68" s="6" t="s">
        <v>65</v>
      </c>
      <c r="C68" s="93">
        <f t="shared" si="1"/>
        <v>2194.333872</v>
      </c>
      <c r="D68" s="93"/>
      <c r="E68" s="94" t="str">
        <f>IFERROR(VLOOKUP($B68,S6M1!$A$1:$B$160,2,0),"0")</f>
        <v>0</v>
      </c>
      <c r="F68" s="95">
        <f>IFERROR(VLOOKUP(E68,S6M1!$B$1:$C$161,2,0),0)</f>
        <v>0</v>
      </c>
      <c r="G68" s="94">
        <f>IFERROR(VLOOKUP($B68,S6M2!$A$1:$B$160,2,0),"0")</f>
        <v>16</v>
      </c>
      <c r="H68" s="95">
        <f>IFERROR(VLOOKUP(G68,S6M2!$B$1:$C$161,2,0),0)</f>
        <v>856.1917797</v>
      </c>
      <c r="I68" s="94">
        <f>IFERROR(VLOOKUP($B68,S6M3!$A$1:$B$161,2,0),0)</f>
        <v>25</v>
      </c>
      <c r="J68" s="95">
        <f>IFERROR(VLOOKUP(I68,S6M3!$B$1:$C$161,2,0),0)</f>
        <v>665.2639171</v>
      </c>
      <c r="K68" s="94">
        <f>IFERROR(VLOOKUP($B68,S6M4!$A$1:$B$160,2,0),"0")</f>
        <v>59</v>
      </c>
      <c r="L68" s="95">
        <f>IFERROR(VLOOKUP(K68,S6M4!$B$1:$C$161,2,0),0)</f>
        <v>87.26037448</v>
      </c>
      <c r="M68" s="94" t="str">
        <f>IFERROR(VLOOKUP($B68,S6M5!$A$1:$B$160,2,0),"0")</f>
        <v>0</v>
      </c>
      <c r="N68" s="95">
        <f>IFERROR(VLOOKUP(M68,S6M5!$B$1:$C$161,2,0),0)</f>
        <v>0</v>
      </c>
      <c r="O68" s="94" t="str">
        <f>IFERROR(VLOOKUP($B68,S6M6!$A$1:$B$160,2,0),"0")</f>
        <v>0</v>
      </c>
      <c r="P68" s="95">
        <f>IFERROR(VLOOKUP(O68,S6M6!$B$1:$C$161,2,0),0)</f>
        <v>0</v>
      </c>
      <c r="Q68" s="94" t="str">
        <f>IFERROR(VLOOKUP($B68,S6M7!$A$1:$B$160,2,0),"0")</f>
        <v>0</v>
      </c>
      <c r="R68" s="95">
        <f>IFERROR(VLOOKUP(Q68,S6M7!$B$1:$C$161,2,0),0)</f>
        <v>0</v>
      </c>
      <c r="S68" s="94" t="str">
        <f>IFERROR(VLOOKUP($B68,S6M8!$A$1:$B$160,2,0),"0")</f>
        <v>0</v>
      </c>
      <c r="T68" s="95">
        <f>IFERROR(VLOOKUP(S68,S6M8!$B$1:$C$161,2,0),0)</f>
        <v>0</v>
      </c>
      <c r="U68" s="94">
        <f>IFERROR(VLOOKUP($B68,S6M9!$A$1:$B$160,2,0),"0")</f>
        <v>28</v>
      </c>
      <c r="V68" s="95">
        <f>IFERROR(VLOOKUP(U68,S6M9!$B$1:$C$161,2,0),0)</f>
        <v>431.0317018</v>
      </c>
      <c r="W68" s="94">
        <f>IFERROR(VLOOKUP($B68,S6M10!$A$1:$B$160,2,0),"0")</f>
        <v>40</v>
      </c>
      <c r="X68" s="95">
        <f>IFERROR(VLOOKUP(W68,S6M10!$B$1:$C$161,2,0),0)</f>
        <v>154.5860993</v>
      </c>
      <c r="Y68" s="94" t="str">
        <f>IFERROR(VLOOKUP($B68,S6M11!$A$1:$B$160,2,0),"0")</f>
        <v>0</v>
      </c>
      <c r="Z68" s="95">
        <f>IFERROR(VLOOKUP(Y68,S6M11!$B$1:$C$161,2,0),0)</f>
        <v>0</v>
      </c>
      <c r="AA68" s="95">
        <f>IFERROR(VLOOKUP(E68,S6M1!$B$1:$C$161,2,0),0)</f>
        <v>0</v>
      </c>
      <c r="AB68" s="95">
        <f>IFERROR(VLOOKUP(G68,S6M2!$B$1:$C$161,2,0),0)</f>
        <v>856.1917797</v>
      </c>
      <c r="AC68" s="95">
        <f>IFERROR(VLOOKUP(I68,S6M3!$B$1:$C$161,2,0),0)</f>
        <v>665.2639171</v>
      </c>
      <c r="AD68" s="95">
        <f>IFERROR(VLOOKUP(K68,S6M4!$B$1:$C$161,2,0),0)</f>
        <v>87.26037448</v>
      </c>
      <c r="AE68" s="95">
        <f>IFERROR(VLOOKUP(M68,S6M5!$B$1:$C$161,2,0),0)</f>
        <v>0</v>
      </c>
      <c r="AF68" s="95">
        <f>IFERROR(VLOOKUP(O68,S6M6!$B$1:$C$161,2,0),0)</f>
        <v>0</v>
      </c>
      <c r="AG68" s="95">
        <f>IFERROR(VLOOKUP(Q68,S6M7!$B$1:$C$161,2,0),0)</f>
        <v>0</v>
      </c>
      <c r="AH68" s="95">
        <f>IFERROR(VLOOKUP(S68,S6M8!$B$1:$C$161,2,0),0)</f>
        <v>0</v>
      </c>
      <c r="AI68" s="95">
        <f>IFERROR(VLOOKUP(U68,S6M9!$B$1:$C$161,2,0),0)</f>
        <v>431.0317018</v>
      </c>
      <c r="AJ68" s="95">
        <f>IFERROR(VLOOKUP(W68,S6M10!$B$1:$C$161,2,0),0)</f>
        <v>154.5860993</v>
      </c>
      <c r="AK68" s="95">
        <f>IFERROR(VLOOKUP(Y68,S6M11!$B$1:$C$161,2,0),0)</f>
        <v>0</v>
      </c>
    </row>
    <row r="69" ht="15.75" customHeight="1">
      <c r="A69" s="92">
        <v>68.0</v>
      </c>
      <c r="B69" s="103" t="s">
        <v>89</v>
      </c>
      <c r="C69" s="93">
        <f t="shared" si="1"/>
        <v>2152.92956</v>
      </c>
      <c r="D69" s="93"/>
      <c r="E69" s="94" t="str">
        <f>IFERROR(VLOOKUP($B69,S6M1!$A$1:$B$160,2,0),"0")</f>
        <v>0</v>
      </c>
      <c r="F69" s="95">
        <f>IFERROR(VLOOKUP(E69,S6M1!$B$1:$C$161,2,0),0)</f>
        <v>0</v>
      </c>
      <c r="G69" s="94" t="str">
        <f>IFERROR(VLOOKUP($B69,S6M2!$A$1:$B$160,2,0),"0")</f>
        <v>0</v>
      </c>
      <c r="H69" s="95">
        <f>IFERROR(VLOOKUP(G69,S6M2!$B$1:$C$161,2,0),0)</f>
        <v>0</v>
      </c>
      <c r="I69" s="94">
        <f>IFERROR(VLOOKUP($B69,S6M3!$A$1:$B$161,2,0),0)</f>
        <v>0</v>
      </c>
      <c r="J69" s="95">
        <f>IFERROR(VLOOKUP(I69,S6M3!$B$1:$C$161,2,0),0)</f>
        <v>0</v>
      </c>
      <c r="K69" s="94" t="str">
        <f>IFERROR(VLOOKUP($B69,S6M4!$A$1:$B$160,2,0),"0")</f>
        <v>0</v>
      </c>
      <c r="L69" s="95">
        <f>IFERROR(VLOOKUP(K69,S6M4!$B$1:$C$161,2,0),0)</f>
        <v>0</v>
      </c>
      <c r="M69" s="94">
        <f>IFERROR(VLOOKUP($B69,S6M5!$A$1:$B$160,2,0),"0")</f>
        <v>5</v>
      </c>
      <c r="N69" s="95">
        <f>IFERROR(VLOOKUP(M69,S6M5!$B$1:$C$161,2,0),0)</f>
        <v>1357.06996</v>
      </c>
      <c r="O69" s="94" t="str">
        <f>IFERROR(VLOOKUP($B69,S6M6!$A$1:$B$160,2,0),"0")</f>
        <v>0</v>
      </c>
      <c r="P69" s="95">
        <f>IFERROR(VLOOKUP(O69,S6M6!$B$1:$C$161,2,0),0)</f>
        <v>0</v>
      </c>
      <c r="Q69" s="94">
        <f>IFERROR(VLOOKUP($B69,S6M7!$A$1:$B$160,2,0),"0")</f>
        <v>15</v>
      </c>
      <c r="R69" s="95">
        <f>IFERROR(VLOOKUP(Q69,S6M7!$B$1:$C$161,2,0),0)</f>
        <v>795.8596002</v>
      </c>
      <c r="S69" s="94" t="str">
        <f>IFERROR(VLOOKUP($B69,S6M8!$A$1:$B$160,2,0),"0")</f>
        <v>0</v>
      </c>
      <c r="T69" s="95">
        <f>IFERROR(VLOOKUP(S69,S6M8!$B$1:$C$161,2,0),0)</f>
        <v>0</v>
      </c>
      <c r="U69" s="94" t="str">
        <f>IFERROR(VLOOKUP($B69,S6M9!$A$1:$B$160,2,0),"0")</f>
        <v>0</v>
      </c>
      <c r="V69" s="95">
        <f>IFERROR(VLOOKUP(U69,S6M9!$B$1:$C$161,2,0),0)</f>
        <v>0</v>
      </c>
      <c r="W69" s="94" t="str">
        <f>IFERROR(VLOOKUP($B69,S6M10!$A$1:$B$160,2,0),"0")</f>
        <v>0</v>
      </c>
      <c r="X69" s="95">
        <f>IFERROR(VLOOKUP(W69,S6M10!$B$1:$C$161,2,0),0)</f>
        <v>0</v>
      </c>
      <c r="Y69" s="94" t="str">
        <f>IFERROR(VLOOKUP($B69,S6M11!$A$1:$B$160,2,0),"0")</f>
        <v>0</v>
      </c>
      <c r="Z69" s="95">
        <f>IFERROR(VLOOKUP(Y69,S6M11!$B$1:$C$161,2,0),0)</f>
        <v>0</v>
      </c>
      <c r="AA69" s="97">
        <f>IFERROR(VLOOKUP(E69,S6M1!$B$1:$C$161,2,0),0)</f>
        <v>0</v>
      </c>
      <c r="AB69" s="97">
        <f>IFERROR(VLOOKUP(G69,S6M2!$B$1:$C$161,2,0),0)</f>
        <v>0</v>
      </c>
      <c r="AC69" s="97">
        <f>IFERROR(VLOOKUP(I69,S6M3!$B$1:$C$161,2,0),0)</f>
        <v>0</v>
      </c>
      <c r="AD69" s="97">
        <f>IFERROR(VLOOKUP(K69,S6M4!$B$1:$C$161,2,0),0)</f>
        <v>0</v>
      </c>
      <c r="AE69" s="97">
        <f>IFERROR(VLOOKUP(M69,S6M5!$B$1:$C$161,2,0),0)</f>
        <v>1357.06996</v>
      </c>
      <c r="AF69" s="97">
        <f>IFERROR(VLOOKUP(O69,S6M6!$B$1:$C$161,2,0),0)</f>
        <v>0</v>
      </c>
      <c r="AG69" s="97">
        <f>IFERROR(VLOOKUP(Q69,S6M7!$B$1:$C$161,2,0),0)</f>
        <v>795.8596002</v>
      </c>
      <c r="AH69" s="97">
        <f>IFERROR(VLOOKUP(S69,S6M8!$B$1:$C$161,2,0),0)</f>
        <v>0</v>
      </c>
      <c r="AI69" s="97">
        <f>IFERROR(VLOOKUP(U69,S6M9!$B$1:$C$161,2,0),0)</f>
        <v>0</v>
      </c>
      <c r="AJ69" s="97">
        <f>IFERROR(VLOOKUP(W69,S6M10!$B$1:$C$161,2,0),0)</f>
        <v>0</v>
      </c>
      <c r="AK69" s="97">
        <f>IFERROR(VLOOKUP(Y69,S6M11!$B$1:$C$161,2,0),0)</f>
        <v>0</v>
      </c>
    </row>
    <row r="70" ht="15.75" customHeight="1">
      <c r="A70" s="92">
        <v>69.0</v>
      </c>
      <c r="B70" s="6" t="s">
        <v>74</v>
      </c>
      <c r="C70" s="93">
        <f t="shared" si="1"/>
        <v>2120.543855</v>
      </c>
      <c r="D70" s="93"/>
      <c r="E70" s="94">
        <f>IFERROR(VLOOKUP($B70,S6M1!$A$1:$B$160,2,0),"0")</f>
        <v>14</v>
      </c>
      <c r="F70" s="95">
        <f>IFERROR(VLOOKUP(E70,S6M1!$B$1:$C$161,2,0),0)</f>
        <v>781.5899428</v>
      </c>
      <c r="G70" s="94">
        <f>IFERROR(VLOOKUP($B70,S6M2!$A$1:$B$160,2,0),"0")</f>
        <v>60</v>
      </c>
      <c r="H70" s="95">
        <f>IFERROR(VLOOKUP(G70,S6M2!$B$1:$C$161,2,0),0)</f>
        <v>62.78229124</v>
      </c>
      <c r="I70" s="94">
        <f>IFERROR(VLOOKUP($B70,S6M3!$A$1:$B$161,2,0),0)</f>
        <v>0</v>
      </c>
      <c r="J70" s="95">
        <f>IFERROR(VLOOKUP(I70,S6M3!$B$1:$C$161,2,0),0)</f>
        <v>0</v>
      </c>
      <c r="K70" s="94">
        <f>IFERROR(VLOOKUP($B70,S6M4!$A$1:$B$160,2,0),"0")</f>
        <v>60</v>
      </c>
      <c r="L70" s="95">
        <f>IFERROR(VLOOKUP(K70,S6M4!$B$1:$C$161,2,0),0)</f>
        <v>74.48099557</v>
      </c>
      <c r="M70" s="94">
        <f>IFERROR(VLOOKUP($B70,S6M5!$A$1:$B$160,2,0),"0")</f>
        <v>26</v>
      </c>
      <c r="N70" s="95">
        <f>IFERROR(VLOOKUP(M70,S6M5!$B$1:$C$161,2,0),0)</f>
        <v>549.1886854</v>
      </c>
      <c r="O70" s="94">
        <f>IFERROR(VLOOKUP($B70,S6M6!$A$1:$B$160,2,0),"0")</f>
        <v>69</v>
      </c>
      <c r="P70" s="95">
        <f>IFERROR(VLOOKUP(O70,S6M6!$B$1:$C$161,2,0),0)</f>
        <v>33.68989029</v>
      </c>
      <c r="Q70" s="94">
        <f>IFERROR(VLOOKUP($B70,S6M7!$A$1:$B$160,2,0),"0")</f>
        <v>24</v>
      </c>
      <c r="R70" s="95">
        <f>IFERROR(VLOOKUP(Q70,S6M7!$B$1:$C$161,2,0),0)</f>
        <v>544.331054</v>
      </c>
      <c r="S70" s="94">
        <f>IFERROR(VLOOKUP($B70,S6M8!$A$1:$B$160,2,0),"0")</f>
        <v>50</v>
      </c>
      <c r="T70" s="95">
        <f>IFERROR(VLOOKUP(S70,S6M8!$B$1:$C$161,2,0),0)</f>
        <v>74.48099557</v>
      </c>
      <c r="U70" s="94" t="str">
        <f>IFERROR(VLOOKUP($B70,S6M9!$A$1:$B$160,2,0),"0")</f>
        <v>0</v>
      </c>
      <c r="V70" s="95">
        <f>IFERROR(VLOOKUP(U70,S6M9!$B$1:$C$161,2,0),0)</f>
        <v>0</v>
      </c>
      <c r="W70" s="94" t="str">
        <f>IFERROR(VLOOKUP($B70,S6M10!$A$1:$B$160,2,0),"0")</f>
        <v>0</v>
      </c>
      <c r="X70" s="95">
        <f>IFERROR(VLOOKUP(W70,S6M10!$B$1:$C$161,2,0),0)</f>
        <v>0</v>
      </c>
      <c r="Y70" s="94" t="str">
        <f>IFERROR(VLOOKUP($B70,S6M11!$A$1:$B$160,2,0),"0")</f>
        <v>0</v>
      </c>
      <c r="Z70" s="95">
        <f>IFERROR(VLOOKUP(Y70,S6M11!$B$1:$C$161,2,0),0)</f>
        <v>0</v>
      </c>
      <c r="AA70" s="95">
        <f>IFERROR(VLOOKUP(E70,S6M1!$B$1:$C$161,2,0),0)</f>
        <v>781.5899428</v>
      </c>
      <c r="AB70" s="95">
        <f>IFERROR(VLOOKUP(G70,S6M2!$B$1:$C$161,2,0),0)</f>
        <v>62.78229124</v>
      </c>
      <c r="AC70" s="95">
        <f>IFERROR(VLOOKUP(I70,S6M3!$B$1:$C$161,2,0),0)</f>
        <v>0</v>
      </c>
      <c r="AD70" s="95">
        <f>IFERROR(VLOOKUP(K70,S6M4!$B$1:$C$161,2,0),0)</f>
        <v>74.48099557</v>
      </c>
      <c r="AE70" s="95">
        <f>IFERROR(VLOOKUP(M70,S6M5!$B$1:$C$161,2,0),0)</f>
        <v>549.1886854</v>
      </c>
      <c r="AF70" s="95">
        <f>IFERROR(VLOOKUP(O70,S6M6!$B$1:$C$161,2,0),0)</f>
        <v>33.68989029</v>
      </c>
      <c r="AG70" s="95">
        <f>IFERROR(VLOOKUP(Q70,S6M7!$B$1:$C$161,2,0),0)</f>
        <v>544.331054</v>
      </c>
      <c r="AH70" s="95">
        <f>IFERROR(VLOOKUP(S70,S6M8!$B$1:$C$161,2,0),0)</f>
        <v>74.48099557</v>
      </c>
      <c r="AI70" s="95">
        <f>IFERROR(VLOOKUP(U70,S6M9!$B$1:$C$161,2,0),0)</f>
        <v>0</v>
      </c>
      <c r="AJ70" s="95">
        <f>IFERROR(VLOOKUP(W70,S6M10!$B$1:$C$161,2,0),0)</f>
        <v>0</v>
      </c>
      <c r="AK70" s="95">
        <f>IFERROR(VLOOKUP(Y70,S6M11!$B$1:$C$161,2,0),0)</f>
        <v>0</v>
      </c>
    </row>
    <row r="71" ht="15.75" customHeight="1">
      <c r="A71" s="92">
        <v>70.0</v>
      </c>
      <c r="B71" s="99" t="s">
        <v>79</v>
      </c>
      <c r="C71" s="93">
        <f t="shared" si="1"/>
        <v>1977.893632</v>
      </c>
      <c r="D71" s="93"/>
      <c r="E71" s="94" t="str">
        <f>IFERROR(VLOOKUP($B71,S6M1!$A$1:$B$160,2,0),"0")</f>
        <v>0</v>
      </c>
      <c r="F71" s="95">
        <f>IFERROR(VLOOKUP(E71,S6M1!$B$1:$C$161,2,0),0)</f>
        <v>0</v>
      </c>
      <c r="G71" s="94" t="str">
        <f>IFERROR(VLOOKUP($B71,S6M2!$A$1:$B$160,2,0),"0")</f>
        <v>0</v>
      </c>
      <c r="H71" s="95">
        <f>IFERROR(VLOOKUP(G71,S6M2!$B$1:$C$161,2,0),0)</f>
        <v>0</v>
      </c>
      <c r="I71" s="94">
        <f>IFERROR(VLOOKUP($B71,S6M3!$A$1:$B$161,2,0),0)</f>
        <v>34</v>
      </c>
      <c r="J71" s="95">
        <f>IFERROR(VLOOKUP(I71,S6M3!$B$1:$C$161,2,0),0)</f>
        <v>492.8323737</v>
      </c>
      <c r="K71" s="94" t="str">
        <f>IFERROR(VLOOKUP($B71,S6M4!$A$1:$B$160,2,0),"0")</f>
        <v>0</v>
      </c>
      <c r="L71" s="95">
        <f>IFERROR(VLOOKUP(K71,S6M4!$B$1:$C$161,2,0),0)</f>
        <v>0</v>
      </c>
      <c r="M71" s="94" t="str">
        <f>IFERROR(VLOOKUP($B71,S6M5!$A$1:$B$160,2,0),"0")</f>
        <v>0</v>
      </c>
      <c r="N71" s="95">
        <f>IFERROR(VLOOKUP(M71,S6M5!$B$1:$C$161,2,0),0)</f>
        <v>0</v>
      </c>
      <c r="O71" s="94">
        <f>IFERROR(VLOOKUP($B71,S6M6!$A$1:$B$160,2,0),"0")</f>
        <v>16</v>
      </c>
      <c r="P71" s="95">
        <f>IFERROR(VLOOKUP(O71,S6M6!$B$1:$C$161,2,0),0)</f>
        <v>906.2513072</v>
      </c>
      <c r="Q71" s="94" t="str">
        <f>IFERROR(VLOOKUP($B71,S6M7!$A$1:$B$160,2,0),"0")</f>
        <v>0</v>
      </c>
      <c r="R71" s="95">
        <f>IFERROR(VLOOKUP(Q71,S6M7!$B$1:$C$161,2,0),0)</f>
        <v>0</v>
      </c>
      <c r="S71" s="94">
        <f>IFERROR(VLOOKUP($B71,S6M8!$A$1:$B$160,2,0),"0")</f>
        <v>23</v>
      </c>
      <c r="T71" s="95">
        <f>IFERROR(VLOOKUP(S71,S6M8!$B$1:$C$161,2,0),0)</f>
        <v>578.8099513</v>
      </c>
      <c r="U71" s="94" t="str">
        <f>IFERROR(VLOOKUP($B71,S6M9!$A$1:$B$160,2,0),"0")</f>
        <v>0</v>
      </c>
      <c r="V71" s="95">
        <f>IFERROR(VLOOKUP(U71,S6M9!$B$1:$C$161,2,0),0)</f>
        <v>0</v>
      </c>
      <c r="W71" s="94" t="str">
        <f>IFERROR(VLOOKUP($B71,S6M10!$A$1:$B$160,2,0),"0")</f>
        <v>0</v>
      </c>
      <c r="X71" s="95">
        <f>IFERROR(VLOOKUP(W71,S6M10!$B$1:$C$161,2,0),0)</f>
        <v>0</v>
      </c>
      <c r="Y71" s="94" t="str">
        <f>IFERROR(VLOOKUP($B71,S6M11!$A$1:$B$160,2,0),"0")</f>
        <v>0</v>
      </c>
      <c r="Z71" s="95">
        <f>IFERROR(VLOOKUP(Y71,S6M11!$B$1:$C$161,2,0),0)</f>
        <v>0</v>
      </c>
      <c r="AA71" s="95">
        <f>IFERROR(VLOOKUP(E71,S6M1!$B$1:$C$161,2,0),0)</f>
        <v>0</v>
      </c>
      <c r="AB71" s="95">
        <f>IFERROR(VLOOKUP(G71,S6M2!$B$1:$C$161,2,0),0)</f>
        <v>0</v>
      </c>
      <c r="AC71" s="95">
        <f>IFERROR(VLOOKUP(I71,S6M3!$B$1:$C$161,2,0),0)</f>
        <v>492.8323737</v>
      </c>
      <c r="AD71" s="95">
        <f>IFERROR(VLOOKUP(K71,S6M4!$B$1:$C$161,2,0),0)</f>
        <v>0</v>
      </c>
      <c r="AE71" s="95">
        <f>IFERROR(VLOOKUP(M71,S6M5!$B$1:$C$161,2,0),0)</f>
        <v>0</v>
      </c>
      <c r="AF71" s="95">
        <f>IFERROR(VLOOKUP(O71,S6M6!$B$1:$C$161,2,0),0)</f>
        <v>906.2513072</v>
      </c>
      <c r="AG71" s="95">
        <f>IFERROR(VLOOKUP(Q71,S6M7!$B$1:$C$161,2,0),0)</f>
        <v>0</v>
      </c>
      <c r="AH71" s="95">
        <f>IFERROR(VLOOKUP(S71,S6M8!$B$1:$C$161,2,0),0)</f>
        <v>578.8099513</v>
      </c>
      <c r="AI71" s="95">
        <f>IFERROR(VLOOKUP(U71,S6M9!$B$1:$C$161,2,0),0)</f>
        <v>0</v>
      </c>
      <c r="AJ71" s="95">
        <f>IFERROR(VLOOKUP(W71,S6M10!$B$1:$C$161,2,0),0)</f>
        <v>0</v>
      </c>
      <c r="AK71" s="95">
        <f>IFERROR(VLOOKUP(Y71,S6M11!$B$1:$C$161,2,0),0)</f>
        <v>0</v>
      </c>
    </row>
    <row r="72" ht="15.75" customHeight="1">
      <c r="A72" s="92">
        <v>71.0</v>
      </c>
      <c r="B72" s="24" t="s">
        <v>70</v>
      </c>
      <c r="C72" s="93">
        <f t="shared" si="1"/>
        <v>1905.648492</v>
      </c>
      <c r="D72" s="93"/>
      <c r="E72" s="94" t="str">
        <f>IFERROR(VLOOKUP($B72,S6M1!$A$1:$B$160,2,0),"0")</f>
        <v>0</v>
      </c>
      <c r="F72" s="95">
        <f>IFERROR(VLOOKUP(E72,S6M1!$B$1:$C$161,2,0),0)</f>
        <v>0</v>
      </c>
      <c r="G72" s="94" t="str">
        <f>IFERROR(VLOOKUP($B72,S6M2!$A$1:$B$160,2,0),"0")</f>
        <v>0</v>
      </c>
      <c r="H72" s="95">
        <f>IFERROR(VLOOKUP(G72,S6M2!$B$1:$C$161,2,0),0)</f>
        <v>0</v>
      </c>
      <c r="I72" s="94">
        <f>IFERROR(VLOOKUP($B72,S6M3!$A$1:$B$161,2,0),0)</f>
        <v>0</v>
      </c>
      <c r="J72" s="95">
        <f>IFERROR(VLOOKUP(I72,S6M3!$B$1:$C$161,2,0),0)</f>
        <v>0</v>
      </c>
      <c r="K72" s="94">
        <f>IFERROR(VLOOKUP($B72,S6M4!$A$1:$B$160,2,0),"0")</f>
        <v>52</v>
      </c>
      <c r="L72" s="95">
        <f>IFERROR(VLOOKUP(K72,S6M4!$B$1:$C$161,2,0),0)</f>
        <v>180.1188789</v>
      </c>
      <c r="M72" s="94">
        <f>IFERROR(VLOOKUP($B72,S6M5!$A$1:$B$160,2,0),"0")</f>
        <v>45</v>
      </c>
      <c r="N72" s="95">
        <f>IFERROR(VLOOKUP(M72,S6M5!$B$1:$C$161,2,0),0)</f>
        <v>203.1308498</v>
      </c>
      <c r="O72" s="94" t="str">
        <f>IFERROR(VLOOKUP($B72,S6M6!$A$1:$B$160,2,0),"0")</f>
        <v>0</v>
      </c>
      <c r="P72" s="95">
        <f>IFERROR(VLOOKUP(O72,S6M6!$B$1:$C$161,2,0),0)</f>
        <v>0</v>
      </c>
      <c r="Q72" s="94">
        <f>IFERROR(VLOOKUP($B72,S6M7!$A$1:$B$160,2,0),"0")</f>
        <v>36</v>
      </c>
      <c r="R72" s="95">
        <f>IFERROR(VLOOKUP(Q72,S6M7!$B$1:$C$161,2,0),0)</f>
        <v>295.1151786</v>
      </c>
      <c r="S72" s="94">
        <f>IFERROR(VLOOKUP($B72,S6M8!$A$1:$B$160,2,0),"0")</f>
        <v>34</v>
      </c>
      <c r="T72" s="95">
        <f>IFERROR(VLOOKUP(S72,S6M8!$B$1:$C$161,2,0),0)</f>
        <v>344.4827943</v>
      </c>
      <c r="U72" s="94" t="str">
        <f>IFERROR(VLOOKUP($B72,S6M9!$A$1:$B$160,2,0),"0")</f>
        <v>0</v>
      </c>
      <c r="V72" s="95">
        <f>IFERROR(VLOOKUP(U72,S6M9!$B$1:$C$161,2,0),0)</f>
        <v>0</v>
      </c>
      <c r="W72" s="94">
        <f>IFERROR(VLOOKUP($B72,S6M10!$A$1:$B$160,2,0),"0")</f>
        <v>43</v>
      </c>
      <c r="X72" s="95">
        <f>IFERROR(VLOOKUP(W72,S6M10!$B$1:$C$161,2,0),0)</f>
        <v>101.210848</v>
      </c>
      <c r="Y72" s="94">
        <f>IFERROR(VLOOKUP($B72,S6M11!$A$1:$B$160,2,0),"0")</f>
        <v>14</v>
      </c>
      <c r="Z72" s="95">
        <f>IFERROR(VLOOKUP(Y72,S6M11!$B$1:$C$161,2,0),0)</f>
        <v>781.5899428</v>
      </c>
      <c r="AA72" s="97">
        <f>IFERROR(VLOOKUP(E72,S6M1!$B$1:$C$161,2,0),0)</f>
        <v>0</v>
      </c>
      <c r="AB72" s="97">
        <f>IFERROR(VLOOKUP(G72,S6M2!$B$1:$C$161,2,0),0)</f>
        <v>0</v>
      </c>
      <c r="AC72" s="97">
        <f>IFERROR(VLOOKUP(I72,S6M3!$B$1:$C$161,2,0),0)</f>
        <v>0</v>
      </c>
      <c r="AD72" s="97">
        <f>IFERROR(VLOOKUP(K72,S6M4!$B$1:$C$161,2,0),0)</f>
        <v>180.1188789</v>
      </c>
      <c r="AE72" s="97">
        <f>IFERROR(VLOOKUP(M72,S6M5!$B$1:$C$161,2,0),0)</f>
        <v>203.1308498</v>
      </c>
      <c r="AF72" s="97">
        <f>IFERROR(VLOOKUP(O72,S6M6!$B$1:$C$161,2,0),0)</f>
        <v>0</v>
      </c>
      <c r="AG72" s="97">
        <f>IFERROR(VLOOKUP(Q72,S6M7!$B$1:$C$161,2,0),0)</f>
        <v>295.1151786</v>
      </c>
      <c r="AH72" s="97">
        <f>IFERROR(VLOOKUP(S72,S6M8!$B$1:$C$161,2,0),0)</f>
        <v>344.4827943</v>
      </c>
      <c r="AI72" s="97">
        <f>IFERROR(VLOOKUP(U72,S6M9!$B$1:$C$161,2,0),0)</f>
        <v>0</v>
      </c>
      <c r="AJ72" s="97">
        <f>IFERROR(VLOOKUP(W72,S6M10!$B$1:$C$161,2,0),0)</f>
        <v>101.210848</v>
      </c>
      <c r="AK72" s="97">
        <f>IFERROR(VLOOKUP(Y72,S6M11!$B$1:$C$161,2,0),0)</f>
        <v>781.5899428</v>
      </c>
    </row>
    <row r="73" ht="15.75" customHeight="1">
      <c r="A73" s="92">
        <v>72.0</v>
      </c>
      <c r="B73" s="104" t="s">
        <v>82</v>
      </c>
      <c r="C73" s="93">
        <f t="shared" si="1"/>
        <v>1851.861406</v>
      </c>
      <c r="D73" s="93"/>
      <c r="E73" s="94" t="str">
        <f>IFERROR(VLOOKUP($B73,S6M1!$A$1:$B$160,2,0),"0")</f>
        <v>0</v>
      </c>
      <c r="F73" s="95">
        <f>IFERROR(VLOOKUP(E73,S6M1!$B$1:$C$161,2,0),0)</f>
        <v>0</v>
      </c>
      <c r="G73" s="94">
        <f>IFERROR(VLOOKUP($B73,S6M2!$A$1:$B$160,2,0),"0")</f>
        <v>40</v>
      </c>
      <c r="H73" s="95">
        <f>IFERROR(VLOOKUP(G73,S6M2!$B$1:$C$161,2,0),0)</f>
        <v>347.400133</v>
      </c>
      <c r="I73" s="94">
        <f>IFERROR(VLOOKUP($B73,S6M3!$A$1:$B$161,2,0),0)</f>
        <v>38</v>
      </c>
      <c r="J73" s="95">
        <f>IFERROR(VLOOKUP(I73,S6M3!$B$1:$C$161,2,0),0)</f>
        <v>426.0597774</v>
      </c>
      <c r="K73" s="94">
        <f>IFERROR(VLOOKUP($B73,S6M4!$A$1:$B$160,2,0),"0")</f>
        <v>61</v>
      </c>
      <c r="L73" s="95">
        <f>IFERROR(VLOOKUP(K73,S6M4!$B$1:$C$161,2,0),0)</f>
        <v>61.81154242</v>
      </c>
      <c r="M73" s="94" t="str">
        <f>IFERROR(VLOOKUP($B73,S6M5!$A$1:$B$160,2,0),"0")</f>
        <v>0</v>
      </c>
      <c r="N73" s="95">
        <f>IFERROR(VLOOKUP(M73,S6M5!$B$1:$C$161,2,0),0)</f>
        <v>0</v>
      </c>
      <c r="O73" s="94" t="str">
        <f>IFERROR(VLOOKUP($B73,S6M6!$A$1:$B$160,2,0),"0")</f>
        <v>0</v>
      </c>
      <c r="P73" s="95">
        <f>IFERROR(VLOOKUP(O73,S6M6!$B$1:$C$161,2,0),0)</f>
        <v>0</v>
      </c>
      <c r="Q73" s="94" t="str">
        <f>IFERROR(VLOOKUP($B73,S6M7!$A$1:$B$160,2,0),"0")</f>
        <v>0</v>
      </c>
      <c r="R73" s="95">
        <f>IFERROR(VLOOKUP(Q73,S6M7!$B$1:$C$161,2,0),0)</f>
        <v>0</v>
      </c>
      <c r="S73" s="94">
        <f>IFERROR(VLOOKUP($B73,S6M8!$A$1:$B$160,2,0),"0")</f>
        <v>33</v>
      </c>
      <c r="T73" s="95">
        <f>IFERROR(VLOOKUP(S73,S6M8!$B$1:$C$161,2,0),0)</f>
        <v>363.5901973</v>
      </c>
      <c r="U73" s="94">
        <f>IFERROR(VLOOKUP($B73,S6M9!$A$1:$B$160,2,0),"0")</f>
        <v>19</v>
      </c>
      <c r="V73" s="95">
        <f>IFERROR(VLOOKUP(U73,S6M9!$B$1:$C$161,2,0),0)</f>
        <v>652.9997559</v>
      </c>
      <c r="W73" s="94" t="str">
        <f>IFERROR(VLOOKUP($B73,S6M10!$A$1:$B$160,2,0),"0")</f>
        <v>0</v>
      </c>
      <c r="X73" s="95">
        <f>IFERROR(VLOOKUP(W73,S6M10!$B$1:$C$161,2,0),0)</f>
        <v>0</v>
      </c>
      <c r="Y73" s="94" t="str">
        <f>IFERROR(VLOOKUP($B73,S6M11!$A$1:$B$160,2,0),"0")</f>
        <v>0</v>
      </c>
      <c r="Z73" s="95">
        <f>IFERROR(VLOOKUP(Y73,S6M11!$B$1:$C$161,2,0),0)</f>
        <v>0</v>
      </c>
      <c r="AA73" s="95">
        <f>IFERROR(VLOOKUP(E73,S6M1!$B$1:$C$161,2,0),0)</f>
        <v>0</v>
      </c>
      <c r="AB73" s="95">
        <f>IFERROR(VLOOKUP(G73,S6M2!$B$1:$C$161,2,0),0)</f>
        <v>347.400133</v>
      </c>
      <c r="AC73" s="95">
        <f>IFERROR(VLOOKUP(I73,S6M3!$B$1:$C$161,2,0),0)</f>
        <v>426.0597774</v>
      </c>
      <c r="AD73" s="95">
        <f>IFERROR(VLOOKUP(K73,S6M4!$B$1:$C$161,2,0),0)</f>
        <v>61.81154242</v>
      </c>
      <c r="AE73" s="95">
        <f>IFERROR(VLOOKUP(M73,S6M5!$B$1:$C$161,2,0),0)</f>
        <v>0</v>
      </c>
      <c r="AF73" s="95">
        <f>IFERROR(VLOOKUP(O73,S6M6!$B$1:$C$161,2,0),0)</f>
        <v>0</v>
      </c>
      <c r="AG73" s="95">
        <f>IFERROR(VLOOKUP(Q73,S6M7!$B$1:$C$161,2,0),0)</f>
        <v>0</v>
      </c>
      <c r="AH73" s="95">
        <f>IFERROR(VLOOKUP(S73,S6M8!$B$1:$C$161,2,0),0)</f>
        <v>363.5901973</v>
      </c>
      <c r="AI73" s="95">
        <f>IFERROR(VLOOKUP(U73,S6M9!$B$1:$C$161,2,0),0)</f>
        <v>652.9997559</v>
      </c>
      <c r="AJ73" s="95">
        <f>IFERROR(VLOOKUP(W73,S6M10!$B$1:$C$161,2,0),0)</f>
        <v>0</v>
      </c>
      <c r="AK73" s="95">
        <f>IFERROR(VLOOKUP(Y73,S6M11!$B$1:$C$161,2,0),0)</f>
        <v>0</v>
      </c>
    </row>
    <row r="74" ht="15.75" customHeight="1">
      <c r="A74" s="92">
        <v>73.0</v>
      </c>
      <c r="B74" s="16" t="s">
        <v>192</v>
      </c>
      <c r="C74" s="93">
        <f t="shared" si="1"/>
        <v>1851.024718</v>
      </c>
      <c r="D74" s="93"/>
      <c r="E74" s="94" t="str">
        <f>IFERROR(VLOOKUP($B74,S6M1!$A$1:$B$160,2,0),"0")</f>
        <v>0</v>
      </c>
      <c r="F74" s="95">
        <f>IFERROR(VLOOKUP(E74,S6M1!$B$1:$C$161,2,0),0)</f>
        <v>0</v>
      </c>
      <c r="G74" s="94">
        <f>IFERROR(VLOOKUP($B74,S6M2!$A$1:$B$160,2,0),"0")</f>
        <v>48</v>
      </c>
      <c r="H74" s="95">
        <f>IFERROR(VLOOKUP(G74,S6M2!$B$1:$C$161,2,0),0)</f>
        <v>225.7062481</v>
      </c>
      <c r="I74" s="94">
        <f>IFERROR(VLOOKUP($B74,S6M3!$A$1:$B$161,2,0),0)</f>
        <v>0</v>
      </c>
      <c r="J74" s="95">
        <f>IFERROR(VLOOKUP(I74,S6M3!$B$1:$C$161,2,0),0)</f>
        <v>0</v>
      </c>
      <c r="K74" s="94" t="str">
        <f>IFERROR(VLOOKUP($B74,S6M4!$A$1:$B$160,2,0),"0")</f>
        <v>0</v>
      </c>
      <c r="L74" s="95">
        <f>IFERROR(VLOOKUP(K74,S6M4!$B$1:$C$161,2,0),0)</f>
        <v>0</v>
      </c>
      <c r="M74" s="94">
        <f>IFERROR(VLOOKUP($B74,S6M5!$A$1:$B$160,2,0),"0")</f>
        <v>29</v>
      </c>
      <c r="N74" s="95">
        <f>IFERROR(VLOOKUP(M74,S6M5!$B$1:$C$161,2,0),0)</f>
        <v>485.8170287</v>
      </c>
      <c r="O74" s="94">
        <f>IFERROR(VLOOKUP($B74,S6M6!$A$1:$B$160,2,0),"0")</f>
        <v>47</v>
      </c>
      <c r="P74" s="95">
        <f>IFERROR(VLOOKUP(O74,S6M6!$B$1:$C$161,2,0),0)</f>
        <v>309.0339257</v>
      </c>
      <c r="Q74" s="94">
        <f>IFERROR(VLOOKUP($B74,S6M7!$A$1:$B$160,2,0),"0")</f>
        <v>14</v>
      </c>
      <c r="R74" s="95">
        <f>IFERROR(VLOOKUP(Q74,S6M7!$B$1:$C$161,2,0),0)</f>
        <v>830.467516</v>
      </c>
      <c r="S74" s="94" t="str">
        <f>IFERROR(VLOOKUP($B74,S6M8!$A$1:$B$160,2,0),"0")</f>
        <v>0</v>
      </c>
      <c r="T74" s="95">
        <f>IFERROR(VLOOKUP(S74,S6M8!$B$1:$C$161,2,0),0)</f>
        <v>0</v>
      </c>
      <c r="U74" s="94" t="str">
        <f>IFERROR(VLOOKUP($B74,S6M9!$A$1:$B$160,2,0),"0")</f>
        <v>0</v>
      </c>
      <c r="V74" s="95">
        <f>IFERROR(VLOOKUP(U74,S6M9!$B$1:$C$161,2,0),0)</f>
        <v>0</v>
      </c>
      <c r="W74" s="94" t="str">
        <f>IFERROR(VLOOKUP($B74,S6M10!$A$1:$B$160,2,0),"0")</f>
        <v>0</v>
      </c>
      <c r="X74" s="95">
        <f>IFERROR(VLOOKUP(W74,S6M10!$B$1:$C$161,2,0),0)</f>
        <v>0</v>
      </c>
      <c r="Y74" s="94" t="str">
        <f>IFERROR(VLOOKUP($B74,S6M11!$A$1:$B$160,2,0),"0")</f>
        <v>0</v>
      </c>
      <c r="Z74" s="95">
        <f>IFERROR(VLOOKUP(Y74,S6M11!$B$1:$C$161,2,0),0)</f>
        <v>0</v>
      </c>
      <c r="AA74" s="95">
        <f>IFERROR(VLOOKUP(E74,S6M1!$B$1:$C$161,2,0),0)</f>
        <v>0</v>
      </c>
      <c r="AB74" s="95">
        <f>IFERROR(VLOOKUP(G74,S6M2!$B$1:$C$161,2,0),0)</f>
        <v>225.7062481</v>
      </c>
      <c r="AC74" s="95">
        <f>IFERROR(VLOOKUP(I74,S6M3!$B$1:$C$161,2,0),0)</f>
        <v>0</v>
      </c>
      <c r="AD74" s="95">
        <f>IFERROR(VLOOKUP(K74,S6M4!$B$1:$C$161,2,0),0)</f>
        <v>0</v>
      </c>
      <c r="AE74" s="95">
        <f>IFERROR(VLOOKUP(M74,S6M5!$B$1:$C$161,2,0),0)</f>
        <v>485.8170287</v>
      </c>
      <c r="AF74" s="95">
        <f>IFERROR(VLOOKUP(O74,S6M6!$B$1:$C$161,2,0),0)</f>
        <v>309.0339257</v>
      </c>
      <c r="AG74" s="95">
        <f>IFERROR(VLOOKUP(Q74,S6M7!$B$1:$C$161,2,0),0)</f>
        <v>830.467516</v>
      </c>
      <c r="AH74" s="95">
        <f>IFERROR(VLOOKUP(S74,S6M8!$B$1:$C$161,2,0),0)</f>
        <v>0</v>
      </c>
      <c r="AI74" s="95">
        <f>IFERROR(VLOOKUP(U74,S6M9!$B$1:$C$161,2,0),0)</f>
        <v>0</v>
      </c>
      <c r="AJ74" s="95">
        <f>IFERROR(VLOOKUP(W74,S6M10!$B$1:$C$161,2,0),0)</f>
        <v>0</v>
      </c>
      <c r="AK74" s="95">
        <f>IFERROR(VLOOKUP(Y74,S6M11!$B$1:$C$161,2,0),0)</f>
        <v>0</v>
      </c>
    </row>
    <row r="75" ht="15.75" customHeight="1">
      <c r="A75" s="92">
        <v>74.0</v>
      </c>
      <c r="B75" s="17" t="s">
        <v>68</v>
      </c>
      <c r="C75" s="93">
        <f t="shared" si="1"/>
        <v>1772.677928</v>
      </c>
      <c r="D75" s="93"/>
      <c r="E75" s="94" t="str">
        <f>IFERROR(VLOOKUP($B75,S6M1!$A$1:$B$160,2,0),"0")</f>
        <v>0</v>
      </c>
      <c r="F75" s="95">
        <f>IFERROR(VLOOKUP(E75,S6M1!$B$1:$C$161,2,0),0)</f>
        <v>0</v>
      </c>
      <c r="G75" s="94" t="str">
        <f>IFERROR(VLOOKUP($B75,S6M2!$A$1:$B$160,2,0),"0")</f>
        <v>0</v>
      </c>
      <c r="H75" s="95">
        <f>IFERROR(VLOOKUP(G75,S6M2!$B$1:$C$161,2,0),0)</f>
        <v>0</v>
      </c>
      <c r="I75" s="94">
        <f>IFERROR(VLOOKUP($B75,S6M3!$A$1:$B$161,2,0),0)</f>
        <v>0</v>
      </c>
      <c r="J75" s="95">
        <f>IFERROR(VLOOKUP(I75,S6M3!$B$1:$C$161,2,0),0)</f>
        <v>0</v>
      </c>
      <c r="K75" s="94" t="str">
        <f>IFERROR(VLOOKUP($B75,S6M4!$A$1:$B$160,2,0),"0")</f>
        <v>0</v>
      </c>
      <c r="L75" s="95">
        <f>IFERROR(VLOOKUP(K75,S6M4!$B$1:$C$161,2,0),0)</f>
        <v>0</v>
      </c>
      <c r="M75" s="94">
        <f>IFERROR(VLOOKUP($B75,S6M5!$A$1:$B$160,2,0),"0")</f>
        <v>24</v>
      </c>
      <c r="N75" s="95">
        <f>IFERROR(VLOOKUP(M75,S6M5!$B$1:$C$161,2,0),0)</f>
        <v>594.2459249</v>
      </c>
      <c r="O75" s="94">
        <f>IFERROR(VLOOKUP($B75,S6M6!$A$1:$B$160,2,0),"0")</f>
        <v>49</v>
      </c>
      <c r="P75" s="95">
        <f>IFERROR(VLOOKUP(O75,S6M6!$B$1:$C$161,2,0),0)</f>
        <v>281.3645839</v>
      </c>
      <c r="Q75" s="94">
        <f>IFERROR(VLOOKUP($B75,S6M7!$A$1:$B$160,2,0),"0")</f>
        <v>51</v>
      </c>
      <c r="R75" s="95">
        <f>IFERROR(VLOOKUP(Q75,S6M7!$B$1:$C$161,2,0),0)</f>
        <v>45.08409724</v>
      </c>
      <c r="S75" s="94" t="str">
        <f>IFERROR(VLOOKUP($B75,S6M8!$A$1:$B$160,2,0),"0")</f>
        <v>0</v>
      </c>
      <c r="T75" s="95">
        <f>IFERROR(VLOOKUP(S75,S6M8!$B$1:$C$161,2,0),0)</f>
        <v>0</v>
      </c>
      <c r="U75" s="94">
        <f>IFERROR(VLOOKUP($B75,S6M9!$A$1:$B$160,2,0),"0")</f>
        <v>30</v>
      </c>
      <c r="V75" s="95">
        <f>IFERROR(VLOOKUP(U75,S6M9!$B$1:$C$161,2,0),0)</f>
        <v>388.3558454</v>
      </c>
      <c r="W75" s="94">
        <f>IFERROR(VLOOKUP($B75,S6M10!$A$1:$B$160,2,0),"0")</f>
        <v>25</v>
      </c>
      <c r="X75" s="95">
        <f>IFERROR(VLOOKUP(W75,S6M10!$B$1:$C$161,2,0),0)</f>
        <v>463.6274769</v>
      </c>
      <c r="Y75" s="94" t="str">
        <f>IFERROR(VLOOKUP($B75,S6M11!$A$1:$B$160,2,0),"0")</f>
        <v>0</v>
      </c>
      <c r="Z75" s="95">
        <f>IFERROR(VLOOKUP(Y75,S6M11!$B$1:$C$161,2,0),0)</f>
        <v>0</v>
      </c>
      <c r="AA75" s="97">
        <f>IFERROR(VLOOKUP(E75,S6M1!$B$1:$C$161,2,0),0)</f>
        <v>0</v>
      </c>
      <c r="AB75" s="97">
        <f>IFERROR(VLOOKUP(G75,S6M2!$B$1:$C$161,2,0),0)</f>
        <v>0</v>
      </c>
      <c r="AC75" s="97">
        <f>IFERROR(VLOOKUP(I75,S6M3!$B$1:$C$161,2,0),0)</f>
        <v>0</v>
      </c>
      <c r="AD75" s="97">
        <f>IFERROR(VLOOKUP(K75,S6M4!$B$1:$C$161,2,0),0)</f>
        <v>0</v>
      </c>
      <c r="AE75" s="97">
        <f>IFERROR(VLOOKUP(M75,S6M5!$B$1:$C$161,2,0),0)</f>
        <v>594.2459249</v>
      </c>
      <c r="AF75" s="97">
        <f>IFERROR(VLOOKUP(O75,S6M6!$B$1:$C$161,2,0),0)</f>
        <v>281.3645839</v>
      </c>
      <c r="AG75" s="97">
        <f>IFERROR(VLOOKUP(Q75,S6M7!$B$1:$C$161,2,0),0)</f>
        <v>45.08409724</v>
      </c>
      <c r="AH75" s="97">
        <f>IFERROR(VLOOKUP(S75,S6M8!$B$1:$C$161,2,0),0)</f>
        <v>0</v>
      </c>
      <c r="AI75" s="97">
        <f>IFERROR(VLOOKUP(U75,S6M9!$B$1:$C$161,2,0),0)</f>
        <v>388.3558454</v>
      </c>
      <c r="AJ75" s="97">
        <f>IFERROR(VLOOKUP(W75,S6M10!$B$1:$C$161,2,0),0)</f>
        <v>463.6274769</v>
      </c>
      <c r="AK75" s="97">
        <f>IFERROR(VLOOKUP(Y75,S6M11!$B$1:$C$161,2,0),0)</f>
        <v>0</v>
      </c>
    </row>
    <row r="76" ht="15.75" customHeight="1">
      <c r="A76" s="92">
        <v>75.0</v>
      </c>
      <c r="B76" s="6" t="s">
        <v>94</v>
      </c>
      <c r="C76" s="93">
        <f t="shared" si="1"/>
        <v>1698.7104</v>
      </c>
      <c r="D76" s="93"/>
      <c r="E76" s="94">
        <f>IFERROR(VLOOKUP($B76,S6M1!$A$1:$B$160,2,0),"0")</f>
        <v>11</v>
      </c>
      <c r="F76" s="95">
        <f>IFERROR(VLOOKUP(E76,S6M1!$B$1:$C$161,2,0),0)</f>
        <v>901.3186391</v>
      </c>
      <c r="G76" s="94">
        <f>IFERROR(VLOOKUP($B76,S6M2!$A$1:$B$160,2,0),"0")</f>
        <v>54</v>
      </c>
      <c r="H76" s="95">
        <f>IFERROR(VLOOKUP(G76,S6M2!$B$1:$C$161,2,0),0)</f>
        <v>141.8075046</v>
      </c>
      <c r="I76" s="94">
        <f>IFERROR(VLOOKUP($B76,S6M3!$A$1:$B$161,2,0),0)</f>
        <v>0</v>
      </c>
      <c r="J76" s="95">
        <f>IFERROR(VLOOKUP(I76,S6M3!$B$1:$C$161,2,0),0)</f>
        <v>0</v>
      </c>
      <c r="K76" s="94">
        <f>IFERROR(VLOOKUP($B76,S6M4!$A$1:$B$160,2,0),"0")</f>
        <v>24</v>
      </c>
      <c r="L76" s="95">
        <f>IFERROR(VLOOKUP(K76,S6M4!$B$1:$C$161,2,0),0)</f>
        <v>655.5842559</v>
      </c>
      <c r="M76" s="94" t="str">
        <f>IFERROR(VLOOKUP($B76,S6M5!$A$1:$B$160,2,0),"0")</f>
        <v>0</v>
      </c>
      <c r="N76" s="95">
        <f>IFERROR(VLOOKUP(M76,S6M5!$B$1:$C$161,2,0),0)</f>
        <v>0</v>
      </c>
      <c r="O76" s="94" t="str">
        <f>IFERROR(VLOOKUP($B76,S6M6!$A$1:$B$160,2,0),"0")</f>
        <v>0</v>
      </c>
      <c r="P76" s="95">
        <f>IFERROR(VLOOKUP(O76,S6M6!$B$1:$C$161,2,0),0)</f>
        <v>0</v>
      </c>
      <c r="Q76" s="94" t="str">
        <f>IFERROR(VLOOKUP($B76,S6M7!$A$1:$B$160,2,0),"0")</f>
        <v>0</v>
      </c>
      <c r="R76" s="95">
        <f>IFERROR(VLOOKUP(Q76,S6M7!$B$1:$C$161,2,0),0)</f>
        <v>0</v>
      </c>
      <c r="S76" s="94" t="str">
        <f>IFERROR(VLOOKUP($B76,S6M8!$A$1:$B$160,2,0),"0")</f>
        <v>0</v>
      </c>
      <c r="T76" s="95">
        <f>IFERROR(VLOOKUP(S76,S6M8!$B$1:$C$161,2,0),0)</f>
        <v>0</v>
      </c>
      <c r="U76" s="94" t="str">
        <f>IFERROR(VLOOKUP($B76,S6M9!$A$1:$B$160,2,0),"0")</f>
        <v>0</v>
      </c>
      <c r="V76" s="95">
        <f>IFERROR(VLOOKUP(U76,S6M9!$B$1:$C$161,2,0),0)</f>
        <v>0</v>
      </c>
      <c r="W76" s="94" t="str">
        <f>IFERROR(VLOOKUP($B76,S6M10!$A$1:$B$160,2,0),"0")</f>
        <v>0</v>
      </c>
      <c r="X76" s="95">
        <f>IFERROR(VLOOKUP(W76,S6M10!$B$1:$C$161,2,0),0)</f>
        <v>0</v>
      </c>
      <c r="Y76" s="94" t="str">
        <f>IFERROR(VLOOKUP($B76,S6M11!$A$1:$B$160,2,0),"0")</f>
        <v>0</v>
      </c>
      <c r="Z76" s="95">
        <f>IFERROR(VLOOKUP(Y76,S6M11!$B$1:$C$161,2,0),0)</f>
        <v>0</v>
      </c>
      <c r="AA76" s="95">
        <f>IFERROR(VLOOKUP(E76,S6M1!$B$1:$C$161,2,0),0)</f>
        <v>901.3186391</v>
      </c>
      <c r="AB76" s="95">
        <f>IFERROR(VLOOKUP(G76,S6M2!$B$1:$C$161,2,0),0)</f>
        <v>141.8075046</v>
      </c>
      <c r="AC76" s="95">
        <f>IFERROR(VLOOKUP(I76,S6M3!$B$1:$C$161,2,0),0)</f>
        <v>0</v>
      </c>
      <c r="AD76" s="95">
        <f>IFERROR(VLOOKUP(K76,S6M4!$B$1:$C$161,2,0),0)</f>
        <v>655.5842559</v>
      </c>
      <c r="AE76" s="95">
        <f>IFERROR(VLOOKUP(M76,S6M5!$B$1:$C$161,2,0),0)</f>
        <v>0</v>
      </c>
      <c r="AF76" s="95">
        <f>IFERROR(VLOOKUP(O76,S6M6!$B$1:$C$161,2,0),0)</f>
        <v>0</v>
      </c>
      <c r="AG76" s="95">
        <f>IFERROR(VLOOKUP(Q76,S6M7!$B$1:$C$161,2,0),0)</f>
        <v>0</v>
      </c>
      <c r="AH76" s="95">
        <f>IFERROR(VLOOKUP(S76,S6M8!$B$1:$C$161,2,0),0)</f>
        <v>0</v>
      </c>
      <c r="AI76" s="95">
        <f>IFERROR(VLOOKUP(U76,S6M9!$B$1:$C$161,2,0),0)</f>
        <v>0</v>
      </c>
      <c r="AJ76" s="95">
        <f>IFERROR(VLOOKUP(W76,S6M10!$B$1:$C$161,2,0),0)</f>
        <v>0</v>
      </c>
      <c r="AK76" s="95">
        <f>IFERROR(VLOOKUP(Y76,S6M11!$B$1:$C$161,2,0),0)</f>
        <v>0</v>
      </c>
    </row>
    <row r="77" ht="15.75" customHeight="1">
      <c r="A77" s="92">
        <v>76.0</v>
      </c>
      <c r="B77" s="98" t="s">
        <v>60</v>
      </c>
      <c r="C77" s="93">
        <f t="shared" si="1"/>
        <v>1677.905889</v>
      </c>
      <c r="D77" s="93"/>
      <c r="E77" s="94" t="str">
        <f>IFERROR(VLOOKUP($B77,S6M1!$A$1:$B$160,2,0),"0")</f>
        <v>0</v>
      </c>
      <c r="F77" s="95">
        <f>IFERROR(VLOOKUP(E77,S6M1!$B$1:$C$161,2,0),0)</f>
        <v>0</v>
      </c>
      <c r="G77" s="94" t="str">
        <f>IFERROR(VLOOKUP($B77,S6M2!$A$1:$B$160,2,0),"0")</f>
        <v>0</v>
      </c>
      <c r="H77" s="95">
        <f>IFERROR(VLOOKUP(G77,S6M2!$B$1:$C$161,2,0),0)</f>
        <v>0</v>
      </c>
      <c r="I77" s="94">
        <f>IFERROR(VLOOKUP($B77,S6M3!$A$1:$B$161,2,0),0)</f>
        <v>20</v>
      </c>
      <c r="J77" s="95">
        <f>IFERROR(VLOOKUP(I77,S6M3!$B$1:$C$161,2,0),0)</f>
        <v>781.5899428</v>
      </c>
      <c r="K77" s="94">
        <f>IFERROR(VLOOKUP($B77,S6M4!$A$1:$B$160,2,0),"0")</f>
        <v>32</v>
      </c>
      <c r="L77" s="95">
        <f>IFERROR(VLOOKUP(K77,S6M4!$B$1:$C$161,2,0),0)</f>
        <v>493.8822952</v>
      </c>
      <c r="M77" s="94" t="str">
        <f>IFERROR(VLOOKUP($B77,S6M5!$A$1:$B$160,2,0),"0")</f>
        <v>0</v>
      </c>
      <c r="N77" s="95">
        <f>IFERROR(VLOOKUP(M77,S6M5!$B$1:$C$161,2,0),0)</f>
        <v>0</v>
      </c>
      <c r="O77" s="94" t="str">
        <f>IFERROR(VLOOKUP($B77,S6M6!$A$1:$B$160,2,0),"0")</f>
        <v>0</v>
      </c>
      <c r="P77" s="95">
        <f>IFERROR(VLOOKUP(O77,S6M6!$B$1:$C$161,2,0),0)</f>
        <v>0</v>
      </c>
      <c r="Q77" s="94" t="str">
        <f>IFERROR(VLOOKUP($B77,S6M7!$A$1:$B$160,2,0),"0")</f>
        <v>0</v>
      </c>
      <c r="R77" s="95">
        <f>IFERROR(VLOOKUP(Q77,S6M7!$B$1:$C$161,2,0),0)</f>
        <v>0</v>
      </c>
      <c r="S77" s="94">
        <f>IFERROR(VLOOKUP($B77,S6M8!$A$1:$B$160,2,0),"0")</f>
        <v>36</v>
      </c>
      <c r="T77" s="95">
        <f>IFERROR(VLOOKUP(S77,S6M8!$B$1:$C$161,2,0),0)</f>
        <v>307.2528681</v>
      </c>
      <c r="U77" s="94">
        <f>IFERROR(VLOOKUP($B77,S6M9!$A$1:$B$160,2,0),"0")</f>
        <v>46</v>
      </c>
      <c r="V77" s="95">
        <f>IFERROR(VLOOKUP(U77,S6M9!$B$1:$C$161,2,0),0)</f>
        <v>95.18078268</v>
      </c>
      <c r="W77" s="94" t="str">
        <f>IFERROR(VLOOKUP($B77,S6M10!$A$1:$B$160,2,0),"0")</f>
        <v>0</v>
      </c>
      <c r="X77" s="95">
        <f>IFERROR(VLOOKUP(W77,S6M10!$B$1:$C$161,2,0),0)</f>
        <v>0</v>
      </c>
      <c r="Y77" s="94" t="str">
        <f>IFERROR(VLOOKUP($B77,S6M11!$A$1:$B$160,2,0),"0")</f>
        <v>0</v>
      </c>
      <c r="Z77" s="95">
        <f>IFERROR(VLOOKUP(Y77,S6M11!$B$1:$C$161,2,0),0)</f>
        <v>0</v>
      </c>
      <c r="AA77" s="95">
        <f>IFERROR(VLOOKUP(E77,S6M1!$B$1:$C$161,2,0),0)</f>
        <v>0</v>
      </c>
      <c r="AB77" s="95">
        <f>IFERROR(VLOOKUP(G77,S6M2!$B$1:$C$161,2,0),0)</f>
        <v>0</v>
      </c>
      <c r="AC77" s="95">
        <f>IFERROR(VLOOKUP(I77,S6M3!$B$1:$C$161,2,0),0)</f>
        <v>781.5899428</v>
      </c>
      <c r="AD77" s="95">
        <f>IFERROR(VLOOKUP(K77,S6M4!$B$1:$C$161,2,0),0)</f>
        <v>493.8822952</v>
      </c>
      <c r="AE77" s="95">
        <f>IFERROR(VLOOKUP(M77,S6M5!$B$1:$C$161,2,0),0)</f>
        <v>0</v>
      </c>
      <c r="AF77" s="95">
        <f>IFERROR(VLOOKUP(O77,S6M6!$B$1:$C$161,2,0),0)</f>
        <v>0</v>
      </c>
      <c r="AG77" s="95">
        <f>IFERROR(VLOOKUP(Q77,S6M7!$B$1:$C$161,2,0),0)</f>
        <v>0</v>
      </c>
      <c r="AH77" s="95">
        <f>IFERROR(VLOOKUP(S77,S6M8!$B$1:$C$161,2,0),0)</f>
        <v>307.2528681</v>
      </c>
      <c r="AI77" s="95">
        <f>IFERROR(VLOOKUP(U77,S6M9!$B$1:$C$161,2,0),0)</f>
        <v>95.18078268</v>
      </c>
      <c r="AJ77" s="95">
        <f>IFERROR(VLOOKUP(W77,S6M10!$B$1:$C$161,2,0),0)</f>
        <v>0</v>
      </c>
      <c r="AK77" s="95">
        <f>IFERROR(VLOOKUP(Y77,S6M11!$B$1:$C$161,2,0),0)</f>
        <v>0</v>
      </c>
    </row>
    <row r="78" ht="15.75" customHeight="1">
      <c r="A78" s="92">
        <v>77.0</v>
      </c>
      <c r="B78" s="17" t="s">
        <v>75</v>
      </c>
      <c r="C78" s="93">
        <f t="shared" si="1"/>
        <v>1617.314636</v>
      </c>
      <c r="D78" s="93"/>
      <c r="E78" s="94" t="str">
        <f>IFERROR(VLOOKUP($B78,S6M1!$A$1:$B$160,2,0),"0")</f>
        <v>0</v>
      </c>
      <c r="F78" s="95">
        <f>IFERROR(VLOOKUP(E78,S6M1!$B$1:$C$161,2,0),0)</f>
        <v>0</v>
      </c>
      <c r="G78" s="94" t="str">
        <f>IFERROR(VLOOKUP($B78,S6M2!$A$1:$B$160,2,0),"0")</f>
        <v>0</v>
      </c>
      <c r="H78" s="95">
        <f>IFERROR(VLOOKUP(G78,S6M2!$B$1:$C$161,2,0),0)</f>
        <v>0</v>
      </c>
      <c r="I78" s="94">
        <f>IFERROR(VLOOKUP($B78,S6M3!$A$1:$B$161,2,0),0)</f>
        <v>0</v>
      </c>
      <c r="J78" s="95">
        <f>IFERROR(VLOOKUP(I78,S6M3!$B$1:$C$161,2,0),0)</f>
        <v>0</v>
      </c>
      <c r="K78" s="94" t="str">
        <f>IFERROR(VLOOKUP($B78,S6M4!$A$1:$B$160,2,0),"0")</f>
        <v>0</v>
      </c>
      <c r="L78" s="95">
        <f>IFERROR(VLOOKUP(K78,S6M4!$B$1:$C$161,2,0),0)</f>
        <v>0</v>
      </c>
      <c r="M78" s="94">
        <f>IFERROR(VLOOKUP($B78,S6M5!$A$1:$B$160,2,0),"0")</f>
        <v>33</v>
      </c>
      <c r="N78" s="95">
        <f>IFERROR(VLOOKUP(M78,S6M5!$B$1:$C$161,2,0),0)</f>
        <v>407.6578797</v>
      </c>
      <c r="O78" s="94" t="str">
        <f>IFERROR(VLOOKUP($B78,S6M6!$A$1:$B$160,2,0),"0")</f>
        <v>0</v>
      </c>
      <c r="P78" s="95">
        <f>IFERROR(VLOOKUP(O78,S6M6!$B$1:$C$161,2,0),0)</f>
        <v>0</v>
      </c>
      <c r="Q78" s="94" t="str">
        <f>IFERROR(VLOOKUP($B78,S6M7!$A$1:$B$160,2,0),"0")</f>
        <v>0</v>
      </c>
      <c r="R78" s="95">
        <f>IFERROR(VLOOKUP(Q78,S6M7!$B$1:$C$161,2,0),0)</f>
        <v>0</v>
      </c>
      <c r="S78" s="94" t="str">
        <f>IFERROR(VLOOKUP($B78,S6M8!$A$1:$B$160,2,0),"0")</f>
        <v>0</v>
      </c>
      <c r="T78" s="95">
        <f>IFERROR(VLOOKUP(S78,S6M8!$B$1:$C$161,2,0),0)</f>
        <v>0</v>
      </c>
      <c r="U78" s="94">
        <f>IFERROR(VLOOKUP($B78,S6M9!$A$1:$B$160,2,0),"0")</f>
        <v>7</v>
      </c>
      <c r="V78" s="95">
        <f>IFERROR(VLOOKUP(U78,S6M9!$B$1:$C$161,2,0),0)</f>
        <v>1142.945397</v>
      </c>
      <c r="W78" s="94">
        <f>IFERROR(VLOOKUP($B78,S6M10!$A$1:$B$160,2,0),"0")</f>
        <v>45</v>
      </c>
      <c r="X78" s="95">
        <f>IFERROR(VLOOKUP(W78,S6M10!$B$1:$C$161,2,0),0)</f>
        <v>66.7113593</v>
      </c>
      <c r="Y78" s="94" t="str">
        <f>IFERROR(VLOOKUP($B78,S6M11!$A$1:$B$160,2,0),"0")</f>
        <v>0</v>
      </c>
      <c r="Z78" s="95">
        <f>IFERROR(VLOOKUP(Y78,S6M11!$B$1:$C$161,2,0),0)</f>
        <v>0</v>
      </c>
      <c r="AA78" s="97">
        <f>IFERROR(VLOOKUP(E78,S6M1!$B$1:$C$161,2,0),0)</f>
        <v>0</v>
      </c>
      <c r="AB78" s="97">
        <f>IFERROR(VLOOKUP(G78,S6M2!$B$1:$C$161,2,0),0)</f>
        <v>0</v>
      </c>
      <c r="AC78" s="97">
        <f>IFERROR(VLOOKUP(I78,S6M3!$B$1:$C$161,2,0),0)</f>
        <v>0</v>
      </c>
      <c r="AD78" s="97">
        <f>IFERROR(VLOOKUP(K78,S6M4!$B$1:$C$161,2,0),0)</f>
        <v>0</v>
      </c>
      <c r="AE78" s="97">
        <f>IFERROR(VLOOKUP(M78,S6M5!$B$1:$C$161,2,0),0)</f>
        <v>407.6578797</v>
      </c>
      <c r="AF78" s="97">
        <f>IFERROR(VLOOKUP(O78,S6M6!$B$1:$C$161,2,0),0)</f>
        <v>0</v>
      </c>
      <c r="AG78" s="97">
        <f>IFERROR(VLOOKUP(Q78,S6M7!$B$1:$C$161,2,0),0)</f>
        <v>0</v>
      </c>
      <c r="AH78" s="97">
        <f>IFERROR(VLOOKUP(S78,S6M8!$B$1:$C$161,2,0),0)</f>
        <v>0</v>
      </c>
      <c r="AI78" s="97">
        <f>IFERROR(VLOOKUP(U78,S6M9!$B$1:$C$161,2,0),0)</f>
        <v>1142.945397</v>
      </c>
      <c r="AJ78" s="97">
        <f>IFERROR(VLOOKUP(W78,S6M10!$B$1:$C$161,2,0),0)</f>
        <v>66.7113593</v>
      </c>
      <c r="AK78" s="97">
        <f>IFERROR(VLOOKUP(Y78,S6M11!$B$1:$C$161,2,0),0)</f>
        <v>0</v>
      </c>
    </row>
    <row r="79" ht="15.75" customHeight="1">
      <c r="A79" s="92">
        <v>78.0</v>
      </c>
      <c r="B79" s="105" t="s">
        <v>63</v>
      </c>
      <c r="C79" s="93">
        <f t="shared" si="1"/>
        <v>1580.8621</v>
      </c>
      <c r="D79" s="93"/>
      <c r="E79" s="94" t="str">
        <f>IFERROR(VLOOKUP($B79,S6M1!$A$1:$B$160,2,0),"0")</f>
        <v>0</v>
      </c>
      <c r="F79" s="95">
        <f>IFERROR(VLOOKUP(E79,S6M1!$B$1:$C$161,2,0),0)</f>
        <v>0</v>
      </c>
      <c r="G79" s="94" t="str">
        <f>IFERROR(VLOOKUP($B79,S6M2!$A$1:$B$160,2,0),"0")</f>
        <v>0</v>
      </c>
      <c r="H79" s="95">
        <f>IFERROR(VLOOKUP(G79,S6M2!$B$1:$C$161,2,0),0)</f>
        <v>0</v>
      </c>
      <c r="I79" s="94">
        <f>IFERROR(VLOOKUP($B79,S6M3!$A$1:$B$161,2,0),0)</f>
        <v>0</v>
      </c>
      <c r="J79" s="95">
        <f>IFERROR(VLOOKUP(I79,S6M3!$B$1:$C$161,2,0),0)</f>
        <v>0</v>
      </c>
      <c r="K79" s="94" t="str">
        <f>IFERROR(VLOOKUP($B79,S6M4!$A$1:$B$160,2,0),"0")</f>
        <v>0</v>
      </c>
      <c r="L79" s="95">
        <f>IFERROR(VLOOKUP(K79,S6M4!$B$1:$C$161,2,0),0)</f>
        <v>0</v>
      </c>
      <c r="M79" s="94" t="str">
        <f>IFERROR(VLOOKUP($B79,S6M5!$A$1:$B$160,2,0),"0")</f>
        <v>0</v>
      </c>
      <c r="N79" s="95">
        <f>IFERROR(VLOOKUP(M79,S6M5!$B$1:$C$161,2,0),0)</f>
        <v>0</v>
      </c>
      <c r="O79" s="94" t="str">
        <f>IFERROR(VLOOKUP($B79,S6M6!$A$1:$B$160,2,0),"0")</f>
        <v>0</v>
      </c>
      <c r="P79" s="95">
        <f>IFERROR(VLOOKUP(O79,S6M6!$B$1:$C$161,2,0),0)</f>
        <v>0</v>
      </c>
      <c r="Q79" s="94" t="str">
        <f>IFERROR(VLOOKUP($B79,S6M7!$A$1:$B$160,2,0),"0")</f>
        <v>0</v>
      </c>
      <c r="R79" s="95">
        <f>IFERROR(VLOOKUP(Q79,S6M7!$B$1:$C$161,2,0),0)</f>
        <v>0</v>
      </c>
      <c r="S79" s="94">
        <f>IFERROR(VLOOKUP($B79,S6M8!$A$1:$B$160,2,0),"0")</f>
        <v>11</v>
      </c>
      <c r="T79" s="95">
        <f>IFERROR(VLOOKUP(S79,S6M8!$B$1:$C$161,2,0),0)</f>
        <v>957.02322</v>
      </c>
      <c r="U79" s="94">
        <f>IFERROR(VLOOKUP($B79,S6M9!$A$1:$B$160,2,0),"0")</f>
        <v>24</v>
      </c>
      <c r="V79" s="95">
        <f>IFERROR(VLOOKUP(U79,S6M9!$B$1:$C$161,2,0),0)</f>
        <v>522.6280321</v>
      </c>
      <c r="W79" s="94" t="str">
        <f>IFERROR(VLOOKUP($B79,S6M10!$A$1:$B$160,2,0),"0")</f>
        <v>0</v>
      </c>
      <c r="X79" s="95">
        <f>IFERROR(VLOOKUP(W79,S6M10!$B$1:$C$161,2,0),0)</f>
        <v>0</v>
      </c>
      <c r="Y79" s="94">
        <f>IFERROR(VLOOKUP($B79,S6M11!$A$1:$B$160,2,0),"0")</f>
        <v>43</v>
      </c>
      <c r="Z79" s="95">
        <f>IFERROR(VLOOKUP(Y79,S6M11!$B$1:$C$161,2,0),0)</f>
        <v>101.210848</v>
      </c>
      <c r="AA79" s="97">
        <f>IFERROR(VLOOKUP(E79,S6M1!$B$1:$C$161,2,0),0)</f>
        <v>0</v>
      </c>
      <c r="AB79" s="97">
        <f>IFERROR(VLOOKUP(G79,S6M2!$B$1:$C$161,2,0),0)</f>
        <v>0</v>
      </c>
      <c r="AC79" s="97">
        <f>IFERROR(VLOOKUP(I79,S6M3!$B$1:$C$161,2,0),0)</f>
        <v>0</v>
      </c>
      <c r="AD79" s="97">
        <f>IFERROR(VLOOKUP(K79,S6M4!$B$1:$C$161,2,0),0)</f>
        <v>0</v>
      </c>
      <c r="AE79" s="97">
        <f>IFERROR(VLOOKUP(M79,S6M5!$B$1:$C$161,2,0),0)</f>
        <v>0</v>
      </c>
      <c r="AF79" s="97">
        <f>IFERROR(VLOOKUP(O79,S6M6!$B$1:$C$161,2,0),0)</f>
        <v>0</v>
      </c>
      <c r="AG79" s="97">
        <f>IFERROR(VLOOKUP(Q79,S6M7!$B$1:$C$161,2,0),0)</f>
        <v>0</v>
      </c>
      <c r="AH79" s="97">
        <f>IFERROR(VLOOKUP(S79,S6M8!$B$1:$C$161,2,0),0)</f>
        <v>957.02322</v>
      </c>
      <c r="AI79" s="97">
        <f>IFERROR(VLOOKUP(U79,S6M9!$B$1:$C$161,2,0),0)</f>
        <v>522.6280321</v>
      </c>
      <c r="AJ79" s="97">
        <f>IFERROR(VLOOKUP(W79,S6M10!$B$1:$C$161,2,0),0)</f>
        <v>0</v>
      </c>
      <c r="AK79" s="97">
        <f>IFERROR(VLOOKUP(Y79,S6M11!$B$1:$C$161,2,0),0)</f>
        <v>101.210848</v>
      </c>
    </row>
    <row r="80" ht="15.75" customHeight="1">
      <c r="A80" s="92">
        <v>79.0</v>
      </c>
      <c r="B80" s="99" t="s">
        <v>101</v>
      </c>
      <c r="C80" s="93">
        <f t="shared" si="1"/>
        <v>1554.57383</v>
      </c>
      <c r="D80" s="93"/>
      <c r="E80" s="94" t="str">
        <f>IFERROR(VLOOKUP($B80,S6M1!$A$1:$B$160,2,0),"0")</f>
        <v>0</v>
      </c>
      <c r="F80" s="95">
        <f>IFERROR(VLOOKUP(E80,S6M1!$B$1:$C$161,2,0),0)</f>
        <v>0</v>
      </c>
      <c r="G80" s="94" t="str">
        <f>IFERROR(VLOOKUP($B80,S6M2!$A$1:$B$160,2,0),"0")</f>
        <v>0</v>
      </c>
      <c r="H80" s="95">
        <f>IFERROR(VLOOKUP(G80,S6M2!$B$1:$C$161,2,0),0)</f>
        <v>0</v>
      </c>
      <c r="I80" s="94">
        <f>IFERROR(VLOOKUP($B80,S6M3!$A$1:$B$161,2,0),0)</f>
        <v>37</v>
      </c>
      <c r="J80" s="95">
        <f>IFERROR(VLOOKUP(I80,S6M3!$B$1:$C$161,2,0),0)</f>
        <v>442.3132668</v>
      </c>
      <c r="K80" s="94">
        <f>IFERROR(VLOOKUP($B80,S6M4!$A$1:$B$160,2,0),"0")</f>
        <v>58</v>
      </c>
      <c r="L80" s="95">
        <f>IFERROR(VLOOKUP(K80,S6M4!$B$1:$C$161,2,0),0)</f>
        <v>100.1532447</v>
      </c>
      <c r="M80" s="94" t="str">
        <f>IFERROR(VLOOKUP($B80,S6M5!$A$1:$B$160,2,0),"0")</f>
        <v>0</v>
      </c>
      <c r="N80" s="95">
        <f>IFERROR(VLOOKUP(M80,S6M5!$B$1:$C$161,2,0),0)</f>
        <v>0</v>
      </c>
      <c r="O80" s="94" t="str">
        <f>IFERROR(VLOOKUP($B80,S6M6!$A$1:$B$160,2,0),"0")</f>
        <v>0</v>
      </c>
      <c r="P80" s="95">
        <f>IFERROR(VLOOKUP(O80,S6M6!$B$1:$C$161,2,0),0)</f>
        <v>0</v>
      </c>
      <c r="Q80" s="94">
        <f>IFERROR(VLOOKUP($B80,S6M7!$A$1:$B$160,2,0),"0")</f>
        <v>43</v>
      </c>
      <c r="R80" s="95">
        <f>IFERROR(VLOOKUP(Q80,S6M7!$B$1:$C$161,2,0),0)</f>
        <v>172.5123687</v>
      </c>
      <c r="S80" s="94">
        <f>IFERROR(VLOOKUP($B80,S6M8!$A$1:$B$160,2,0),"0")</f>
        <v>14</v>
      </c>
      <c r="T80" s="95">
        <f>IFERROR(VLOOKUP(S80,S6M8!$B$1:$C$161,2,0),0)</f>
        <v>839.5949499</v>
      </c>
      <c r="U80" s="94" t="str">
        <f>IFERROR(VLOOKUP($B80,S6M9!$A$1:$B$160,2,0),"0")</f>
        <v>0</v>
      </c>
      <c r="V80" s="95">
        <f>IFERROR(VLOOKUP(U80,S6M9!$B$1:$C$161,2,0),0)</f>
        <v>0</v>
      </c>
      <c r="W80" s="94" t="str">
        <f>IFERROR(VLOOKUP($B80,S6M10!$A$1:$B$160,2,0),"0")</f>
        <v>0</v>
      </c>
      <c r="X80" s="95">
        <f>IFERROR(VLOOKUP(W80,S6M10!$B$1:$C$161,2,0),0)</f>
        <v>0</v>
      </c>
      <c r="Y80" s="94" t="str">
        <f>IFERROR(VLOOKUP($B80,S6M11!$A$1:$B$160,2,0),"0")</f>
        <v>0</v>
      </c>
      <c r="Z80" s="95">
        <f>IFERROR(VLOOKUP(Y80,S6M11!$B$1:$C$161,2,0),0)</f>
        <v>0</v>
      </c>
      <c r="AA80" s="95">
        <f>IFERROR(VLOOKUP(E80,S6M1!$B$1:$C$161,2,0),0)</f>
        <v>0</v>
      </c>
      <c r="AB80" s="95">
        <f>IFERROR(VLOOKUP(G80,S6M2!$B$1:$C$161,2,0),0)</f>
        <v>0</v>
      </c>
      <c r="AC80" s="95">
        <f>IFERROR(VLOOKUP(I80,S6M3!$B$1:$C$161,2,0),0)</f>
        <v>442.3132668</v>
      </c>
      <c r="AD80" s="95">
        <f>IFERROR(VLOOKUP(K80,S6M4!$B$1:$C$161,2,0),0)</f>
        <v>100.1532447</v>
      </c>
      <c r="AE80" s="95">
        <f>IFERROR(VLOOKUP(M80,S6M5!$B$1:$C$161,2,0),0)</f>
        <v>0</v>
      </c>
      <c r="AF80" s="95">
        <f>IFERROR(VLOOKUP(O80,S6M6!$B$1:$C$161,2,0),0)</f>
        <v>0</v>
      </c>
      <c r="AG80" s="95">
        <f>IFERROR(VLOOKUP(Q80,S6M7!$B$1:$C$161,2,0),0)</f>
        <v>172.5123687</v>
      </c>
      <c r="AH80" s="95">
        <f>IFERROR(VLOOKUP(S80,S6M8!$B$1:$C$161,2,0),0)</f>
        <v>839.5949499</v>
      </c>
      <c r="AI80" s="95">
        <f>IFERROR(VLOOKUP(U80,S6M9!$B$1:$C$161,2,0),0)</f>
        <v>0</v>
      </c>
      <c r="AJ80" s="95">
        <f>IFERROR(VLOOKUP(W80,S6M10!$B$1:$C$161,2,0),0)</f>
        <v>0</v>
      </c>
      <c r="AK80" s="95">
        <f>IFERROR(VLOOKUP(Y80,S6M11!$B$1:$C$161,2,0),0)</f>
        <v>0</v>
      </c>
    </row>
    <row r="81" ht="15.75" customHeight="1">
      <c r="A81" s="92">
        <v>80.0</v>
      </c>
      <c r="B81" s="24" t="s">
        <v>103</v>
      </c>
      <c r="C81" s="93">
        <f t="shared" si="1"/>
        <v>1509.80356</v>
      </c>
      <c r="D81" s="93"/>
      <c r="E81" s="94" t="str">
        <f>IFERROR(VLOOKUP($B81,S6M1!$A$1:$B$160,2,0),"0")</f>
        <v>0</v>
      </c>
      <c r="F81" s="95">
        <f>IFERROR(VLOOKUP(E81,S6M1!$B$1:$C$161,2,0),0)</f>
        <v>0</v>
      </c>
      <c r="G81" s="94" t="str">
        <f>IFERROR(VLOOKUP($B81,S6M2!$A$1:$B$160,2,0),"0")</f>
        <v>0</v>
      </c>
      <c r="H81" s="95">
        <f>IFERROR(VLOOKUP(G81,S6M2!$B$1:$C$161,2,0),0)</f>
        <v>0</v>
      </c>
      <c r="I81" s="94">
        <f>IFERROR(VLOOKUP($B81,S6M3!$A$1:$B$161,2,0),0)</f>
        <v>0</v>
      </c>
      <c r="J81" s="95">
        <f>IFERROR(VLOOKUP(I81,S6M3!$B$1:$C$161,2,0),0)</f>
        <v>0</v>
      </c>
      <c r="K81" s="94" t="str">
        <f>IFERROR(VLOOKUP($B81,S6M4!$A$1:$B$160,2,0),"0")</f>
        <v>0</v>
      </c>
      <c r="L81" s="95">
        <f>IFERROR(VLOOKUP(K81,S6M4!$B$1:$C$161,2,0),0)</f>
        <v>0</v>
      </c>
      <c r="M81" s="94" t="str">
        <f>IFERROR(VLOOKUP($B81,S6M5!$A$1:$B$160,2,0),"0")</f>
        <v>0</v>
      </c>
      <c r="N81" s="95">
        <f>IFERROR(VLOOKUP(M81,S6M5!$B$1:$C$161,2,0),0)</f>
        <v>0</v>
      </c>
      <c r="O81" s="94" t="str">
        <f>IFERROR(VLOOKUP($B81,S6M6!$A$1:$B$160,2,0),"0")</f>
        <v>0</v>
      </c>
      <c r="P81" s="95">
        <f>IFERROR(VLOOKUP(O81,S6M6!$B$1:$C$161,2,0),0)</f>
        <v>0</v>
      </c>
      <c r="Q81" s="94" t="str">
        <f>IFERROR(VLOOKUP($B81,S6M7!$A$1:$B$160,2,0),"0")</f>
        <v>0</v>
      </c>
      <c r="R81" s="95">
        <f>IFERROR(VLOOKUP(Q81,S6M7!$B$1:$C$161,2,0),0)</f>
        <v>0</v>
      </c>
      <c r="S81" s="94" t="str">
        <f>IFERROR(VLOOKUP($B81,S6M8!$A$1:$B$160,2,0),"0")</f>
        <v>0</v>
      </c>
      <c r="T81" s="95">
        <f>IFERROR(VLOOKUP(S81,S6M8!$B$1:$C$161,2,0),0)</f>
        <v>0</v>
      </c>
      <c r="U81" s="94" t="str">
        <f>IFERROR(VLOOKUP($B81,S6M9!$A$1:$B$160,2,0),"0")</f>
        <v>0</v>
      </c>
      <c r="V81" s="95">
        <f>IFERROR(VLOOKUP(U81,S6M9!$B$1:$C$161,2,0),0)</f>
        <v>0</v>
      </c>
      <c r="W81" s="94">
        <f>IFERROR(VLOOKUP($B81,S6M10!$A$1:$B$160,2,0),"0")</f>
        <v>3</v>
      </c>
      <c r="X81" s="95">
        <f>IFERROR(VLOOKUP(W81,S6M10!$B$1:$C$161,2,0),0)</f>
        <v>1509.80356</v>
      </c>
      <c r="Y81" s="94" t="str">
        <f>IFERROR(VLOOKUP($B81,S6M11!$A$1:$B$160,2,0),"0")</f>
        <v>0</v>
      </c>
      <c r="Z81" s="95">
        <f>IFERROR(VLOOKUP(Y81,S6M11!$B$1:$C$161,2,0),0)</f>
        <v>0</v>
      </c>
      <c r="AA81" s="97">
        <f>IFERROR(VLOOKUP(E81,S6M1!$B$1:$C$161,2,0),0)</f>
        <v>0</v>
      </c>
      <c r="AB81" s="97">
        <f>IFERROR(VLOOKUP(G81,S6M2!$B$1:$C$161,2,0),0)</f>
        <v>0</v>
      </c>
      <c r="AC81" s="97">
        <f>IFERROR(VLOOKUP(I81,S6M3!$B$1:$C$161,2,0),0)</f>
        <v>0</v>
      </c>
      <c r="AD81" s="97">
        <f>IFERROR(VLOOKUP(K81,S6M4!$B$1:$C$161,2,0),0)</f>
        <v>0</v>
      </c>
      <c r="AE81" s="97">
        <f>IFERROR(VLOOKUP(M81,S6M5!$B$1:$C$161,2,0),0)</f>
        <v>0</v>
      </c>
      <c r="AF81" s="97">
        <f>IFERROR(VLOOKUP(O81,S6M6!$B$1:$C$161,2,0),0)</f>
        <v>0</v>
      </c>
      <c r="AG81" s="97">
        <f>IFERROR(VLOOKUP(Q81,S6M7!$B$1:$C$161,2,0),0)</f>
        <v>0</v>
      </c>
      <c r="AH81" s="97">
        <f>IFERROR(VLOOKUP(S81,S6M8!$B$1:$C$161,2,0),0)</f>
        <v>0</v>
      </c>
      <c r="AI81" s="97">
        <f>IFERROR(VLOOKUP(U81,S6M9!$B$1:$C$161,2,0),0)</f>
        <v>0</v>
      </c>
      <c r="AJ81" s="97">
        <f>IFERROR(VLOOKUP(W81,S6M10!$B$1:$C$161,2,0),0)</f>
        <v>1509.80356</v>
      </c>
      <c r="AK81" s="97">
        <f>IFERROR(VLOOKUP(Y81,S6M11!$B$1:$C$161,2,0),0)</f>
        <v>0</v>
      </c>
    </row>
    <row r="82" ht="15.75" customHeight="1">
      <c r="A82" s="92">
        <v>81.0</v>
      </c>
      <c r="B82" s="101" t="s">
        <v>73</v>
      </c>
      <c r="C82" s="93">
        <f t="shared" si="1"/>
        <v>1418.495489</v>
      </c>
      <c r="D82" s="93"/>
      <c r="E82" s="94" t="str">
        <f>IFERROR(VLOOKUP($B82,S6M1!$A$1:$B$160,2,0),"0")</f>
        <v>0</v>
      </c>
      <c r="F82" s="95">
        <f>IFERROR(VLOOKUP(E82,S6M1!$B$1:$C$161,2,0),0)</f>
        <v>0</v>
      </c>
      <c r="G82" s="94" t="str">
        <f>IFERROR(VLOOKUP($B82,S6M2!$A$1:$B$160,2,0),"0")</f>
        <v>0</v>
      </c>
      <c r="H82" s="95">
        <f>IFERROR(VLOOKUP(G82,S6M2!$B$1:$C$161,2,0),0)</f>
        <v>0</v>
      </c>
      <c r="I82" s="94">
        <f>IFERROR(VLOOKUP($B82,S6M3!$A$1:$B$161,2,0),0)</f>
        <v>68</v>
      </c>
      <c r="J82" s="95">
        <f>IFERROR(VLOOKUP(I82,S6M3!$B$1:$C$161,2,0),0)</f>
        <v>23.02338758</v>
      </c>
      <c r="K82" s="94" t="str">
        <f>IFERROR(VLOOKUP($B82,S6M4!$A$1:$B$160,2,0),"0")</f>
        <v>0</v>
      </c>
      <c r="L82" s="95">
        <f>IFERROR(VLOOKUP(K82,S6M4!$B$1:$C$161,2,0),0)</f>
        <v>0</v>
      </c>
      <c r="M82" s="94" t="str">
        <f>IFERROR(VLOOKUP($B82,S6M5!$A$1:$B$160,2,0),"0")</f>
        <v>0</v>
      </c>
      <c r="N82" s="95">
        <f>IFERROR(VLOOKUP(M82,S6M5!$B$1:$C$161,2,0),0)</f>
        <v>0</v>
      </c>
      <c r="O82" s="94">
        <f>IFERROR(VLOOKUP($B82,S6M6!$A$1:$B$160,2,0),"0")</f>
        <v>29</v>
      </c>
      <c r="P82" s="95">
        <f>IFERROR(VLOOKUP(O82,S6M6!$B$1:$C$161,2,0),0)</f>
        <v>599.7352433</v>
      </c>
      <c r="Q82" s="94">
        <f>IFERROR(VLOOKUP($B82,S6M7!$A$1:$B$160,2,0),"0")</f>
        <v>37</v>
      </c>
      <c r="R82" s="95">
        <f>IFERROR(VLOOKUP(Q82,S6M7!$B$1:$C$161,2,0),0)</f>
        <v>276.8172548</v>
      </c>
      <c r="S82" s="94" t="str">
        <f>IFERROR(VLOOKUP($B82,S6M8!$A$1:$B$160,2,0),"0")</f>
        <v>0</v>
      </c>
      <c r="T82" s="95">
        <f>IFERROR(VLOOKUP(S82,S6M8!$B$1:$C$161,2,0),0)</f>
        <v>0</v>
      </c>
      <c r="U82" s="94" t="str">
        <f>IFERROR(VLOOKUP($B82,S6M9!$A$1:$B$160,2,0),"0")</f>
        <v>0</v>
      </c>
      <c r="V82" s="95">
        <f>IFERROR(VLOOKUP(U82,S6M9!$B$1:$C$161,2,0),0)</f>
        <v>0</v>
      </c>
      <c r="W82" s="94">
        <f>IFERROR(VLOOKUP($B82,S6M10!$A$1:$B$160,2,0),"0")</f>
        <v>32</v>
      </c>
      <c r="X82" s="95">
        <f>IFERROR(VLOOKUP(W82,S6M10!$B$1:$C$161,2,0),0)</f>
        <v>308.7481427</v>
      </c>
      <c r="Y82" s="94">
        <f>IFERROR(VLOOKUP($B82,S6M11!$A$1:$B$160,2,0),"0")</f>
        <v>37</v>
      </c>
      <c r="Z82" s="95">
        <f>IFERROR(VLOOKUP(Y82,S6M11!$B$1:$C$161,2,0),0)</f>
        <v>210.1714604</v>
      </c>
      <c r="AA82" s="97">
        <f>IFERROR(VLOOKUP(E82,S6M1!$B$1:$C$161,2,0),0)</f>
        <v>0</v>
      </c>
      <c r="AB82" s="97">
        <f>IFERROR(VLOOKUP(G82,S6M2!$B$1:$C$161,2,0),0)</f>
        <v>0</v>
      </c>
      <c r="AC82" s="97">
        <f>IFERROR(VLOOKUP(I82,S6M3!$B$1:$C$161,2,0),0)</f>
        <v>23.02338758</v>
      </c>
      <c r="AD82" s="97">
        <f>IFERROR(VLOOKUP(K82,S6M4!$B$1:$C$161,2,0),0)</f>
        <v>0</v>
      </c>
      <c r="AE82" s="97">
        <f>IFERROR(VLOOKUP(M82,S6M5!$B$1:$C$161,2,0),0)</f>
        <v>0</v>
      </c>
      <c r="AF82" s="97">
        <f>IFERROR(VLOOKUP(O82,S6M6!$B$1:$C$161,2,0),0)</f>
        <v>599.7352433</v>
      </c>
      <c r="AG82" s="97">
        <f>IFERROR(VLOOKUP(Q82,S6M7!$B$1:$C$161,2,0),0)</f>
        <v>276.8172548</v>
      </c>
      <c r="AH82" s="97">
        <f>IFERROR(VLOOKUP(S82,S6M8!$B$1:$C$161,2,0),0)</f>
        <v>0</v>
      </c>
      <c r="AI82" s="97">
        <f>IFERROR(VLOOKUP(U82,S6M9!$B$1:$C$161,2,0),0)</f>
        <v>0</v>
      </c>
      <c r="AJ82" s="97">
        <f>IFERROR(VLOOKUP(W82,S6M10!$B$1:$C$161,2,0),0)</f>
        <v>308.7481427</v>
      </c>
      <c r="AK82" s="97">
        <f>IFERROR(VLOOKUP(Y82,S6M11!$B$1:$C$161,2,0),0)</f>
        <v>210.1714604</v>
      </c>
    </row>
    <row r="83" ht="15.75" customHeight="1">
      <c r="A83" s="92">
        <v>82.0</v>
      </c>
      <c r="B83" s="6" t="s">
        <v>90</v>
      </c>
      <c r="C83" s="93">
        <f t="shared" si="1"/>
        <v>1357.102941</v>
      </c>
      <c r="D83" s="93"/>
      <c r="E83" s="94">
        <f>IFERROR(VLOOKUP($B83,S6M1!$A$1:$B$160,2,0),"0")</f>
        <v>24</v>
      </c>
      <c r="F83" s="95">
        <f>IFERROR(VLOOKUP(E83,S6M1!$B$1:$C$161,2,0),0)</f>
        <v>487.8992216</v>
      </c>
      <c r="G83" s="94" t="str">
        <f>IFERROR(VLOOKUP($B83,S6M2!$A$1:$B$160,2,0),"0")</f>
        <v>0</v>
      </c>
      <c r="H83" s="95">
        <f>IFERROR(VLOOKUP(G83,S6M2!$B$1:$C$161,2,0),0)</f>
        <v>0</v>
      </c>
      <c r="I83" s="94">
        <f>IFERROR(VLOOKUP($B83,S6M3!$A$1:$B$161,2,0),0)</f>
        <v>0</v>
      </c>
      <c r="J83" s="95">
        <f>IFERROR(VLOOKUP(I83,S6M3!$B$1:$C$161,2,0),0)</f>
        <v>0</v>
      </c>
      <c r="K83" s="94" t="str">
        <f>IFERROR(VLOOKUP($B83,S6M4!$A$1:$B$160,2,0),"0")</f>
        <v>0</v>
      </c>
      <c r="L83" s="95">
        <f>IFERROR(VLOOKUP(K83,S6M4!$B$1:$C$161,2,0),0)</f>
        <v>0</v>
      </c>
      <c r="M83" s="94" t="str">
        <f>IFERROR(VLOOKUP($B83,S6M5!$A$1:$B$160,2,0),"0")</f>
        <v>0</v>
      </c>
      <c r="N83" s="95">
        <f>IFERROR(VLOOKUP(M83,S6M5!$B$1:$C$161,2,0),0)</f>
        <v>0</v>
      </c>
      <c r="O83" s="94">
        <f>IFERROR(VLOOKUP($B83,S6M6!$A$1:$B$160,2,0),"0")</f>
        <v>30</v>
      </c>
      <c r="P83" s="95">
        <f>IFERROR(VLOOKUP(O83,S6M6!$B$1:$C$161,2,0),0)</f>
        <v>580.8441121</v>
      </c>
      <c r="Q83" s="94" t="str">
        <f>IFERROR(VLOOKUP($B83,S6M7!$A$1:$B$160,2,0),"0")</f>
        <v>0</v>
      </c>
      <c r="R83" s="95">
        <f>IFERROR(VLOOKUP(Q83,S6M7!$B$1:$C$161,2,0),0)</f>
        <v>0</v>
      </c>
      <c r="S83" s="94" t="str">
        <f>IFERROR(VLOOKUP($B83,S6M8!$A$1:$B$160,2,0),"0")</f>
        <v>0</v>
      </c>
      <c r="T83" s="95">
        <f>IFERROR(VLOOKUP(S83,S6M8!$B$1:$C$161,2,0),0)</f>
        <v>0</v>
      </c>
      <c r="U83" s="94" t="str">
        <f>IFERROR(VLOOKUP($B83,S6M9!$A$1:$B$160,2,0),"0")</f>
        <v>0</v>
      </c>
      <c r="V83" s="95">
        <f>IFERROR(VLOOKUP(U83,S6M9!$B$1:$C$161,2,0),0)</f>
        <v>0</v>
      </c>
      <c r="W83" s="94">
        <f>IFERROR(VLOOKUP($B83,S6M10!$A$1:$B$160,2,0),"0")</f>
        <v>33</v>
      </c>
      <c r="X83" s="95">
        <f>IFERROR(VLOOKUP(W83,S6M10!$B$1:$C$161,2,0),0)</f>
        <v>288.3596068</v>
      </c>
      <c r="Y83" s="94" t="str">
        <f>IFERROR(VLOOKUP($B83,S6M11!$A$1:$B$160,2,0),"0")</f>
        <v>0</v>
      </c>
      <c r="Z83" s="95">
        <f>IFERROR(VLOOKUP(Y83,S6M11!$B$1:$C$161,2,0),0)</f>
        <v>0</v>
      </c>
      <c r="AA83" s="95">
        <f>IFERROR(VLOOKUP(E83,S6M1!$B$1:$C$161,2,0),0)</f>
        <v>487.8992216</v>
      </c>
      <c r="AB83" s="95">
        <f>IFERROR(VLOOKUP(G83,S6M2!$B$1:$C$161,2,0),0)</f>
        <v>0</v>
      </c>
      <c r="AC83" s="95">
        <f>IFERROR(VLOOKUP(I83,S6M3!$B$1:$C$161,2,0),0)</f>
        <v>0</v>
      </c>
      <c r="AD83" s="95">
        <f>IFERROR(VLOOKUP(K83,S6M4!$B$1:$C$161,2,0),0)</f>
        <v>0</v>
      </c>
      <c r="AE83" s="95">
        <f>IFERROR(VLOOKUP(M83,S6M5!$B$1:$C$161,2,0),0)</f>
        <v>0</v>
      </c>
      <c r="AF83" s="95">
        <f>IFERROR(VLOOKUP(O83,S6M6!$B$1:$C$161,2,0),0)</f>
        <v>580.8441121</v>
      </c>
      <c r="AG83" s="95">
        <f>IFERROR(VLOOKUP(Q83,S6M7!$B$1:$C$161,2,0),0)</f>
        <v>0</v>
      </c>
      <c r="AH83" s="95">
        <f>IFERROR(VLOOKUP(S83,S6M8!$B$1:$C$161,2,0),0)</f>
        <v>0</v>
      </c>
      <c r="AI83" s="95">
        <f>IFERROR(VLOOKUP(U83,S6M9!$B$1:$C$161,2,0),0)</f>
        <v>0</v>
      </c>
      <c r="AJ83" s="95">
        <f>IFERROR(VLOOKUP(W83,S6M10!$B$1:$C$161,2,0),0)</f>
        <v>288.3596068</v>
      </c>
      <c r="AK83" s="95">
        <f>IFERROR(VLOOKUP(Y83,S6M11!$B$1:$C$161,2,0),0)</f>
        <v>0</v>
      </c>
    </row>
    <row r="84" ht="15.75" customHeight="1">
      <c r="A84" s="92">
        <v>83.0</v>
      </c>
      <c r="B84" s="99" t="s">
        <v>88</v>
      </c>
      <c r="C84" s="93">
        <f t="shared" si="1"/>
        <v>1352.10255</v>
      </c>
      <c r="D84" s="93"/>
      <c r="E84" s="94" t="str">
        <f>IFERROR(VLOOKUP($B84,S6M1!$A$1:$B$160,2,0),"0")</f>
        <v>0</v>
      </c>
      <c r="F84" s="95">
        <f>IFERROR(VLOOKUP(E84,S6M1!$B$1:$C$161,2,0),0)</f>
        <v>0</v>
      </c>
      <c r="G84" s="94" t="str">
        <f>IFERROR(VLOOKUP($B84,S6M2!$A$1:$B$160,2,0),"0")</f>
        <v>0</v>
      </c>
      <c r="H84" s="95">
        <f>IFERROR(VLOOKUP(G84,S6M2!$B$1:$C$161,2,0),0)</f>
        <v>0</v>
      </c>
      <c r="I84" s="94">
        <f>IFERROR(VLOOKUP($B84,S6M3!$A$1:$B$161,2,0),0)</f>
        <v>43</v>
      </c>
      <c r="J84" s="95">
        <f>IFERROR(VLOOKUP(I84,S6M3!$B$1:$C$161,2,0),0)</f>
        <v>348.5484111</v>
      </c>
      <c r="K84" s="94" t="str">
        <f>IFERROR(VLOOKUP($B84,S6M4!$A$1:$B$160,2,0),"0")</f>
        <v>0</v>
      </c>
      <c r="L84" s="95">
        <f>IFERROR(VLOOKUP(K84,S6M4!$B$1:$C$161,2,0),0)</f>
        <v>0</v>
      </c>
      <c r="M84" s="94" t="str">
        <f>IFERROR(VLOOKUP($B84,S6M5!$A$1:$B$160,2,0),"0")</f>
        <v>0</v>
      </c>
      <c r="N84" s="95">
        <f>IFERROR(VLOOKUP(M84,S6M5!$B$1:$C$161,2,0),0)</f>
        <v>0</v>
      </c>
      <c r="O84" s="94">
        <f>IFERROR(VLOOKUP($B84,S6M6!$A$1:$B$160,2,0),"0")</f>
        <v>45</v>
      </c>
      <c r="P84" s="95">
        <f>IFERROR(VLOOKUP(O84,S6M6!$B$1:$C$161,2,0),0)</f>
        <v>337.4047951</v>
      </c>
      <c r="Q84" s="94" t="str">
        <f>IFERROR(VLOOKUP($B84,S6M7!$A$1:$B$160,2,0),"0")</f>
        <v>0</v>
      </c>
      <c r="R84" s="95">
        <f>IFERROR(VLOOKUP(Q84,S6M7!$B$1:$C$161,2,0),0)</f>
        <v>0</v>
      </c>
      <c r="S84" s="94">
        <f>IFERROR(VLOOKUP($B84,S6M8!$A$1:$B$160,2,0),"0")</f>
        <v>27</v>
      </c>
      <c r="T84" s="95">
        <f>IFERROR(VLOOKUP(S84,S6M8!$B$1:$C$161,2,0),0)</f>
        <v>486.5584958</v>
      </c>
      <c r="U84" s="94">
        <f>IFERROR(VLOOKUP($B84,S6M9!$A$1:$B$160,2,0),"0")</f>
        <v>41</v>
      </c>
      <c r="V84" s="95">
        <f>IFERROR(VLOOKUP(U84,S6M9!$B$1:$C$161,2,0),0)</f>
        <v>179.5908476</v>
      </c>
      <c r="W84" s="94" t="str">
        <f>IFERROR(VLOOKUP($B84,S6M10!$A$1:$B$160,2,0),"0")</f>
        <v>0</v>
      </c>
      <c r="X84" s="95">
        <f>IFERROR(VLOOKUP(W84,S6M10!$B$1:$C$161,2,0),0)</f>
        <v>0</v>
      </c>
      <c r="Y84" s="94" t="str">
        <f>IFERROR(VLOOKUP($B84,S6M11!$A$1:$B$160,2,0),"0")</f>
        <v>0</v>
      </c>
      <c r="Z84" s="95">
        <f>IFERROR(VLOOKUP(Y84,S6M11!$B$1:$C$161,2,0),0)</f>
        <v>0</v>
      </c>
      <c r="AA84" s="95">
        <f>IFERROR(VLOOKUP(E84,S6M1!$B$1:$C$161,2,0),0)</f>
        <v>0</v>
      </c>
      <c r="AB84" s="95">
        <f>IFERROR(VLOOKUP(G84,S6M2!$B$1:$C$161,2,0),0)</f>
        <v>0</v>
      </c>
      <c r="AC84" s="95">
        <f>IFERROR(VLOOKUP(I84,S6M3!$B$1:$C$161,2,0),0)</f>
        <v>348.5484111</v>
      </c>
      <c r="AD84" s="95">
        <f>IFERROR(VLOOKUP(K84,S6M4!$B$1:$C$161,2,0),0)</f>
        <v>0</v>
      </c>
      <c r="AE84" s="95">
        <f>IFERROR(VLOOKUP(M84,S6M5!$B$1:$C$161,2,0),0)</f>
        <v>0</v>
      </c>
      <c r="AF84" s="95">
        <f>IFERROR(VLOOKUP(O84,S6M6!$B$1:$C$161,2,0),0)</f>
        <v>337.4047951</v>
      </c>
      <c r="AG84" s="95">
        <f>IFERROR(VLOOKUP(Q84,S6M7!$B$1:$C$161,2,0),0)</f>
        <v>0</v>
      </c>
      <c r="AH84" s="95">
        <f>IFERROR(VLOOKUP(S84,S6M8!$B$1:$C$161,2,0),0)</f>
        <v>486.5584958</v>
      </c>
      <c r="AI84" s="95">
        <f>IFERROR(VLOOKUP(U84,S6M9!$B$1:$C$161,2,0),0)</f>
        <v>179.5908476</v>
      </c>
      <c r="AJ84" s="95">
        <f>IFERROR(VLOOKUP(W84,S6M10!$B$1:$C$161,2,0),0)</f>
        <v>0</v>
      </c>
      <c r="AK84" s="95">
        <f>IFERROR(VLOOKUP(Y84,S6M11!$B$1:$C$161,2,0),0)</f>
        <v>0</v>
      </c>
    </row>
    <row r="85" ht="15.75" customHeight="1">
      <c r="A85" s="92">
        <v>84.0</v>
      </c>
      <c r="B85" s="24" t="s">
        <v>91</v>
      </c>
      <c r="C85" s="93">
        <f t="shared" si="1"/>
        <v>1330.075117</v>
      </c>
      <c r="D85" s="93"/>
      <c r="E85" s="94" t="str">
        <f>IFERROR(VLOOKUP($B85,S6M1!$A$1:$B$160,2,0),"0")</f>
        <v>0</v>
      </c>
      <c r="F85" s="95">
        <f>IFERROR(VLOOKUP(E85,S6M1!$B$1:$C$161,2,0),0)</f>
        <v>0</v>
      </c>
      <c r="G85" s="94" t="str">
        <f>IFERROR(VLOOKUP($B85,S6M2!$A$1:$B$160,2,0),"0")</f>
        <v>0</v>
      </c>
      <c r="H85" s="95">
        <f>IFERROR(VLOOKUP(G85,S6M2!$B$1:$C$161,2,0),0)</f>
        <v>0</v>
      </c>
      <c r="I85" s="94">
        <f>IFERROR(VLOOKUP($B85,S6M3!$A$1:$B$161,2,0),0)</f>
        <v>0</v>
      </c>
      <c r="J85" s="95">
        <f>IFERROR(VLOOKUP(I85,S6M3!$B$1:$C$161,2,0),0)</f>
        <v>0</v>
      </c>
      <c r="K85" s="94" t="str">
        <f>IFERROR(VLOOKUP($B85,S6M4!$A$1:$B$160,2,0),"0")</f>
        <v>0</v>
      </c>
      <c r="L85" s="95">
        <f>IFERROR(VLOOKUP(K85,S6M4!$B$1:$C$161,2,0),0)</f>
        <v>0</v>
      </c>
      <c r="M85" s="94" t="str">
        <f>IFERROR(VLOOKUP($B85,S6M5!$A$1:$B$160,2,0),"0")</f>
        <v>0</v>
      </c>
      <c r="N85" s="95">
        <f>IFERROR(VLOOKUP(M85,S6M5!$B$1:$C$161,2,0),0)</f>
        <v>0</v>
      </c>
      <c r="O85" s="94" t="str">
        <f>IFERROR(VLOOKUP($B85,S6M6!$A$1:$B$160,2,0),"0")</f>
        <v>0</v>
      </c>
      <c r="P85" s="95">
        <f>IFERROR(VLOOKUP(O85,S6M6!$B$1:$C$161,2,0),0)</f>
        <v>0</v>
      </c>
      <c r="Q85" s="94">
        <f>IFERROR(VLOOKUP($B85,S6M7!$A$1:$B$160,2,0),"0")</f>
        <v>28</v>
      </c>
      <c r="R85" s="95">
        <f>IFERROR(VLOOKUP(Q85,S6M7!$B$1:$C$161,2,0),0)</f>
        <v>453.9191522</v>
      </c>
      <c r="S85" s="94">
        <f>IFERROR(VLOOKUP($B85,S6M8!$A$1:$B$160,2,0),"0")</f>
        <v>13</v>
      </c>
      <c r="T85" s="95">
        <f>IFERROR(VLOOKUP(S85,S6M8!$B$1:$C$161,2,0),0)</f>
        <v>876.1559653</v>
      </c>
      <c r="U85" s="94" t="str">
        <f>IFERROR(VLOOKUP($B85,S6M9!$A$1:$B$160,2,0),"0")</f>
        <v>0</v>
      </c>
      <c r="V85" s="95">
        <f>IFERROR(VLOOKUP(U85,S6M9!$B$1:$C$161,2,0),0)</f>
        <v>0</v>
      </c>
      <c r="W85" s="94" t="str">
        <f>IFERROR(VLOOKUP($B85,S6M10!$A$1:$B$160,2,0),"0")</f>
        <v>0</v>
      </c>
      <c r="X85" s="95">
        <f>IFERROR(VLOOKUP(W85,S6M10!$B$1:$C$161,2,0),0)</f>
        <v>0</v>
      </c>
      <c r="Y85" s="94" t="str">
        <f>IFERROR(VLOOKUP($B85,S6M11!$A$1:$B$160,2,0),"0")</f>
        <v>0</v>
      </c>
      <c r="Z85" s="95">
        <f>IFERROR(VLOOKUP(Y85,S6M11!$B$1:$C$161,2,0),0)</f>
        <v>0</v>
      </c>
      <c r="AA85" s="97">
        <f>IFERROR(VLOOKUP(E85,S6M1!$B$1:$C$161,2,0),0)</f>
        <v>0</v>
      </c>
      <c r="AB85" s="97">
        <f>IFERROR(VLOOKUP(G85,S6M2!$B$1:$C$161,2,0),0)</f>
        <v>0</v>
      </c>
      <c r="AC85" s="97">
        <f>IFERROR(VLOOKUP(I85,S6M3!$B$1:$C$161,2,0),0)</f>
        <v>0</v>
      </c>
      <c r="AD85" s="97">
        <f>IFERROR(VLOOKUP(K85,S6M4!$B$1:$C$161,2,0),0)</f>
        <v>0</v>
      </c>
      <c r="AE85" s="97">
        <f>IFERROR(VLOOKUP(M85,S6M5!$B$1:$C$161,2,0),0)</f>
        <v>0</v>
      </c>
      <c r="AF85" s="97">
        <f>IFERROR(VLOOKUP(O85,S6M6!$B$1:$C$161,2,0),0)</f>
        <v>0</v>
      </c>
      <c r="AG85" s="97">
        <f>IFERROR(VLOOKUP(Q85,S6M7!$B$1:$C$161,2,0),0)</f>
        <v>453.9191522</v>
      </c>
      <c r="AH85" s="97">
        <f>IFERROR(VLOOKUP(S85,S6M8!$B$1:$C$161,2,0),0)</f>
        <v>876.1559653</v>
      </c>
      <c r="AI85" s="97">
        <f>IFERROR(VLOOKUP(U85,S6M9!$B$1:$C$161,2,0),0)</f>
        <v>0</v>
      </c>
      <c r="AJ85" s="97">
        <f>IFERROR(VLOOKUP(W85,S6M10!$B$1:$C$161,2,0),0)</f>
        <v>0</v>
      </c>
      <c r="AK85" s="97">
        <f>IFERROR(VLOOKUP(Y85,S6M11!$B$1:$C$161,2,0),0)</f>
        <v>0</v>
      </c>
    </row>
    <row r="86" ht="15.75" customHeight="1">
      <c r="A86" s="92">
        <v>85.0</v>
      </c>
      <c r="B86" s="6" t="s">
        <v>105</v>
      </c>
      <c r="C86" s="93">
        <f t="shared" si="1"/>
        <v>1317.404579</v>
      </c>
      <c r="D86" s="93"/>
      <c r="E86" s="94" t="str">
        <f>IFERROR(VLOOKUP($B86,S6M1!$A$1:$B$160,2,0),"0")</f>
        <v>0</v>
      </c>
      <c r="F86" s="95">
        <f>IFERROR(VLOOKUP(E86,S6M1!$B$1:$C$161,2,0),0)</f>
        <v>0</v>
      </c>
      <c r="G86" s="94">
        <f>IFERROR(VLOOKUP($B86,S6M2!$A$1:$B$160,2,0),"0")</f>
        <v>6</v>
      </c>
      <c r="H86" s="95">
        <f>IFERROR(VLOOKUP(G86,S6M2!$B$1:$C$161,2,0),0)</f>
        <v>1317.404579</v>
      </c>
      <c r="I86" s="94">
        <f>IFERROR(VLOOKUP($B86,S6M3!$A$1:$B$161,2,0),0)</f>
        <v>0</v>
      </c>
      <c r="J86" s="95">
        <f>IFERROR(VLOOKUP(I86,S6M3!$B$1:$C$161,2,0),0)</f>
        <v>0</v>
      </c>
      <c r="K86" s="94" t="str">
        <f>IFERROR(VLOOKUP($B86,S6M4!$A$1:$B$160,2,0),"0")</f>
        <v>0</v>
      </c>
      <c r="L86" s="95">
        <f>IFERROR(VLOOKUP(K86,S6M4!$B$1:$C$161,2,0),0)</f>
        <v>0</v>
      </c>
      <c r="M86" s="94" t="str">
        <f>IFERROR(VLOOKUP($B86,S6M5!$A$1:$B$160,2,0),"0")</f>
        <v>0</v>
      </c>
      <c r="N86" s="95">
        <f>IFERROR(VLOOKUP(M86,S6M5!$B$1:$C$161,2,0),0)</f>
        <v>0</v>
      </c>
      <c r="O86" s="94" t="str">
        <f>IFERROR(VLOOKUP($B86,S6M6!$A$1:$B$160,2,0),"0")</f>
        <v>0</v>
      </c>
      <c r="P86" s="95">
        <f>IFERROR(VLOOKUP(O86,S6M6!$B$1:$C$161,2,0),0)</f>
        <v>0</v>
      </c>
      <c r="Q86" s="94" t="str">
        <f>IFERROR(VLOOKUP($B86,S6M7!$A$1:$B$160,2,0),"0")</f>
        <v>0</v>
      </c>
      <c r="R86" s="95">
        <f>IFERROR(VLOOKUP(Q86,S6M7!$B$1:$C$161,2,0),0)</f>
        <v>0</v>
      </c>
      <c r="S86" s="94" t="str">
        <f>IFERROR(VLOOKUP($B86,S6M8!$A$1:$B$160,2,0),"0")</f>
        <v>0</v>
      </c>
      <c r="T86" s="95">
        <f>IFERROR(VLOOKUP(S86,S6M8!$B$1:$C$161,2,0),0)</f>
        <v>0</v>
      </c>
      <c r="U86" s="94" t="str">
        <f>IFERROR(VLOOKUP($B86,S6M9!$A$1:$B$160,2,0),"0")</f>
        <v>0</v>
      </c>
      <c r="V86" s="95">
        <f>IFERROR(VLOOKUP(U86,S6M9!$B$1:$C$161,2,0),0)</f>
        <v>0</v>
      </c>
      <c r="W86" s="94" t="str">
        <f>IFERROR(VLOOKUP($B86,S6M10!$A$1:$B$160,2,0),"0")</f>
        <v>0</v>
      </c>
      <c r="X86" s="95">
        <f>IFERROR(VLOOKUP(W86,S6M10!$B$1:$C$161,2,0),0)</f>
        <v>0</v>
      </c>
      <c r="Y86" s="94" t="str">
        <f>IFERROR(VLOOKUP($B86,S6M11!$A$1:$B$160,2,0),"0")</f>
        <v>0</v>
      </c>
      <c r="Z86" s="95">
        <f>IFERROR(VLOOKUP(Y86,S6M11!$B$1:$C$161,2,0),0)</f>
        <v>0</v>
      </c>
      <c r="AA86" s="95">
        <f>IFERROR(VLOOKUP(E86,S6M1!$B$1:$C$161,2,0),0)</f>
        <v>0</v>
      </c>
      <c r="AB86" s="95">
        <f>IFERROR(VLOOKUP(G86,S6M2!$B$1:$C$161,2,0),0)</f>
        <v>1317.404579</v>
      </c>
      <c r="AC86" s="95">
        <f>IFERROR(VLOOKUP(I86,S6M3!$B$1:$C$161,2,0),0)</f>
        <v>0</v>
      </c>
      <c r="AD86" s="95">
        <f>IFERROR(VLOOKUP(K86,S6M4!$B$1:$C$161,2,0),0)</f>
        <v>0</v>
      </c>
      <c r="AE86" s="95">
        <f>IFERROR(VLOOKUP(M86,S6M5!$B$1:$C$161,2,0),0)</f>
        <v>0</v>
      </c>
      <c r="AF86" s="95">
        <f>IFERROR(VLOOKUP(O86,S6M6!$B$1:$C$161,2,0),0)</f>
        <v>0</v>
      </c>
      <c r="AG86" s="95">
        <f>IFERROR(VLOOKUP(Q86,S6M7!$B$1:$C$161,2,0),0)</f>
        <v>0</v>
      </c>
      <c r="AH86" s="95">
        <f>IFERROR(VLOOKUP(S86,S6M8!$B$1:$C$161,2,0),0)</f>
        <v>0</v>
      </c>
      <c r="AI86" s="95">
        <f>IFERROR(VLOOKUP(U86,S6M9!$B$1:$C$161,2,0),0)</f>
        <v>0</v>
      </c>
      <c r="AJ86" s="95">
        <f>IFERROR(VLOOKUP(W86,S6M10!$B$1:$C$161,2,0),0)</f>
        <v>0</v>
      </c>
      <c r="AK86" s="95">
        <f>IFERROR(VLOOKUP(Y86,S6M11!$B$1:$C$161,2,0),0)</f>
        <v>0</v>
      </c>
    </row>
    <row r="87" ht="15.75" customHeight="1">
      <c r="A87" s="92">
        <v>86.0</v>
      </c>
      <c r="B87" s="24" t="s">
        <v>95</v>
      </c>
      <c r="C87" s="93">
        <f t="shared" si="1"/>
        <v>1284.315552</v>
      </c>
      <c r="D87" s="93"/>
      <c r="E87" s="94" t="str">
        <f>IFERROR(VLOOKUP($B87,S6M1!$A$1:$B$160,2,0),"0")</f>
        <v>0</v>
      </c>
      <c r="F87" s="95">
        <f>IFERROR(VLOOKUP(E87,S6M1!$B$1:$C$161,2,0),0)</f>
        <v>0</v>
      </c>
      <c r="G87" s="94" t="str">
        <f>IFERROR(VLOOKUP($B87,S6M2!$A$1:$B$160,2,0),"0")</f>
        <v>0</v>
      </c>
      <c r="H87" s="95">
        <f>IFERROR(VLOOKUP(G87,S6M2!$B$1:$C$161,2,0),0)</f>
        <v>0</v>
      </c>
      <c r="I87" s="94">
        <f>IFERROR(VLOOKUP($B87,S6M3!$A$1:$B$161,2,0),0)</f>
        <v>0</v>
      </c>
      <c r="J87" s="95">
        <f>IFERROR(VLOOKUP(I87,S6M3!$B$1:$C$161,2,0),0)</f>
        <v>0</v>
      </c>
      <c r="K87" s="94" t="str">
        <f>IFERROR(VLOOKUP($B87,S6M4!$A$1:$B$160,2,0),"0")</f>
        <v>0</v>
      </c>
      <c r="L87" s="95">
        <f>IFERROR(VLOOKUP(K87,S6M4!$B$1:$C$161,2,0),0)</f>
        <v>0</v>
      </c>
      <c r="M87" s="94" t="str">
        <f>IFERROR(VLOOKUP($B87,S6M5!$A$1:$B$160,2,0),"0")</f>
        <v>0</v>
      </c>
      <c r="N87" s="95">
        <f>IFERROR(VLOOKUP(M87,S6M5!$B$1:$C$161,2,0),0)</f>
        <v>0</v>
      </c>
      <c r="O87" s="94" t="str">
        <f>IFERROR(VLOOKUP($B87,S6M6!$A$1:$B$160,2,0),"0")</f>
        <v>0</v>
      </c>
      <c r="P87" s="95">
        <f>IFERROR(VLOOKUP(O87,S6M6!$B$1:$C$161,2,0),0)</f>
        <v>0</v>
      </c>
      <c r="Q87" s="94" t="str">
        <f>IFERROR(VLOOKUP($B87,S6M7!$A$1:$B$160,2,0),"0")</f>
        <v>0</v>
      </c>
      <c r="R87" s="95">
        <f>IFERROR(VLOOKUP(Q87,S6M7!$B$1:$C$161,2,0),0)</f>
        <v>0</v>
      </c>
      <c r="S87" s="94" t="str">
        <f>IFERROR(VLOOKUP($B87,S6M8!$A$1:$B$160,2,0),"0")</f>
        <v>0</v>
      </c>
      <c r="T87" s="95">
        <f>IFERROR(VLOOKUP(S87,S6M8!$B$1:$C$161,2,0),0)</f>
        <v>0</v>
      </c>
      <c r="U87" s="94">
        <f>IFERROR(VLOOKUP($B87,S6M9!$A$1:$B$160,2,0),"0")</f>
        <v>38</v>
      </c>
      <c r="V87" s="95">
        <f>IFERROR(VLOOKUP(U87,S6M9!$B$1:$C$161,2,0),0)</f>
        <v>232.9537016</v>
      </c>
      <c r="W87" s="94">
        <f>IFERROR(VLOOKUP($B87,S6M10!$A$1:$B$160,2,0),"0")</f>
        <v>23</v>
      </c>
      <c r="X87" s="95">
        <f>IFERROR(VLOOKUP(W87,S6M10!$B$1:$C$161,2,0),0)</f>
        <v>512.8428629</v>
      </c>
      <c r="Y87" s="94">
        <f>IFERROR(VLOOKUP($B87,S6M11!$A$1:$B$160,2,0),"0")</f>
        <v>22</v>
      </c>
      <c r="Z87" s="95">
        <f>IFERROR(VLOOKUP(Y87,S6M11!$B$1:$C$161,2,0),0)</f>
        <v>538.5189879</v>
      </c>
      <c r="AA87" s="97">
        <f>IFERROR(VLOOKUP(E87,S6M1!$B$1:$C$161,2,0),0)</f>
        <v>0</v>
      </c>
      <c r="AB87" s="97">
        <f>IFERROR(VLOOKUP(G87,S6M2!$B$1:$C$161,2,0),0)</f>
        <v>0</v>
      </c>
      <c r="AC87" s="97">
        <f>IFERROR(VLOOKUP(I87,S6M3!$B$1:$C$161,2,0),0)</f>
        <v>0</v>
      </c>
      <c r="AD87" s="97">
        <f>IFERROR(VLOOKUP(K87,S6M4!$B$1:$C$161,2,0),0)</f>
        <v>0</v>
      </c>
      <c r="AE87" s="97">
        <f>IFERROR(VLOOKUP(M87,S6M5!$B$1:$C$161,2,0),0)</f>
        <v>0</v>
      </c>
      <c r="AF87" s="97">
        <f>IFERROR(VLOOKUP(O87,S6M6!$B$1:$C$161,2,0),0)</f>
        <v>0</v>
      </c>
      <c r="AG87" s="97">
        <f>IFERROR(VLOOKUP(Q87,S6M7!$B$1:$C$161,2,0),0)</f>
        <v>0</v>
      </c>
      <c r="AH87" s="97">
        <f>IFERROR(VLOOKUP(S87,S6M8!$B$1:$C$161,2,0),0)</f>
        <v>0</v>
      </c>
      <c r="AI87" s="97">
        <f>IFERROR(VLOOKUP(U87,S6M9!$B$1:$C$161,2,0),0)</f>
        <v>232.9537016</v>
      </c>
      <c r="AJ87" s="97">
        <f>IFERROR(VLOOKUP(W87,S6M10!$B$1:$C$161,2,0),0)</f>
        <v>512.8428629</v>
      </c>
      <c r="AK87" s="97">
        <f>IFERROR(VLOOKUP(Y87,S6M11!$B$1:$C$161,2,0),0)</f>
        <v>538.5189879</v>
      </c>
    </row>
    <row r="88" ht="15.75" customHeight="1">
      <c r="A88" s="92">
        <v>87.0</v>
      </c>
      <c r="B88" s="17" t="s">
        <v>98</v>
      </c>
      <c r="C88" s="93">
        <f t="shared" si="1"/>
        <v>1212.752661</v>
      </c>
      <c r="D88" s="93"/>
      <c r="E88" s="94" t="str">
        <f>IFERROR(VLOOKUP($B88,S6M1!$A$1:$B$160,2,0),"0")</f>
        <v>0</v>
      </c>
      <c r="F88" s="95">
        <f>IFERROR(VLOOKUP(E88,S6M1!$B$1:$C$161,2,0),0)</f>
        <v>0</v>
      </c>
      <c r="G88" s="94" t="str">
        <f>IFERROR(VLOOKUP($B88,S6M2!$A$1:$B$160,2,0),"0")</f>
        <v>0</v>
      </c>
      <c r="H88" s="95">
        <f>IFERROR(VLOOKUP(G88,S6M2!$B$1:$C$161,2,0),0)</f>
        <v>0</v>
      </c>
      <c r="I88" s="94">
        <f>IFERROR(VLOOKUP($B88,S6M3!$A$1:$B$161,2,0),0)</f>
        <v>0</v>
      </c>
      <c r="J88" s="95">
        <f>IFERROR(VLOOKUP(I88,S6M3!$B$1:$C$161,2,0),0)</f>
        <v>0</v>
      </c>
      <c r="K88" s="94" t="str">
        <f>IFERROR(VLOOKUP($B88,S6M4!$A$1:$B$160,2,0),"0")</f>
        <v>0</v>
      </c>
      <c r="L88" s="95">
        <f>IFERROR(VLOOKUP(K88,S6M4!$B$1:$C$161,2,0),0)</f>
        <v>0</v>
      </c>
      <c r="M88" s="94" t="str">
        <f>IFERROR(VLOOKUP($B88,S6M5!$A$1:$B$160,2,0),"0")</f>
        <v>0</v>
      </c>
      <c r="N88" s="95">
        <f>IFERROR(VLOOKUP(M88,S6M5!$B$1:$C$161,2,0),0)</f>
        <v>0</v>
      </c>
      <c r="O88" s="94">
        <f>IFERROR(VLOOKUP($B88,S6M6!$A$1:$B$160,2,0),"0")</f>
        <v>20</v>
      </c>
      <c r="P88" s="95">
        <f>IFERROR(VLOOKUP(O88,S6M6!$B$1:$C$161,2,0),0)</f>
        <v>795.8596002</v>
      </c>
      <c r="Q88" s="94" t="str">
        <f>IFERROR(VLOOKUP($B88,S6M7!$A$1:$B$160,2,0),"0")</f>
        <v>0</v>
      </c>
      <c r="R88" s="95">
        <f>IFERROR(VLOOKUP(Q88,S6M7!$B$1:$C$161,2,0),0)</f>
        <v>0</v>
      </c>
      <c r="S88" s="94" t="str">
        <f>IFERROR(VLOOKUP($B88,S6M8!$A$1:$B$160,2,0),"0")</f>
        <v>0</v>
      </c>
      <c r="T88" s="95">
        <f>IFERROR(VLOOKUP(S88,S6M8!$B$1:$C$161,2,0),0)</f>
        <v>0</v>
      </c>
      <c r="U88" s="94" t="str">
        <f>IFERROR(VLOOKUP($B88,S6M9!$A$1:$B$160,2,0),"0")</f>
        <v>0</v>
      </c>
      <c r="V88" s="95">
        <f>IFERROR(VLOOKUP(U88,S6M9!$B$1:$C$161,2,0),0)</f>
        <v>0</v>
      </c>
      <c r="W88" s="94" t="str">
        <f>IFERROR(VLOOKUP($B88,S6M10!$A$1:$B$160,2,0),"0")</f>
        <v>0</v>
      </c>
      <c r="X88" s="95">
        <f>IFERROR(VLOOKUP(W88,S6M10!$B$1:$C$161,2,0),0)</f>
        <v>0</v>
      </c>
      <c r="Y88" s="94">
        <f>IFERROR(VLOOKUP($B88,S6M11!$A$1:$B$160,2,0),"0")</f>
        <v>27</v>
      </c>
      <c r="Z88" s="95">
        <f>IFERROR(VLOOKUP(Y88,S6M11!$B$1:$C$161,2,0),0)</f>
        <v>416.8930612</v>
      </c>
      <c r="AA88" s="97">
        <f>IFERROR(VLOOKUP(E88,S6M1!$B$1:$C$161,2,0),0)</f>
        <v>0</v>
      </c>
      <c r="AB88" s="97">
        <f>IFERROR(VLOOKUP(G88,S6M2!$B$1:$C$161,2,0),0)</f>
        <v>0</v>
      </c>
      <c r="AC88" s="97">
        <f>IFERROR(VLOOKUP(I88,S6M3!$B$1:$C$161,2,0),0)</f>
        <v>0</v>
      </c>
      <c r="AD88" s="97">
        <f>IFERROR(VLOOKUP(K88,S6M4!$B$1:$C$161,2,0),0)</f>
        <v>0</v>
      </c>
      <c r="AE88" s="97">
        <f>IFERROR(VLOOKUP(M88,S6M5!$B$1:$C$161,2,0),0)</f>
        <v>0</v>
      </c>
      <c r="AF88" s="97">
        <f>IFERROR(VLOOKUP(O88,S6M6!$B$1:$C$161,2,0),0)</f>
        <v>795.8596002</v>
      </c>
      <c r="AG88" s="97">
        <f>IFERROR(VLOOKUP(Q88,S6M7!$B$1:$C$161,2,0),0)</f>
        <v>0</v>
      </c>
      <c r="AH88" s="97">
        <f>IFERROR(VLOOKUP(S88,S6M8!$B$1:$C$161,2,0),0)</f>
        <v>0</v>
      </c>
      <c r="AI88" s="97">
        <f>IFERROR(VLOOKUP(U88,S6M9!$B$1:$C$161,2,0),0)</f>
        <v>0</v>
      </c>
      <c r="AJ88" s="97">
        <f>IFERROR(VLOOKUP(W88,S6M10!$B$1:$C$161,2,0),0)</f>
        <v>0</v>
      </c>
      <c r="AK88" s="97">
        <f>IFERROR(VLOOKUP(Y88,S6M11!$B$1:$C$161,2,0),0)</f>
        <v>416.8930612</v>
      </c>
    </row>
    <row r="89" ht="15.75" customHeight="1">
      <c r="A89" s="92">
        <v>88.0</v>
      </c>
      <c r="B89" s="6" t="s">
        <v>96</v>
      </c>
      <c r="C89" s="93">
        <f t="shared" si="1"/>
        <v>1197.852438</v>
      </c>
      <c r="D89" s="93"/>
      <c r="E89" s="94">
        <f>IFERROR(VLOOKUP($B89,S6M1!$A$1:$B$160,2,0),"0")</f>
        <v>22</v>
      </c>
      <c r="F89" s="95">
        <f>IFERROR(VLOOKUP(E89,S6M1!$B$1:$C$161,2,0),0)</f>
        <v>538.5189879</v>
      </c>
      <c r="G89" s="94" t="str">
        <f>IFERROR(VLOOKUP($B89,S6M2!$A$1:$B$160,2,0),"0")</f>
        <v>0</v>
      </c>
      <c r="H89" s="95">
        <f>IFERROR(VLOOKUP(G89,S6M2!$B$1:$C$161,2,0),0)</f>
        <v>0</v>
      </c>
      <c r="I89" s="94">
        <f>IFERROR(VLOOKUP($B89,S6M3!$A$1:$B$161,2,0),0)</f>
        <v>0</v>
      </c>
      <c r="J89" s="95">
        <f>IFERROR(VLOOKUP(I89,S6M3!$B$1:$C$161,2,0),0)</f>
        <v>0</v>
      </c>
      <c r="K89" s="94" t="str">
        <f>IFERROR(VLOOKUP($B89,S6M4!$A$1:$B$160,2,0),"0")</f>
        <v>0</v>
      </c>
      <c r="L89" s="95">
        <f>IFERROR(VLOOKUP(K89,S6M4!$B$1:$C$161,2,0),0)</f>
        <v>0</v>
      </c>
      <c r="M89" s="94" t="str">
        <f>IFERROR(VLOOKUP($B89,S6M5!$A$1:$B$160,2,0),"0")</f>
        <v>0</v>
      </c>
      <c r="N89" s="95">
        <f>IFERROR(VLOOKUP(M89,S6M5!$B$1:$C$161,2,0),0)</f>
        <v>0</v>
      </c>
      <c r="O89" s="94">
        <f>IFERROR(VLOOKUP($B89,S6M6!$A$1:$B$160,2,0),"0")</f>
        <v>26</v>
      </c>
      <c r="P89" s="95">
        <f>IFERROR(VLOOKUP(O89,S6M6!$B$1:$C$161,2,0),0)</f>
        <v>659.33345</v>
      </c>
      <c r="Q89" s="94" t="str">
        <f>IFERROR(VLOOKUP($B89,S6M7!$A$1:$B$160,2,0),"0")</f>
        <v>0</v>
      </c>
      <c r="R89" s="95">
        <f>IFERROR(VLOOKUP(Q89,S6M7!$B$1:$C$161,2,0),0)</f>
        <v>0</v>
      </c>
      <c r="S89" s="94" t="str">
        <f>IFERROR(VLOOKUP($B89,S6M8!$A$1:$B$160,2,0),"0")</f>
        <v>0</v>
      </c>
      <c r="T89" s="95">
        <f>IFERROR(VLOOKUP(S89,S6M8!$B$1:$C$161,2,0),0)</f>
        <v>0</v>
      </c>
      <c r="U89" s="94" t="str">
        <f>IFERROR(VLOOKUP($B89,S6M9!$A$1:$B$160,2,0),"0")</f>
        <v>0</v>
      </c>
      <c r="V89" s="95">
        <f>IFERROR(VLOOKUP(U89,S6M9!$B$1:$C$161,2,0),0)</f>
        <v>0</v>
      </c>
      <c r="W89" s="94" t="str">
        <f>IFERROR(VLOOKUP($B89,S6M10!$A$1:$B$160,2,0),"0")</f>
        <v>0</v>
      </c>
      <c r="X89" s="95">
        <f>IFERROR(VLOOKUP(W89,S6M10!$B$1:$C$161,2,0),0)</f>
        <v>0</v>
      </c>
      <c r="Y89" s="94" t="str">
        <f>IFERROR(VLOOKUP($B89,S6M11!$A$1:$B$160,2,0),"0")</f>
        <v>0</v>
      </c>
      <c r="Z89" s="95">
        <f>IFERROR(VLOOKUP(Y89,S6M11!$B$1:$C$161,2,0),0)</f>
        <v>0</v>
      </c>
      <c r="AA89" s="97">
        <f>IFERROR(VLOOKUP(E89,S6M1!$B$1:$C$161,2,0),0)</f>
        <v>538.5189879</v>
      </c>
      <c r="AB89" s="97">
        <f>IFERROR(VLOOKUP(G89,S6M2!$B$1:$C$161,2,0),0)</f>
        <v>0</v>
      </c>
      <c r="AC89" s="97">
        <f>IFERROR(VLOOKUP(I89,S6M3!$B$1:$C$161,2,0),0)</f>
        <v>0</v>
      </c>
      <c r="AD89" s="97">
        <f>IFERROR(VLOOKUP(K89,S6M4!$B$1:$C$161,2,0),0)</f>
        <v>0</v>
      </c>
      <c r="AE89" s="97">
        <f>IFERROR(VLOOKUP(M89,S6M5!$B$1:$C$161,2,0),0)</f>
        <v>0</v>
      </c>
      <c r="AF89" s="97">
        <f>IFERROR(VLOOKUP(O89,S6M6!$B$1:$C$161,2,0),0)</f>
        <v>659.33345</v>
      </c>
      <c r="AG89" s="97">
        <f>IFERROR(VLOOKUP(Q89,S6M7!$B$1:$C$161,2,0),0)</f>
        <v>0</v>
      </c>
      <c r="AH89" s="97">
        <f>IFERROR(VLOOKUP(S89,S6M8!$B$1:$C$161,2,0),0)</f>
        <v>0</v>
      </c>
      <c r="AI89" s="97">
        <f>IFERROR(VLOOKUP(U89,S6M9!$B$1:$C$161,2,0),0)</f>
        <v>0</v>
      </c>
      <c r="AJ89" s="97">
        <f>IFERROR(VLOOKUP(W89,S6M10!$B$1:$C$161,2,0),0)</f>
        <v>0</v>
      </c>
      <c r="AK89" s="97">
        <f>IFERROR(VLOOKUP(Y89,S6M11!$B$1:$C$161,2,0),0)</f>
        <v>0</v>
      </c>
    </row>
    <row r="90" ht="15.75" customHeight="1">
      <c r="A90" s="92">
        <v>89.0</v>
      </c>
      <c r="B90" s="17" t="s">
        <v>107</v>
      </c>
      <c r="C90" s="93">
        <f t="shared" si="1"/>
        <v>1168.919752</v>
      </c>
      <c r="D90" s="93"/>
      <c r="E90" s="94" t="str">
        <f>IFERROR(VLOOKUP($B90,S6M1!$A$1:$B$160,2,0),"0")</f>
        <v>0</v>
      </c>
      <c r="F90" s="95">
        <f>IFERROR(VLOOKUP(E90,S6M1!$B$1:$C$161,2,0),0)</f>
        <v>0</v>
      </c>
      <c r="G90" s="94" t="str">
        <f>IFERROR(VLOOKUP($B90,S6M2!$A$1:$B$160,2,0),"0")</f>
        <v>0</v>
      </c>
      <c r="H90" s="95">
        <f>IFERROR(VLOOKUP(G90,S6M2!$B$1:$C$161,2,0),0)</f>
        <v>0</v>
      </c>
      <c r="I90" s="94">
        <f>IFERROR(VLOOKUP($B90,S6M3!$A$1:$B$161,2,0),0)</f>
        <v>0</v>
      </c>
      <c r="J90" s="95">
        <f>IFERROR(VLOOKUP(I90,S6M3!$B$1:$C$161,2,0),0)</f>
        <v>0</v>
      </c>
      <c r="K90" s="94" t="str">
        <f>IFERROR(VLOOKUP($B90,S6M4!$A$1:$B$160,2,0),"0")</f>
        <v>0</v>
      </c>
      <c r="L90" s="95">
        <f>IFERROR(VLOOKUP(K90,S6M4!$B$1:$C$161,2,0),0)</f>
        <v>0</v>
      </c>
      <c r="M90" s="94" t="str">
        <f>IFERROR(VLOOKUP($B90,S6M5!$A$1:$B$160,2,0),"0")</f>
        <v>0</v>
      </c>
      <c r="N90" s="95">
        <f>IFERROR(VLOOKUP(M90,S6M5!$B$1:$C$161,2,0),0)</f>
        <v>0</v>
      </c>
      <c r="O90" s="94" t="str">
        <f>IFERROR(VLOOKUP($B90,S6M6!$A$1:$B$160,2,0),"0")</f>
        <v>0</v>
      </c>
      <c r="P90" s="95">
        <f>IFERROR(VLOOKUP(O90,S6M6!$B$1:$C$161,2,0),0)</f>
        <v>0</v>
      </c>
      <c r="Q90" s="94" t="str">
        <f>IFERROR(VLOOKUP($B90,S6M7!$A$1:$B$160,2,0),"0")</f>
        <v>0</v>
      </c>
      <c r="R90" s="95">
        <f>IFERROR(VLOOKUP(Q90,S6M7!$B$1:$C$161,2,0),0)</f>
        <v>0</v>
      </c>
      <c r="S90" s="94">
        <f>IFERROR(VLOOKUP($B90,S6M8!$A$1:$B$160,2,0),"0")</f>
        <v>7</v>
      </c>
      <c r="T90" s="95">
        <f>IFERROR(VLOOKUP(S90,S6M8!$B$1:$C$161,2,0),0)</f>
        <v>1168.919752</v>
      </c>
      <c r="U90" s="94" t="str">
        <f>IFERROR(VLOOKUP($B90,S6M9!$A$1:$B$160,2,0),"0")</f>
        <v>0</v>
      </c>
      <c r="V90" s="95">
        <f>IFERROR(VLOOKUP(U90,S6M9!$B$1:$C$161,2,0),0)</f>
        <v>0</v>
      </c>
      <c r="W90" s="94" t="str">
        <f>IFERROR(VLOOKUP($B90,S6M10!$A$1:$B$160,2,0),"0")</f>
        <v>0</v>
      </c>
      <c r="X90" s="95">
        <f>IFERROR(VLOOKUP(W90,S6M10!$B$1:$C$161,2,0),0)</f>
        <v>0</v>
      </c>
      <c r="Y90" s="94" t="str">
        <f>IFERROR(VLOOKUP($B90,S6M11!$A$1:$B$160,2,0),"0")</f>
        <v>0</v>
      </c>
      <c r="Z90" s="95">
        <f>IFERROR(VLOOKUP(Y90,S6M11!$B$1:$C$161,2,0),0)</f>
        <v>0</v>
      </c>
      <c r="AA90" s="97">
        <f>IFERROR(VLOOKUP(E90,S6M1!$B$1:$C$161,2,0),0)</f>
        <v>0</v>
      </c>
      <c r="AB90" s="97">
        <f>IFERROR(VLOOKUP(G90,S6M2!$B$1:$C$161,2,0),0)</f>
        <v>0</v>
      </c>
      <c r="AC90" s="97">
        <f>IFERROR(VLOOKUP(I90,S6M3!$B$1:$C$161,2,0),0)</f>
        <v>0</v>
      </c>
      <c r="AD90" s="97">
        <f>IFERROR(VLOOKUP(K90,S6M4!$B$1:$C$161,2,0),0)</f>
        <v>0</v>
      </c>
      <c r="AE90" s="97">
        <f>IFERROR(VLOOKUP(M90,S6M5!$B$1:$C$161,2,0),0)</f>
        <v>0</v>
      </c>
      <c r="AF90" s="97">
        <f>IFERROR(VLOOKUP(O90,S6M6!$B$1:$C$161,2,0),0)</f>
        <v>0</v>
      </c>
      <c r="AG90" s="97">
        <f>IFERROR(VLOOKUP(Q90,S6M7!$B$1:$C$161,2,0),0)</f>
        <v>0</v>
      </c>
      <c r="AH90" s="97">
        <f>IFERROR(VLOOKUP(S90,S6M8!$B$1:$C$161,2,0),0)</f>
        <v>1168.919752</v>
      </c>
      <c r="AI90" s="97">
        <f>IFERROR(VLOOKUP(U90,S6M9!$B$1:$C$161,2,0),0)</f>
        <v>0</v>
      </c>
      <c r="AJ90" s="97">
        <f>IFERROR(VLOOKUP(W90,S6M10!$B$1:$C$161,2,0),0)</f>
        <v>0</v>
      </c>
      <c r="AK90" s="97">
        <f>IFERROR(VLOOKUP(Y90,S6M11!$B$1:$C$161,2,0),0)</f>
        <v>0</v>
      </c>
    </row>
    <row r="91" ht="15.75" customHeight="1">
      <c r="A91" s="92">
        <v>90.0</v>
      </c>
      <c r="B91" s="6" t="s">
        <v>84</v>
      </c>
      <c r="C91" s="93">
        <f t="shared" si="1"/>
        <v>1126.602585</v>
      </c>
      <c r="D91" s="93"/>
      <c r="E91" s="94">
        <f>IFERROR(VLOOKUP($B91,S6M1!$A$1:$B$160,2,0),"0")</f>
        <v>48</v>
      </c>
      <c r="F91" s="95">
        <f>IFERROR(VLOOKUP(E91,S6M1!$B$1:$C$161,2,0),0)</f>
        <v>16.41090826</v>
      </c>
      <c r="G91" s="94" t="str">
        <f>IFERROR(VLOOKUP($B91,S6M2!$A$1:$B$160,2,0),"0")</f>
        <v>0</v>
      </c>
      <c r="H91" s="95">
        <f>IFERROR(VLOOKUP(G91,S6M2!$B$1:$C$161,2,0),0)</f>
        <v>0</v>
      </c>
      <c r="I91" s="94">
        <f>IFERROR(VLOOKUP($B91,S6M3!$A$1:$B$161,2,0),0)</f>
        <v>49</v>
      </c>
      <c r="J91" s="95">
        <f>IFERROR(VLOOKUP(I91,S6M3!$B$1:$C$161,2,0),0)</f>
        <v>262.3836273</v>
      </c>
      <c r="K91" s="94" t="str">
        <f>IFERROR(VLOOKUP($B91,S6M4!$A$1:$B$160,2,0),"0")</f>
        <v>0</v>
      </c>
      <c r="L91" s="95">
        <f>IFERROR(VLOOKUP(K91,S6M4!$B$1:$C$161,2,0),0)</f>
        <v>0</v>
      </c>
      <c r="M91" s="94" t="str">
        <f>IFERROR(VLOOKUP($B91,S6M5!$A$1:$B$160,2,0),"0")</f>
        <v>0</v>
      </c>
      <c r="N91" s="95">
        <f>IFERROR(VLOOKUP(M91,S6M5!$B$1:$C$161,2,0),0)</f>
        <v>0</v>
      </c>
      <c r="O91" s="94">
        <f>IFERROR(VLOOKUP($B91,S6M6!$A$1:$B$160,2,0),"0")</f>
        <v>39</v>
      </c>
      <c r="P91" s="95">
        <f>IFERROR(VLOOKUP(O91,S6M6!$B$1:$C$161,2,0),0)</f>
        <v>427.4038233</v>
      </c>
      <c r="Q91" s="94" t="str">
        <f>IFERROR(VLOOKUP($B91,S6M7!$A$1:$B$160,2,0),"0")</f>
        <v>0</v>
      </c>
      <c r="R91" s="95">
        <f>IFERROR(VLOOKUP(Q91,S6M7!$B$1:$C$161,2,0),0)</f>
        <v>0</v>
      </c>
      <c r="S91" s="94" t="str">
        <f>IFERROR(VLOOKUP($B91,S6M8!$A$1:$B$160,2,0),"0")</f>
        <v>0</v>
      </c>
      <c r="T91" s="95">
        <f>IFERROR(VLOOKUP(S91,S6M8!$B$1:$C$161,2,0),0)</f>
        <v>0</v>
      </c>
      <c r="U91" s="94">
        <f>IFERROR(VLOOKUP($B91,S6M9!$A$1:$B$160,2,0),"0")</f>
        <v>45</v>
      </c>
      <c r="V91" s="95">
        <f>IFERROR(VLOOKUP(U91,S6M9!$B$1:$C$161,2,0),0)</f>
        <v>111.6560836</v>
      </c>
      <c r="W91" s="94" t="str">
        <f>IFERROR(VLOOKUP($B91,S6M10!$A$1:$B$160,2,0),"0")</f>
        <v>0</v>
      </c>
      <c r="X91" s="95">
        <f>IFERROR(VLOOKUP(W91,S6M10!$B$1:$C$161,2,0),0)</f>
        <v>0</v>
      </c>
      <c r="Y91" s="94">
        <f>IFERROR(VLOOKUP($B91,S6M11!$A$1:$B$160,2,0),"0")</f>
        <v>32</v>
      </c>
      <c r="Z91" s="95">
        <f>IFERROR(VLOOKUP(Y91,S6M11!$B$1:$C$161,2,0),0)</f>
        <v>308.7481427</v>
      </c>
      <c r="AA91" s="95">
        <f>IFERROR(VLOOKUP(E91,S6M1!$B$1:$C$161,2,0),0)</f>
        <v>16.41090826</v>
      </c>
      <c r="AB91" s="95">
        <f>IFERROR(VLOOKUP(G91,S6M2!$B$1:$C$161,2,0),0)</f>
        <v>0</v>
      </c>
      <c r="AC91" s="95">
        <f>IFERROR(VLOOKUP(I91,S6M3!$B$1:$C$161,2,0),0)</f>
        <v>262.3836273</v>
      </c>
      <c r="AD91" s="95">
        <f>IFERROR(VLOOKUP(K91,S6M4!$B$1:$C$161,2,0),0)</f>
        <v>0</v>
      </c>
      <c r="AE91" s="95">
        <f>IFERROR(VLOOKUP(M91,S6M5!$B$1:$C$161,2,0),0)</f>
        <v>0</v>
      </c>
      <c r="AF91" s="95">
        <f>IFERROR(VLOOKUP(O91,S6M6!$B$1:$C$161,2,0),0)</f>
        <v>427.4038233</v>
      </c>
      <c r="AG91" s="95">
        <f>IFERROR(VLOOKUP(Q91,S6M7!$B$1:$C$161,2,0),0)</f>
        <v>0</v>
      </c>
      <c r="AH91" s="95">
        <f>IFERROR(VLOOKUP(S91,S6M8!$B$1:$C$161,2,0),0)</f>
        <v>0</v>
      </c>
      <c r="AI91" s="95">
        <f>IFERROR(VLOOKUP(U91,S6M9!$B$1:$C$161,2,0),0)</f>
        <v>111.6560836</v>
      </c>
      <c r="AJ91" s="95">
        <f>IFERROR(VLOOKUP(W91,S6M10!$B$1:$C$161,2,0),0)</f>
        <v>0</v>
      </c>
      <c r="AK91" s="95">
        <f>IFERROR(VLOOKUP(Y91,S6M11!$B$1:$C$161,2,0),0)</f>
        <v>308.7481427</v>
      </c>
    </row>
    <row r="92" ht="15.75" customHeight="1">
      <c r="A92" s="92">
        <v>91.0</v>
      </c>
      <c r="B92" s="98" t="s">
        <v>104</v>
      </c>
      <c r="C92" s="93">
        <f t="shared" si="1"/>
        <v>1063.828824</v>
      </c>
      <c r="D92" s="93"/>
      <c r="E92" s="94" t="str">
        <f>IFERROR(VLOOKUP($B92,S6M1!$A$1:$B$160,2,0),"0")</f>
        <v>0</v>
      </c>
      <c r="F92" s="95">
        <f>IFERROR(VLOOKUP(E92,S6M1!$B$1:$C$161,2,0),0)</f>
        <v>0</v>
      </c>
      <c r="G92" s="94">
        <f>IFERROR(VLOOKUP($B92,S6M2!$A$1:$B$160,2,0),"0")</f>
        <v>37</v>
      </c>
      <c r="H92" s="95">
        <f>IFERROR(VLOOKUP(G92,S6M2!$B$1:$C$161,2,0),0)</f>
        <v>396.7460118</v>
      </c>
      <c r="I92" s="94">
        <f>IFERROR(VLOOKUP($B92,S6M3!$A$1:$B$161,2,0),0)</f>
        <v>0</v>
      </c>
      <c r="J92" s="95">
        <f>IFERROR(VLOOKUP(I92,S6M3!$B$1:$C$161,2,0),0)</f>
        <v>0</v>
      </c>
      <c r="K92" s="94" t="str">
        <f>IFERROR(VLOOKUP($B92,S6M4!$A$1:$B$160,2,0),"0")</f>
        <v>0</v>
      </c>
      <c r="L92" s="95">
        <f>IFERROR(VLOOKUP(K92,S6M4!$B$1:$C$161,2,0),0)</f>
        <v>0</v>
      </c>
      <c r="M92" s="94">
        <f>IFERROR(VLOOKUP($B92,S6M5!$A$1:$B$160,2,0),"0")</f>
        <v>21</v>
      </c>
      <c r="N92" s="95">
        <f>IFERROR(VLOOKUP(M92,S6M5!$B$1:$C$161,2,0),0)</f>
        <v>667.0828126</v>
      </c>
      <c r="O92" s="94" t="str">
        <f>IFERROR(VLOOKUP($B92,S6M6!$A$1:$B$160,2,0),"0")</f>
        <v>0</v>
      </c>
      <c r="P92" s="95">
        <f>IFERROR(VLOOKUP(O92,S6M6!$B$1:$C$161,2,0),0)</f>
        <v>0</v>
      </c>
      <c r="Q92" s="94" t="str">
        <f>IFERROR(VLOOKUP($B92,S6M7!$A$1:$B$160,2,0),"0")</f>
        <v>0</v>
      </c>
      <c r="R92" s="95">
        <f>IFERROR(VLOOKUP(Q92,S6M7!$B$1:$C$161,2,0),0)</f>
        <v>0</v>
      </c>
      <c r="S92" s="94" t="str">
        <f>IFERROR(VLOOKUP($B92,S6M8!$A$1:$B$160,2,0),"0")</f>
        <v>0</v>
      </c>
      <c r="T92" s="95">
        <f>IFERROR(VLOOKUP(S92,S6M8!$B$1:$C$161,2,0),0)</f>
        <v>0</v>
      </c>
      <c r="U92" s="94" t="str">
        <f>IFERROR(VLOOKUP($B92,S6M9!$A$1:$B$160,2,0),"0")</f>
        <v>0</v>
      </c>
      <c r="V92" s="95">
        <f>IFERROR(VLOOKUP(U92,S6M9!$B$1:$C$161,2,0),0)</f>
        <v>0</v>
      </c>
      <c r="W92" s="94" t="str">
        <f>IFERROR(VLOOKUP($B92,S6M10!$A$1:$B$160,2,0),"0")</f>
        <v>0</v>
      </c>
      <c r="X92" s="95">
        <f>IFERROR(VLOOKUP(W92,S6M10!$B$1:$C$161,2,0),0)</f>
        <v>0</v>
      </c>
      <c r="Y92" s="94" t="str">
        <f>IFERROR(VLOOKUP($B92,S6M11!$A$1:$B$160,2,0),"0")</f>
        <v>0</v>
      </c>
      <c r="Z92" s="95">
        <f>IFERROR(VLOOKUP(Y92,S6M11!$B$1:$C$161,2,0),0)</f>
        <v>0</v>
      </c>
      <c r="AA92" s="95">
        <f>IFERROR(VLOOKUP(E92,S6M1!$B$1:$C$161,2,0),0)</f>
        <v>0</v>
      </c>
      <c r="AB92" s="95">
        <f>IFERROR(VLOOKUP(G92,S6M2!$B$1:$C$161,2,0),0)</f>
        <v>396.7460118</v>
      </c>
      <c r="AC92" s="95">
        <f>IFERROR(VLOOKUP(I92,S6M3!$B$1:$C$161,2,0),0)</f>
        <v>0</v>
      </c>
      <c r="AD92" s="95">
        <f>IFERROR(VLOOKUP(K92,S6M4!$B$1:$C$161,2,0),0)</f>
        <v>0</v>
      </c>
      <c r="AE92" s="95">
        <f>IFERROR(VLOOKUP(M92,S6M5!$B$1:$C$161,2,0),0)</f>
        <v>667.0828126</v>
      </c>
      <c r="AF92" s="95">
        <f>IFERROR(VLOOKUP(O92,S6M6!$B$1:$C$161,2,0),0)</f>
        <v>0</v>
      </c>
      <c r="AG92" s="95">
        <f>IFERROR(VLOOKUP(Q92,S6M7!$B$1:$C$161,2,0),0)</f>
        <v>0</v>
      </c>
      <c r="AH92" s="95">
        <f>IFERROR(VLOOKUP(S92,S6M8!$B$1:$C$161,2,0),0)</f>
        <v>0</v>
      </c>
      <c r="AI92" s="95">
        <f>IFERROR(VLOOKUP(U92,S6M9!$B$1:$C$161,2,0),0)</f>
        <v>0</v>
      </c>
      <c r="AJ92" s="95">
        <f>IFERROR(VLOOKUP(W92,S6M10!$B$1:$C$161,2,0),0)</f>
        <v>0</v>
      </c>
      <c r="AK92" s="95">
        <f>IFERROR(VLOOKUP(Y92,S6M11!$B$1:$C$161,2,0),0)</f>
        <v>0</v>
      </c>
    </row>
    <row r="93" ht="15.75" customHeight="1">
      <c r="A93" s="92">
        <v>92.0</v>
      </c>
      <c r="B93" s="6" t="s">
        <v>106</v>
      </c>
      <c r="C93" s="93">
        <f t="shared" si="1"/>
        <v>1015.23463</v>
      </c>
      <c r="D93" s="93"/>
      <c r="E93" s="94" t="str">
        <f>IFERROR(VLOOKUP($B93,S6M1!$A$1:$B$160,2,0),"0")</f>
        <v>0</v>
      </c>
      <c r="F93" s="95">
        <f>IFERROR(VLOOKUP(E93,S6M1!$B$1:$C$161,2,0),0)</f>
        <v>0</v>
      </c>
      <c r="G93" s="94">
        <f>IFERROR(VLOOKUP($B93,S6M2!$A$1:$B$160,2,0),"0")</f>
        <v>13</v>
      </c>
      <c r="H93" s="95">
        <f>IFERROR(VLOOKUP(G93,S6M2!$B$1:$C$161,2,0),0)</f>
        <v>957.02322</v>
      </c>
      <c r="I93" s="94">
        <f>IFERROR(VLOOKUP($B93,S6M3!$A$1:$B$161,2,0),0)</f>
        <v>65</v>
      </c>
      <c r="J93" s="95">
        <f>IFERROR(VLOOKUP(I93,S6M3!$B$1:$C$161,2,0),0)</f>
        <v>58.21141043</v>
      </c>
      <c r="K93" s="94" t="str">
        <f>IFERROR(VLOOKUP($B93,S6M4!$A$1:$B$160,2,0),"0")</f>
        <v>0</v>
      </c>
      <c r="L93" s="95">
        <f>IFERROR(VLOOKUP(K93,S6M4!$B$1:$C$161,2,0),0)</f>
        <v>0</v>
      </c>
      <c r="M93" s="94" t="str">
        <f>IFERROR(VLOOKUP($B93,S6M5!$A$1:$B$160,2,0),"0")</f>
        <v>0</v>
      </c>
      <c r="N93" s="95">
        <f>IFERROR(VLOOKUP(M93,S6M5!$B$1:$C$161,2,0),0)</f>
        <v>0</v>
      </c>
      <c r="O93" s="94" t="str">
        <f>IFERROR(VLOOKUP($B93,S6M6!$A$1:$B$160,2,0),"0")</f>
        <v>0</v>
      </c>
      <c r="P93" s="95">
        <f>IFERROR(VLOOKUP(O93,S6M6!$B$1:$C$161,2,0),0)</f>
        <v>0</v>
      </c>
      <c r="Q93" s="94" t="str">
        <f>IFERROR(VLOOKUP($B93,S6M7!$A$1:$B$160,2,0),"0")</f>
        <v>0</v>
      </c>
      <c r="R93" s="95">
        <f>IFERROR(VLOOKUP(Q93,S6M7!$B$1:$C$161,2,0),0)</f>
        <v>0</v>
      </c>
      <c r="S93" s="94" t="str">
        <f>IFERROR(VLOOKUP($B93,S6M8!$A$1:$B$160,2,0),"0")</f>
        <v>0</v>
      </c>
      <c r="T93" s="95">
        <f>IFERROR(VLOOKUP(S93,S6M8!$B$1:$C$161,2,0),0)</f>
        <v>0</v>
      </c>
      <c r="U93" s="94" t="str">
        <f>IFERROR(VLOOKUP($B93,S6M9!$A$1:$B$160,2,0),"0")</f>
        <v>0</v>
      </c>
      <c r="V93" s="95">
        <f>IFERROR(VLOOKUP(U93,S6M9!$B$1:$C$161,2,0),0)</f>
        <v>0</v>
      </c>
      <c r="W93" s="94" t="str">
        <f>IFERROR(VLOOKUP($B93,S6M10!$A$1:$B$160,2,0),"0")</f>
        <v>0</v>
      </c>
      <c r="X93" s="95">
        <f>IFERROR(VLOOKUP(W93,S6M10!$B$1:$C$161,2,0),0)</f>
        <v>0</v>
      </c>
      <c r="Y93" s="94" t="str">
        <f>IFERROR(VLOOKUP($B93,S6M11!$A$1:$B$160,2,0),"0")</f>
        <v>0</v>
      </c>
      <c r="Z93" s="95">
        <f>IFERROR(VLOOKUP(Y93,S6M11!$B$1:$C$161,2,0),0)</f>
        <v>0</v>
      </c>
      <c r="AA93" s="95">
        <f>IFERROR(VLOOKUP(E93,S6M1!$B$1:$C$161,2,0),0)</f>
        <v>0</v>
      </c>
      <c r="AB93" s="95">
        <f>IFERROR(VLOOKUP(G93,S6M2!$B$1:$C$161,2,0),0)</f>
        <v>957.02322</v>
      </c>
      <c r="AC93" s="95">
        <f>IFERROR(VLOOKUP(I93,S6M3!$B$1:$C$161,2,0),0)</f>
        <v>58.21141043</v>
      </c>
      <c r="AD93" s="95">
        <f>IFERROR(VLOOKUP(K93,S6M4!$B$1:$C$161,2,0),0)</f>
        <v>0</v>
      </c>
      <c r="AE93" s="95">
        <f>IFERROR(VLOOKUP(M93,S6M5!$B$1:$C$161,2,0),0)</f>
        <v>0</v>
      </c>
      <c r="AF93" s="95">
        <f>IFERROR(VLOOKUP(O93,S6M6!$B$1:$C$161,2,0),0)</f>
        <v>0</v>
      </c>
      <c r="AG93" s="95">
        <f>IFERROR(VLOOKUP(Q93,S6M7!$B$1:$C$161,2,0),0)</f>
        <v>0</v>
      </c>
      <c r="AH93" s="95">
        <f>IFERROR(VLOOKUP(S93,S6M8!$B$1:$C$161,2,0),0)</f>
        <v>0</v>
      </c>
      <c r="AI93" s="95">
        <f>IFERROR(VLOOKUP(U93,S6M9!$B$1:$C$161,2,0),0)</f>
        <v>0</v>
      </c>
      <c r="AJ93" s="95">
        <f>IFERROR(VLOOKUP(W93,S6M10!$B$1:$C$161,2,0),0)</f>
        <v>0</v>
      </c>
      <c r="AK93" s="95">
        <f>IFERROR(VLOOKUP(Y93,S6M11!$B$1:$C$161,2,0),0)</f>
        <v>0</v>
      </c>
    </row>
    <row r="94" ht="15.75" customHeight="1">
      <c r="A94" s="92">
        <v>93.0</v>
      </c>
      <c r="B94" s="6" t="s">
        <v>77</v>
      </c>
      <c r="C94" s="93">
        <f t="shared" si="1"/>
        <v>993.8213097</v>
      </c>
      <c r="D94" s="93"/>
      <c r="E94" s="94" t="str">
        <f>IFERROR(VLOOKUP($B94,S6M1!$A$1:$B$160,2,0),"0")</f>
        <v>0</v>
      </c>
      <c r="F94" s="95">
        <f>IFERROR(VLOOKUP(E94,S6M1!$B$1:$C$161,2,0),0)</f>
        <v>0</v>
      </c>
      <c r="G94" s="94">
        <f>IFERROR(VLOOKUP($B94,S6M2!$A$1:$B$160,2,0),"0")</f>
        <v>57</v>
      </c>
      <c r="H94" s="95">
        <f>IFERROR(VLOOKUP(G94,S6M2!$B$1:$C$161,2,0),0)</f>
        <v>101.7480846</v>
      </c>
      <c r="I94" s="94">
        <f>IFERROR(VLOOKUP($B94,S6M3!$A$1:$B$161,2,0),0)</f>
        <v>33</v>
      </c>
      <c r="J94" s="95">
        <f>IFERROR(VLOOKUP(I94,S6M3!$B$1:$C$161,2,0),0)</f>
        <v>510.3166005</v>
      </c>
      <c r="K94" s="94" t="str">
        <f>IFERROR(VLOOKUP($B94,S6M4!$A$1:$B$160,2,0),"0")</f>
        <v>0</v>
      </c>
      <c r="L94" s="95">
        <f>IFERROR(VLOOKUP(K94,S6M4!$B$1:$C$161,2,0),0)</f>
        <v>0</v>
      </c>
      <c r="M94" s="94" t="str">
        <f>IFERROR(VLOOKUP($B94,S6M5!$A$1:$B$160,2,0),"0")</f>
        <v>0</v>
      </c>
      <c r="N94" s="95">
        <f>IFERROR(VLOOKUP(M94,S6M5!$B$1:$C$161,2,0),0)</f>
        <v>0</v>
      </c>
      <c r="O94" s="94" t="str">
        <f>IFERROR(VLOOKUP($B94,S6M6!$A$1:$B$160,2,0),"0")</f>
        <v>0</v>
      </c>
      <c r="P94" s="95">
        <f>IFERROR(VLOOKUP(O94,S6M6!$B$1:$C$161,2,0),0)</f>
        <v>0</v>
      </c>
      <c r="Q94" s="94" t="str">
        <f>IFERROR(VLOOKUP($B94,S6M7!$A$1:$B$160,2,0),"0")</f>
        <v>0</v>
      </c>
      <c r="R94" s="95">
        <f>IFERROR(VLOOKUP(Q94,S6M7!$B$1:$C$161,2,0),0)</f>
        <v>0</v>
      </c>
      <c r="S94" s="94" t="str">
        <f>IFERROR(VLOOKUP($B94,S6M8!$A$1:$B$160,2,0),"0")</f>
        <v>0</v>
      </c>
      <c r="T94" s="95">
        <f>IFERROR(VLOOKUP(S94,S6M8!$B$1:$C$161,2,0),0)</f>
        <v>0</v>
      </c>
      <c r="U94" s="94">
        <f>IFERROR(VLOOKUP($B94,S6M9!$A$1:$B$160,2,0),"0")</f>
        <v>50</v>
      </c>
      <c r="V94" s="95">
        <f>IFERROR(VLOOKUP(U94,S6M9!$B$1:$C$161,2,0),0)</f>
        <v>31.07241251</v>
      </c>
      <c r="W94" s="94" t="str">
        <f>IFERROR(VLOOKUP($B94,S6M10!$A$1:$B$160,2,0),"0")</f>
        <v>0</v>
      </c>
      <c r="X94" s="95">
        <f>IFERROR(VLOOKUP(W94,S6M10!$B$1:$C$161,2,0),0)</f>
        <v>0</v>
      </c>
      <c r="Y94" s="94">
        <f>IFERROR(VLOOKUP($B94,S6M11!$A$1:$B$160,2,0),"0")</f>
        <v>30</v>
      </c>
      <c r="Z94" s="95">
        <f>IFERROR(VLOOKUP(Y94,S6M11!$B$1:$C$161,2,0),0)</f>
        <v>350.6842121</v>
      </c>
      <c r="AA94" s="97">
        <f>IFERROR(VLOOKUP(E94,S6M1!$B$1:$C$161,2,0),0)</f>
        <v>0</v>
      </c>
      <c r="AB94" s="97">
        <f>IFERROR(VLOOKUP(G94,S6M2!$B$1:$C$161,2,0),0)</f>
        <v>101.7480846</v>
      </c>
      <c r="AC94" s="97">
        <f>IFERROR(VLOOKUP(I94,S6M3!$B$1:$C$161,2,0),0)</f>
        <v>510.3166005</v>
      </c>
      <c r="AD94" s="97">
        <f>IFERROR(VLOOKUP(K94,S6M4!$B$1:$C$161,2,0),0)</f>
        <v>0</v>
      </c>
      <c r="AE94" s="97">
        <f>IFERROR(VLOOKUP(M94,S6M5!$B$1:$C$161,2,0),0)</f>
        <v>0</v>
      </c>
      <c r="AF94" s="97">
        <f>IFERROR(VLOOKUP(O94,S6M6!$B$1:$C$161,2,0),0)</f>
        <v>0</v>
      </c>
      <c r="AG94" s="97">
        <f>IFERROR(VLOOKUP(Q94,S6M7!$B$1:$C$161,2,0),0)</f>
        <v>0</v>
      </c>
      <c r="AH94" s="97">
        <f>IFERROR(VLOOKUP(S94,S6M8!$B$1:$C$161,2,0),0)</f>
        <v>0</v>
      </c>
      <c r="AI94" s="97">
        <f>IFERROR(VLOOKUP(U94,S6M9!$B$1:$C$161,2,0),0)</f>
        <v>31.07241251</v>
      </c>
      <c r="AJ94" s="97">
        <f>IFERROR(VLOOKUP(W94,S6M10!$B$1:$C$161,2,0),0)</f>
        <v>0</v>
      </c>
      <c r="AK94" s="97">
        <f>IFERROR(VLOOKUP(Y94,S6M11!$B$1:$C$161,2,0),0)</f>
        <v>350.6842121</v>
      </c>
    </row>
    <row r="95" ht="15.75" customHeight="1">
      <c r="A95" s="92">
        <v>94.0</v>
      </c>
      <c r="B95" s="24" t="s">
        <v>193</v>
      </c>
      <c r="C95" s="93">
        <f t="shared" si="1"/>
        <v>906.2513072</v>
      </c>
      <c r="D95" s="93"/>
      <c r="E95" s="94" t="str">
        <f>IFERROR(VLOOKUP($B95,S6M1!$A$1:$B$160,2,0),"0")</f>
        <v>0</v>
      </c>
      <c r="F95" s="95">
        <f>IFERROR(VLOOKUP(E95,S6M1!$B$1:$C$161,2,0),0)</f>
        <v>0</v>
      </c>
      <c r="G95" s="94" t="str">
        <f>IFERROR(VLOOKUP($B95,S6M2!$A$1:$B$160,2,0),"0")</f>
        <v>0</v>
      </c>
      <c r="H95" s="95">
        <f>IFERROR(VLOOKUP(G95,S6M2!$B$1:$C$161,2,0),0)</f>
        <v>0</v>
      </c>
      <c r="I95" s="94">
        <f>IFERROR(VLOOKUP($B95,S6M3!$A$1:$B$161,2,0),0)</f>
        <v>0</v>
      </c>
      <c r="J95" s="95">
        <f>IFERROR(VLOOKUP(I95,S6M3!$B$1:$C$161,2,0),0)</f>
        <v>0</v>
      </c>
      <c r="K95" s="94" t="str">
        <f>IFERROR(VLOOKUP($B95,S6M4!$A$1:$B$160,2,0),"0")</f>
        <v>0</v>
      </c>
      <c r="L95" s="95">
        <f>IFERROR(VLOOKUP(K95,S6M4!$B$1:$C$161,2,0),0)</f>
        <v>0</v>
      </c>
      <c r="M95" s="94" t="str">
        <f>IFERROR(VLOOKUP($B95,S6M5!$A$1:$B$160,2,0),"0")</f>
        <v>0</v>
      </c>
      <c r="N95" s="95">
        <f>IFERROR(VLOOKUP(M95,S6M5!$B$1:$C$161,2,0),0)</f>
        <v>0</v>
      </c>
      <c r="O95" s="94" t="str">
        <f>IFERROR(VLOOKUP($B95,S6M6!$A$1:$B$160,2,0),"0")</f>
        <v>0</v>
      </c>
      <c r="P95" s="95">
        <f>IFERROR(VLOOKUP(O95,S6M6!$B$1:$C$161,2,0),0)</f>
        <v>0</v>
      </c>
      <c r="Q95" s="94">
        <f>IFERROR(VLOOKUP($B95,S6M7!$A$1:$B$160,2,0),"0")</f>
        <v>12</v>
      </c>
      <c r="R95" s="95">
        <f>IFERROR(VLOOKUP(Q95,S6M7!$B$1:$C$161,2,0),0)</f>
        <v>906.2513072</v>
      </c>
      <c r="S95" s="94" t="str">
        <f>IFERROR(VLOOKUP($B95,S6M8!$A$1:$B$160,2,0),"0")</f>
        <v>0</v>
      </c>
      <c r="T95" s="95">
        <f>IFERROR(VLOOKUP(S95,S6M8!$B$1:$C$161,2,0),0)</f>
        <v>0</v>
      </c>
      <c r="U95" s="94" t="str">
        <f>IFERROR(VLOOKUP($B95,S6M9!$A$1:$B$160,2,0),"0")</f>
        <v>0</v>
      </c>
      <c r="V95" s="95">
        <f>IFERROR(VLOOKUP(U95,S6M9!$B$1:$C$161,2,0),0)</f>
        <v>0</v>
      </c>
      <c r="W95" s="94" t="str">
        <f>IFERROR(VLOOKUP($B95,S6M10!$A$1:$B$160,2,0),"0")</f>
        <v>0</v>
      </c>
      <c r="X95" s="95">
        <f>IFERROR(VLOOKUP(W95,S6M10!$B$1:$C$161,2,0),0)</f>
        <v>0</v>
      </c>
      <c r="Y95" s="94" t="str">
        <f>IFERROR(VLOOKUP($B95,S6M11!$A$1:$B$160,2,0),"0")</f>
        <v>0</v>
      </c>
      <c r="Z95" s="95">
        <f>IFERROR(VLOOKUP(Y95,S6M11!$B$1:$C$161,2,0),0)</f>
        <v>0</v>
      </c>
      <c r="AA95" s="97">
        <f>IFERROR(VLOOKUP(E95,S6M1!$B$1:$C$161,2,0),0)</f>
        <v>0</v>
      </c>
      <c r="AB95" s="97">
        <f>IFERROR(VLOOKUP(G95,S6M2!$B$1:$C$161,2,0),0)</f>
        <v>0</v>
      </c>
      <c r="AC95" s="97">
        <f>IFERROR(VLOOKUP(I95,S6M3!$B$1:$C$161,2,0),0)</f>
        <v>0</v>
      </c>
      <c r="AD95" s="97">
        <f>IFERROR(VLOOKUP(K95,S6M4!$B$1:$C$161,2,0),0)</f>
        <v>0</v>
      </c>
      <c r="AE95" s="97">
        <f>IFERROR(VLOOKUP(M95,S6M5!$B$1:$C$161,2,0),0)</f>
        <v>0</v>
      </c>
      <c r="AF95" s="97">
        <f>IFERROR(VLOOKUP(O95,S6M6!$B$1:$C$161,2,0),0)</f>
        <v>0</v>
      </c>
      <c r="AG95" s="97">
        <f>IFERROR(VLOOKUP(Q95,S6M7!$B$1:$C$161,2,0),0)</f>
        <v>906.2513072</v>
      </c>
      <c r="AH95" s="97">
        <f>IFERROR(VLOOKUP(S95,S6M8!$B$1:$C$161,2,0),0)</f>
        <v>0</v>
      </c>
      <c r="AI95" s="97">
        <f>IFERROR(VLOOKUP(U95,S6M9!$B$1:$C$161,2,0),0)</f>
        <v>0</v>
      </c>
      <c r="AJ95" s="97">
        <f>IFERROR(VLOOKUP(W95,S6M10!$B$1:$C$161,2,0),0)</f>
        <v>0</v>
      </c>
      <c r="AK95" s="97">
        <f>IFERROR(VLOOKUP(Y95,S6M11!$B$1:$C$161,2,0),0)</f>
        <v>0</v>
      </c>
    </row>
    <row r="96" ht="15.75" customHeight="1">
      <c r="A96" s="92">
        <v>95.0</v>
      </c>
      <c r="B96" s="6" t="s">
        <v>93</v>
      </c>
      <c r="C96" s="93">
        <f t="shared" si="1"/>
        <v>900.8141105</v>
      </c>
      <c r="D96" s="93"/>
      <c r="E96" s="94">
        <f>IFERROR(VLOOKUP($B96,S6M1!$A$1:$B$160,2,0),"0")</f>
        <v>19</v>
      </c>
      <c r="F96" s="95">
        <f>IFERROR(VLOOKUP(E96,S6M1!$B$1:$C$161,2,0),0)</f>
        <v>620.6914763</v>
      </c>
      <c r="G96" s="94" t="str">
        <f>IFERROR(VLOOKUP($B96,S6M2!$A$1:$B$160,2,0),"0")</f>
        <v>0</v>
      </c>
      <c r="H96" s="95">
        <f>IFERROR(VLOOKUP(G96,S6M2!$B$1:$C$161,2,0),0)</f>
        <v>0</v>
      </c>
      <c r="I96" s="94">
        <f>IFERROR(VLOOKUP($B96,S6M3!$A$1:$B$161,2,0),0)</f>
        <v>0</v>
      </c>
      <c r="J96" s="95">
        <f>IFERROR(VLOOKUP(I96,S6M3!$B$1:$C$161,2,0),0)</f>
        <v>0</v>
      </c>
      <c r="K96" s="94">
        <f>IFERROR(VLOOKUP($B96,S6M4!$A$1:$B$160,2,0),"0")</f>
        <v>45</v>
      </c>
      <c r="L96" s="95">
        <f>IFERROR(VLOOKUP(K96,S6M4!$B$1:$C$161,2,0),0)</f>
        <v>280.1226342</v>
      </c>
      <c r="M96" s="94" t="str">
        <f>IFERROR(VLOOKUP($B96,S6M5!$A$1:$B$160,2,0),"0")</f>
        <v>0</v>
      </c>
      <c r="N96" s="95">
        <f>IFERROR(VLOOKUP(M96,S6M5!$B$1:$C$161,2,0),0)</f>
        <v>0</v>
      </c>
      <c r="O96" s="94" t="str">
        <f>IFERROR(VLOOKUP($B96,S6M6!$A$1:$B$160,2,0),"0")</f>
        <v>0</v>
      </c>
      <c r="P96" s="95">
        <f>IFERROR(VLOOKUP(O96,S6M6!$B$1:$C$161,2,0),0)</f>
        <v>0</v>
      </c>
      <c r="Q96" s="94" t="str">
        <f>IFERROR(VLOOKUP($B96,S6M7!$A$1:$B$160,2,0),"0")</f>
        <v>0</v>
      </c>
      <c r="R96" s="95">
        <f>IFERROR(VLOOKUP(Q96,S6M7!$B$1:$C$161,2,0),0)</f>
        <v>0</v>
      </c>
      <c r="S96" s="94" t="str">
        <f>IFERROR(VLOOKUP($B96,S6M8!$A$1:$B$160,2,0),"0")</f>
        <v>0</v>
      </c>
      <c r="T96" s="95">
        <f>IFERROR(VLOOKUP(S96,S6M8!$B$1:$C$161,2,0),0)</f>
        <v>0</v>
      </c>
      <c r="U96" s="94" t="str">
        <f>IFERROR(VLOOKUP($B96,S6M9!$A$1:$B$160,2,0),"0")</f>
        <v>0</v>
      </c>
      <c r="V96" s="95">
        <f>IFERROR(VLOOKUP(U96,S6M9!$B$1:$C$161,2,0),0)</f>
        <v>0</v>
      </c>
      <c r="W96" s="94" t="str">
        <f>IFERROR(VLOOKUP($B96,S6M10!$A$1:$B$160,2,0),"0")</f>
        <v>0</v>
      </c>
      <c r="X96" s="95">
        <f>IFERROR(VLOOKUP(W96,S6M10!$B$1:$C$161,2,0),0)</f>
        <v>0</v>
      </c>
      <c r="Y96" s="94" t="str">
        <f>IFERROR(VLOOKUP($B96,S6M11!$A$1:$B$160,2,0),"0")</f>
        <v>0</v>
      </c>
      <c r="Z96" s="95">
        <f>IFERROR(VLOOKUP(Y96,S6M11!$B$1:$C$161,2,0),0)</f>
        <v>0</v>
      </c>
      <c r="AA96" s="95">
        <f>IFERROR(VLOOKUP(E96,S6M1!$B$1:$C$161,2,0),0)</f>
        <v>620.6914763</v>
      </c>
      <c r="AB96" s="95">
        <f>IFERROR(VLOOKUP(G96,S6M2!$B$1:$C$161,2,0),0)</f>
        <v>0</v>
      </c>
      <c r="AC96" s="95">
        <f>IFERROR(VLOOKUP(I96,S6M3!$B$1:$C$161,2,0),0)</f>
        <v>0</v>
      </c>
      <c r="AD96" s="95">
        <f>IFERROR(VLOOKUP(K96,S6M4!$B$1:$C$161,2,0),0)</f>
        <v>280.1226342</v>
      </c>
      <c r="AE96" s="95">
        <f>IFERROR(VLOOKUP(M96,S6M5!$B$1:$C$161,2,0),0)</f>
        <v>0</v>
      </c>
      <c r="AF96" s="95">
        <f>IFERROR(VLOOKUP(O96,S6M6!$B$1:$C$161,2,0),0)</f>
        <v>0</v>
      </c>
      <c r="AG96" s="95">
        <f>IFERROR(VLOOKUP(Q96,S6M7!$B$1:$C$161,2,0),0)</f>
        <v>0</v>
      </c>
      <c r="AH96" s="95">
        <f>IFERROR(VLOOKUP(S96,S6M8!$B$1:$C$161,2,0),0)</f>
        <v>0</v>
      </c>
      <c r="AI96" s="95">
        <f>IFERROR(VLOOKUP(U96,S6M9!$B$1:$C$161,2,0),0)</f>
        <v>0</v>
      </c>
      <c r="AJ96" s="95">
        <f>IFERROR(VLOOKUP(W96,S6M10!$B$1:$C$161,2,0),0)</f>
        <v>0</v>
      </c>
      <c r="AK96" s="95">
        <f>IFERROR(VLOOKUP(Y96,S6M11!$B$1:$C$161,2,0),0)</f>
        <v>0</v>
      </c>
    </row>
    <row r="97" ht="15.75" customHeight="1">
      <c r="A97" s="92">
        <v>96.0</v>
      </c>
      <c r="B97" s="6" t="s">
        <v>92</v>
      </c>
      <c r="C97" s="93">
        <f t="shared" si="1"/>
        <v>779.4763954</v>
      </c>
      <c r="D97" s="93"/>
      <c r="E97" s="94">
        <f>IFERROR(VLOOKUP($B97,S6M1!$A$1:$B$160,2,0),"0")</f>
        <v>35</v>
      </c>
      <c r="F97" s="95">
        <f>IFERROR(VLOOKUP(E97,S6M1!$B$1:$C$161,2,0),0)</f>
        <v>248.6302414</v>
      </c>
      <c r="G97" s="94">
        <f>IFERROR(VLOOKUP($B97,S6M2!$A$1:$B$160,2,0),"0")</f>
        <v>50</v>
      </c>
      <c r="H97" s="95">
        <f>IFERROR(VLOOKUP(G97,S6M2!$B$1:$C$161,2,0),0)</f>
        <v>197.1304564</v>
      </c>
      <c r="I97" s="94">
        <f>IFERROR(VLOOKUP($B97,S6M3!$A$1:$B$161,2,0),0)</f>
        <v>44</v>
      </c>
      <c r="J97" s="95">
        <f>IFERROR(VLOOKUP(I97,S6M3!$B$1:$C$161,2,0),0)</f>
        <v>333.7156976</v>
      </c>
      <c r="K97" s="94" t="str">
        <f>IFERROR(VLOOKUP($B97,S6M4!$A$1:$B$160,2,0),"0")</f>
        <v>0</v>
      </c>
      <c r="L97" s="95">
        <f>IFERROR(VLOOKUP(K97,S6M4!$B$1:$C$161,2,0),0)</f>
        <v>0</v>
      </c>
      <c r="M97" s="94" t="str">
        <f>IFERROR(VLOOKUP($B97,S6M5!$A$1:$B$160,2,0),"0")</f>
        <v>0</v>
      </c>
      <c r="N97" s="95">
        <f>IFERROR(VLOOKUP(M97,S6M5!$B$1:$C$161,2,0),0)</f>
        <v>0</v>
      </c>
      <c r="O97" s="94" t="str">
        <f>IFERROR(VLOOKUP($B97,S6M6!$A$1:$B$160,2,0),"0")</f>
        <v>0</v>
      </c>
      <c r="P97" s="95">
        <f>IFERROR(VLOOKUP(O97,S6M6!$B$1:$C$161,2,0),0)</f>
        <v>0</v>
      </c>
      <c r="Q97" s="94" t="str">
        <f>IFERROR(VLOOKUP($B97,S6M7!$A$1:$B$160,2,0),"0")</f>
        <v>0</v>
      </c>
      <c r="R97" s="95">
        <f>IFERROR(VLOOKUP(Q97,S6M7!$B$1:$C$161,2,0),0)</f>
        <v>0</v>
      </c>
      <c r="S97" s="94" t="str">
        <f>IFERROR(VLOOKUP($B97,S6M8!$A$1:$B$160,2,0),"0")</f>
        <v>0</v>
      </c>
      <c r="T97" s="95">
        <f>IFERROR(VLOOKUP(S97,S6M8!$B$1:$C$161,2,0),0)</f>
        <v>0</v>
      </c>
      <c r="U97" s="94" t="str">
        <f>IFERROR(VLOOKUP($B97,S6M9!$A$1:$B$160,2,0),"0")</f>
        <v>0</v>
      </c>
      <c r="V97" s="95">
        <f>IFERROR(VLOOKUP(U97,S6M9!$B$1:$C$161,2,0),0)</f>
        <v>0</v>
      </c>
      <c r="W97" s="94" t="str">
        <f>IFERROR(VLOOKUP($B97,S6M10!$A$1:$B$160,2,0),"0")</f>
        <v>0</v>
      </c>
      <c r="X97" s="95">
        <f>IFERROR(VLOOKUP(W97,S6M10!$B$1:$C$161,2,0),0)</f>
        <v>0</v>
      </c>
      <c r="Y97" s="94" t="str">
        <f>IFERROR(VLOOKUP($B97,S6M11!$A$1:$B$160,2,0),"0")</f>
        <v>0</v>
      </c>
      <c r="Z97" s="95">
        <f>IFERROR(VLOOKUP(Y97,S6M11!$B$1:$C$161,2,0),0)</f>
        <v>0</v>
      </c>
      <c r="AA97" s="97">
        <f>IFERROR(VLOOKUP(E97,S6M1!$B$1:$C$161,2,0),0)</f>
        <v>248.6302414</v>
      </c>
      <c r="AB97" s="97">
        <f>IFERROR(VLOOKUP(G97,S6M2!$B$1:$C$161,2,0),0)</f>
        <v>197.1304564</v>
      </c>
      <c r="AC97" s="97">
        <f>IFERROR(VLOOKUP(I97,S6M3!$B$1:$C$161,2,0),0)</f>
        <v>333.7156976</v>
      </c>
      <c r="AD97" s="97">
        <f>IFERROR(VLOOKUP(K97,S6M4!$B$1:$C$161,2,0),0)</f>
        <v>0</v>
      </c>
      <c r="AE97" s="97">
        <f>IFERROR(VLOOKUP(M97,S6M5!$B$1:$C$161,2,0),0)</f>
        <v>0</v>
      </c>
      <c r="AF97" s="97">
        <f>IFERROR(VLOOKUP(O97,S6M6!$B$1:$C$161,2,0),0)</f>
        <v>0</v>
      </c>
      <c r="AG97" s="97">
        <f>IFERROR(VLOOKUP(Q97,S6M7!$B$1:$C$161,2,0),0)</f>
        <v>0</v>
      </c>
      <c r="AH97" s="97">
        <f>IFERROR(VLOOKUP(S97,S6M8!$B$1:$C$161,2,0),0)</f>
        <v>0</v>
      </c>
      <c r="AI97" s="97">
        <f>IFERROR(VLOOKUP(U97,S6M9!$B$1:$C$161,2,0),0)</f>
        <v>0</v>
      </c>
      <c r="AJ97" s="97">
        <f>IFERROR(VLOOKUP(W97,S6M10!$B$1:$C$161,2,0),0)</f>
        <v>0</v>
      </c>
      <c r="AK97" s="97">
        <f>IFERROR(VLOOKUP(Y97,S6M11!$B$1:$C$161,2,0),0)</f>
        <v>0</v>
      </c>
    </row>
    <row r="98" ht="15.75" customHeight="1">
      <c r="A98" s="92">
        <v>97.0</v>
      </c>
      <c r="B98" s="6" t="s">
        <v>102</v>
      </c>
      <c r="C98" s="93">
        <f t="shared" si="1"/>
        <v>692.8566567</v>
      </c>
      <c r="D98" s="93"/>
      <c r="E98" s="94" t="str">
        <f>IFERROR(VLOOKUP($B98,S6M1!$A$1:$B$160,2,0),"0")</f>
        <v>0</v>
      </c>
      <c r="F98" s="95">
        <f>IFERROR(VLOOKUP(E98,S6M1!$B$1:$C$161,2,0),0)</f>
        <v>0</v>
      </c>
      <c r="G98" s="94">
        <f>IFERROR(VLOOKUP($B98,S6M2!$A$1:$B$160,2,0),"0")</f>
        <v>31</v>
      </c>
      <c r="H98" s="95">
        <f>IFERROR(VLOOKUP(G98,S6M2!$B$1:$C$161,2,0),0)</f>
        <v>503.5510004</v>
      </c>
      <c r="I98" s="94">
        <f>IFERROR(VLOOKUP($B98,S6M3!$A$1:$B$161,2,0),0)</f>
        <v>0</v>
      </c>
      <c r="J98" s="95">
        <f>IFERROR(VLOOKUP(I98,S6M3!$B$1:$C$161,2,0),0)</f>
        <v>0</v>
      </c>
      <c r="K98" s="94" t="str">
        <f>IFERROR(VLOOKUP($B98,S6M4!$A$1:$B$160,2,0),"0")</f>
        <v>0</v>
      </c>
      <c r="L98" s="95">
        <f>IFERROR(VLOOKUP(K98,S6M4!$B$1:$C$161,2,0),0)</f>
        <v>0</v>
      </c>
      <c r="M98" s="94" t="str">
        <f>IFERROR(VLOOKUP($B98,S6M5!$A$1:$B$160,2,0),"0")</f>
        <v>0</v>
      </c>
      <c r="N98" s="95">
        <f>IFERROR(VLOOKUP(M98,S6M5!$B$1:$C$161,2,0),0)</f>
        <v>0</v>
      </c>
      <c r="O98" s="94">
        <f>IFERROR(VLOOKUP($B98,S6M6!$A$1:$B$160,2,0),"0")</f>
        <v>56</v>
      </c>
      <c r="P98" s="95">
        <f>IFERROR(VLOOKUP(O98,S6M6!$B$1:$C$161,2,0),0)</f>
        <v>189.3056563</v>
      </c>
      <c r="Q98" s="94" t="str">
        <f>IFERROR(VLOOKUP($B98,S6M7!$A$1:$B$160,2,0),"0")</f>
        <v>0</v>
      </c>
      <c r="R98" s="95">
        <f>IFERROR(VLOOKUP(Q98,S6M7!$B$1:$C$161,2,0),0)</f>
        <v>0</v>
      </c>
      <c r="S98" s="94" t="str">
        <f>IFERROR(VLOOKUP($B98,S6M8!$A$1:$B$160,2,0),"0")</f>
        <v>0</v>
      </c>
      <c r="T98" s="95">
        <f>IFERROR(VLOOKUP(S98,S6M8!$B$1:$C$161,2,0),0)</f>
        <v>0</v>
      </c>
      <c r="U98" s="94" t="str">
        <f>IFERROR(VLOOKUP($B98,S6M9!$A$1:$B$160,2,0),"0")</f>
        <v>0</v>
      </c>
      <c r="V98" s="95">
        <f>IFERROR(VLOOKUP(U98,S6M9!$B$1:$C$161,2,0),0)</f>
        <v>0</v>
      </c>
      <c r="W98" s="94" t="str">
        <f>IFERROR(VLOOKUP($B98,S6M10!$A$1:$B$160,2,0),"0")</f>
        <v>0</v>
      </c>
      <c r="X98" s="95">
        <f>IFERROR(VLOOKUP(W98,S6M10!$B$1:$C$161,2,0),0)</f>
        <v>0</v>
      </c>
      <c r="Y98" s="94" t="str">
        <f>IFERROR(VLOOKUP($B98,S6M11!$A$1:$B$160,2,0),"0")</f>
        <v>0</v>
      </c>
      <c r="Z98" s="95">
        <f>IFERROR(VLOOKUP(Y98,S6M11!$B$1:$C$161,2,0),0)</f>
        <v>0</v>
      </c>
      <c r="AA98" s="97">
        <f>IFERROR(VLOOKUP(E98,S6M1!$B$1:$C$161,2,0),0)</f>
        <v>0</v>
      </c>
      <c r="AB98" s="97">
        <f>IFERROR(VLOOKUP(G98,S6M2!$B$1:$C$161,2,0),0)</f>
        <v>503.5510004</v>
      </c>
      <c r="AC98" s="97">
        <f>IFERROR(VLOOKUP(I98,S6M3!$B$1:$C$161,2,0),0)</f>
        <v>0</v>
      </c>
      <c r="AD98" s="97">
        <f>IFERROR(VLOOKUP(K98,S6M4!$B$1:$C$161,2,0),0)</f>
        <v>0</v>
      </c>
      <c r="AE98" s="97">
        <f>IFERROR(VLOOKUP(M98,S6M5!$B$1:$C$161,2,0),0)</f>
        <v>0</v>
      </c>
      <c r="AF98" s="97">
        <f>IFERROR(VLOOKUP(O98,S6M6!$B$1:$C$161,2,0),0)</f>
        <v>189.3056563</v>
      </c>
      <c r="AG98" s="97">
        <f>IFERROR(VLOOKUP(Q98,S6M7!$B$1:$C$161,2,0),0)</f>
        <v>0</v>
      </c>
      <c r="AH98" s="97">
        <f>IFERROR(VLOOKUP(S98,S6M8!$B$1:$C$161,2,0),0)</f>
        <v>0</v>
      </c>
      <c r="AI98" s="97">
        <f>IFERROR(VLOOKUP(U98,S6M9!$B$1:$C$161,2,0),0)</f>
        <v>0</v>
      </c>
      <c r="AJ98" s="97">
        <f>IFERROR(VLOOKUP(W98,S6M10!$B$1:$C$161,2,0),0)</f>
        <v>0</v>
      </c>
      <c r="AK98" s="97">
        <f>IFERROR(VLOOKUP(Y98,S6M11!$B$1:$C$161,2,0),0)</f>
        <v>0</v>
      </c>
    </row>
    <row r="99" ht="15.75" customHeight="1">
      <c r="A99" s="92">
        <v>98.0</v>
      </c>
      <c r="B99" s="99" t="s">
        <v>85</v>
      </c>
      <c r="C99" s="93">
        <f t="shared" si="1"/>
        <v>683.057202</v>
      </c>
      <c r="D99" s="93"/>
      <c r="E99" s="94" t="str">
        <f>IFERROR(VLOOKUP($B99,S6M1!$A$1:$B$160,2,0),"0")</f>
        <v>0</v>
      </c>
      <c r="F99" s="95">
        <f>IFERROR(VLOOKUP(E99,S6M1!$B$1:$C$161,2,0),0)</f>
        <v>0</v>
      </c>
      <c r="G99" s="94" t="str">
        <f>IFERROR(VLOOKUP($B99,S6M2!$A$1:$B$160,2,0),"0")</f>
        <v>0</v>
      </c>
      <c r="H99" s="95">
        <f>IFERROR(VLOOKUP(G99,S6M2!$B$1:$C$161,2,0),0)</f>
        <v>0</v>
      </c>
      <c r="I99" s="94">
        <f>IFERROR(VLOOKUP($B99,S6M3!$A$1:$B$161,2,0),0)</f>
        <v>57</v>
      </c>
      <c r="J99" s="95">
        <f>IFERROR(VLOOKUP(I99,S6M3!$B$1:$C$161,2,0),0)</f>
        <v>156.4015653</v>
      </c>
      <c r="K99" s="94" t="str">
        <f>IFERROR(VLOOKUP($B99,S6M4!$A$1:$B$160,2,0),"0")</f>
        <v>0</v>
      </c>
      <c r="L99" s="95">
        <f>IFERROR(VLOOKUP(K99,S6M4!$B$1:$C$161,2,0),0)</f>
        <v>0</v>
      </c>
      <c r="M99" s="94" t="str">
        <f>IFERROR(VLOOKUP($B99,S6M5!$A$1:$B$160,2,0),"0")</f>
        <v>0</v>
      </c>
      <c r="N99" s="95">
        <f>IFERROR(VLOOKUP(M99,S6M5!$B$1:$C$161,2,0),0)</f>
        <v>0</v>
      </c>
      <c r="O99" s="94">
        <f>IFERROR(VLOOKUP($B99,S6M6!$A$1:$B$160,2,0),"0")</f>
        <v>33</v>
      </c>
      <c r="P99" s="95">
        <f>IFERROR(VLOOKUP(O99,S6M6!$B$1:$C$161,2,0),0)</f>
        <v>526.6556367</v>
      </c>
      <c r="Q99" s="94" t="str">
        <f>IFERROR(VLOOKUP($B99,S6M7!$A$1:$B$160,2,0),"0")</f>
        <v>0</v>
      </c>
      <c r="R99" s="95">
        <f>IFERROR(VLOOKUP(Q99,S6M7!$B$1:$C$161,2,0),0)</f>
        <v>0</v>
      </c>
      <c r="S99" s="94" t="str">
        <f>IFERROR(VLOOKUP($B99,S6M8!$A$1:$B$160,2,0),"0")</f>
        <v>0</v>
      </c>
      <c r="T99" s="95">
        <f>IFERROR(VLOOKUP(S99,S6M8!$B$1:$C$161,2,0),0)</f>
        <v>0</v>
      </c>
      <c r="U99" s="94" t="str">
        <f>IFERROR(VLOOKUP($B99,S6M9!$A$1:$B$160,2,0),"0")</f>
        <v>0</v>
      </c>
      <c r="V99" s="95">
        <f>IFERROR(VLOOKUP(U99,S6M9!$B$1:$C$161,2,0),0)</f>
        <v>0</v>
      </c>
      <c r="W99" s="94" t="str">
        <f>IFERROR(VLOOKUP($B99,S6M10!$A$1:$B$160,2,0),"0")</f>
        <v>0</v>
      </c>
      <c r="X99" s="95">
        <f>IFERROR(VLOOKUP(W99,S6M10!$B$1:$C$161,2,0),0)</f>
        <v>0</v>
      </c>
      <c r="Y99" s="94" t="str">
        <f>IFERROR(VLOOKUP($B99,S6M11!$A$1:$B$160,2,0),"0")</f>
        <v>0</v>
      </c>
      <c r="Z99" s="95">
        <f>IFERROR(VLOOKUP(Y99,S6M11!$B$1:$C$161,2,0),0)</f>
        <v>0</v>
      </c>
      <c r="AA99" s="97">
        <f>IFERROR(VLOOKUP(E99,S6M1!$B$1:$C$161,2,0),0)</f>
        <v>0</v>
      </c>
      <c r="AB99" s="97">
        <f>IFERROR(VLOOKUP(G99,S6M2!$B$1:$C$161,2,0),0)</f>
        <v>0</v>
      </c>
      <c r="AC99" s="97">
        <f>IFERROR(VLOOKUP(I99,S6M3!$B$1:$C$161,2,0),0)</f>
        <v>156.4015653</v>
      </c>
      <c r="AD99" s="97">
        <f>IFERROR(VLOOKUP(K99,S6M4!$B$1:$C$161,2,0),0)</f>
        <v>0</v>
      </c>
      <c r="AE99" s="97">
        <f>IFERROR(VLOOKUP(M99,S6M5!$B$1:$C$161,2,0),0)</f>
        <v>0</v>
      </c>
      <c r="AF99" s="97">
        <f>IFERROR(VLOOKUP(O99,S6M6!$B$1:$C$161,2,0),0)</f>
        <v>526.6556367</v>
      </c>
      <c r="AG99" s="97">
        <f>IFERROR(VLOOKUP(Q99,S6M7!$B$1:$C$161,2,0),0)</f>
        <v>0</v>
      </c>
      <c r="AH99" s="97">
        <f>IFERROR(VLOOKUP(S99,S6M8!$B$1:$C$161,2,0),0)</f>
        <v>0</v>
      </c>
      <c r="AI99" s="97">
        <f>IFERROR(VLOOKUP(U99,S6M9!$B$1:$C$161,2,0),0)</f>
        <v>0</v>
      </c>
      <c r="AJ99" s="97">
        <f>IFERROR(VLOOKUP(W99,S6M10!$B$1:$C$161,2,0),0)</f>
        <v>0</v>
      </c>
      <c r="AK99" s="97">
        <f>IFERROR(VLOOKUP(Y99,S6M11!$B$1:$C$161,2,0),0)</f>
        <v>0</v>
      </c>
    </row>
    <row r="100" ht="15.75" customHeight="1">
      <c r="A100" s="92">
        <v>99.0</v>
      </c>
      <c r="B100" s="6" t="s">
        <v>100</v>
      </c>
      <c r="C100" s="93">
        <f t="shared" si="1"/>
        <v>654.7968551</v>
      </c>
      <c r="D100" s="93"/>
      <c r="E100" s="94" t="str">
        <f>IFERROR(VLOOKUP($B100,S6M1!$A$1:$B$160,2,0),"0")</f>
        <v>0</v>
      </c>
      <c r="F100" s="95">
        <f>IFERROR(VLOOKUP(E100,S6M1!$B$1:$C$161,2,0),0)</f>
        <v>0</v>
      </c>
      <c r="G100" s="94">
        <f>IFERROR(VLOOKUP($B100,S6M2!$A$1:$B$160,2,0),"0")</f>
        <v>36</v>
      </c>
      <c r="H100" s="95">
        <f>IFERROR(VLOOKUP(G100,S6M2!$B$1:$C$161,2,0),0)</f>
        <v>413.73984</v>
      </c>
      <c r="I100" s="94">
        <f>IFERROR(VLOOKUP($B100,S6M3!$A$1:$B$161,2,0),0)</f>
        <v>0</v>
      </c>
      <c r="J100" s="95">
        <f>IFERROR(VLOOKUP(I100,S6M3!$B$1:$C$161,2,0),0)</f>
        <v>0</v>
      </c>
      <c r="K100" s="94" t="str">
        <f>IFERROR(VLOOKUP($B100,S6M4!$A$1:$B$160,2,0),"0")</f>
        <v>0</v>
      </c>
      <c r="L100" s="95">
        <f>IFERROR(VLOOKUP(K100,S6M4!$B$1:$C$161,2,0),0)</f>
        <v>0</v>
      </c>
      <c r="M100" s="94" t="str">
        <f>IFERROR(VLOOKUP($B100,S6M5!$A$1:$B$160,2,0),"0")</f>
        <v>0</v>
      </c>
      <c r="N100" s="95">
        <f>IFERROR(VLOOKUP(M100,S6M5!$B$1:$C$161,2,0),0)</f>
        <v>0</v>
      </c>
      <c r="O100" s="94">
        <f>IFERROR(VLOOKUP($B100,S6M6!$A$1:$B$160,2,0),"0")</f>
        <v>52</v>
      </c>
      <c r="P100" s="95">
        <f>IFERROR(VLOOKUP(O100,S6M6!$B$1:$C$161,2,0),0)</f>
        <v>241.057015</v>
      </c>
      <c r="Q100" s="94" t="str">
        <f>IFERROR(VLOOKUP($B100,S6M7!$A$1:$B$160,2,0),"0")</f>
        <v>0</v>
      </c>
      <c r="R100" s="95">
        <f>IFERROR(VLOOKUP(Q100,S6M7!$B$1:$C$161,2,0),0)</f>
        <v>0</v>
      </c>
      <c r="S100" s="94" t="str">
        <f>IFERROR(VLOOKUP($B100,S6M8!$A$1:$B$160,2,0),"0")</f>
        <v>0</v>
      </c>
      <c r="T100" s="95">
        <f>IFERROR(VLOOKUP(S100,S6M8!$B$1:$C$161,2,0),0)</f>
        <v>0</v>
      </c>
      <c r="U100" s="94" t="str">
        <f>IFERROR(VLOOKUP($B100,S6M9!$A$1:$B$160,2,0),"0")</f>
        <v>0</v>
      </c>
      <c r="V100" s="95">
        <f>IFERROR(VLOOKUP(U100,S6M9!$B$1:$C$161,2,0),0)</f>
        <v>0</v>
      </c>
      <c r="W100" s="94" t="str">
        <f>IFERROR(VLOOKUP($B100,S6M10!$A$1:$B$160,2,0),"0")</f>
        <v>0</v>
      </c>
      <c r="X100" s="95">
        <f>IFERROR(VLOOKUP(W100,S6M10!$B$1:$C$161,2,0),0)</f>
        <v>0</v>
      </c>
      <c r="Y100" s="94" t="str">
        <f>IFERROR(VLOOKUP($B100,S6M11!$A$1:$B$160,2,0),"0")</f>
        <v>0</v>
      </c>
      <c r="Z100" s="95">
        <f>IFERROR(VLOOKUP(Y100,S6M11!$B$1:$C$161,2,0),0)</f>
        <v>0</v>
      </c>
      <c r="AA100" s="95">
        <f>IFERROR(VLOOKUP(E100,S6M1!$B$1:$C$161,2,0),0)</f>
        <v>0</v>
      </c>
      <c r="AB100" s="95">
        <f>IFERROR(VLOOKUP(G100,S6M2!$B$1:$C$161,2,0),0)</f>
        <v>413.73984</v>
      </c>
      <c r="AC100" s="95">
        <f>IFERROR(VLOOKUP(I100,S6M3!$B$1:$C$161,2,0),0)</f>
        <v>0</v>
      </c>
      <c r="AD100" s="95">
        <f>IFERROR(VLOOKUP(K100,S6M4!$B$1:$C$161,2,0),0)</f>
        <v>0</v>
      </c>
      <c r="AE100" s="95">
        <f>IFERROR(VLOOKUP(M100,S6M5!$B$1:$C$161,2,0),0)</f>
        <v>0</v>
      </c>
      <c r="AF100" s="95">
        <f>IFERROR(VLOOKUP(O100,S6M6!$B$1:$C$161,2,0),0)</f>
        <v>241.057015</v>
      </c>
      <c r="AG100" s="95">
        <f>IFERROR(VLOOKUP(Q100,S6M7!$B$1:$C$161,2,0),0)</f>
        <v>0</v>
      </c>
      <c r="AH100" s="95">
        <f>IFERROR(VLOOKUP(S100,S6M8!$B$1:$C$161,2,0),0)</f>
        <v>0</v>
      </c>
      <c r="AI100" s="95">
        <f>IFERROR(VLOOKUP(U100,S6M9!$B$1:$C$161,2,0),0)</f>
        <v>0</v>
      </c>
      <c r="AJ100" s="95">
        <f>IFERROR(VLOOKUP(W100,S6M10!$B$1:$C$161,2,0),0)</f>
        <v>0</v>
      </c>
      <c r="AK100" s="95">
        <f>IFERROR(VLOOKUP(Y100,S6M11!$B$1:$C$161,2,0),0)</f>
        <v>0</v>
      </c>
    </row>
    <row r="101" ht="15.75" customHeight="1">
      <c r="A101" s="92">
        <v>100.0</v>
      </c>
      <c r="B101" s="98" t="s">
        <v>114</v>
      </c>
      <c r="C101" s="93">
        <f t="shared" si="1"/>
        <v>644.1333665</v>
      </c>
      <c r="D101" s="93"/>
      <c r="E101" s="94" t="str">
        <f>IFERROR(VLOOKUP($B101,S6M1!$A$1:$B$160,2,0),"0")</f>
        <v>0</v>
      </c>
      <c r="F101" s="95">
        <f>IFERROR(VLOOKUP(E101,S6M1!$B$1:$C$161,2,0),0)</f>
        <v>0</v>
      </c>
      <c r="G101" s="94" t="str">
        <f>IFERROR(VLOOKUP($B101,S6M2!$A$1:$B$160,2,0),"0")</f>
        <v>0</v>
      </c>
      <c r="H101" s="95">
        <f>IFERROR(VLOOKUP(G101,S6M2!$B$1:$C$161,2,0),0)</f>
        <v>0</v>
      </c>
      <c r="I101" s="94">
        <f>IFERROR(VLOOKUP($B101,S6M3!$A$1:$B$161,2,0),0)</f>
        <v>26</v>
      </c>
      <c r="J101" s="95">
        <f>IFERROR(VLOOKUP(I101,S6M3!$B$1:$C$161,2,0),0)</f>
        <v>644.1333665</v>
      </c>
      <c r="K101" s="94" t="str">
        <f>IFERROR(VLOOKUP($B101,S6M4!$A$1:$B$160,2,0),"0")</f>
        <v>0</v>
      </c>
      <c r="L101" s="95">
        <f>IFERROR(VLOOKUP(K101,S6M4!$B$1:$C$161,2,0),0)</f>
        <v>0</v>
      </c>
      <c r="M101" s="94" t="str">
        <f>IFERROR(VLOOKUP($B101,S6M5!$A$1:$B$160,2,0),"0")</f>
        <v>0</v>
      </c>
      <c r="N101" s="95">
        <f>IFERROR(VLOOKUP(M101,S6M5!$B$1:$C$161,2,0),0)</f>
        <v>0</v>
      </c>
      <c r="O101" s="94" t="str">
        <f>IFERROR(VLOOKUP($B101,S6M6!$A$1:$B$160,2,0),"0")</f>
        <v>0</v>
      </c>
      <c r="P101" s="95">
        <f>IFERROR(VLOOKUP(O101,S6M6!$B$1:$C$161,2,0),0)</f>
        <v>0</v>
      </c>
      <c r="Q101" s="94" t="str">
        <f>IFERROR(VLOOKUP($B101,S6M7!$A$1:$B$160,2,0),"0")</f>
        <v>0</v>
      </c>
      <c r="R101" s="95">
        <f>IFERROR(VLOOKUP(Q101,S6M7!$B$1:$C$161,2,0),0)</f>
        <v>0</v>
      </c>
      <c r="S101" s="94" t="str">
        <f>IFERROR(VLOOKUP($B101,S6M8!$A$1:$B$160,2,0),"0")</f>
        <v>0</v>
      </c>
      <c r="T101" s="95">
        <f>IFERROR(VLOOKUP(S101,S6M8!$B$1:$C$161,2,0),0)</f>
        <v>0</v>
      </c>
      <c r="U101" s="94" t="str">
        <f>IFERROR(VLOOKUP($B101,S6M9!$A$1:$B$160,2,0),"0")</f>
        <v>0</v>
      </c>
      <c r="V101" s="95">
        <f>IFERROR(VLOOKUP(U101,S6M9!$B$1:$C$161,2,0),0)</f>
        <v>0</v>
      </c>
      <c r="W101" s="94" t="str">
        <f>IFERROR(VLOOKUP($B101,S6M10!$A$1:$B$160,2,0),"0")</f>
        <v>0</v>
      </c>
      <c r="X101" s="95">
        <f>IFERROR(VLOOKUP(W101,S6M10!$B$1:$C$161,2,0),0)</f>
        <v>0</v>
      </c>
      <c r="Y101" s="94" t="str">
        <f>IFERROR(VLOOKUP($B101,S6M11!$A$1:$B$160,2,0),"0")</f>
        <v>0</v>
      </c>
      <c r="Z101" s="95">
        <f>IFERROR(VLOOKUP(Y101,S6M11!$B$1:$C$161,2,0),0)</f>
        <v>0</v>
      </c>
      <c r="AA101" s="95">
        <f>IFERROR(VLOOKUP(E101,S6M1!$B$1:$C$161,2,0),0)</f>
        <v>0</v>
      </c>
      <c r="AB101" s="95">
        <f>IFERROR(VLOOKUP(G101,S6M2!$B$1:$C$161,2,0),0)</f>
        <v>0</v>
      </c>
      <c r="AC101" s="95">
        <f>IFERROR(VLOOKUP(I101,S6M3!$B$1:$C$161,2,0),0)</f>
        <v>644.1333665</v>
      </c>
      <c r="AD101" s="95">
        <f>IFERROR(VLOOKUP(K101,S6M4!$B$1:$C$161,2,0),0)</f>
        <v>0</v>
      </c>
      <c r="AE101" s="95">
        <f>IFERROR(VLOOKUP(M101,S6M5!$B$1:$C$161,2,0),0)</f>
        <v>0</v>
      </c>
      <c r="AF101" s="95">
        <f>IFERROR(VLOOKUP(O101,S6M6!$B$1:$C$161,2,0),0)</f>
        <v>0</v>
      </c>
      <c r="AG101" s="95">
        <f>IFERROR(VLOOKUP(Q101,S6M7!$B$1:$C$161,2,0),0)</f>
        <v>0</v>
      </c>
      <c r="AH101" s="95">
        <f>IFERROR(VLOOKUP(S101,S6M8!$B$1:$C$161,2,0),0)</f>
        <v>0</v>
      </c>
      <c r="AI101" s="95">
        <f>IFERROR(VLOOKUP(U101,S6M9!$B$1:$C$161,2,0),0)</f>
        <v>0</v>
      </c>
      <c r="AJ101" s="95">
        <f>IFERROR(VLOOKUP(W101,S6M10!$B$1:$C$161,2,0),0)</f>
        <v>0</v>
      </c>
      <c r="AK101" s="95">
        <f>IFERROR(VLOOKUP(Y101,S6M11!$B$1:$C$161,2,0),0)</f>
        <v>0</v>
      </c>
    </row>
    <row r="102" ht="15.75" customHeight="1">
      <c r="A102" s="92">
        <v>101.0</v>
      </c>
      <c r="B102" s="24" t="s">
        <v>194</v>
      </c>
      <c r="C102" s="93">
        <f t="shared" si="1"/>
        <v>633.4770562</v>
      </c>
      <c r="D102" s="93"/>
      <c r="E102" s="94" t="str">
        <f>IFERROR(VLOOKUP($B102,S6M1!$A$1:$B$160,2,0),"0")</f>
        <v>0</v>
      </c>
      <c r="F102" s="95">
        <f>IFERROR(VLOOKUP(E102,S6M1!$B$1:$C$161,2,0),0)</f>
        <v>0</v>
      </c>
      <c r="G102" s="94" t="str">
        <f>IFERROR(VLOOKUP($B102,S6M2!$A$1:$B$160,2,0),"0")</f>
        <v>0</v>
      </c>
      <c r="H102" s="95">
        <f>IFERROR(VLOOKUP(G102,S6M2!$B$1:$C$161,2,0),0)</f>
        <v>0</v>
      </c>
      <c r="I102" s="94">
        <f>IFERROR(VLOOKUP($B102,S6M3!$A$1:$B$161,2,0),0)</f>
        <v>0</v>
      </c>
      <c r="J102" s="95">
        <f>IFERROR(VLOOKUP(I102,S6M3!$B$1:$C$161,2,0),0)</f>
        <v>0</v>
      </c>
      <c r="K102" s="94">
        <f>IFERROR(VLOOKUP($B102,S6M4!$A$1:$B$160,2,0),"0")</f>
        <v>25</v>
      </c>
      <c r="L102" s="95">
        <f>IFERROR(VLOOKUP(K102,S6M4!$B$1:$C$161,2,0),0)</f>
        <v>633.4770562</v>
      </c>
      <c r="M102" s="94" t="str">
        <f>IFERROR(VLOOKUP($B102,S6M5!$A$1:$B$160,2,0),"0")</f>
        <v>0</v>
      </c>
      <c r="N102" s="95">
        <f>IFERROR(VLOOKUP(M102,S6M5!$B$1:$C$161,2,0),0)</f>
        <v>0</v>
      </c>
      <c r="O102" s="94" t="str">
        <f>IFERROR(VLOOKUP($B102,S6M6!$A$1:$B$160,2,0),"0")</f>
        <v>0</v>
      </c>
      <c r="P102" s="95">
        <f>IFERROR(VLOOKUP(O102,S6M6!$B$1:$C$161,2,0),0)</f>
        <v>0</v>
      </c>
      <c r="Q102" s="94" t="str">
        <f>IFERROR(VLOOKUP($B102,S6M7!$A$1:$B$160,2,0),"0")</f>
        <v>0</v>
      </c>
      <c r="R102" s="95">
        <f>IFERROR(VLOOKUP(Q102,S6M7!$B$1:$C$161,2,0),0)</f>
        <v>0</v>
      </c>
      <c r="S102" s="94" t="str">
        <f>IFERROR(VLOOKUP($B102,S6M8!$A$1:$B$160,2,0),"0")</f>
        <v>0</v>
      </c>
      <c r="T102" s="95">
        <f>IFERROR(VLOOKUP(S102,S6M8!$B$1:$C$161,2,0),0)</f>
        <v>0</v>
      </c>
      <c r="U102" s="94" t="str">
        <f>IFERROR(VLOOKUP($B102,S6M9!$A$1:$B$160,2,0),"0")</f>
        <v>0</v>
      </c>
      <c r="V102" s="95">
        <f>IFERROR(VLOOKUP(U102,S6M9!$B$1:$C$161,2,0),0)</f>
        <v>0</v>
      </c>
      <c r="W102" s="94" t="str">
        <f>IFERROR(VLOOKUP($B102,S6M10!$A$1:$B$160,2,0),"0")</f>
        <v>0</v>
      </c>
      <c r="X102" s="95">
        <f>IFERROR(VLOOKUP(W102,S6M10!$B$1:$C$161,2,0),0)</f>
        <v>0</v>
      </c>
      <c r="Y102" s="94" t="str">
        <f>IFERROR(VLOOKUP($B102,S6M11!$A$1:$B$160,2,0),"0")</f>
        <v>0</v>
      </c>
      <c r="Z102" s="95">
        <f>IFERROR(VLOOKUP(Y102,S6M11!$B$1:$C$161,2,0),0)</f>
        <v>0</v>
      </c>
      <c r="AA102" s="97">
        <f>IFERROR(VLOOKUP(E102,S6M1!$B$1:$C$161,2,0),0)</f>
        <v>0</v>
      </c>
      <c r="AB102" s="97">
        <f>IFERROR(VLOOKUP(G102,S6M2!$B$1:$C$161,2,0),0)</f>
        <v>0</v>
      </c>
      <c r="AC102" s="97">
        <f>IFERROR(VLOOKUP(I102,S6M3!$B$1:$C$161,2,0),0)</f>
        <v>0</v>
      </c>
      <c r="AD102" s="97">
        <f>IFERROR(VLOOKUP(K102,S6M4!$B$1:$C$161,2,0),0)</f>
        <v>633.4770562</v>
      </c>
      <c r="AE102" s="97">
        <f>IFERROR(VLOOKUP(M102,S6M5!$B$1:$C$161,2,0),0)</f>
        <v>0</v>
      </c>
      <c r="AF102" s="97">
        <f>IFERROR(VLOOKUP(O102,S6M6!$B$1:$C$161,2,0),0)</f>
        <v>0</v>
      </c>
      <c r="AG102" s="97">
        <f>IFERROR(VLOOKUP(Q102,S6M7!$B$1:$C$161,2,0),0)</f>
        <v>0</v>
      </c>
      <c r="AH102" s="97">
        <f>IFERROR(VLOOKUP(S102,S6M8!$B$1:$C$161,2,0),0)</f>
        <v>0</v>
      </c>
      <c r="AI102" s="97">
        <f>IFERROR(VLOOKUP(U102,S6M9!$B$1:$C$161,2,0),0)</f>
        <v>0</v>
      </c>
      <c r="AJ102" s="97">
        <f>IFERROR(VLOOKUP(W102,S6M10!$B$1:$C$161,2,0),0)</f>
        <v>0</v>
      </c>
      <c r="AK102" s="97">
        <f>IFERROR(VLOOKUP(Y102,S6M11!$B$1:$C$161,2,0),0)</f>
        <v>0</v>
      </c>
    </row>
    <row r="103" ht="15.75" customHeight="1">
      <c r="A103" s="92">
        <v>102.0</v>
      </c>
      <c r="B103" s="24" t="s">
        <v>195</v>
      </c>
      <c r="C103" s="93">
        <f t="shared" si="1"/>
        <v>570.7239846</v>
      </c>
      <c r="D103" s="93"/>
      <c r="E103" s="94" t="str">
        <f>IFERROR(VLOOKUP($B103,S6M1!$A$1:$B$160,2,0),"0")</f>
        <v>0</v>
      </c>
      <c r="F103" s="95">
        <f>IFERROR(VLOOKUP(E103,S6M1!$B$1:$C$161,2,0),0)</f>
        <v>0</v>
      </c>
      <c r="G103" s="94" t="str">
        <f>IFERROR(VLOOKUP($B103,S6M2!$A$1:$B$160,2,0),"0")</f>
        <v>0</v>
      </c>
      <c r="H103" s="95">
        <f>IFERROR(VLOOKUP(G103,S6M2!$B$1:$C$161,2,0),0)</f>
        <v>0</v>
      </c>
      <c r="I103" s="94">
        <f>IFERROR(VLOOKUP($B103,S6M3!$A$1:$B$161,2,0),0)</f>
        <v>0</v>
      </c>
      <c r="J103" s="95">
        <f>IFERROR(VLOOKUP(I103,S6M3!$B$1:$C$161,2,0),0)</f>
        <v>0</v>
      </c>
      <c r="K103" s="94">
        <f>IFERROR(VLOOKUP($B103,S6M4!$A$1:$B$160,2,0),"0")</f>
        <v>28</v>
      </c>
      <c r="L103" s="95">
        <f>IFERROR(VLOOKUP(K103,S6M4!$B$1:$C$161,2,0),0)</f>
        <v>570.7239846</v>
      </c>
      <c r="M103" s="94" t="str">
        <f>IFERROR(VLOOKUP($B103,S6M5!$A$1:$B$160,2,0),"0")</f>
        <v>0</v>
      </c>
      <c r="N103" s="95">
        <f>IFERROR(VLOOKUP(M103,S6M5!$B$1:$C$161,2,0),0)</f>
        <v>0</v>
      </c>
      <c r="O103" s="94" t="str">
        <f>IFERROR(VLOOKUP($B103,S6M6!$A$1:$B$160,2,0),"0")</f>
        <v>0</v>
      </c>
      <c r="P103" s="95">
        <f>IFERROR(VLOOKUP(O103,S6M6!$B$1:$C$161,2,0),0)</f>
        <v>0</v>
      </c>
      <c r="Q103" s="94" t="str">
        <f>IFERROR(VLOOKUP($B103,S6M7!$A$1:$B$160,2,0),"0")</f>
        <v>0</v>
      </c>
      <c r="R103" s="95">
        <f>IFERROR(VLOOKUP(Q103,S6M7!$B$1:$C$161,2,0),0)</f>
        <v>0</v>
      </c>
      <c r="S103" s="94" t="str">
        <f>IFERROR(VLOOKUP($B103,S6M8!$A$1:$B$160,2,0),"0")</f>
        <v>0</v>
      </c>
      <c r="T103" s="95">
        <f>IFERROR(VLOOKUP(S103,S6M8!$B$1:$C$161,2,0),0)</f>
        <v>0</v>
      </c>
      <c r="U103" s="94" t="str">
        <f>IFERROR(VLOOKUP($B103,S6M9!$A$1:$B$160,2,0),"0")</f>
        <v>0</v>
      </c>
      <c r="V103" s="95">
        <f>IFERROR(VLOOKUP(U103,S6M9!$B$1:$C$161,2,0),0)</f>
        <v>0</v>
      </c>
      <c r="W103" s="94" t="str">
        <f>IFERROR(VLOOKUP($B103,S6M10!$A$1:$B$160,2,0),"0")</f>
        <v>0</v>
      </c>
      <c r="X103" s="95">
        <f>IFERROR(VLOOKUP(W103,S6M10!$B$1:$C$161,2,0),0)</f>
        <v>0</v>
      </c>
      <c r="Y103" s="94" t="str">
        <f>IFERROR(VLOOKUP($B103,S6M11!$A$1:$B$160,2,0),"0")</f>
        <v>0</v>
      </c>
      <c r="Z103" s="95">
        <f>IFERROR(VLOOKUP(Y103,S6M11!$B$1:$C$161,2,0),0)</f>
        <v>0</v>
      </c>
      <c r="AA103" s="97">
        <f>IFERROR(VLOOKUP(E103,S6M1!$B$1:$C$161,2,0),0)</f>
        <v>0</v>
      </c>
      <c r="AB103" s="97">
        <f>IFERROR(VLOOKUP(G103,S6M2!$B$1:$C$161,2,0),0)</f>
        <v>0</v>
      </c>
      <c r="AC103" s="97">
        <f>IFERROR(VLOOKUP(I103,S6M3!$B$1:$C$161,2,0),0)</f>
        <v>0</v>
      </c>
      <c r="AD103" s="97">
        <f>IFERROR(VLOOKUP(K103,S6M4!$B$1:$C$161,2,0),0)</f>
        <v>570.7239846</v>
      </c>
      <c r="AE103" s="97">
        <f>IFERROR(VLOOKUP(M103,S6M5!$B$1:$C$161,2,0),0)</f>
        <v>0</v>
      </c>
      <c r="AF103" s="97">
        <f>IFERROR(VLOOKUP(O103,S6M6!$B$1:$C$161,2,0),0)</f>
        <v>0</v>
      </c>
      <c r="AG103" s="97">
        <f>IFERROR(VLOOKUP(Q103,S6M7!$B$1:$C$161,2,0),0)</f>
        <v>0</v>
      </c>
      <c r="AH103" s="97">
        <f>IFERROR(VLOOKUP(S103,S6M8!$B$1:$C$161,2,0),0)</f>
        <v>0</v>
      </c>
      <c r="AI103" s="97">
        <f>IFERROR(VLOOKUP(U103,S6M9!$B$1:$C$161,2,0),0)</f>
        <v>0</v>
      </c>
      <c r="AJ103" s="97">
        <f>IFERROR(VLOOKUP(W103,S6M10!$B$1:$C$161,2,0),0)</f>
        <v>0</v>
      </c>
      <c r="AK103" s="97">
        <f>IFERROR(VLOOKUP(Y103,S6M11!$B$1:$C$161,2,0),0)</f>
        <v>0</v>
      </c>
    </row>
    <row r="104" ht="15.75" customHeight="1">
      <c r="A104" s="92">
        <v>103.0</v>
      </c>
      <c r="B104" s="6" t="s">
        <v>86</v>
      </c>
      <c r="C104" s="93">
        <f t="shared" si="1"/>
        <v>531.2314873</v>
      </c>
      <c r="D104" s="93"/>
      <c r="E104" s="94">
        <f>IFERROR(VLOOKUP($B104,S6M1!$A$1:$B$160,2,0),"0")</f>
        <v>28</v>
      </c>
      <c r="F104" s="95">
        <f>IFERROR(VLOOKUP(E104,S6M1!$B$1:$C$161,2,0),0)</f>
        <v>394.3417086</v>
      </c>
      <c r="G104" s="94" t="str">
        <f>IFERROR(VLOOKUP($B104,S6M2!$A$1:$B$160,2,0),"0")</f>
        <v>0</v>
      </c>
      <c r="H104" s="95">
        <f>IFERROR(VLOOKUP(G104,S6M2!$B$1:$C$161,2,0),0)</f>
        <v>0</v>
      </c>
      <c r="I104" s="94">
        <f>IFERROR(VLOOKUP($B104,S6M3!$A$1:$B$161,2,0),0)</f>
        <v>0</v>
      </c>
      <c r="J104" s="95">
        <f>IFERROR(VLOOKUP(I104,S6M3!$B$1:$C$161,2,0),0)</f>
        <v>0</v>
      </c>
      <c r="K104" s="94" t="str">
        <f>IFERROR(VLOOKUP($B104,S6M4!$A$1:$B$160,2,0),"0")</f>
        <v>0</v>
      </c>
      <c r="L104" s="95">
        <f>IFERROR(VLOOKUP(K104,S6M4!$B$1:$C$161,2,0),0)</f>
        <v>0</v>
      </c>
      <c r="M104" s="94" t="str">
        <f>IFERROR(VLOOKUP($B104,S6M5!$A$1:$B$160,2,0),"0")</f>
        <v>0</v>
      </c>
      <c r="N104" s="95">
        <f>IFERROR(VLOOKUP(M104,S6M5!$B$1:$C$161,2,0),0)</f>
        <v>0</v>
      </c>
      <c r="O104" s="94" t="str">
        <f>IFERROR(VLOOKUP($B104,S6M6!$A$1:$B$160,2,0),"0")</f>
        <v>0</v>
      </c>
      <c r="P104" s="95">
        <f>IFERROR(VLOOKUP(O104,S6M6!$B$1:$C$161,2,0),0)</f>
        <v>0</v>
      </c>
      <c r="Q104" s="94" t="str">
        <f>IFERROR(VLOOKUP($B104,S6M7!$A$1:$B$160,2,0),"0")</f>
        <v>0</v>
      </c>
      <c r="R104" s="95">
        <f>IFERROR(VLOOKUP(Q104,S6M7!$B$1:$C$161,2,0),0)</f>
        <v>0</v>
      </c>
      <c r="S104" s="94">
        <f>IFERROR(VLOOKUP($B104,S6M8!$A$1:$B$160,2,0),"0")</f>
        <v>46</v>
      </c>
      <c r="T104" s="95">
        <f>IFERROR(VLOOKUP(S104,S6M8!$B$1:$C$161,2,0),0)</f>
        <v>136.8897787</v>
      </c>
      <c r="U104" s="94" t="str">
        <f>IFERROR(VLOOKUP($B104,S6M9!$A$1:$B$160,2,0),"0")</f>
        <v>0</v>
      </c>
      <c r="V104" s="95">
        <f>IFERROR(VLOOKUP(U104,S6M9!$B$1:$C$161,2,0),0)</f>
        <v>0</v>
      </c>
      <c r="W104" s="94" t="str">
        <f>IFERROR(VLOOKUP($B104,S6M10!$A$1:$B$160,2,0),"0")</f>
        <v>0</v>
      </c>
      <c r="X104" s="95">
        <f>IFERROR(VLOOKUP(W104,S6M10!$B$1:$C$161,2,0),0)</f>
        <v>0</v>
      </c>
      <c r="Y104" s="94" t="str">
        <f>IFERROR(VLOOKUP($B104,S6M11!$A$1:$B$160,2,0),"0")</f>
        <v>0</v>
      </c>
      <c r="Z104" s="95">
        <f>IFERROR(VLOOKUP(Y104,S6M11!$B$1:$C$161,2,0),0)</f>
        <v>0</v>
      </c>
      <c r="AA104" s="95">
        <f>IFERROR(VLOOKUP(E104,S6M1!$B$1:$C$161,2,0),0)</f>
        <v>394.3417086</v>
      </c>
      <c r="AB104" s="95">
        <f>IFERROR(VLOOKUP(G104,S6M2!$B$1:$C$161,2,0),0)</f>
        <v>0</v>
      </c>
      <c r="AC104" s="95">
        <f>IFERROR(VLOOKUP(I104,S6M3!$B$1:$C$161,2,0),0)</f>
        <v>0</v>
      </c>
      <c r="AD104" s="95">
        <f>IFERROR(VLOOKUP(K104,S6M4!$B$1:$C$161,2,0),0)</f>
        <v>0</v>
      </c>
      <c r="AE104" s="95">
        <f>IFERROR(VLOOKUP(M104,S6M5!$B$1:$C$161,2,0),0)</f>
        <v>0</v>
      </c>
      <c r="AF104" s="95">
        <f>IFERROR(VLOOKUP(O104,S6M6!$B$1:$C$161,2,0),0)</f>
        <v>0</v>
      </c>
      <c r="AG104" s="95">
        <f>IFERROR(VLOOKUP(Q104,S6M7!$B$1:$C$161,2,0),0)</f>
        <v>0</v>
      </c>
      <c r="AH104" s="95">
        <f>IFERROR(VLOOKUP(S104,S6M8!$B$1:$C$161,2,0),0)</f>
        <v>136.8897787</v>
      </c>
      <c r="AI104" s="95">
        <f>IFERROR(VLOOKUP(U104,S6M9!$B$1:$C$161,2,0),0)</f>
        <v>0</v>
      </c>
      <c r="AJ104" s="95">
        <f>IFERROR(VLOOKUP(W104,S6M10!$B$1:$C$161,2,0),0)</f>
        <v>0</v>
      </c>
      <c r="AK104" s="95">
        <f>IFERROR(VLOOKUP(Y104,S6M11!$B$1:$C$161,2,0),0)</f>
        <v>0</v>
      </c>
    </row>
    <row r="105" ht="15.75" customHeight="1">
      <c r="A105" s="92">
        <v>104.0</v>
      </c>
      <c r="B105" s="6" t="s">
        <v>97</v>
      </c>
      <c r="C105" s="93">
        <f t="shared" si="1"/>
        <v>500.1925477</v>
      </c>
      <c r="D105" s="93"/>
      <c r="E105" s="94">
        <f>IFERROR(VLOOKUP($B105,S6M1!$A$1:$B$160,2,0),"0")</f>
        <v>42</v>
      </c>
      <c r="F105" s="95">
        <f>IFERROR(VLOOKUP(E105,S6M1!$B$1:$C$161,2,0),0)</f>
        <v>118.775986</v>
      </c>
      <c r="G105" s="94" t="str">
        <f>IFERROR(VLOOKUP($B105,S6M2!$A$1:$B$160,2,0),"0")</f>
        <v>0</v>
      </c>
      <c r="H105" s="95">
        <f>IFERROR(VLOOKUP(G105,S6M2!$B$1:$C$161,2,0),0)</f>
        <v>0</v>
      </c>
      <c r="I105" s="94">
        <f>IFERROR(VLOOKUP($B105,S6M3!$A$1:$B$161,2,0),0)</f>
        <v>0</v>
      </c>
      <c r="J105" s="95">
        <f>IFERROR(VLOOKUP(I105,S6M3!$B$1:$C$161,2,0),0)</f>
        <v>0</v>
      </c>
      <c r="K105" s="94" t="str">
        <f>IFERROR(VLOOKUP($B105,S6M4!$A$1:$B$160,2,0),"0")</f>
        <v>0</v>
      </c>
      <c r="L105" s="95">
        <f>IFERROR(VLOOKUP(K105,S6M4!$B$1:$C$161,2,0),0)</f>
        <v>0</v>
      </c>
      <c r="M105" s="94" t="str">
        <f>IFERROR(VLOOKUP($B105,S6M5!$A$1:$B$160,2,0),"0")</f>
        <v>0</v>
      </c>
      <c r="N105" s="95">
        <f>IFERROR(VLOOKUP(M105,S6M5!$B$1:$C$161,2,0),0)</f>
        <v>0</v>
      </c>
      <c r="O105" s="94">
        <f>IFERROR(VLOOKUP($B105,S6M6!$A$1:$B$160,2,0),"0")</f>
        <v>42</v>
      </c>
      <c r="P105" s="95">
        <f>IFERROR(VLOOKUP(O105,S6M6!$B$1:$C$161,2,0),0)</f>
        <v>381.4165616</v>
      </c>
      <c r="Q105" s="94" t="str">
        <f>IFERROR(VLOOKUP($B105,S6M7!$A$1:$B$160,2,0),"0")</f>
        <v>0</v>
      </c>
      <c r="R105" s="95">
        <f>IFERROR(VLOOKUP(Q105,S6M7!$B$1:$C$161,2,0),0)</f>
        <v>0</v>
      </c>
      <c r="S105" s="94" t="str">
        <f>IFERROR(VLOOKUP($B105,S6M8!$A$1:$B$160,2,0),"0")</f>
        <v>0</v>
      </c>
      <c r="T105" s="95">
        <f>IFERROR(VLOOKUP(S105,S6M8!$B$1:$C$161,2,0),0)</f>
        <v>0</v>
      </c>
      <c r="U105" s="94" t="str">
        <f>IFERROR(VLOOKUP($B105,S6M9!$A$1:$B$160,2,0),"0")</f>
        <v>0</v>
      </c>
      <c r="V105" s="95">
        <f>IFERROR(VLOOKUP(U105,S6M9!$B$1:$C$161,2,0),0)</f>
        <v>0</v>
      </c>
      <c r="W105" s="94" t="str">
        <f>IFERROR(VLOOKUP($B105,S6M10!$A$1:$B$160,2,0),"0")</f>
        <v>0</v>
      </c>
      <c r="X105" s="95">
        <f>IFERROR(VLOOKUP(W105,S6M10!$B$1:$C$161,2,0),0)</f>
        <v>0</v>
      </c>
      <c r="Y105" s="94" t="str">
        <f>IFERROR(VLOOKUP($B105,S6M11!$A$1:$B$160,2,0),"0")</f>
        <v>0</v>
      </c>
      <c r="Z105" s="95">
        <f>IFERROR(VLOOKUP(Y105,S6M11!$B$1:$C$161,2,0),0)</f>
        <v>0</v>
      </c>
      <c r="AA105" s="97">
        <f>IFERROR(VLOOKUP(E105,S6M1!$B$1:$C$161,2,0),0)</f>
        <v>118.775986</v>
      </c>
      <c r="AB105" s="97">
        <f>IFERROR(VLOOKUP(G105,S6M2!$B$1:$C$161,2,0),0)</f>
        <v>0</v>
      </c>
      <c r="AC105" s="97">
        <f>IFERROR(VLOOKUP(I105,S6M3!$B$1:$C$161,2,0),0)</f>
        <v>0</v>
      </c>
      <c r="AD105" s="97">
        <f>IFERROR(VLOOKUP(K105,S6M4!$B$1:$C$161,2,0),0)</f>
        <v>0</v>
      </c>
      <c r="AE105" s="97">
        <f>IFERROR(VLOOKUP(M105,S6M5!$B$1:$C$161,2,0),0)</f>
        <v>0</v>
      </c>
      <c r="AF105" s="97">
        <f>IFERROR(VLOOKUP(O105,S6M6!$B$1:$C$161,2,0),0)</f>
        <v>381.4165616</v>
      </c>
      <c r="AG105" s="97">
        <f>IFERROR(VLOOKUP(Q105,S6M7!$B$1:$C$161,2,0),0)</f>
        <v>0</v>
      </c>
      <c r="AH105" s="97">
        <f>IFERROR(VLOOKUP(S105,S6M8!$B$1:$C$161,2,0),0)</f>
        <v>0</v>
      </c>
      <c r="AI105" s="97">
        <f>IFERROR(VLOOKUP(U105,S6M9!$B$1:$C$161,2,0),0)</f>
        <v>0</v>
      </c>
      <c r="AJ105" s="97">
        <f>IFERROR(VLOOKUP(W105,S6M10!$B$1:$C$161,2,0),0)</f>
        <v>0</v>
      </c>
      <c r="AK105" s="97">
        <f>IFERROR(VLOOKUP(Y105,S6M11!$B$1:$C$161,2,0),0)</f>
        <v>0</v>
      </c>
    </row>
    <row r="106" ht="15.75" customHeight="1">
      <c r="A106" s="92">
        <v>105.0</v>
      </c>
      <c r="B106" s="24" t="s">
        <v>196</v>
      </c>
      <c r="C106" s="93">
        <f t="shared" si="1"/>
        <v>475.682846</v>
      </c>
      <c r="D106" s="93"/>
      <c r="E106" s="94" t="str">
        <f>IFERROR(VLOOKUP($B106,S6M1!$A$1:$B$160,2,0),"0")</f>
        <v>0</v>
      </c>
      <c r="F106" s="95">
        <f>IFERROR(VLOOKUP(E106,S6M1!$B$1:$C$161,2,0),0)</f>
        <v>0</v>
      </c>
      <c r="G106" s="94" t="str">
        <f>IFERROR(VLOOKUP($B106,S6M2!$A$1:$B$160,2,0),"0")</f>
        <v>0</v>
      </c>
      <c r="H106" s="95">
        <f>IFERROR(VLOOKUP(G106,S6M2!$B$1:$C$161,2,0),0)</f>
        <v>0</v>
      </c>
      <c r="I106" s="94">
        <f>IFERROR(VLOOKUP($B106,S6M3!$A$1:$B$161,2,0),0)</f>
        <v>0</v>
      </c>
      <c r="J106" s="95">
        <f>IFERROR(VLOOKUP(I106,S6M3!$B$1:$C$161,2,0),0)</f>
        <v>0</v>
      </c>
      <c r="K106" s="94" t="str">
        <f>IFERROR(VLOOKUP($B106,S6M4!$A$1:$B$160,2,0),"0")</f>
        <v>0</v>
      </c>
      <c r="L106" s="95">
        <f>IFERROR(VLOOKUP(K106,S6M4!$B$1:$C$161,2,0),0)</f>
        <v>0</v>
      </c>
      <c r="M106" s="94" t="str">
        <f>IFERROR(VLOOKUP($B106,S6M5!$A$1:$B$160,2,0),"0")</f>
        <v>0</v>
      </c>
      <c r="N106" s="95">
        <f>IFERROR(VLOOKUP(M106,S6M5!$B$1:$C$161,2,0),0)</f>
        <v>0</v>
      </c>
      <c r="O106" s="94" t="str">
        <f>IFERROR(VLOOKUP($B106,S6M6!$A$1:$B$160,2,0),"0")</f>
        <v>0</v>
      </c>
      <c r="P106" s="95">
        <f>IFERROR(VLOOKUP(O106,S6M6!$B$1:$C$161,2,0),0)</f>
        <v>0</v>
      </c>
      <c r="Q106" s="94" t="str">
        <f>IFERROR(VLOOKUP($B106,S6M7!$A$1:$B$160,2,0),"0")</f>
        <v>0</v>
      </c>
      <c r="R106" s="95">
        <f>IFERROR(VLOOKUP(Q106,S6M7!$B$1:$C$161,2,0),0)</f>
        <v>0</v>
      </c>
      <c r="S106" s="94" t="str">
        <f>IFERROR(VLOOKUP($B106,S6M8!$A$1:$B$160,2,0),"0")</f>
        <v>0</v>
      </c>
      <c r="T106" s="95">
        <f>IFERROR(VLOOKUP(S106,S6M8!$B$1:$C$161,2,0),0)</f>
        <v>0</v>
      </c>
      <c r="U106" s="94">
        <f>IFERROR(VLOOKUP($B106,S6M9!$A$1:$B$160,2,0),"0")</f>
        <v>26</v>
      </c>
      <c r="V106" s="95">
        <f>IFERROR(VLOOKUP(U106,S6M9!$B$1:$C$161,2,0),0)</f>
        <v>475.682846</v>
      </c>
      <c r="W106" s="94" t="str">
        <f>IFERROR(VLOOKUP($B106,S6M10!$A$1:$B$160,2,0),"0")</f>
        <v>0</v>
      </c>
      <c r="X106" s="95">
        <f>IFERROR(VLOOKUP(W106,S6M10!$B$1:$C$161,2,0),0)</f>
        <v>0</v>
      </c>
      <c r="Y106" s="94" t="str">
        <f>IFERROR(VLOOKUP($B106,S6M11!$A$1:$B$160,2,0),"0")</f>
        <v>0</v>
      </c>
      <c r="Z106" s="95">
        <f>IFERROR(VLOOKUP(Y106,S6M11!$B$1:$C$161,2,0),0)</f>
        <v>0</v>
      </c>
      <c r="AA106" s="97">
        <f>IFERROR(VLOOKUP(E106,S6M1!$B$1:$C$161,2,0),0)</f>
        <v>0</v>
      </c>
      <c r="AB106" s="97">
        <f>IFERROR(VLOOKUP(G106,S6M2!$B$1:$C$161,2,0),0)</f>
        <v>0</v>
      </c>
      <c r="AC106" s="97">
        <f>IFERROR(VLOOKUP(I106,S6M3!$B$1:$C$161,2,0),0)</f>
        <v>0</v>
      </c>
      <c r="AD106" s="97">
        <f>IFERROR(VLOOKUP(K106,S6M4!$B$1:$C$161,2,0),0)</f>
        <v>0</v>
      </c>
      <c r="AE106" s="97">
        <f>IFERROR(VLOOKUP(M106,S6M5!$B$1:$C$161,2,0),0)</f>
        <v>0</v>
      </c>
      <c r="AF106" s="97">
        <f>IFERROR(VLOOKUP(O106,S6M6!$B$1:$C$161,2,0),0)</f>
        <v>0</v>
      </c>
      <c r="AG106" s="97">
        <f>IFERROR(VLOOKUP(Q106,S6M7!$B$1:$C$161,2,0),0)</f>
        <v>0</v>
      </c>
      <c r="AH106" s="97">
        <f>IFERROR(VLOOKUP(S106,S6M8!$B$1:$C$161,2,0),0)</f>
        <v>0</v>
      </c>
      <c r="AI106" s="97">
        <f>IFERROR(VLOOKUP(U106,S6M9!$B$1:$C$161,2,0),0)</f>
        <v>475.682846</v>
      </c>
      <c r="AJ106" s="97">
        <f>IFERROR(VLOOKUP(W106,S6M10!$B$1:$C$161,2,0),0)</f>
        <v>0</v>
      </c>
      <c r="AK106" s="97">
        <f>IFERROR(VLOOKUP(Y106,S6M11!$B$1:$C$161,2,0),0)</f>
        <v>0</v>
      </c>
    </row>
    <row r="107" ht="15.75" customHeight="1">
      <c r="A107" s="92">
        <v>106.0</v>
      </c>
      <c r="B107" s="24" t="s">
        <v>99</v>
      </c>
      <c r="C107" s="93">
        <f t="shared" si="1"/>
        <v>423.133748</v>
      </c>
      <c r="D107" s="93"/>
      <c r="E107" s="94" t="str">
        <f>IFERROR(VLOOKUP($B107,S6M1!$A$1:$B$160,2,0),"0")</f>
        <v>0</v>
      </c>
      <c r="F107" s="95">
        <f>IFERROR(VLOOKUP(E107,S6M1!$B$1:$C$161,2,0),0)</f>
        <v>0</v>
      </c>
      <c r="G107" s="94" t="str">
        <f>IFERROR(VLOOKUP($B107,S6M2!$A$1:$B$160,2,0),"0")</f>
        <v>0</v>
      </c>
      <c r="H107" s="95">
        <f>IFERROR(VLOOKUP(G107,S6M2!$B$1:$C$161,2,0),0)</f>
        <v>0</v>
      </c>
      <c r="I107" s="94">
        <f>IFERROR(VLOOKUP($B107,S6M3!$A$1:$B$161,2,0),0)</f>
        <v>0</v>
      </c>
      <c r="J107" s="95">
        <f>IFERROR(VLOOKUP(I107,S6M3!$B$1:$C$161,2,0),0)</f>
        <v>0</v>
      </c>
      <c r="K107" s="94" t="str">
        <f>IFERROR(VLOOKUP($B107,S6M4!$A$1:$B$160,2,0),"0")</f>
        <v>0</v>
      </c>
      <c r="L107" s="95">
        <f>IFERROR(VLOOKUP(K107,S6M4!$B$1:$C$161,2,0),0)</f>
        <v>0</v>
      </c>
      <c r="M107" s="94" t="str">
        <f>IFERROR(VLOOKUP($B107,S6M5!$A$1:$B$160,2,0),"0")</f>
        <v>0</v>
      </c>
      <c r="N107" s="95">
        <f>IFERROR(VLOOKUP(M107,S6M5!$B$1:$C$161,2,0),0)</f>
        <v>0</v>
      </c>
      <c r="O107" s="94" t="str">
        <f>IFERROR(VLOOKUP($B107,S6M6!$A$1:$B$160,2,0),"0")</f>
        <v>0</v>
      </c>
      <c r="P107" s="95">
        <f>IFERROR(VLOOKUP(O107,S6M6!$B$1:$C$161,2,0),0)</f>
        <v>0</v>
      </c>
      <c r="Q107" s="94" t="str">
        <f>IFERROR(VLOOKUP($B107,S6M7!$A$1:$B$160,2,0),"0")</f>
        <v>0</v>
      </c>
      <c r="R107" s="95">
        <f>IFERROR(VLOOKUP(Q107,S6M7!$B$1:$C$161,2,0),0)</f>
        <v>0</v>
      </c>
      <c r="S107" s="94">
        <f>IFERROR(VLOOKUP($B107,S6M8!$A$1:$B$160,2,0),"0")</f>
        <v>30</v>
      </c>
      <c r="T107" s="95">
        <f>IFERROR(VLOOKUP(S107,S6M8!$B$1:$C$161,2,0),0)</f>
        <v>423.133748</v>
      </c>
      <c r="U107" s="94" t="str">
        <f>IFERROR(VLOOKUP($B107,S6M9!$A$1:$B$160,2,0),"0")</f>
        <v>0</v>
      </c>
      <c r="V107" s="95">
        <f>IFERROR(VLOOKUP(U107,S6M9!$B$1:$C$161,2,0),0)</f>
        <v>0</v>
      </c>
      <c r="W107" s="94" t="str">
        <f>IFERROR(VLOOKUP($B107,S6M10!$A$1:$B$160,2,0),"0")</f>
        <v>0</v>
      </c>
      <c r="X107" s="95">
        <f>IFERROR(VLOOKUP(W107,S6M10!$B$1:$C$161,2,0),0)</f>
        <v>0</v>
      </c>
      <c r="Y107" s="94" t="str">
        <f>IFERROR(VLOOKUP($B107,S6M11!$A$1:$B$160,2,0),"0")</f>
        <v>0</v>
      </c>
      <c r="Z107" s="95">
        <f>IFERROR(VLOOKUP(Y107,S6M11!$B$1:$C$161,2,0),0)</f>
        <v>0</v>
      </c>
      <c r="AA107" s="97">
        <f>IFERROR(VLOOKUP(E107,S6M1!$B$1:$C$161,2,0),0)</f>
        <v>0</v>
      </c>
      <c r="AB107" s="97">
        <f>IFERROR(VLOOKUP(G107,S6M2!$B$1:$C$161,2,0),0)</f>
        <v>0</v>
      </c>
      <c r="AC107" s="97">
        <f>IFERROR(VLOOKUP(I107,S6M3!$B$1:$C$161,2,0),0)</f>
        <v>0</v>
      </c>
      <c r="AD107" s="97">
        <f>IFERROR(VLOOKUP(K107,S6M4!$B$1:$C$161,2,0),0)</f>
        <v>0</v>
      </c>
      <c r="AE107" s="97">
        <f>IFERROR(VLOOKUP(M107,S6M5!$B$1:$C$161,2,0),0)</f>
        <v>0</v>
      </c>
      <c r="AF107" s="97">
        <f>IFERROR(VLOOKUP(O107,S6M6!$B$1:$C$161,2,0),0)</f>
        <v>0</v>
      </c>
      <c r="AG107" s="97">
        <f>IFERROR(VLOOKUP(Q107,S6M7!$B$1:$C$161,2,0),0)</f>
        <v>0</v>
      </c>
      <c r="AH107" s="97">
        <f>IFERROR(VLOOKUP(S107,S6M8!$B$1:$C$161,2,0),0)</f>
        <v>423.133748</v>
      </c>
      <c r="AI107" s="97">
        <f>IFERROR(VLOOKUP(U107,S6M9!$B$1:$C$161,2,0),0)</f>
        <v>0</v>
      </c>
      <c r="AJ107" s="97">
        <f>IFERROR(VLOOKUP(W107,S6M10!$B$1:$C$161,2,0),0)</f>
        <v>0</v>
      </c>
      <c r="AK107" s="97">
        <f>IFERROR(VLOOKUP(Y107,S6M11!$B$1:$C$161,2,0),0)</f>
        <v>0</v>
      </c>
    </row>
    <row r="108" ht="15.75" customHeight="1">
      <c r="A108" s="92">
        <v>107.0</v>
      </c>
      <c r="B108" s="99" t="s">
        <v>124</v>
      </c>
      <c r="C108" s="93">
        <f t="shared" si="1"/>
        <v>402.2030828</v>
      </c>
      <c r="D108" s="93"/>
      <c r="E108" s="94" t="str">
        <f>IFERROR(VLOOKUP($B108,S6M1!$A$1:$B$160,2,0),"0")</f>
        <v>0</v>
      </c>
      <c r="F108" s="95">
        <f>IFERROR(VLOOKUP(E108,S6M1!$B$1:$C$161,2,0),0)</f>
        <v>0</v>
      </c>
      <c r="G108" s="94" t="str">
        <f>IFERROR(VLOOKUP($B108,S6M2!$A$1:$B$160,2,0),"0")</f>
        <v>0</v>
      </c>
      <c r="H108" s="95">
        <f>IFERROR(VLOOKUP(G108,S6M2!$B$1:$C$161,2,0),0)</f>
        <v>0</v>
      </c>
      <c r="I108" s="94">
        <f>IFERROR(VLOOKUP($B108,S6M3!$A$1:$B$161,2,0),0)</f>
        <v>53</v>
      </c>
      <c r="J108" s="95">
        <f>IFERROR(VLOOKUP(I108,S6M3!$B$1:$C$161,2,0),0)</f>
        <v>208.2794446</v>
      </c>
      <c r="K108" s="94">
        <f>IFERROR(VLOOKUP($B108,S6M4!$A$1:$B$160,2,0),"0")</f>
        <v>51</v>
      </c>
      <c r="L108" s="95">
        <f>IFERROR(VLOOKUP(K108,S6M4!$B$1:$C$161,2,0),0)</f>
        <v>193.9236382</v>
      </c>
      <c r="M108" s="94" t="str">
        <f>IFERROR(VLOOKUP($B108,S6M5!$A$1:$B$160,2,0),"0")</f>
        <v>0</v>
      </c>
      <c r="N108" s="95">
        <f>IFERROR(VLOOKUP(M108,S6M5!$B$1:$C$161,2,0),0)</f>
        <v>0</v>
      </c>
      <c r="O108" s="94" t="str">
        <f>IFERROR(VLOOKUP($B108,S6M6!$A$1:$B$160,2,0),"0")</f>
        <v>0</v>
      </c>
      <c r="P108" s="95">
        <f>IFERROR(VLOOKUP(O108,S6M6!$B$1:$C$161,2,0),0)</f>
        <v>0</v>
      </c>
      <c r="Q108" s="94" t="str">
        <f>IFERROR(VLOOKUP($B108,S6M7!$A$1:$B$160,2,0),"0")</f>
        <v>0</v>
      </c>
      <c r="R108" s="95">
        <f>IFERROR(VLOOKUP(Q108,S6M7!$B$1:$C$161,2,0),0)</f>
        <v>0</v>
      </c>
      <c r="S108" s="94" t="str">
        <f>IFERROR(VLOOKUP($B108,S6M8!$A$1:$B$160,2,0),"0")</f>
        <v>0</v>
      </c>
      <c r="T108" s="95">
        <f>IFERROR(VLOOKUP(S108,S6M8!$B$1:$C$161,2,0),0)</f>
        <v>0</v>
      </c>
      <c r="U108" s="94" t="str">
        <f>IFERROR(VLOOKUP($B108,S6M9!$A$1:$B$160,2,0),"0")</f>
        <v>0</v>
      </c>
      <c r="V108" s="95">
        <f>IFERROR(VLOOKUP(U108,S6M9!$B$1:$C$161,2,0),0)</f>
        <v>0</v>
      </c>
      <c r="W108" s="94" t="str">
        <f>IFERROR(VLOOKUP($B108,S6M10!$A$1:$B$160,2,0),"0")</f>
        <v>0</v>
      </c>
      <c r="X108" s="95">
        <f>IFERROR(VLOOKUP(W108,S6M10!$B$1:$C$161,2,0),0)</f>
        <v>0</v>
      </c>
      <c r="Y108" s="94" t="str">
        <f>IFERROR(VLOOKUP($B108,S6M11!$A$1:$B$160,2,0),"0")</f>
        <v>0</v>
      </c>
      <c r="Z108" s="95">
        <f>IFERROR(VLOOKUP(Y108,S6M11!$B$1:$C$161,2,0),0)</f>
        <v>0</v>
      </c>
      <c r="AA108" s="97">
        <f>IFERROR(VLOOKUP(E108,S6M1!$B$1:$C$161,2,0),0)</f>
        <v>0</v>
      </c>
      <c r="AB108" s="97">
        <f>IFERROR(VLOOKUP(G108,S6M2!$B$1:$C$161,2,0),0)</f>
        <v>0</v>
      </c>
      <c r="AC108" s="97">
        <f>IFERROR(VLOOKUP(I108,S6M3!$B$1:$C$161,2,0),0)</f>
        <v>208.2794446</v>
      </c>
      <c r="AD108" s="97">
        <f>IFERROR(VLOOKUP(K108,S6M4!$B$1:$C$161,2,0),0)</f>
        <v>193.9236382</v>
      </c>
      <c r="AE108" s="97">
        <f>IFERROR(VLOOKUP(M108,S6M5!$B$1:$C$161,2,0),0)</f>
        <v>0</v>
      </c>
      <c r="AF108" s="97">
        <f>IFERROR(VLOOKUP(O108,S6M6!$B$1:$C$161,2,0),0)</f>
        <v>0</v>
      </c>
      <c r="AG108" s="97">
        <f>IFERROR(VLOOKUP(Q108,S6M7!$B$1:$C$161,2,0),0)</f>
        <v>0</v>
      </c>
      <c r="AH108" s="97">
        <f>IFERROR(VLOOKUP(S108,S6M8!$B$1:$C$161,2,0),0)</f>
        <v>0</v>
      </c>
      <c r="AI108" s="97">
        <f>IFERROR(VLOOKUP(U108,S6M9!$B$1:$C$161,2,0),0)</f>
        <v>0</v>
      </c>
      <c r="AJ108" s="97">
        <f>IFERROR(VLOOKUP(W108,S6M10!$B$1:$C$161,2,0),0)</f>
        <v>0</v>
      </c>
      <c r="AK108" s="97">
        <f>IFERROR(VLOOKUP(Y108,S6M11!$B$1:$C$161,2,0),0)</f>
        <v>0</v>
      </c>
    </row>
    <row r="109" ht="15.75" customHeight="1">
      <c r="A109" s="92">
        <v>108.0</v>
      </c>
      <c r="B109" s="98" t="s">
        <v>112</v>
      </c>
      <c r="C109" s="93">
        <f t="shared" si="1"/>
        <v>315.7333684</v>
      </c>
      <c r="D109" s="93"/>
      <c r="E109" s="94" t="str">
        <f>IFERROR(VLOOKUP($B109,S6M1!$A$1:$B$160,2,0),"0")</f>
        <v>0</v>
      </c>
      <c r="F109" s="95">
        <f>IFERROR(VLOOKUP(E109,S6M1!$B$1:$C$161,2,0),0)</f>
        <v>0</v>
      </c>
      <c r="G109" s="94">
        <f>IFERROR(VLOOKUP($B109,S6M2!$A$1:$B$160,2,0),"0")</f>
        <v>42</v>
      </c>
      <c r="H109" s="95">
        <f>IFERROR(VLOOKUP(G109,S6M2!$B$1:$C$161,2,0),0)</f>
        <v>315.7333684</v>
      </c>
      <c r="I109" s="94">
        <f>IFERROR(VLOOKUP($B109,S6M3!$A$1:$B$161,2,0),0)</f>
        <v>0</v>
      </c>
      <c r="J109" s="95">
        <f>IFERROR(VLOOKUP(I109,S6M3!$B$1:$C$161,2,0),0)</f>
        <v>0</v>
      </c>
      <c r="K109" s="94" t="str">
        <f>IFERROR(VLOOKUP($B109,S6M4!$A$1:$B$160,2,0),"0")</f>
        <v>0</v>
      </c>
      <c r="L109" s="95">
        <f>IFERROR(VLOOKUP(K109,S6M4!$B$1:$C$161,2,0),0)</f>
        <v>0</v>
      </c>
      <c r="M109" s="94" t="str">
        <f>IFERROR(VLOOKUP($B109,S6M5!$A$1:$B$160,2,0),"0")</f>
        <v>0</v>
      </c>
      <c r="N109" s="95">
        <f>IFERROR(VLOOKUP(M109,S6M5!$B$1:$C$161,2,0),0)</f>
        <v>0</v>
      </c>
      <c r="O109" s="94" t="str">
        <f>IFERROR(VLOOKUP($B109,S6M6!$A$1:$B$160,2,0),"0")</f>
        <v>0</v>
      </c>
      <c r="P109" s="95">
        <f>IFERROR(VLOOKUP(O109,S6M6!$B$1:$C$161,2,0),0)</f>
        <v>0</v>
      </c>
      <c r="Q109" s="94" t="str">
        <f>IFERROR(VLOOKUP($B109,S6M7!$A$1:$B$160,2,0),"0")</f>
        <v>0</v>
      </c>
      <c r="R109" s="95">
        <f>IFERROR(VLOOKUP(Q109,S6M7!$B$1:$C$161,2,0),0)</f>
        <v>0</v>
      </c>
      <c r="S109" s="94" t="str">
        <f>IFERROR(VLOOKUP($B109,S6M8!$A$1:$B$160,2,0),"0")</f>
        <v>0</v>
      </c>
      <c r="T109" s="95">
        <f>IFERROR(VLOOKUP(S109,S6M8!$B$1:$C$161,2,0),0)</f>
        <v>0</v>
      </c>
      <c r="U109" s="94" t="str">
        <f>IFERROR(VLOOKUP($B109,S6M9!$A$1:$B$160,2,0),"0")</f>
        <v>0</v>
      </c>
      <c r="V109" s="95">
        <f>IFERROR(VLOOKUP(U109,S6M9!$B$1:$C$161,2,0),0)</f>
        <v>0</v>
      </c>
      <c r="W109" s="94" t="str">
        <f>IFERROR(VLOOKUP($B109,S6M10!$A$1:$B$160,2,0),"0")</f>
        <v>0</v>
      </c>
      <c r="X109" s="95">
        <f>IFERROR(VLOOKUP(W109,S6M10!$B$1:$C$161,2,0),0)</f>
        <v>0</v>
      </c>
      <c r="Y109" s="94" t="str">
        <f>IFERROR(VLOOKUP($B109,S6M11!$A$1:$B$160,2,0),"0")</f>
        <v>0</v>
      </c>
      <c r="Z109" s="95">
        <f>IFERROR(VLOOKUP(Y109,S6M11!$B$1:$C$161,2,0),0)</f>
        <v>0</v>
      </c>
      <c r="AA109" s="95">
        <f>IFERROR(VLOOKUP(E109,S6M1!$B$1:$C$161,2,0),0)</f>
        <v>0</v>
      </c>
      <c r="AB109" s="95">
        <f>IFERROR(VLOOKUP(G109,S6M2!$B$1:$C$161,2,0),0)</f>
        <v>315.7333684</v>
      </c>
      <c r="AC109" s="95">
        <f>IFERROR(VLOOKUP(I109,S6M3!$B$1:$C$161,2,0),0)</f>
        <v>0</v>
      </c>
      <c r="AD109" s="95">
        <f>IFERROR(VLOOKUP(K109,S6M4!$B$1:$C$161,2,0),0)</f>
        <v>0</v>
      </c>
      <c r="AE109" s="95">
        <f>IFERROR(VLOOKUP(M109,S6M5!$B$1:$C$161,2,0),0)</f>
        <v>0</v>
      </c>
      <c r="AF109" s="95">
        <f>IFERROR(VLOOKUP(O109,S6M6!$B$1:$C$161,2,0),0)</f>
        <v>0</v>
      </c>
      <c r="AG109" s="95">
        <f>IFERROR(VLOOKUP(Q109,S6M7!$B$1:$C$161,2,0),0)</f>
        <v>0</v>
      </c>
      <c r="AH109" s="95">
        <f>IFERROR(VLOOKUP(S109,S6M8!$B$1:$C$161,2,0),0)</f>
        <v>0</v>
      </c>
      <c r="AI109" s="95">
        <f>IFERROR(VLOOKUP(U109,S6M9!$B$1:$C$161,2,0),0)</f>
        <v>0</v>
      </c>
      <c r="AJ109" s="95">
        <f>IFERROR(VLOOKUP(W109,S6M10!$B$1:$C$161,2,0),0)</f>
        <v>0</v>
      </c>
      <c r="AK109" s="95">
        <f>IFERROR(VLOOKUP(Y109,S6M11!$B$1:$C$161,2,0),0)</f>
        <v>0</v>
      </c>
    </row>
    <row r="110" ht="15.75" customHeight="1">
      <c r="A110" s="92">
        <v>109.0</v>
      </c>
      <c r="B110" s="96" t="s">
        <v>108</v>
      </c>
      <c r="C110" s="93">
        <f t="shared" si="1"/>
        <v>172.8529418</v>
      </c>
      <c r="D110" s="93"/>
      <c r="E110" s="94">
        <f>IFERROR(VLOOKUP($B110,S6M1!$A$1:$B$160,2,0),"0")</f>
        <v>39</v>
      </c>
      <c r="F110" s="95">
        <f>IFERROR(VLOOKUP(E110,S6M1!$B$1:$C$161,2,0),0)</f>
        <v>172.8529418</v>
      </c>
      <c r="G110" s="94" t="str">
        <f>IFERROR(VLOOKUP($B110,S6M2!$A$1:$B$160,2,0),"0")</f>
        <v>0</v>
      </c>
      <c r="H110" s="95">
        <f>IFERROR(VLOOKUP(G110,S6M2!$B$1:$C$161,2,0),0)</f>
        <v>0</v>
      </c>
      <c r="I110" s="94">
        <f>IFERROR(VLOOKUP($B110,S6M3!$A$1:$B$161,2,0),0)</f>
        <v>0</v>
      </c>
      <c r="J110" s="95">
        <f>IFERROR(VLOOKUP(I110,S6M3!$B$1:$C$161,2,0),0)</f>
        <v>0</v>
      </c>
      <c r="K110" s="94" t="str">
        <f>IFERROR(VLOOKUP($B110,S6M4!$A$1:$B$160,2,0),"0")</f>
        <v>0</v>
      </c>
      <c r="L110" s="95">
        <f>IFERROR(VLOOKUP(K110,S6M4!$B$1:$C$161,2,0),0)</f>
        <v>0</v>
      </c>
      <c r="M110" s="94" t="str">
        <f>IFERROR(VLOOKUP($B110,S6M5!$A$1:$B$160,2,0),"0")</f>
        <v>0</v>
      </c>
      <c r="N110" s="95">
        <f>IFERROR(VLOOKUP(M110,S6M5!$B$1:$C$161,2,0),0)</f>
        <v>0</v>
      </c>
      <c r="O110" s="94" t="str">
        <f>IFERROR(VLOOKUP($B110,S6M6!$A$1:$B$160,2,0),"0")</f>
        <v>0</v>
      </c>
      <c r="P110" s="95">
        <f>IFERROR(VLOOKUP(O110,S6M6!$B$1:$C$161,2,0),0)</f>
        <v>0</v>
      </c>
      <c r="Q110" s="94" t="str">
        <f>IFERROR(VLOOKUP($B110,S6M7!$A$1:$B$160,2,0),"0")</f>
        <v>0</v>
      </c>
      <c r="R110" s="95">
        <f>IFERROR(VLOOKUP(Q110,S6M7!$B$1:$C$161,2,0),0)</f>
        <v>0</v>
      </c>
      <c r="S110" s="94" t="str">
        <f>IFERROR(VLOOKUP($B110,S6M8!$A$1:$B$160,2,0),"0")</f>
        <v>0</v>
      </c>
      <c r="T110" s="95">
        <f>IFERROR(VLOOKUP(S110,S6M8!$B$1:$C$161,2,0),0)</f>
        <v>0</v>
      </c>
      <c r="U110" s="94" t="str">
        <f>IFERROR(VLOOKUP($B110,S6M9!$A$1:$B$160,2,0),"0")</f>
        <v>0</v>
      </c>
      <c r="V110" s="95">
        <f>IFERROR(VLOOKUP(U110,S6M9!$B$1:$C$161,2,0),0)</f>
        <v>0</v>
      </c>
      <c r="W110" s="94" t="str">
        <f>IFERROR(VLOOKUP($B110,S6M10!$A$1:$B$160,2,0),"0")</f>
        <v>0</v>
      </c>
      <c r="X110" s="95">
        <f>IFERROR(VLOOKUP(W110,S6M10!$B$1:$C$161,2,0),0)</f>
        <v>0</v>
      </c>
      <c r="Y110" s="94" t="str">
        <f>IFERROR(VLOOKUP($B110,S6M11!$A$1:$B$160,2,0),"0")</f>
        <v>0</v>
      </c>
      <c r="Z110" s="95">
        <f>IFERROR(VLOOKUP(Y110,S6M11!$B$1:$C$161,2,0),0)</f>
        <v>0</v>
      </c>
      <c r="AA110" s="97">
        <f>IFERROR(VLOOKUP(E110,S6M1!$B$1:$C$161,2,0),0)</f>
        <v>172.8529418</v>
      </c>
      <c r="AB110" s="97">
        <f>IFERROR(VLOOKUP(G110,S6M2!$B$1:$C$161,2,0),0)</f>
        <v>0</v>
      </c>
      <c r="AC110" s="97">
        <f>IFERROR(VLOOKUP(I110,S6M3!$B$1:$C$161,2,0),0)</f>
        <v>0</v>
      </c>
      <c r="AD110" s="97">
        <f>IFERROR(VLOOKUP(K110,S6M4!$B$1:$C$161,2,0),0)</f>
        <v>0</v>
      </c>
      <c r="AE110" s="97">
        <f>IFERROR(VLOOKUP(M110,S6M5!$B$1:$C$161,2,0),0)</f>
        <v>0</v>
      </c>
      <c r="AF110" s="97">
        <f>IFERROR(VLOOKUP(O110,S6M6!$B$1:$C$161,2,0),0)</f>
        <v>0</v>
      </c>
      <c r="AG110" s="97">
        <f>IFERROR(VLOOKUP(Q110,S6M7!$B$1:$C$161,2,0),0)</f>
        <v>0</v>
      </c>
      <c r="AH110" s="97">
        <f>IFERROR(VLOOKUP(S110,S6M8!$B$1:$C$161,2,0),0)</f>
        <v>0</v>
      </c>
      <c r="AI110" s="97">
        <f>IFERROR(VLOOKUP(U110,S6M9!$B$1:$C$161,2,0),0)</f>
        <v>0</v>
      </c>
      <c r="AJ110" s="97">
        <f>IFERROR(VLOOKUP(W110,S6M10!$B$1:$C$161,2,0),0)</f>
        <v>0</v>
      </c>
      <c r="AK110" s="97">
        <f>IFERROR(VLOOKUP(Y110,S6M11!$B$1:$C$161,2,0),0)</f>
        <v>0</v>
      </c>
    </row>
    <row r="111" ht="15.75" customHeight="1">
      <c r="A111" s="92">
        <v>110.0</v>
      </c>
      <c r="B111" s="17" t="s">
        <v>109</v>
      </c>
      <c r="C111" s="93">
        <f t="shared" si="1"/>
        <v>164.1956518</v>
      </c>
      <c r="D111" s="93"/>
      <c r="E111" s="94" t="str">
        <f>IFERROR(VLOOKUP($B111,S6M1!$A$1:$B$160,2,0),"0")</f>
        <v>0</v>
      </c>
      <c r="F111" s="95">
        <f>IFERROR(VLOOKUP(E111,S6M1!$B$1:$C$161,2,0),0)</f>
        <v>0</v>
      </c>
      <c r="G111" s="94" t="str">
        <f>IFERROR(VLOOKUP($B111,S6M2!$A$1:$B$160,2,0),"0")</f>
        <v>0</v>
      </c>
      <c r="H111" s="95">
        <f>IFERROR(VLOOKUP(G111,S6M2!$B$1:$C$161,2,0),0)</f>
        <v>0</v>
      </c>
      <c r="I111" s="94">
        <f>IFERROR(VLOOKUP($B111,S6M3!$A$1:$B$161,2,0),0)</f>
        <v>0</v>
      </c>
      <c r="J111" s="95">
        <f>IFERROR(VLOOKUP(I111,S6M3!$B$1:$C$161,2,0),0)</f>
        <v>0</v>
      </c>
      <c r="K111" s="94" t="str">
        <f>IFERROR(VLOOKUP($B111,S6M4!$A$1:$B$160,2,0),"0")</f>
        <v>0</v>
      </c>
      <c r="L111" s="95">
        <f>IFERROR(VLOOKUP(K111,S6M4!$B$1:$C$161,2,0),0)</f>
        <v>0</v>
      </c>
      <c r="M111" s="94" t="str">
        <f>IFERROR(VLOOKUP($B111,S6M5!$A$1:$B$160,2,0),"0")</f>
        <v>0</v>
      </c>
      <c r="N111" s="95">
        <f>IFERROR(VLOOKUP(M111,S6M5!$B$1:$C$161,2,0),0)</f>
        <v>0</v>
      </c>
      <c r="O111" s="94">
        <f>IFERROR(VLOOKUP($B111,S6M6!$A$1:$B$160,2,0),"0")</f>
        <v>58</v>
      </c>
      <c r="P111" s="95">
        <f>IFERROR(VLOOKUP(O111,S6M6!$B$1:$C$161,2,0),0)</f>
        <v>164.1956518</v>
      </c>
      <c r="Q111" s="94" t="str">
        <f>IFERROR(VLOOKUP($B111,S6M7!$A$1:$B$160,2,0),"0")</f>
        <v>0</v>
      </c>
      <c r="R111" s="95">
        <f>IFERROR(VLOOKUP(Q111,S6M7!$B$1:$C$161,2,0),0)</f>
        <v>0</v>
      </c>
      <c r="S111" s="94" t="str">
        <f>IFERROR(VLOOKUP($B111,S6M8!$A$1:$B$160,2,0),"0")</f>
        <v>0</v>
      </c>
      <c r="T111" s="95">
        <f>IFERROR(VLOOKUP(S111,S6M8!$B$1:$C$161,2,0),0)</f>
        <v>0</v>
      </c>
      <c r="U111" s="94" t="str">
        <f>IFERROR(VLOOKUP($B111,S6M9!$A$1:$B$160,2,0),"0")</f>
        <v>0</v>
      </c>
      <c r="V111" s="95">
        <f>IFERROR(VLOOKUP(U111,S6M9!$B$1:$C$161,2,0),0)</f>
        <v>0</v>
      </c>
      <c r="W111" s="94" t="str">
        <f>IFERROR(VLOOKUP($B111,S6M10!$A$1:$B$160,2,0),"0")</f>
        <v>0</v>
      </c>
      <c r="X111" s="95">
        <f>IFERROR(VLOOKUP(W111,S6M10!$B$1:$C$161,2,0),0)</f>
        <v>0</v>
      </c>
      <c r="Y111" s="94" t="str">
        <f>IFERROR(VLOOKUP($B111,S6M11!$A$1:$B$160,2,0),"0")</f>
        <v>0</v>
      </c>
      <c r="Z111" s="95">
        <f>IFERROR(VLOOKUP(Y111,S6M11!$B$1:$C$161,2,0),0)</f>
        <v>0</v>
      </c>
      <c r="AA111" s="97">
        <f>IFERROR(VLOOKUP(E111,S6M1!$B$1:$C$161,2,0),0)</f>
        <v>0</v>
      </c>
      <c r="AB111" s="97">
        <f>IFERROR(VLOOKUP(G111,S6M2!$B$1:$C$161,2,0),0)</f>
        <v>0</v>
      </c>
      <c r="AC111" s="97">
        <f>IFERROR(VLOOKUP(I111,S6M3!$B$1:$C$161,2,0),0)</f>
        <v>0</v>
      </c>
      <c r="AD111" s="97">
        <f>IFERROR(VLOOKUP(K111,S6M4!$B$1:$C$161,2,0),0)</f>
        <v>0</v>
      </c>
      <c r="AE111" s="97">
        <f>IFERROR(VLOOKUP(M111,S6M5!$B$1:$C$161,2,0),0)</f>
        <v>0</v>
      </c>
      <c r="AF111" s="97">
        <f>IFERROR(VLOOKUP(O111,S6M6!$B$1:$C$161,2,0),0)</f>
        <v>164.1956518</v>
      </c>
      <c r="AG111" s="97">
        <f>IFERROR(VLOOKUP(Q111,S6M7!$B$1:$C$161,2,0),0)</f>
        <v>0</v>
      </c>
      <c r="AH111" s="97">
        <f>IFERROR(VLOOKUP(S111,S6M8!$B$1:$C$161,2,0),0)</f>
        <v>0</v>
      </c>
      <c r="AI111" s="97">
        <f>IFERROR(VLOOKUP(U111,S6M9!$B$1:$C$161,2,0),0)</f>
        <v>0</v>
      </c>
      <c r="AJ111" s="97">
        <f>IFERROR(VLOOKUP(W111,S6M10!$B$1:$C$161,2,0),0)</f>
        <v>0</v>
      </c>
      <c r="AK111" s="97">
        <f>IFERROR(VLOOKUP(Y111,S6M11!$B$1:$C$161,2,0),0)</f>
        <v>0</v>
      </c>
    </row>
    <row r="112" ht="15.75" customHeight="1">
      <c r="A112" s="92">
        <v>111.0</v>
      </c>
      <c r="B112" s="6"/>
      <c r="C112" s="93">
        <f t="shared" si="1"/>
        <v>0</v>
      </c>
      <c r="D112" s="93"/>
      <c r="E112" s="94" t="str">
        <f>IFERROR(VLOOKUP($B112,S6M1!$A$1:$B$160,2,0),"0")</f>
        <v>0</v>
      </c>
      <c r="F112" s="95">
        <f>IFERROR(VLOOKUP(E112,S6M1!$B$1:$C$161,2,0),0)</f>
        <v>0</v>
      </c>
      <c r="G112" s="94" t="str">
        <f>IFERROR(VLOOKUP($B112,S6M2!$A$1:$B$160,2,0),"0")</f>
        <v>0</v>
      </c>
      <c r="H112" s="95">
        <f>IFERROR(VLOOKUP(G112,S6M2!$B$1:$C$161,2,0),0)</f>
        <v>0</v>
      </c>
      <c r="I112" s="94">
        <f>IFERROR(VLOOKUP($B112,S6M3!$A$1:$B$161,2,0),0)</f>
        <v>0</v>
      </c>
      <c r="J112" s="95">
        <f>IFERROR(VLOOKUP(I112,S6M3!$B$1:$C$161,2,0),0)</f>
        <v>0</v>
      </c>
      <c r="K112" s="94" t="str">
        <f>IFERROR(VLOOKUP($B112,S6M4!$A$1:$B$160,2,0),"0")</f>
        <v>0</v>
      </c>
      <c r="L112" s="95">
        <f>IFERROR(VLOOKUP(K112,S6M4!$B$1:$C$161,2,0),0)</f>
        <v>0</v>
      </c>
      <c r="M112" s="94" t="str">
        <f>IFERROR(VLOOKUP($B112,S6M5!$A$1:$B$160,2,0),"0")</f>
        <v>0</v>
      </c>
      <c r="N112" s="95">
        <f>IFERROR(VLOOKUP(M112,S6M5!$B$1:$C$161,2,0),0)</f>
        <v>0</v>
      </c>
      <c r="O112" s="94" t="str">
        <f>IFERROR(VLOOKUP($B112,S6M6!$A$1:$B$160,2,0),"0")</f>
        <v>0</v>
      </c>
      <c r="P112" s="95">
        <f>IFERROR(VLOOKUP(O112,S6M6!$B$1:$C$161,2,0),0)</f>
        <v>0</v>
      </c>
      <c r="Q112" s="94" t="str">
        <f>IFERROR(VLOOKUP($B112,S6M7!$A$1:$B$160,2,0),"0")</f>
        <v>0</v>
      </c>
      <c r="R112" s="95">
        <f>IFERROR(VLOOKUP(Q112,S6M7!$B$1:$C$161,2,0),0)</f>
        <v>0</v>
      </c>
      <c r="S112" s="94" t="str">
        <f>IFERROR(VLOOKUP($B112,S6M8!$A$1:$B$160,2,0),"0")</f>
        <v>0</v>
      </c>
      <c r="T112" s="95">
        <f>IFERROR(VLOOKUP(S112,S6M8!$B$1:$C$161,2,0),0)</f>
        <v>0</v>
      </c>
      <c r="U112" s="94" t="str">
        <f>IFERROR(VLOOKUP($B112,S6M9!$A$1:$B$160,2,0),"0")</f>
        <v>0</v>
      </c>
      <c r="V112" s="95">
        <f>IFERROR(VLOOKUP(U112,S6M9!$B$1:$C$161,2,0),0)</f>
        <v>0</v>
      </c>
      <c r="W112" s="94" t="str">
        <f>IFERROR(VLOOKUP($B112,S6M10!$A$1:$B$160,2,0),"0")</f>
        <v>0</v>
      </c>
      <c r="X112" s="95">
        <f>IFERROR(VLOOKUP(W112,S6M10!$B$1:$C$161,2,0),0)</f>
        <v>0</v>
      </c>
      <c r="Y112" s="94" t="str">
        <f>IFERROR(VLOOKUP($B112,S6M11!$A$1:$B$160,2,0),"0")</f>
        <v>0</v>
      </c>
      <c r="Z112" s="95">
        <f>IFERROR(VLOOKUP(Y112,S6M11!$B$1:$C$161,2,0),0)</f>
        <v>0</v>
      </c>
      <c r="AA112" s="97">
        <f>IFERROR(VLOOKUP(E112,S6M1!$B$1:$C$161,2,0),0)</f>
        <v>0</v>
      </c>
      <c r="AB112" s="97">
        <f>IFERROR(VLOOKUP(G112,S6M2!$B$1:$C$161,2,0),0)</f>
        <v>0</v>
      </c>
      <c r="AC112" s="97">
        <f>IFERROR(VLOOKUP(I112,S6M3!$B$1:$C$161,2,0),0)</f>
        <v>0</v>
      </c>
      <c r="AD112" s="97">
        <f>IFERROR(VLOOKUP(K112,S6M4!$B$1:$C$161,2,0),0)</f>
        <v>0</v>
      </c>
      <c r="AE112" s="97">
        <f>IFERROR(VLOOKUP(M112,S6M5!$B$1:$C$161,2,0),0)</f>
        <v>0</v>
      </c>
      <c r="AF112" s="97">
        <f>IFERROR(VLOOKUP(O112,S6M6!$B$1:$C$161,2,0),0)</f>
        <v>0</v>
      </c>
      <c r="AG112" s="97">
        <f>IFERROR(VLOOKUP(Q112,S6M7!$B$1:$C$161,2,0),0)</f>
        <v>0</v>
      </c>
      <c r="AH112" s="97">
        <f>IFERROR(VLOOKUP(S112,S6M8!$B$1:$C$161,2,0),0)</f>
        <v>0</v>
      </c>
      <c r="AI112" s="97">
        <f>IFERROR(VLOOKUP(U112,S6M9!$B$1:$C$161,2,0),0)</f>
        <v>0</v>
      </c>
      <c r="AJ112" s="97">
        <f>IFERROR(VLOOKUP(W112,S6M10!$B$1:$C$161,2,0),0)</f>
        <v>0</v>
      </c>
      <c r="AK112" s="97">
        <f>IFERROR(VLOOKUP(Y112,S6M11!$B$1:$C$161,2,0),0)</f>
        <v>0</v>
      </c>
    </row>
    <row r="113" ht="15.75" customHeight="1">
      <c r="A113" s="92">
        <v>112.0</v>
      </c>
      <c r="B113" s="6" t="s">
        <v>110</v>
      </c>
      <c r="C113" s="93">
        <f t="shared" si="1"/>
        <v>0</v>
      </c>
      <c r="D113" s="93"/>
      <c r="E113" s="94" t="str">
        <f>IFERROR(VLOOKUP($B113,S6M1!$A$1:$B$160,2,0),"0")</f>
        <v>0</v>
      </c>
      <c r="F113" s="95">
        <f>IFERROR(VLOOKUP(E113,S6M1!$B$1:$C$161,2,0),0)</f>
        <v>0</v>
      </c>
      <c r="G113" s="94" t="str">
        <f>IFERROR(VLOOKUP($B113,S6M2!$A$1:$B$160,2,0),"0")</f>
        <v>0</v>
      </c>
      <c r="H113" s="95">
        <f>IFERROR(VLOOKUP(G113,S6M2!$B$1:$C$161,2,0),0)</f>
        <v>0</v>
      </c>
      <c r="I113" s="94">
        <f>IFERROR(VLOOKUP($B113,S6M3!$A$1:$B$161,2,0),0)</f>
        <v>0</v>
      </c>
      <c r="J113" s="95">
        <f>IFERROR(VLOOKUP(I113,S6M3!$B$1:$C$161,2,0),0)</f>
        <v>0</v>
      </c>
      <c r="K113" s="94" t="str">
        <f>IFERROR(VLOOKUP($B113,S6M4!$A$1:$B$160,2,0),"0")</f>
        <v>0</v>
      </c>
      <c r="L113" s="95">
        <f>IFERROR(VLOOKUP(K113,S6M4!$B$1:$C$161,2,0),0)</f>
        <v>0</v>
      </c>
      <c r="M113" s="94" t="str">
        <f>IFERROR(VLOOKUP($B113,S6M5!$A$1:$B$160,2,0),"0")</f>
        <v>0</v>
      </c>
      <c r="N113" s="95">
        <f>IFERROR(VLOOKUP(M113,S6M5!$B$1:$C$161,2,0),0)</f>
        <v>0</v>
      </c>
      <c r="O113" s="94" t="str">
        <f>IFERROR(VLOOKUP($B113,S6M6!$A$1:$B$160,2,0),"0")</f>
        <v>0</v>
      </c>
      <c r="P113" s="95">
        <f>IFERROR(VLOOKUP(O113,S6M6!$B$1:$C$161,2,0),0)</f>
        <v>0</v>
      </c>
      <c r="Q113" s="94" t="str">
        <f>IFERROR(VLOOKUP($B113,S6M7!$A$1:$B$160,2,0),"0")</f>
        <v>0</v>
      </c>
      <c r="R113" s="95">
        <f>IFERROR(VLOOKUP(Q113,S6M7!$B$1:$C$161,2,0),0)</f>
        <v>0</v>
      </c>
      <c r="S113" s="94" t="str">
        <f>IFERROR(VLOOKUP($B113,S6M8!$A$1:$B$160,2,0),"0")</f>
        <v>0</v>
      </c>
      <c r="T113" s="95">
        <f>IFERROR(VLOOKUP(S113,S6M8!$B$1:$C$161,2,0),0)</f>
        <v>0</v>
      </c>
      <c r="U113" s="94" t="str">
        <f>IFERROR(VLOOKUP($B113,S6M9!$A$1:$B$160,2,0),"0")</f>
        <v>0</v>
      </c>
      <c r="V113" s="95">
        <f>IFERROR(VLOOKUP(U113,S6M9!$B$1:$C$161,2,0),0)</f>
        <v>0</v>
      </c>
      <c r="W113" s="94" t="str">
        <f>IFERROR(VLOOKUP($B113,S6M10!$A$1:$B$160,2,0),"0")</f>
        <v>0</v>
      </c>
      <c r="X113" s="95">
        <f>IFERROR(VLOOKUP(W113,S6M10!$B$1:$C$161,2,0),0)</f>
        <v>0</v>
      </c>
      <c r="Y113" s="94" t="str">
        <f>IFERROR(VLOOKUP($B113,S6M11!$A$1:$B$160,2,0),"0")</f>
        <v>0</v>
      </c>
      <c r="Z113" s="95">
        <f>IFERROR(VLOOKUP(Y113,S6M11!$B$1:$C$161,2,0),0)</f>
        <v>0</v>
      </c>
      <c r="AA113" s="97">
        <f>IFERROR(VLOOKUP(E113,S6M1!$B$1:$C$161,2,0),0)</f>
        <v>0</v>
      </c>
      <c r="AB113" s="97">
        <f>IFERROR(VLOOKUP(G113,S6M2!$B$1:$C$161,2,0),0)</f>
        <v>0</v>
      </c>
      <c r="AC113" s="97">
        <f>IFERROR(VLOOKUP(I113,S6M3!$B$1:$C$161,2,0),0)</f>
        <v>0</v>
      </c>
      <c r="AD113" s="97">
        <f>IFERROR(VLOOKUP(K113,S6M4!$B$1:$C$161,2,0),0)</f>
        <v>0</v>
      </c>
      <c r="AE113" s="97">
        <f>IFERROR(VLOOKUP(M113,S6M5!$B$1:$C$161,2,0),0)</f>
        <v>0</v>
      </c>
      <c r="AF113" s="97">
        <f>IFERROR(VLOOKUP(O113,S6M6!$B$1:$C$161,2,0),0)</f>
        <v>0</v>
      </c>
      <c r="AG113" s="97">
        <f>IFERROR(VLOOKUP(Q113,S6M7!$B$1:$C$161,2,0),0)</f>
        <v>0</v>
      </c>
      <c r="AH113" s="97">
        <f>IFERROR(VLOOKUP(S113,S6M8!$B$1:$C$161,2,0),0)</f>
        <v>0</v>
      </c>
      <c r="AI113" s="97">
        <f>IFERROR(VLOOKUP(U113,S6M9!$B$1:$C$161,2,0),0)</f>
        <v>0</v>
      </c>
      <c r="AJ113" s="97">
        <f>IFERROR(VLOOKUP(W113,S6M10!$B$1:$C$161,2,0),0)</f>
        <v>0</v>
      </c>
      <c r="AK113" s="97">
        <f>IFERROR(VLOOKUP(Y113,S6M11!$B$1:$C$161,2,0),0)</f>
        <v>0</v>
      </c>
    </row>
    <row r="114" ht="15.75" customHeight="1">
      <c r="A114" s="92">
        <v>113.0</v>
      </c>
      <c r="B114" s="6" t="s">
        <v>149</v>
      </c>
      <c r="C114" s="93">
        <f t="shared" si="1"/>
        <v>0</v>
      </c>
      <c r="D114" s="93"/>
      <c r="E114" s="94" t="str">
        <f>IFERROR(VLOOKUP($B114,S6M1!$A$1:$B$160,2,0),"0")</f>
        <v>0</v>
      </c>
      <c r="F114" s="95">
        <f>IFERROR(VLOOKUP(E114,S6M1!$B$1:$C$161,2,0),0)</f>
        <v>0</v>
      </c>
      <c r="G114" s="94" t="str">
        <f>IFERROR(VLOOKUP($B114,S6M2!$A$1:$B$160,2,0),"0")</f>
        <v>0</v>
      </c>
      <c r="H114" s="95">
        <f>IFERROR(VLOOKUP(G114,S6M2!$B$1:$C$161,2,0),0)</f>
        <v>0</v>
      </c>
      <c r="I114" s="94">
        <f>IFERROR(VLOOKUP($B114,S6M3!$A$1:$B$161,2,0),0)</f>
        <v>0</v>
      </c>
      <c r="J114" s="95">
        <f>IFERROR(VLOOKUP(I114,S6M3!$B$1:$C$161,2,0),0)</f>
        <v>0</v>
      </c>
      <c r="K114" s="94" t="str">
        <f>IFERROR(VLOOKUP($B114,S6M4!$A$1:$B$160,2,0),"0")</f>
        <v>0</v>
      </c>
      <c r="L114" s="95">
        <f>IFERROR(VLOOKUP(K114,S6M4!$B$1:$C$161,2,0),0)</f>
        <v>0</v>
      </c>
      <c r="M114" s="94" t="str">
        <f>IFERROR(VLOOKUP($B114,S6M5!$A$1:$B$160,2,0),"0")</f>
        <v>0</v>
      </c>
      <c r="N114" s="95">
        <f>IFERROR(VLOOKUP(M114,S6M5!$B$1:$C$161,2,0),0)</f>
        <v>0</v>
      </c>
      <c r="O114" s="94" t="str">
        <f>IFERROR(VLOOKUP($B114,S6M6!$A$1:$B$160,2,0),"0")</f>
        <v>0</v>
      </c>
      <c r="P114" s="95">
        <f>IFERROR(VLOOKUP(O114,S6M6!$B$1:$C$161,2,0),0)</f>
        <v>0</v>
      </c>
      <c r="Q114" s="94" t="str">
        <f>IFERROR(VLOOKUP($B114,S6M7!$A$1:$B$160,2,0),"0")</f>
        <v>0</v>
      </c>
      <c r="R114" s="95">
        <f>IFERROR(VLOOKUP(Q114,S6M7!$B$1:$C$161,2,0),0)</f>
        <v>0</v>
      </c>
      <c r="S114" s="94" t="str">
        <f>IFERROR(VLOOKUP($B114,S6M8!$A$1:$B$160,2,0),"0")</f>
        <v>0</v>
      </c>
      <c r="T114" s="95">
        <f>IFERROR(VLOOKUP(S114,S6M8!$B$1:$C$161,2,0),0)</f>
        <v>0</v>
      </c>
      <c r="U114" s="94" t="str">
        <f>IFERROR(VLOOKUP($B114,S6M9!$A$1:$B$160,2,0),"0")</f>
        <v>0</v>
      </c>
      <c r="V114" s="95">
        <f>IFERROR(VLOOKUP(U114,S6M9!$B$1:$C$161,2,0),0)</f>
        <v>0</v>
      </c>
      <c r="W114" s="94" t="str">
        <f>IFERROR(VLOOKUP($B114,S6M10!$A$1:$B$160,2,0),"0")</f>
        <v>0</v>
      </c>
      <c r="X114" s="95">
        <f>IFERROR(VLOOKUP(W114,S6M10!$B$1:$C$161,2,0),0)</f>
        <v>0</v>
      </c>
      <c r="Y114" s="94" t="str">
        <f>IFERROR(VLOOKUP($B114,S6M11!$A$1:$B$160,2,0),"0")</f>
        <v>0</v>
      </c>
      <c r="Z114" s="95">
        <f>IFERROR(VLOOKUP(Y114,S6M11!$B$1:$C$161,2,0),0)</f>
        <v>0</v>
      </c>
      <c r="AA114" s="97">
        <f>IFERROR(VLOOKUP(E114,S6M1!$B$1:$C$161,2,0),0)</f>
        <v>0</v>
      </c>
      <c r="AB114" s="97">
        <f>IFERROR(VLOOKUP(G114,S6M2!$B$1:$C$161,2,0),0)</f>
        <v>0</v>
      </c>
      <c r="AC114" s="97">
        <f>IFERROR(VLOOKUP(I114,S6M3!$B$1:$C$161,2,0),0)</f>
        <v>0</v>
      </c>
      <c r="AD114" s="97">
        <f>IFERROR(VLOOKUP(K114,S6M4!$B$1:$C$161,2,0),0)</f>
        <v>0</v>
      </c>
      <c r="AE114" s="97">
        <f>IFERROR(VLOOKUP(M114,S6M5!$B$1:$C$161,2,0),0)</f>
        <v>0</v>
      </c>
      <c r="AF114" s="97">
        <f>IFERROR(VLOOKUP(O114,S6M6!$B$1:$C$161,2,0),0)</f>
        <v>0</v>
      </c>
      <c r="AG114" s="97">
        <f>IFERROR(VLOOKUP(Q114,S6M7!$B$1:$C$161,2,0),0)</f>
        <v>0</v>
      </c>
      <c r="AH114" s="97">
        <f>IFERROR(VLOOKUP(S114,S6M8!$B$1:$C$161,2,0),0)</f>
        <v>0</v>
      </c>
      <c r="AI114" s="97">
        <f>IFERROR(VLOOKUP(U114,S6M9!$B$1:$C$161,2,0),0)</f>
        <v>0</v>
      </c>
      <c r="AJ114" s="97">
        <f>IFERROR(VLOOKUP(W114,S6M10!$B$1:$C$161,2,0),0)</f>
        <v>0</v>
      </c>
      <c r="AK114" s="97">
        <f>IFERROR(VLOOKUP(Y114,S6M11!$B$1:$C$161,2,0),0)</f>
        <v>0</v>
      </c>
    </row>
    <row r="115" ht="15.75" customHeight="1">
      <c r="A115" s="92">
        <v>114.0</v>
      </c>
      <c r="B115" s="105" t="s">
        <v>121</v>
      </c>
      <c r="C115" s="93">
        <f t="shared" si="1"/>
        <v>0</v>
      </c>
      <c r="D115" s="93"/>
      <c r="E115" s="94" t="str">
        <f>IFERROR(VLOOKUP($B115,S6M1!$A$1:$B$160,2,0),"0")</f>
        <v>0</v>
      </c>
      <c r="F115" s="95">
        <f>IFERROR(VLOOKUP(E115,S6M1!$B$1:$C$161,2,0),0)</f>
        <v>0</v>
      </c>
      <c r="G115" s="94" t="str">
        <f>IFERROR(VLOOKUP($B115,S6M2!$A$1:$B$160,2,0),"0")</f>
        <v>0</v>
      </c>
      <c r="H115" s="95">
        <f>IFERROR(VLOOKUP(G115,S6M2!$B$1:$C$161,2,0),0)</f>
        <v>0</v>
      </c>
      <c r="I115" s="94">
        <f>IFERROR(VLOOKUP($B115,S6M3!$A$1:$B$161,2,0),0)</f>
        <v>0</v>
      </c>
      <c r="J115" s="95">
        <f>IFERROR(VLOOKUP(I115,S6M3!$B$1:$C$161,2,0),0)</f>
        <v>0</v>
      </c>
      <c r="K115" s="94" t="str">
        <f>IFERROR(VLOOKUP($B115,S6M4!$A$1:$B$160,2,0),"0")</f>
        <v>0</v>
      </c>
      <c r="L115" s="95">
        <f>IFERROR(VLOOKUP(K115,S6M4!$B$1:$C$161,2,0),0)</f>
        <v>0</v>
      </c>
      <c r="M115" s="94" t="str">
        <f>IFERROR(VLOOKUP($B115,S6M5!$A$1:$B$160,2,0),"0")</f>
        <v>0</v>
      </c>
      <c r="N115" s="95">
        <f>IFERROR(VLOOKUP(M115,S6M5!$B$1:$C$161,2,0),0)</f>
        <v>0</v>
      </c>
      <c r="O115" s="94" t="str">
        <f>IFERROR(VLOOKUP($B115,S6M6!$A$1:$B$160,2,0),"0")</f>
        <v>0</v>
      </c>
      <c r="P115" s="95">
        <f>IFERROR(VLOOKUP(O115,S6M6!$B$1:$C$161,2,0),0)</f>
        <v>0</v>
      </c>
      <c r="Q115" s="94" t="str">
        <f>IFERROR(VLOOKUP($B115,S6M7!$A$1:$B$160,2,0),"0")</f>
        <v>0</v>
      </c>
      <c r="R115" s="95">
        <f>IFERROR(VLOOKUP(Q115,S6M7!$B$1:$C$161,2,0),0)</f>
        <v>0</v>
      </c>
      <c r="S115" s="94" t="str">
        <f>IFERROR(VLOOKUP($B115,S6M8!$A$1:$B$160,2,0),"0")</f>
        <v>0</v>
      </c>
      <c r="T115" s="95">
        <f>IFERROR(VLOOKUP(S115,S6M8!$B$1:$C$161,2,0),0)</f>
        <v>0</v>
      </c>
      <c r="U115" s="94" t="str">
        <f>IFERROR(VLOOKUP($B115,S6M9!$A$1:$B$160,2,0),"0")</f>
        <v>0</v>
      </c>
      <c r="V115" s="95">
        <f>IFERROR(VLOOKUP(U115,S6M9!$B$1:$C$161,2,0),0)</f>
        <v>0</v>
      </c>
      <c r="W115" s="94" t="str">
        <f>IFERROR(VLOOKUP($B115,S6M10!$A$1:$B$160,2,0),"0")</f>
        <v>0</v>
      </c>
      <c r="X115" s="95">
        <f>IFERROR(VLOOKUP(W115,S6M10!$B$1:$C$161,2,0),0)</f>
        <v>0</v>
      </c>
      <c r="Y115" s="94" t="str">
        <f>IFERROR(VLOOKUP($B115,S6M11!$A$1:$B$160,2,0),"0")</f>
        <v>0</v>
      </c>
      <c r="Z115" s="95">
        <f>IFERROR(VLOOKUP(Y115,S6M11!$B$1:$C$161,2,0),0)</f>
        <v>0</v>
      </c>
      <c r="AA115" s="97">
        <f>IFERROR(VLOOKUP(E115,S6M1!$B$1:$C$161,2,0),0)</f>
        <v>0</v>
      </c>
      <c r="AB115" s="97">
        <f>IFERROR(VLOOKUP(G115,S6M2!$B$1:$C$161,2,0),0)</f>
        <v>0</v>
      </c>
      <c r="AC115" s="97">
        <f>IFERROR(VLOOKUP(I115,S6M3!$B$1:$C$161,2,0),0)</f>
        <v>0</v>
      </c>
      <c r="AD115" s="97">
        <f>IFERROR(VLOOKUP(K115,S6M4!$B$1:$C$161,2,0),0)</f>
        <v>0</v>
      </c>
      <c r="AE115" s="97">
        <f>IFERROR(VLOOKUP(M115,S6M5!$B$1:$C$161,2,0),0)</f>
        <v>0</v>
      </c>
      <c r="AF115" s="97">
        <f>IFERROR(VLOOKUP(O115,S6M6!$B$1:$C$161,2,0),0)</f>
        <v>0</v>
      </c>
      <c r="AG115" s="97">
        <f>IFERROR(VLOOKUP(Q115,S6M7!$B$1:$C$161,2,0),0)</f>
        <v>0</v>
      </c>
      <c r="AH115" s="97">
        <f>IFERROR(VLOOKUP(S115,S6M8!$B$1:$C$161,2,0),0)</f>
        <v>0</v>
      </c>
      <c r="AI115" s="97">
        <f>IFERROR(VLOOKUP(U115,S6M9!$B$1:$C$161,2,0),0)</f>
        <v>0</v>
      </c>
      <c r="AJ115" s="97">
        <f>IFERROR(VLOOKUP(W115,S6M10!$B$1:$C$161,2,0),0)</f>
        <v>0</v>
      </c>
      <c r="AK115" s="97">
        <f>IFERROR(VLOOKUP(Y115,S6M11!$B$1:$C$161,2,0),0)</f>
        <v>0</v>
      </c>
    </row>
    <row r="116" ht="15.75" customHeight="1">
      <c r="A116" s="92">
        <v>115.0</v>
      </c>
      <c r="B116" s="106"/>
      <c r="C116" s="93">
        <f t="shared" si="1"/>
        <v>0</v>
      </c>
      <c r="D116" s="93"/>
      <c r="E116" s="94" t="str">
        <f>IFERROR(VLOOKUP($B116,S6M1!$A$1:$B$160,2,0),"0")</f>
        <v>0</v>
      </c>
      <c r="F116" s="95">
        <f>IFERROR(VLOOKUP(E116,S6M1!$B$1:$C$161,2,0),0)</f>
        <v>0</v>
      </c>
      <c r="G116" s="94" t="str">
        <f>IFERROR(VLOOKUP($B116,S6M2!$A$1:$B$160,2,0),"0")</f>
        <v>0</v>
      </c>
      <c r="H116" s="95">
        <f>IFERROR(VLOOKUP(G116,S6M2!$B$1:$C$161,2,0),0)</f>
        <v>0</v>
      </c>
      <c r="I116" s="94">
        <f>IFERROR(VLOOKUP($B116,S6M3!$A$1:$B$161,2,0),0)</f>
        <v>0</v>
      </c>
      <c r="J116" s="95">
        <f>IFERROR(VLOOKUP(I116,S6M3!$B$1:$C$161,2,0),0)</f>
        <v>0</v>
      </c>
      <c r="K116" s="94" t="str">
        <f>IFERROR(VLOOKUP($B116,S6M4!$A$1:$B$160,2,0),"0")</f>
        <v>0</v>
      </c>
      <c r="L116" s="95">
        <f>IFERROR(VLOOKUP(K116,S6M4!$B$1:$C$161,2,0),0)</f>
        <v>0</v>
      </c>
      <c r="M116" s="94" t="str">
        <f>IFERROR(VLOOKUP($B116,S6M5!$A$1:$B$160,2,0),"0")</f>
        <v>0</v>
      </c>
      <c r="N116" s="95">
        <f>IFERROR(VLOOKUP(M116,S6M5!$B$1:$C$161,2,0),0)</f>
        <v>0</v>
      </c>
      <c r="O116" s="94" t="str">
        <f>IFERROR(VLOOKUP($B116,S6M6!$A$1:$B$160,2,0),"0")</f>
        <v>0</v>
      </c>
      <c r="P116" s="95">
        <f>IFERROR(VLOOKUP(O116,S6M6!$B$1:$C$161,2,0),0)</f>
        <v>0</v>
      </c>
      <c r="Q116" s="94" t="str">
        <f>IFERROR(VLOOKUP($B116,S6M7!$A$1:$B$160,2,0),"0")</f>
        <v>0</v>
      </c>
      <c r="R116" s="95">
        <f>IFERROR(VLOOKUP(Q116,S6M7!$B$1:$C$161,2,0),0)</f>
        <v>0</v>
      </c>
      <c r="S116" s="94" t="str">
        <f>IFERROR(VLOOKUP($B116,S6M8!$A$1:$B$160,2,0),"0")</f>
        <v>0</v>
      </c>
      <c r="T116" s="95">
        <f>IFERROR(VLOOKUP(S116,S6M8!$B$1:$C$161,2,0),0)</f>
        <v>0</v>
      </c>
      <c r="U116" s="94" t="str">
        <f>IFERROR(VLOOKUP($B116,S6M9!$A$1:$B$160,2,0),"0")</f>
        <v>0</v>
      </c>
      <c r="V116" s="95">
        <f>IFERROR(VLOOKUP(U116,S6M9!$B$1:$C$161,2,0),0)</f>
        <v>0</v>
      </c>
      <c r="W116" s="94" t="str">
        <f>IFERROR(VLOOKUP($B116,S6M10!$A$1:$B$160,2,0),"0")</f>
        <v>0</v>
      </c>
      <c r="X116" s="95">
        <f>IFERROR(VLOOKUP(W116,S6M10!$B$1:$C$161,2,0),0)</f>
        <v>0</v>
      </c>
      <c r="Y116" s="94" t="str">
        <f>IFERROR(VLOOKUP($B116,S6M11!$A$1:$B$160,2,0),"0")</f>
        <v>0</v>
      </c>
      <c r="Z116" s="95">
        <f>IFERROR(VLOOKUP(Y116,S6M11!$B$1:$C$161,2,0),0)</f>
        <v>0</v>
      </c>
      <c r="AA116" s="97">
        <f>IFERROR(VLOOKUP(E116,S6M1!$B$1:$C$161,2,0),0)</f>
        <v>0</v>
      </c>
      <c r="AB116" s="97">
        <f>IFERROR(VLOOKUP(G116,S6M2!$B$1:$C$161,2,0),0)</f>
        <v>0</v>
      </c>
      <c r="AC116" s="97">
        <f>IFERROR(VLOOKUP(I116,S6M3!$B$1:$C$161,2,0),0)</f>
        <v>0</v>
      </c>
      <c r="AD116" s="97">
        <f>IFERROR(VLOOKUP(K116,S6M4!$B$1:$C$161,2,0),0)</f>
        <v>0</v>
      </c>
      <c r="AE116" s="97">
        <f>IFERROR(VLOOKUP(M116,S6M5!$B$1:$C$161,2,0),0)</f>
        <v>0</v>
      </c>
      <c r="AF116" s="97">
        <f>IFERROR(VLOOKUP(O116,S6M6!$B$1:$C$161,2,0),0)</f>
        <v>0</v>
      </c>
      <c r="AG116" s="97">
        <f>IFERROR(VLOOKUP(Q116,S6M7!$B$1:$C$161,2,0),0)</f>
        <v>0</v>
      </c>
      <c r="AH116" s="97">
        <f>IFERROR(VLOOKUP(S116,S6M8!$B$1:$C$161,2,0),0)</f>
        <v>0</v>
      </c>
      <c r="AI116" s="97">
        <f>IFERROR(VLOOKUP(U116,S6M9!$B$1:$C$161,2,0),0)</f>
        <v>0</v>
      </c>
      <c r="AJ116" s="97">
        <f>IFERROR(VLOOKUP(W116,S6M10!$B$1:$C$161,2,0),0)</f>
        <v>0</v>
      </c>
      <c r="AK116" s="97">
        <f>IFERROR(VLOOKUP(Y116,S6M11!$B$1:$C$161,2,0),0)</f>
        <v>0</v>
      </c>
    </row>
    <row r="117" ht="15.75" customHeight="1">
      <c r="A117" s="92">
        <v>116.0</v>
      </c>
      <c r="B117" s="106"/>
      <c r="C117" s="93">
        <f t="shared" si="1"/>
        <v>0</v>
      </c>
      <c r="D117" s="93"/>
      <c r="E117" s="94" t="str">
        <f>IFERROR(VLOOKUP($B117,S6M1!$A$1:$B$160,2,0),"0")</f>
        <v>0</v>
      </c>
      <c r="F117" s="95">
        <f>IFERROR(VLOOKUP(E117,S6M1!$B$1:$C$161,2,0),0)</f>
        <v>0</v>
      </c>
      <c r="G117" s="94" t="str">
        <f>IFERROR(VLOOKUP($B117,S6M2!$A$1:$B$160,2,0),"0")</f>
        <v>0</v>
      </c>
      <c r="H117" s="95">
        <f>IFERROR(VLOOKUP(G117,S6M2!$B$1:$C$161,2,0),0)</f>
        <v>0</v>
      </c>
      <c r="I117" s="94">
        <f>IFERROR(VLOOKUP($B117,S6M3!$A$1:$B$161,2,0),0)</f>
        <v>0</v>
      </c>
      <c r="J117" s="95">
        <f>IFERROR(VLOOKUP(I117,S6M3!$B$1:$C$161,2,0),0)</f>
        <v>0</v>
      </c>
      <c r="K117" s="94" t="str">
        <f>IFERROR(VLOOKUP($B117,S6M4!$A$1:$B$160,2,0),"0")</f>
        <v>0</v>
      </c>
      <c r="L117" s="95">
        <f>IFERROR(VLOOKUP(K117,S6M4!$B$1:$C$161,2,0),0)</f>
        <v>0</v>
      </c>
      <c r="M117" s="94" t="str">
        <f>IFERROR(VLOOKUP($B117,S6M5!$A$1:$B$160,2,0),"0")</f>
        <v>0</v>
      </c>
      <c r="N117" s="95">
        <f>IFERROR(VLOOKUP(M117,S6M5!$B$1:$C$161,2,0),0)</f>
        <v>0</v>
      </c>
      <c r="O117" s="94" t="str">
        <f>IFERROR(VLOOKUP($B117,S6M6!$A$1:$B$160,2,0),"0")</f>
        <v>0</v>
      </c>
      <c r="P117" s="95">
        <f>IFERROR(VLOOKUP(O117,S6M6!$B$1:$C$161,2,0),0)</f>
        <v>0</v>
      </c>
      <c r="Q117" s="94" t="str">
        <f>IFERROR(VLOOKUP($B117,S6M7!$A$1:$B$160,2,0),"0")</f>
        <v>0</v>
      </c>
      <c r="R117" s="95">
        <f>IFERROR(VLOOKUP(Q117,S6M7!$B$1:$C$161,2,0),0)</f>
        <v>0</v>
      </c>
      <c r="S117" s="94" t="str">
        <f>IFERROR(VLOOKUP($B117,S6M8!$A$1:$B$160,2,0),"0")</f>
        <v>0</v>
      </c>
      <c r="T117" s="95">
        <f>IFERROR(VLOOKUP(S117,S6M8!$B$1:$C$161,2,0),0)</f>
        <v>0</v>
      </c>
      <c r="U117" s="94" t="str">
        <f>IFERROR(VLOOKUP($B117,S6M9!$A$1:$B$160,2,0),"0")</f>
        <v>0</v>
      </c>
      <c r="V117" s="95">
        <f>IFERROR(VLOOKUP(U117,S6M9!$B$1:$C$161,2,0),0)</f>
        <v>0</v>
      </c>
      <c r="W117" s="94" t="str">
        <f>IFERROR(VLOOKUP($B117,S6M10!$A$1:$B$160,2,0),"0")</f>
        <v>0</v>
      </c>
      <c r="X117" s="95">
        <f>IFERROR(VLOOKUP(W117,S6M10!$B$1:$C$161,2,0),0)</f>
        <v>0</v>
      </c>
      <c r="Y117" s="94" t="str">
        <f>IFERROR(VLOOKUP($B117,S6M11!$A$1:$B$160,2,0),"0")</f>
        <v>0</v>
      </c>
      <c r="Z117" s="95">
        <f>IFERROR(VLOOKUP(Y117,S6M11!$B$1:$C$161,2,0),0)</f>
        <v>0</v>
      </c>
      <c r="AA117" s="97">
        <f>IFERROR(VLOOKUP(E117,S6M1!$B$1:$C$161,2,0),0)</f>
        <v>0</v>
      </c>
      <c r="AB117" s="97">
        <f>IFERROR(VLOOKUP(G117,S6M2!$B$1:$C$161,2,0),0)</f>
        <v>0</v>
      </c>
      <c r="AC117" s="97">
        <f>IFERROR(VLOOKUP(I117,S6M3!$B$1:$C$161,2,0),0)</f>
        <v>0</v>
      </c>
      <c r="AD117" s="97">
        <f>IFERROR(VLOOKUP(K117,S6M4!$B$1:$C$161,2,0),0)</f>
        <v>0</v>
      </c>
      <c r="AE117" s="97">
        <f>IFERROR(VLOOKUP(M117,S6M5!$B$1:$C$161,2,0),0)</f>
        <v>0</v>
      </c>
      <c r="AF117" s="97">
        <f>IFERROR(VLOOKUP(O117,S6M6!$B$1:$C$161,2,0),0)</f>
        <v>0</v>
      </c>
      <c r="AG117" s="97">
        <f>IFERROR(VLOOKUP(Q117,S6M7!$B$1:$C$161,2,0),0)</f>
        <v>0</v>
      </c>
      <c r="AH117" s="97">
        <f>IFERROR(VLOOKUP(S117,S6M8!$B$1:$C$161,2,0),0)</f>
        <v>0</v>
      </c>
      <c r="AI117" s="97">
        <f>IFERROR(VLOOKUP(U117,S6M9!$B$1:$C$161,2,0),0)</f>
        <v>0</v>
      </c>
      <c r="AJ117" s="97">
        <f>IFERROR(VLOOKUP(W117,S6M10!$B$1:$C$161,2,0),0)</f>
        <v>0</v>
      </c>
      <c r="AK117" s="97">
        <f>IFERROR(VLOOKUP(Y117,S6M11!$B$1:$C$161,2,0),0)</f>
        <v>0</v>
      </c>
    </row>
    <row r="118" ht="15.75" customHeight="1">
      <c r="A118" s="92">
        <v>117.0</v>
      </c>
      <c r="B118" s="106"/>
      <c r="C118" s="93">
        <f t="shared" si="1"/>
        <v>0</v>
      </c>
      <c r="D118" s="93"/>
      <c r="E118" s="94" t="str">
        <f>IFERROR(VLOOKUP($B118,S6M1!$A$1:$B$160,2,0),"0")</f>
        <v>0</v>
      </c>
      <c r="F118" s="95">
        <f>IFERROR(VLOOKUP(E118,S6M1!$B$1:$C$161,2,0),0)</f>
        <v>0</v>
      </c>
      <c r="G118" s="94" t="str">
        <f>IFERROR(VLOOKUP($B118,S6M2!$A$1:$B$160,2,0),"0")</f>
        <v>0</v>
      </c>
      <c r="H118" s="95">
        <f>IFERROR(VLOOKUP(G118,S6M2!$B$1:$C$161,2,0),0)</f>
        <v>0</v>
      </c>
      <c r="I118" s="94">
        <f>IFERROR(VLOOKUP($B118,S6M3!$A$1:$B$161,2,0),0)</f>
        <v>0</v>
      </c>
      <c r="J118" s="95">
        <f>IFERROR(VLOOKUP(I118,S6M3!$B$1:$C$161,2,0),0)</f>
        <v>0</v>
      </c>
      <c r="K118" s="94" t="str">
        <f>IFERROR(VLOOKUP($B118,S6M4!$A$1:$B$160,2,0),"0")</f>
        <v>0</v>
      </c>
      <c r="L118" s="95">
        <f>IFERROR(VLOOKUP(K118,S6M4!$B$1:$C$161,2,0),0)</f>
        <v>0</v>
      </c>
      <c r="M118" s="94" t="str">
        <f>IFERROR(VLOOKUP($B118,S6M5!$A$1:$B$160,2,0),"0")</f>
        <v>0</v>
      </c>
      <c r="N118" s="95">
        <f>IFERROR(VLOOKUP(M118,S6M5!$B$1:$C$161,2,0),0)</f>
        <v>0</v>
      </c>
      <c r="O118" s="94" t="str">
        <f>IFERROR(VLOOKUP($B118,S6M6!$A$1:$B$160,2,0),"0")</f>
        <v>0</v>
      </c>
      <c r="P118" s="95">
        <f>IFERROR(VLOOKUP(O118,S6M6!$B$1:$C$161,2,0),0)</f>
        <v>0</v>
      </c>
      <c r="Q118" s="94" t="str">
        <f>IFERROR(VLOOKUP($B118,S6M7!$A$1:$B$160,2,0),"0")</f>
        <v>0</v>
      </c>
      <c r="R118" s="95">
        <f>IFERROR(VLOOKUP(Q118,S6M7!$B$1:$C$161,2,0),0)</f>
        <v>0</v>
      </c>
      <c r="S118" s="94" t="str">
        <f>IFERROR(VLOOKUP($B118,S6M8!$A$1:$B$160,2,0),"0")</f>
        <v>0</v>
      </c>
      <c r="T118" s="95">
        <f>IFERROR(VLOOKUP(S118,S6M8!$B$1:$C$161,2,0),0)</f>
        <v>0</v>
      </c>
      <c r="U118" s="94" t="str">
        <f>IFERROR(VLOOKUP($B118,S6M9!$A$1:$B$160,2,0),"0")</f>
        <v>0</v>
      </c>
      <c r="V118" s="95">
        <f>IFERROR(VLOOKUP(U118,S6M9!$B$1:$C$161,2,0),0)</f>
        <v>0</v>
      </c>
      <c r="W118" s="94" t="str">
        <f>IFERROR(VLOOKUP($B118,S6M10!$A$1:$B$160,2,0),"0")</f>
        <v>0</v>
      </c>
      <c r="X118" s="95">
        <f>IFERROR(VLOOKUP(W118,S6M10!$B$1:$C$161,2,0),0)</f>
        <v>0</v>
      </c>
      <c r="Y118" s="94" t="str">
        <f>IFERROR(VLOOKUP($B118,S6M11!$A$1:$B$160,2,0),"0")</f>
        <v>0</v>
      </c>
      <c r="Z118" s="95">
        <f>IFERROR(VLOOKUP(Y118,S6M11!$B$1:$C$161,2,0),0)</f>
        <v>0</v>
      </c>
      <c r="AA118" s="97">
        <f>IFERROR(VLOOKUP(E118,S6M1!$B$1:$C$161,2,0),0)</f>
        <v>0</v>
      </c>
      <c r="AB118" s="97">
        <f>IFERROR(VLOOKUP(G118,S6M2!$B$1:$C$161,2,0),0)</f>
        <v>0</v>
      </c>
      <c r="AC118" s="97">
        <f>IFERROR(VLOOKUP(I118,S6M3!$B$1:$C$161,2,0),0)</f>
        <v>0</v>
      </c>
      <c r="AD118" s="97">
        <f>IFERROR(VLOOKUP(K118,S6M4!$B$1:$C$161,2,0),0)</f>
        <v>0</v>
      </c>
      <c r="AE118" s="97">
        <f>IFERROR(VLOOKUP(M118,S6M5!$B$1:$C$161,2,0),0)</f>
        <v>0</v>
      </c>
      <c r="AF118" s="97">
        <f>IFERROR(VLOOKUP(O118,S6M6!$B$1:$C$161,2,0),0)</f>
        <v>0</v>
      </c>
      <c r="AG118" s="97">
        <f>IFERROR(VLOOKUP(Q118,S6M7!$B$1:$C$161,2,0),0)</f>
        <v>0</v>
      </c>
      <c r="AH118" s="97">
        <f>IFERROR(VLOOKUP(S118,S6M8!$B$1:$C$161,2,0),0)</f>
        <v>0</v>
      </c>
      <c r="AI118" s="97">
        <f>IFERROR(VLOOKUP(U118,S6M9!$B$1:$C$161,2,0),0)</f>
        <v>0</v>
      </c>
      <c r="AJ118" s="97">
        <f>IFERROR(VLOOKUP(W118,S6M10!$B$1:$C$161,2,0),0)</f>
        <v>0</v>
      </c>
      <c r="AK118" s="97">
        <f>IFERROR(VLOOKUP(Y118,S6M11!$B$1:$C$161,2,0),0)</f>
        <v>0</v>
      </c>
    </row>
    <row r="119" ht="15.75" customHeight="1">
      <c r="A119" s="92">
        <v>118.0</v>
      </c>
      <c r="B119" s="106"/>
      <c r="C119" s="93">
        <f t="shared" si="1"/>
        <v>0</v>
      </c>
      <c r="D119" s="93"/>
      <c r="E119" s="94" t="str">
        <f>IFERROR(VLOOKUP($B119,S6M1!$A$1:$B$160,2,0),"0")</f>
        <v>0</v>
      </c>
      <c r="F119" s="95">
        <f>IFERROR(VLOOKUP(E119,S6M1!$B$1:$C$161,2,0),0)</f>
        <v>0</v>
      </c>
      <c r="G119" s="94" t="str">
        <f>IFERROR(VLOOKUP($B119,S6M2!$A$1:$B$160,2,0),"0")</f>
        <v>0</v>
      </c>
      <c r="H119" s="95">
        <f>IFERROR(VLOOKUP(G119,S6M2!$B$1:$C$161,2,0),0)</f>
        <v>0</v>
      </c>
      <c r="I119" s="94">
        <f>IFERROR(VLOOKUP($B119,S6M3!$A$1:$B$161,2,0),0)</f>
        <v>0</v>
      </c>
      <c r="J119" s="95">
        <f>IFERROR(VLOOKUP(I119,S6M3!$B$1:$C$161,2,0),0)</f>
        <v>0</v>
      </c>
      <c r="K119" s="94" t="str">
        <f>IFERROR(VLOOKUP($B119,S6M4!$A$1:$B$160,2,0),"0")</f>
        <v>0</v>
      </c>
      <c r="L119" s="95">
        <f>IFERROR(VLOOKUP(K119,S6M4!$B$1:$C$161,2,0),0)</f>
        <v>0</v>
      </c>
      <c r="M119" s="94" t="str">
        <f>IFERROR(VLOOKUP($B119,S6M5!$A$1:$B$160,2,0),"0")</f>
        <v>0</v>
      </c>
      <c r="N119" s="95">
        <f>IFERROR(VLOOKUP(M119,S6M5!$B$1:$C$161,2,0),0)</f>
        <v>0</v>
      </c>
      <c r="O119" s="94" t="str">
        <f>IFERROR(VLOOKUP($B119,S6M6!$A$1:$B$160,2,0),"0")</f>
        <v>0</v>
      </c>
      <c r="P119" s="95">
        <f>IFERROR(VLOOKUP(O119,S6M6!$B$1:$C$161,2,0),0)</f>
        <v>0</v>
      </c>
      <c r="Q119" s="94" t="str">
        <f>IFERROR(VLOOKUP($B119,S6M7!$A$1:$B$160,2,0),"0")</f>
        <v>0</v>
      </c>
      <c r="R119" s="95">
        <f>IFERROR(VLOOKUP(Q119,S6M7!$B$1:$C$161,2,0),0)</f>
        <v>0</v>
      </c>
      <c r="S119" s="94" t="str">
        <f>IFERROR(VLOOKUP($B119,S6M8!$A$1:$B$160,2,0),"0")</f>
        <v>0</v>
      </c>
      <c r="T119" s="95">
        <f>IFERROR(VLOOKUP(S119,S6M8!$B$1:$C$161,2,0),0)</f>
        <v>0</v>
      </c>
      <c r="U119" s="94" t="str">
        <f>IFERROR(VLOOKUP($B119,S6M9!$A$1:$B$160,2,0),"0")</f>
        <v>0</v>
      </c>
      <c r="V119" s="95">
        <f>IFERROR(VLOOKUP(U119,S6M9!$B$1:$C$161,2,0),0)</f>
        <v>0</v>
      </c>
      <c r="W119" s="94" t="str">
        <f>IFERROR(VLOOKUP($B119,S6M10!$A$1:$B$160,2,0),"0")</f>
        <v>0</v>
      </c>
      <c r="X119" s="95">
        <f>IFERROR(VLOOKUP(W119,S6M10!$B$1:$C$161,2,0),0)</f>
        <v>0</v>
      </c>
      <c r="Y119" s="94" t="str">
        <f>IFERROR(VLOOKUP($B119,S6M11!$A$1:$B$160,2,0),"0")</f>
        <v>0</v>
      </c>
      <c r="Z119" s="95">
        <f>IFERROR(VLOOKUP(Y119,S6M11!$B$1:$C$161,2,0),0)</f>
        <v>0</v>
      </c>
      <c r="AA119" s="97">
        <f>IFERROR(VLOOKUP(E119,S6M1!$B$1:$C$161,2,0),0)</f>
        <v>0</v>
      </c>
      <c r="AB119" s="97">
        <f>IFERROR(VLOOKUP(G119,S6M2!$B$1:$C$161,2,0),0)</f>
        <v>0</v>
      </c>
      <c r="AC119" s="97">
        <f>IFERROR(VLOOKUP(I119,S6M3!$B$1:$C$161,2,0),0)</f>
        <v>0</v>
      </c>
      <c r="AD119" s="97">
        <f>IFERROR(VLOOKUP(K119,S6M4!$B$1:$C$161,2,0),0)</f>
        <v>0</v>
      </c>
      <c r="AE119" s="97">
        <f>IFERROR(VLOOKUP(M119,S6M5!$B$1:$C$161,2,0),0)</f>
        <v>0</v>
      </c>
      <c r="AF119" s="97">
        <f>IFERROR(VLOOKUP(O119,S6M6!$B$1:$C$161,2,0),0)</f>
        <v>0</v>
      </c>
      <c r="AG119" s="97">
        <f>IFERROR(VLOOKUP(Q119,S6M7!$B$1:$C$161,2,0),0)</f>
        <v>0</v>
      </c>
      <c r="AH119" s="97">
        <f>IFERROR(VLOOKUP(S119,S6M8!$B$1:$C$161,2,0),0)</f>
        <v>0</v>
      </c>
      <c r="AI119" s="97">
        <f>IFERROR(VLOOKUP(U119,S6M9!$B$1:$C$161,2,0),0)</f>
        <v>0</v>
      </c>
      <c r="AJ119" s="97">
        <f>IFERROR(VLOOKUP(W119,S6M10!$B$1:$C$161,2,0),0)</f>
        <v>0</v>
      </c>
      <c r="AK119" s="97">
        <f>IFERROR(VLOOKUP(Y119,S6M11!$B$1:$C$161,2,0),0)</f>
        <v>0</v>
      </c>
    </row>
    <row r="120" ht="15.75" customHeight="1">
      <c r="A120" s="92">
        <v>119.0</v>
      </c>
      <c r="B120" s="106"/>
      <c r="C120" s="93">
        <f t="shared" si="1"/>
        <v>0</v>
      </c>
      <c r="D120" s="93"/>
      <c r="E120" s="94" t="str">
        <f>IFERROR(VLOOKUP($B120,S6M1!$A$1:$B$160,2,0),"0")</f>
        <v>0</v>
      </c>
      <c r="F120" s="95">
        <f>IFERROR(VLOOKUP(E120,S6M1!$B$1:$C$161,2,0),0)</f>
        <v>0</v>
      </c>
      <c r="G120" s="94" t="str">
        <f>IFERROR(VLOOKUP($B120,S6M2!$A$1:$B$160,2,0),"0")</f>
        <v>0</v>
      </c>
      <c r="H120" s="95">
        <f>IFERROR(VLOOKUP(G120,S6M2!$B$1:$C$161,2,0),0)</f>
        <v>0</v>
      </c>
      <c r="I120" s="94">
        <f>IFERROR(VLOOKUP($B120,S6M3!$A$1:$B$161,2,0),0)</f>
        <v>0</v>
      </c>
      <c r="J120" s="95">
        <f>IFERROR(VLOOKUP(I120,S6M3!$B$1:$C$161,2,0),0)</f>
        <v>0</v>
      </c>
      <c r="K120" s="94" t="str">
        <f>IFERROR(VLOOKUP($B120,S6M4!$A$1:$B$160,2,0),"0")</f>
        <v>0</v>
      </c>
      <c r="L120" s="95">
        <f>IFERROR(VLOOKUP(K120,S6M4!$B$1:$C$161,2,0),0)</f>
        <v>0</v>
      </c>
      <c r="M120" s="94" t="str">
        <f>IFERROR(VLOOKUP($B120,S6M5!$A$1:$B$160,2,0),"0")</f>
        <v>0</v>
      </c>
      <c r="N120" s="95">
        <f>IFERROR(VLOOKUP(M120,S6M5!$B$1:$C$161,2,0),0)</f>
        <v>0</v>
      </c>
      <c r="O120" s="94" t="str">
        <f>IFERROR(VLOOKUP($B120,S6M6!$A$1:$B$160,2,0),"0")</f>
        <v>0</v>
      </c>
      <c r="P120" s="95">
        <f>IFERROR(VLOOKUP(O120,S6M6!$B$1:$C$161,2,0),0)</f>
        <v>0</v>
      </c>
      <c r="Q120" s="94" t="str">
        <f>IFERROR(VLOOKUP($B120,S6M7!$A$1:$B$160,2,0),"0")</f>
        <v>0</v>
      </c>
      <c r="R120" s="95">
        <f>IFERROR(VLOOKUP(Q120,S6M7!$B$1:$C$161,2,0),0)</f>
        <v>0</v>
      </c>
      <c r="S120" s="94" t="str">
        <f>IFERROR(VLOOKUP($B120,S6M8!$A$1:$B$160,2,0),"0")</f>
        <v>0</v>
      </c>
      <c r="T120" s="95">
        <f>IFERROR(VLOOKUP(S120,S6M8!$B$1:$C$161,2,0),0)</f>
        <v>0</v>
      </c>
      <c r="U120" s="94" t="str">
        <f>IFERROR(VLOOKUP($B120,S6M9!$A$1:$B$160,2,0),"0")</f>
        <v>0</v>
      </c>
      <c r="V120" s="95">
        <f>IFERROR(VLOOKUP(U120,S6M9!$B$1:$C$161,2,0),0)</f>
        <v>0</v>
      </c>
      <c r="W120" s="94" t="str">
        <f>IFERROR(VLOOKUP($B120,S6M10!$A$1:$B$160,2,0),"0")</f>
        <v>0</v>
      </c>
      <c r="X120" s="95">
        <f>IFERROR(VLOOKUP(W120,S6M10!$B$1:$C$161,2,0),0)</f>
        <v>0</v>
      </c>
      <c r="Y120" s="94" t="str">
        <f>IFERROR(VLOOKUP($B120,S6M11!$A$1:$B$160,2,0),"0")</f>
        <v>0</v>
      </c>
      <c r="Z120" s="95">
        <f>IFERROR(VLOOKUP(Y120,S6M11!$B$1:$C$161,2,0),0)</f>
        <v>0</v>
      </c>
      <c r="AA120" s="97">
        <f>IFERROR(VLOOKUP(E120,S6M1!$B$1:$C$161,2,0),0)</f>
        <v>0</v>
      </c>
      <c r="AB120" s="97">
        <f>IFERROR(VLOOKUP(G120,S6M2!$B$1:$C$161,2,0),0)</f>
        <v>0</v>
      </c>
      <c r="AC120" s="97">
        <f>IFERROR(VLOOKUP(I120,S6M3!$B$1:$C$161,2,0),0)</f>
        <v>0</v>
      </c>
      <c r="AD120" s="97">
        <f>IFERROR(VLOOKUP(K120,S6M4!$B$1:$C$161,2,0),0)</f>
        <v>0</v>
      </c>
      <c r="AE120" s="97">
        <f>IFERROR(VLOOKUP(M120,S6M5!$B$1:$C$161,2,0),0)</f>
        <v>0</v>
      </c>
      <c r="AF120" s="97">
        <f>IFERROR(VLOOKUP(O120,S6M6!$B$1:$C$161,2,0),0)</f>
        <v>0</v>
      </c>
      <c r="AG120" s="97">
        <f>IFERROR(VLOOKUP(Q120,S6M7!$B$1:$C$161,2,0),0)</f>
        <v>0</v>
      </c>
      <c r="AH120" s="97">
        <f>IFERROR(VLOOKUP(S120,S6M8!$B$1:$C$161,2,0),0)</f>
        <v>0</v>
      </c>
      <c r="AI120" s="97">
        <f>IFERROR(VLOOKUP(U120,S6M9!$B$1:$C$161,2,0),0)</f>
        <v>0</v>
      </c>
      <c r="AJ120" s="97">
        <f>IFERROR(VLOOKUP(W120,S6M10!$B$1:$C$161,2,0),0)</f>
        <v>0</v>
      </c>
      <c r="AK120" s="97">
        <f>IFERROR(VLOOKUP(Y120,S6M11!$B$1:$C$161,2,0),0)</f>
        <v>0</v>
      </c>
    </row>
    <row r="121" ht="15.75" customHeight="1">
      <c r="A121" s="92">
        <v>120.0</v>
      </c>
      <c r="B121" s="106"/>
      <c r="C121" s="93">
        <f t="shared" si="1"/>
        <v>0</v>
      </c>
      <c r="D121" s="93"/>
      <c r="E121" s="94" t="str">
        <f>IFERROR(VLOOKUP($B121,S6M1!$A$1:$B$160,2,0),"0")</f>
        <v>0</v>
      </c>
      <c r="F121" s="95">
        <f>IFERROR(VLOOKUP(E121,S6M1!$B$1:$C$161,2,0),0)</f>
        <v>0</v>
      </c>
      <c r="G121" s="94" t="str">
        <f>IFERROR(VLOOKUP($B121,S6M2!$A$1:$B$160,2,0),"0")</f>
        <v>0</v>
      </c>
      <c r="H121" s="95">
        <f>IFERROR(VLOOKUP(G121,S6M2!$B$1:$C$161,2,0),0)</f>
        <v>0</v>
      </c>
      <c r="I121" s="94">
        <f>IFERROR(VLOOKUP($B121,S6M3!$A$1:$B$161,2,0),0)</f>
        <v>0</v>
      </c>
      <c r="J121" s="95">
        <f>IFERROR(VLOOKUP(I121,S6M3!$B$1:$C$161,2,0),0)</f>
        <v>0</v>
      </c>
      <c r="K121" s="94" t="str">
        <f>IFERROR(VLOOKUP($B121,S6M4!$A$1:$B$160,2,0),"0")</f>
        <v>0</v>
      </c>
      <c r="L121" s="95">
        <f>IFERROR(VLOOKUP(K121,S6M4!$B$1:$C$161,2,0),0)</f>
        <v>0</v>
      </c>
      <c r="M121" s="94" t="str">
        <f>IFERROR(VLOOKUP($B121,S6M5!$A$1:$B$160,2,0),"0")</f>
        <v>0</v>
      </c>
      <c r="N121" s="95">
        <f>IFERROR(VLOOKUP(M121,S6M5!$B$1:$C$161,2,0),0)</f>
        <v>0</v>
      </c>
      <c r="O121" s="94" t="str">
        <f>IFERROR(VLOOKUP($B121,S6M6!$A$1:$B$160,2,0),"0")</f>
        <v>0</v>
      </c>
      <c r="P121" s="95">
        <f>IFERROR(VLOOKUP(O121,S6M6!$B$1:$C$161,2,0),0)</f>
        <v>0</v>
      </c>
      <c r="Q121" s="94" t="str">
        <f>IFERROR(VLOOKUP($B121,S6M7!$A$1:$B$160,2,0),"0")</f>
        <v>0</v>
      </c>
      <c r="R121" s="95">
        <f>IFERROR(VLOOKUP(Q121,S6M7!$B$1:$C$161,2,0),0)</f>
        <v>0</v>
      </c>
      <c r="S121" s="94" t="str">
        <f>IFERROR(VLOOKUP($B121,S6M8!$A$1:$B$160,2,0),"0")</f>
        <v>0</v>
      </c>
      <c r="T121" s="95">
        <f>IFERROR(VLOOKUP(S121,S6M8!$B$1:$C$161,2,0),0)</f>
        <v>0</v>
      </c>
      <c r="U121" s="94" t="str">
        <f>IFERROR(VLOOKUP($B121,S6M9!$A$1:$B$160,2,0),"0")</f>
        <v>0</v>
      </c>
      <c r="V121" s="95">
        <f>IFERROR(VLOOKUP(U121,S6M9!$B$1:$C$161,2,0),0)</f>
        <v>0</v>
      </c>
      <c r="W121" s="94" t="str">
        <f>IFERROR(VLOOKUP($B121,S6M10!$A$1:$B$160,2,0),"0")</f>
        <v>0</v>
      </c>
      <c r="X121" s="95">
        <f>IFERROR(VLOOKUP(W121,S6M10!$B$1:$C$161,2,0),0)</f>
        <v>0</v>
      </c>
      <c r="Y121" s="94" t="str">
        <f>IFERROR(VLOOKUP($B121,S6M11!$A$1:$B$160,2,0),"0")</f>
        <v>0</v>
      </c>
      <c r="Z121" s="95">
        <f>IFERROR(VLOOKUP(Y121,S6M11!$B$1:$C$161,2,0),0)</f>
        <v>0</v>
      </c>
      <c r="AA121" s="97">
        <f>IFERROR(VLOOKUP(E121,S6M1!$B$1:$C$161,2,0),0)</f>
        <v>0</v>
      </c>
      <c r="AB121" s="97">
        <f>IFERROR(VLOOKUP(G121,S6M2!$B$1:$C$161,2,0),0)</f>
        <v>0</v>
      </c>
      <c r="AC121" s="97">
        <f>IFERROR(VLOOKUP(I121,S6M3!$B$1:$C$161,2,0),0)</f>
        <v>0</v>
      </c>
      <c r="AD121" s="97">
        <f>IFERROR(VLOOKUP(K121,S6M4!$B$1:$C$161,2,0),0)</f>
        <v>0</v>
      </c>
      <c r="AE121" s="97">
        <f>IFERROR(VLOOKUP(M121,S6M5!$B$1:$C$161,2,0),0)</f>
        <v>0</v>
      </c>
      <c r="AF121" s="97">
        <f>IFERROR(VLOOKUP(O121,S6M6!$B$1:$C$161,2,0),0)</f>
        <v>0</v>
      </c>
      <c r="AG121" s="97">
        <f>IFERROR(VLOOKUP(Q121,S6M7!$B$1:$C$161,2,0),0)</f>
        <v>0</v>
      </c>
      <c r="AH121" s="97">
        <f>IFERROR(VLOOKUP(S121,S6M8!$B$1:$C$161,2,0),0)</f>
        <v>0</v>
      </c>
      <c r="AI121" s="97">
        <f>IFERROR(VLOOKUP(U121,S6M9!$B$1:$C$161,2,0),0)</f>
        <v>0</v>
      </c>
      <c r="AJ121" s="97">
        <f>IFERROR(VLOOKUP(W121,S6M10!$B$1:$C$161,2,0),0)</f>
        <v>0</v>
      </c>
      <c r="AK121" s="97">
        <f>IFERROR(VLOOKUP(Y121,S6M11!$B$1:$C$161,2,0),0)</f>
        <v>0</v>
      </c>
    </row>
    <row r="122" ht="15.75" customHeight="1">
      <c r="A122" s="92">
        <v>121.0</v>
      </c>
      <c r="B122" s="106"/>
      <c r="C122" s="93">
        <f t="shared" si="1"/>
        <v>0</v>
      </c>
      <c r="D122" s="93"/>
      <c r="E122" s="94" t="str">
        <f>IFERROR(VLOOKUP($B122,S6M1!$A$1:$B$160,2,0),"0")</f>
        <v>0</v>
      </c>
      <c r="F122" s="95">
        <f>IFERROR(VLOOKUP(E122,S6M1!$B$1:$C$161,2,0),0)</f>
        <v>0</v>
      </c>
      <c r="G122" s="94" t="str">
        <f>IFERROR(VLOOKUP($B122,S6M2!$A$1:$B$160,2,0),"0")</f>
        <v>0</v>
      </c>
      <c r="H122" s="95">
        <f>IFERROR(VLOOKUP(G122,S6M2!$B$1:$C$161,2,0),0)</f>
        <v>0</v>
      </c>
      <c r="I122" s="94">
        <f>IFERROR(VLOOKUP($B122,S6M3!$A$1:$B$161,2,0),0)</f>
        <v>0</v>
      </c>
      <c r="J122" s="95">
        <f>IFERROR(VLOOKUP(I122,S6M3!$B$1:$C$161,2,0),0)</f>
        <v>0</v>
      </c>
      <c r="K122" s="94" t="str">
        <f>IFERROR(VLOOKUP($B122,S6M4!$A$1:$B$160,2,0),"0")</f>
        <v>0</v>
      </c>
      <c r="L122" s="95">
        <f>IFERROR(VLOOKUP(K122,S6M4!$B$1:$C$161,2,0),0)</f>
        <v>0</v>
      </c>
      <c r="M122" s="94" t="str">
        <f>IFERROR(VLOOKUP($B122,S6M5!$A$1:$B$160,2,0),"0")</f>
        <v>0</v>
      </c>
      <c r="N122" s="95">
        <f>IFERROR(VLOOKUP(M122,S6M5!$B$1:$C$161,2,0),0)</f>
        <v>0</v>
      </c>
      <c r="O122" s="94" t="str">
        <f>IFERROR(VLOOKUP($B122,S6M6!$A$1:$B$160,2,0),"0")</f>
        <v>0</v>
      </c>
      <c r="P122" s="95">
        <f>IFERROR(VLOOKUP(O122,S6M6!$B$1:$C$161,2,0),0)</f>
        <v>0</v>
      </c>
      <c r="Q122" s="94" t="str">
        <f>IFERROR(VLOOKUP($B122,S6M7!$A$1:$B$160,2,0),"0")</f>
        <v>0</v>
      </c>
      <c r="R122" s="95">
        <f>IFERROR(VLOOKUP(Q122,S6M7!$B$1:$C$161,2,0),0)</f>
        <v>0</v>
      </c>
      <c r="S122" s="94" t="str">
        <f>IFERROR(VLOOKUP($B122,S6M8!$A$1:$B$160,2,0),"0")</f>
        <v>0</v>
      </c>
      <c r="T122" s="95">
        <f>IFERROR(VLOOKUP(S122,S6M8!$B$1:$C$161,2,0),0)</f>
        <v>0</v>
      </c>
      <c r="U122" s="94" t="str">
        <f>IFERROR(VLOOKUP($B122,S6M9!$A$1:$B$160,2,0),"0")</f>
        <v>0</v>
      </c>
      <c r="V122" s="95">
        <f>IFERROR(VLOOKUP(U122,S6M9!$B$1:$C$161,2,0),0)</f>
        <v>0</v>
      </c>
      <c r="W122" s="94" t="str">
        <f>IFERROR(VLOOKUP($B122,S6M10!$A$1:$B$160,2,0),"0")</f>
        <v>0</v>
      </c>
      <c r="X122" s="95">
        <f>IFERROR(VLOOKUP(W122,S6M10!$B$1:$C$161,2,0),0)</f>
        <v>0</v>
      </c>
      <c r="Y122" s="94" t="str">
        <f>IFERROR(VLOOKUP($B122,S6M11!$A$1:$B$160,2,0),"0")</f>
        <v>0</v>
      </c>
      <c r="Z122" s="95">
        <f>IFERROR(VLOOKUP(Y122,S6M11!$B$1:$C$161,2,0),0)</f>
        <v>0</v>
      </c>
      <c r="AA122" s="97">
        <f>IFERROR(VLOOKUP(E122,S6M1!$B$1:$C$161,2,0),0)</f>
        <v>0</v>
      </c>
      <c r="AB122" s="97">
        <f>IFERROR(VLOOKUP(G122,S6M2!$B$1:$C$161,2,0),0)</f>
        <v>0</v>
      </c>
      <c r="AC122" s="97">
        <f>IFERROR(VLOOKUP(I122,S6M3!$B$1:$C$161,2,0),0)</f>
        <v>0</v>
      </c>
      <c r="AD122" s="97">
        <f>IFERROR(VLOOKUP(K122,S6M4!$B$1:$C$161,2,0),0)</f>
        <v>0</v>
      </c>
      <c r="AE122" s="97">
        <f>IFERROR(VLOOKUP(M122,S6M5!$B$1:$C$161,2,0),0)</f>
        <v>0</v>
      </c>
      <c r="AF122" s="97">
        <f>IFERROR(VLOOKUP(O122,S6M6!$B$1:$C$161,2,0),0)</f>
        <v>0</v>
      </c>
      <c r="AG122" s="97">
        <f>IFERROR(VLOOKUP(Q122,S6M7!$B$1:$C$161,2,0),0)</f>
        <v>0</v>
      </c>
      <c r="AH122" s="97">
        <f>IFERROR(VLOOKUP(S122,S6M8!$B$1:$C$161,2,0),0)</f>
        <v>0</v>
      </c>
      <c r="AI122" s="97">
        <f>IFERROR(VLOOKUP(U122,S6M9!$B$1:$C$161,2,0),0)</f>
        <v>0</v>
      </c>
      <c r="AJ122" s="97">
        <f>IFERROR(VLOOKUP(W122,S6M10!$B$1:$C$161,2,0),0)</f>
        <v>0</v>
      </c>
      <c r="AK122" s="97">
        <f>IFERROR(VLOOKUP(Y122,S6M11!$B$1:$C$161,2,0),0)</f>
        <v>0</v>
      </c>
    </row>
    <row r="123" ht="15.75" customHeight="1">
      <c r="A123" s="92">
        <v>122.0</v>
      </c>
      <c r="B123" s="107"/>
      <c r="C123" s="93">
        <f t="shared" si="1"/>
        <v>0</v>
      </c>
      <c r="D123" s="93"/>
      <c r="E123" s="94" t="str">
        <f>IFERROR(VLOOKUP($B123,S6M1!$A$1:$B$160,2,0),"0")</f>
        <v>0</v>
      </c>
      <c r="F123" s="95">
        <f>IFERROR(VLOOKUP(E123,S6M1!$B$1:$C$161,2,0),0)</f>
        <v>0</v>
      </c>
      <c r="G123" s="94" t="str">
        <f>IFERROR(VLOOKUP($B123,S6M2!$A$1:$B$160,2,0),"0")</f>
        <v>0</v>
      </c>
      <c r="H123" s="95">
        <f>IFERROR(VLOOKUP(G123,S6M2!$B$1:$C$161,2,0),0)</f>
        <v>0</v>
      </c>
      <c r="I123" s="94">
        <f>IFERROR(VLOOKUP($B123,S6M3!$A$1:$B$161,2,0),0)</f>
        <v>0</v>
      </c>
      <c r="J123" s="95">
        <f>IFERROR(VLOOKUP(I123,S6M3!$B$1:$C$161,2,0),0)</f>
        <v>0</v>
      </c>
      <c r="K123" s="94" t="str">
        <f>IFERROR(VLOOKUP($B123,S6M4!$A$1:$B$160,2,0),"0")</f>
        <v>0</v>
      </c>
      <c r="L123" s="95">
        <f>IFERROR(VLOOKUP(K123,S6M4!$B$1:$C$161,2,0),0)</f>
        <v>0</v>
      </c>
      <c r="M123" s="94" t="str">
        <f>IFERROR(VLOOKUP($B123,S6M5!$A$1:$B$160,2,0),"0")</f>
        <v>0</v>
      </c>
      <c r="N123" s="95">
        <f>IFERROR(VLOOKUP(M123,S6M5!$B$1:$C$161,2,0),0)</f>
        <v>0</v>
      </c>
      <c r="O123" s="94" t="str">
        <f>IFERROR(VLOOKUP($B123,S6M6!$A$1:$B$160,2,0),"0")</f>
        <v>0</v>
      </c>
      <c r="P123" s="95">
        <f>IFERROR(VLOOKUP(O123,S6M6!$B$1:$C$161,2,0),0)</f>
        <v>0</v>
      </c>
      <c r="Q123" s="94" t="str">
        <f>IFERROR(VLOOKUP($B123,S6M7!$A$1:$B$160,2,0),"0")</f>
        <v>0</v>
      </c>
      <c r="R123" s="95">
        <f>IFERROR(VLOOKUP(Q123,S6M7!$B$1:$C$161,2,0),0)</f>
        <v>0</v>
      </c>
      <c r="S123" s="94" t="str">
        <f>IFERROR(VLOOKUP($B123,S6M8!$A$1:$B$160,2,0),"0")</f>
        <v>0</v>
      </c>
      <c r="T123" s="95">
        <f>IFERROR(VLOOKUP(S123,S6M8!$B$1:$C$161,2,0),0)</f>
        <v>0</v>
      </c>
      <c r="U123" s="94" t="str">
        <f>IFERROR(VLOOKUP($B123,S6M9!$A$1:$B$160,2,0),"0")</f>
        <v>0</v>
      </c>
      <c r="V123" s="95">
        <f>IFERROR(VLOOKUP(U123,S6M9!$B$1:$C$161,2,0),0)</f>
        <v>0</v>
      </c>
      <c r="W123" s="94" t="str">
        <f>IFERROR(VLOOKUP($B123,S6M10!$A$1:$B$160,2,0),"0")</f>
        <v>0</v>
      </c>
      <c r="X123" s="95">
        <f>IFERROR(VLOOKUP(W123,S6M10!$B$1:$C$161,2,0),0)</f>
        <v>0</v>
      </c>
      <c r="Y123" s="94" t="str">
        <f>IFERROR(VLOOKUP($B123,S6M11!$A$1:$B$160,2,0),"0")</f>
        <v>0</v>
      </c>
      <c r="Z123" s="95">
        <f>IFERROR(VLOOKUP(Y123,S6M11!$B$1:$C$161,2,0),0)</f>
        <v>0</v>
      </c>
      <c r="AA123" s="97">
        <f>IFERROR(VLOOKUP(E123,S6M1!$B$1:$C$161,2,0),0)</f>
        <v>0</v>
      </c>
      <c r="AB123" s="97">
        <f>IFERROR(VLOOKUP(G123,S6M2!$B$1:$C$161,2,0),0)</f>
        <v>0</v>
      </c>
      <c r="AC123" s="97">
        <f>IFERROR(VLOOKUP(I123,S6M3!$B$1:$C$161,2,0),0)</f>
        <v>0</v>
      </c>
      <c r="AD123" s="97">
        <f>IFERROR(VLOOKUP(K123,S6M4!$B$1:$C$161,2,0),0)</f>
        <v>0</v>
      </c>
      <c r="AE123" s="97">
        <f>IFERROR(VLOOKUP(M123,S6M5!$B$1:$C$161,2,0),0)</f>
        <v>0</v>
      </c>
      <c r="AF123" s="97">
        <f>IFERROR(VLOOKUP(O123,S6M6!$B$1:$C$161,2,0),0)</f>
        <v>0</v>
      </c>
      <c r="AG123" s="97">
        <f>IFERROR(VLOOKUP(Q123,S6M7!$B$1:$C$161,2,0),0)</f>
        <v>0</v>
      </c>
      <c r="AH123" s="97">
        <f>IFERROR(VLOOKUP(S123,S6M8!$B$1:$C$161,2,0),0)</f>
        <v>0</v>
      </c>
      <c r="AI123" s="97">
        <f>IFERROR(VLOOKUP(U123,S6M9!$B$1:$C$161,2,0),0)</f>
        <v>0</v>
      </c>
      <c r="AJ123" s="97">
        <f>IFERROR(VLOOKUP(W123,S6M10!$B$1:$C$161,2,0),0)</f>
        <v>0</v>
      </c>
      <c r="AK123" s="97">
        <f>IFERROR(VLOOKUP(Y123,S6M11!$B$1:$C$161,2,0),0)</f>
        <v>0</v>
      </c>
    </row>
    <row r="124" ht="15.75" customHeight="1">
      <c r="A124" s="92">
        <v>123.0</v>
      </c>
      <c r="B124" s="108"/>
      <c r="C124" s="93">
        <f t="shared" si="1"/>
        <v>0</v>
      </c>
      <c r="D124" s="93"/>
      <c r="E124" s="94" t="str">
        <f>IFERROR(VLOOKUP($B124,S6M1!$A$1:$B$160,2,0),"0")</f>
        <v>0</v>
      </c>
      <c r="F124" s="95">
        <f>IFERROR(VLOOKUP(E124,S6M1!$B$1:$C$161,2,0),0)</f>
        <v>0</v>
      </c>
      <c r="G124" s="94" t="str">
        <f>IFERROR(VLOOKUP($B124,S6M2!$A$1:$B$160,2,0),"0")</f>
        <v>0</v>
      </c>
      <c r="H124" s="95">
        <f>IFERROR(VLOOKUP(G124,S6M2!$B$1:$C$161,2,0),0)</f>
        <v>0</v>
      </c>
      <c r="I124" s="94">
        <f>IFERROR(VLOOKUP($B124,S6M3!$A$1:$B$161,2,0),0)</f>
        <v>0</v>
      </c>
      <c r="J124" s="95">
        <f>IFERROR(VLOOKUP(I124,S6M3!$B$1:$C$161,2,0),0)</f>
        <v>0</v>
      </c>
      <c r="K124" s="94" t="str">
        <f>IFERROR(VLOOKUP($B124,S6M4!$A$1:$B$160,2,0),"0")</f>
        <v>0</v>
      </c>
      <c r="L124" s="95">
        <f>IFERROR(VLOOKUP(K124,S6M4!$B$1:$C$161,2,0),0)</f>
        <v>0</v>
      </c>
      <c r="M124" s="94" t="str">
        <f>IFERROR(VLOOKUP($B124,S6M5!$A$1:$B$160,2,0),"0")</f>
        <v>0</v>
      </c>
      <c r="N124" s="95">
        <f>IFERROR(VLOOKUP(M124,S6M5!$B$1:$C$161,2,0),0)</f>
        <v>0</v>
      </c>
      <c r="O124" s="94" t="str">
        <f>IFERROR(VLOOKUP($B124,S6M6!$A$1:$B$160,2,0),"0")</f>
        <v>0</v>
      </c>
      <c r="P124" s="95">
        <f>IFERROR(VLOOKUP(O124,S6M6!$B$1:$C$161,2,0),0)</f>
        <v>0</v>
      </c>
      <c r="Q124" s="94" t="str">
        <f>IFERROR(VLOOKUP($B124,S6M7!$A$1:$B$160,2,0),"0")</f>
        <v>0</v>
      </c>
      <c r="R124" s="95">
        <f>IFERROR(VLOOKUP(Q124,S6M7!$B$1:$C$161,2,0),0)</f>
        <v>0</v>
      </c>
      <c r="S124" s="94" t="str">
        <f>IFERROR(VLOOKUP($B124,S6M8!$A$1:$B$160,2,0),"0")</f>
        <v>0</v>
      </c>
      <c r="T124" s="95">
        <f>IFERROR(VLOOKUP(S124,S6M8!$B$1:$C$161,2,0),0)</f>
        <v>0</v>
      </c>
      <c r="U124" s="94" t="str">
        <f>IFERROR(VLOOKUP($B124,S6M9!$A$1:$B$160,2,0),"0")</f>
        <v>0</v>
      </c>
      <c r="V124" s="95">
        <f>IFERROR(VLOOKUP(U124,S6M9!$B$1:$C$161,2,0),0)</f>
        <v>0</v>
      </c>
      <c r="W124" s="94" t="str">
        <f>IFERROR(VLOOKUP($B124,S6M10!$A$1:$B$160,2,0),"0")</f>
        <v>0</v>
      </c>
      <c r="X124" s="95">
        <f>IFERROR(VLOOKUP(W124,S6M10!$B$1:$C$161,2,0),0)</f>
        <v>0</v>
      </c>
      <c r="Y124" s="94" t="str">
        <f>IFERROR(VLOOKUP($B124,S6M11!$A$1:$B$160,2,0),"0")</f>
        <v>0</v>
      </c>
      <c r="Z124" s="95">
        <f>IFERROR(VLOOKUP(Y124,S6M11!$B$1:$C$161,2,0),0)</f>
        <v>0</v>
      </c>
      <c r="AA124" s="97">
        <f>IFERROR(VLOOKUP(E124,S6M1!$B$1:$C$161,2,0),0)</f>
        <v>0</v>
      </c>
      <c r="AB124" s="97">
        <f>IFERROR(VLOOKUP(G124,S6M2!$B$1:$C$161,2,0),0)</f>
        <v>0</v>
      </c>
      <c r="AC124" s="97">
        <f>IFERROR(VLOOKUP(I124,S6M3!$B$1:$C$161,2,0),0)</f>
        <v>0</v>
      </c>
      <c r="AD124" s="97">
        <f>IFERROR(VLOOKUP(K124,S6M4!$B$1:$C$161,2,0),0)</f>
        <v>0</v>
      </c>
      <c r="AE124" s="97">
        <f>IFERROR(VLOOKUP(M124,S6M5!$B$1:$C$161,2,0),0)</f>
        <v>0</v>
      </c>
      <c r="AF124" s="97">
        <f>IFERROR(VLOOKUP(O124,S6M6!$B$1:$C$161,2,0),0)</f>
        <v>0</v>
      </c>
      <c r="AG124" s="97">
        <f>IFERROR(VLOOKUP(Q124,S6M7!$B$1:$C$161,2,0),0)</f>
        <v>0</v>
      </c>
      <c r="AH124" s="97">
        <f>IFERROR(VLOOKUP(S124,S6M8!$B$1:$C$161,2,0),0)</f>
        <v>0</v>
      </c>
      <c r="AI124" s="97">
        <f>IFERROR(VLOOKUP(U124,S6M9!$B$1:$C$161,2,0),0)</f>
        <v>0</v>
      </c>
      <c r="AJ124" s="97">
        <f>IFERROR(VLOOKUP(W124,S6M10!$B$1:$C$161,2,0),0)</f>
        <v>0</v>
      </c>
      <c r="AK124" s="97">
        <f>IFERROR(VLOOKUP(Y124,S6M11!$B$1:$C$161,2,0),0)</f>
        <v>0</v>
      </c>
    </row>
    <row r="125" ht="15.75" customHeight="1">
      <c r="A125" s="92">
        <v>124.0</v>
      </c>
      <c r="B125" s="108"/>
      <c r="C125" s="93">
        <f t="shared" si="1"/>
        <v>0</v>
      </c>
      <c r="D125" s="93"/>
      <c r="E125" s="94" t="str">
        <f>IFERROR(VLOOKUP($B125,S6M1!$A$1:$B$160,2,0),"0")</f>
        <v>0</v>
      </c>
      <c r="F125" s="95">
        <f>IFERROR(VLOOKUP(E125,S6M1!$B$1:$C$161,2,0),0)</f>
        <v>0</v>
      </c>
      <c r="G125" s="94" t="str">
        <f>IFERROR(VLOOKUP($B125,S6M2!$A$1:$B$160,2,0),"0")</f>
        <v>0</v>
      </c>
      <c r="H125" s="95">
        <f>IFERROR(VLOOKUP(G125,S6M2!$B$1:$C$161,2,0),0)</f>
        <v>0</v>
      </c>
      <c r="I125" s="94">
        <f>IFERROR(VLOOKUP($B125,S6M3!$A$1:$B$161,2,0),0)</f>
        <v>0</v>
      </c>
      <c r="J125" s="95">
        <f>IFERROR(VLOOKUP(I125,S6M3!$B$1:$C$161,2,0),0)</f>
        <v>0</v>
      </c>
      <c r="K125" s="94" t="str">
        <f>IFERROR(VLOOKUP($B125,S6M4!$A$1:$B$160,2,0),"0")</f>
        <v>0</v>
      </c>
      <c r="L125" s="95">
        <f>IFERROR(VLOOKUP(K125,S6M4!$B$1:$C$161,2,0),0)</f>
        <v>0</v>
      </c>
      <c r="M125" s="94" t="str">
        <f>IFERROR(VLOOKUP($B125,S6M5!$A$1:$B$160,2,0),"0")</f>
        <v>0</v>
      </c>
      <c r="N125" s="95">
        <f>IFERROR(VLOOKUP(M125,S6M5!$B$1:$C$161,2,0),0)</f>
        <v>0</v>
      </c>
      <c r="O125" s="94" t="str">
        <f>IFERROR(VLOOKUP($B125,S6M6!$A$1:$B$160,2,0),"0")</f>
        <v>0</v>
      </c>
      <c r="P125" s="95">
        <f>IFERROR(VLOOKUP(O125,S6M6!$B$1:$C$161,2,0),0)</f>
        <v>0</v>
      </c>
      <c r="Q125" s="94" t="str">
        <f>IFERROR(VLOOKUP($B125,S6M7!$A$1:$B$160,2,0),"0")</f>
        <v>0</v>
      </c>
      <c r="R125" s="95">
        <f>IFERROR(VLOOKUP(Q125,S6M7!$B$1:$C$161,2,0),0)</f>
        <v>0</v>
      </c>
      <c r="S125" s="94" t="str">
        <f>IFERROR(VLOOKUP($B125,S6M8!$A$1:$B$160,2,0),"0")</f>
        <v>0</v>
      </c>
      <c r="T125" s="95">
        <f>IFERROR(VLOOKUP(S125,S6M8!$B$1:$C$161,2,0),0)</f>
        <v>0</v>
      </c>
      <c r="U125" s="94" t="str">
        <f>IFERROR(VLOOKUP($B125,S6M9!$A$1:$B$160,2,0),"0")</f>
        <v>0</v>
      </c>
      <c r="V125" s="95">
        <f>IFERROR(VLOOKUP(U125,S6M9!$B$1:$C$161,2,0),0)</f>
        <v>0</v>
      </c>
      <c r="W125" s="94" t="str">
        <f>IFERROR(VLOOKUP($B125,S6M10!$A$1:$B$160,2,0),"0")</f>
        <v>0</v>
      </c>
      <c r="X125" s="95">
        <f>IFERROR(VLOOKUP(W125,S6M10!$B$1:$C$161,2,0),0)</f>
        <v>0</v>
      </c>
      <c r="Y125" s="94" t="str">
        <f>IFERROR(VLOOKUP($B125,S6M11!$A$1:$B$160,2,0),"0")</f>
        <v>0</v>
      </c>
      <c r="Z125" s="95">
        <f>IFERROR(VLOOKUP(Y125,S6M11!$B$1:$C$161,2,0),0)</f>
        <v>0</v>
      </c>
      <c r="AA125" s="97">
        <f>IFERROR(VLOOKUP(E125,S6M1!$B$1:$C$161,2,0),0)</f>
        <v>0</v>
      </c>
      <c r="AB125" s="97">
        <f>IFERROR(VLOOKUP(G125,S6M2!$B$1:$C$161,2,0),0)</f>
        <v>0</v>
      </c>
      <c r="AC125" s="97">
        <f>IFERROR(VLOOKUP(I125,S6M3!$B$1:$C$161,2,0),0)</f>
        <v>0</v>
      </c>
      <c r="AD125" s="97">
        <f>IFERROR(VLOOKUP(K125,S6M4!$B$1:$C$161,2,0),0)</f>
        <v>0</v>
      </c>
      <c r="AE125" s="97">
        <f>IFERROR(VLOOKUP(M125,S6M5!$B$1:$C$161,2,0),0)</f>
        <v>0</v>
      </c>
      <c r="AF125" s="97">
        <f>IFERROR(VLOOKUP(O125,S6M6!$B$1:$C$161,2,0),0)</f>
        <v>0</v>
      </c>
      <c r="AG125" s="97">
        <f>IFERROR(VLOOKUP(Q125,S6M7!$B$1:$C$161,2,0),0)</f>
        <v>0</v>
      </c>
      <c r="AH125" s="97">
        <f>IFERROR(VLOOKUP(S125,S6M8!$B$1:$C$161,2,0),0)</f>
        <v>0</v>
      </c>
      <c r="AI125" s="97">
        <f>IFERROR(VLOOKUP(U125,S6M9!$B$1:$C$161,2,0),0)</f>
        <v>0</v>
      </c>
      <c r="AJ125" s="97">
        <f>IFERROR(VLOOKUP(W125,S6M10!$B$1:$C$161,2,0),0)</f>
        <v>0</v>
      </c>
      <c r="AK125" s="97">
        <f>IFERROR(VLOOKUP(Y125,S6M11!$B$1:$C$161,2,0),0)</f>
        <v>0</v>
      </c>
    </row>
    <row r="126" ht="15.75" customHeight="1">
      <c r="A126" s="92">
        <v>125.0</v>
      </c>
      <c r="B126" s="103"/>
      <c r="C126" s="93">
        <f t="shared" si="1"/>
        <v>0</v>
      </c>
      <c r="D126" s="93"/>
      <c r="E126" s="94" t="str">
        <f>IFERROR(VLOOKUP($B126,S6M1!$A$1:$B$160,2,0),"0")</f>
        <v>0</v>
      </c>
      <c r="F126" s="95">
        <f>IFERROR(VLOOKUP(E126,S6M1!$B$1:$C$161,2,0),0)</f>
        <v>0</v>
      </c>
      <c r="G126" s="94" t="str">
        <f>IFERROR(VLOOKUP($B126,S6M2!$A$1:$B$160,2,0),"0")</f>
        <v>0</v>
      </c>
      <c r="H126" s="95">
        <f>IFERROR(VLOOKUP(G126,S6M2!$B$1:$C$161,2,0),0)</f>
        <v>0</v>
      </c>
      <c r="I126" s="94">
        <f>IFERROR(VLOOKUP($B126,S6M3!$A$1:$B$161,2,0),0)</f>
        <v>0</v>
      </c>
      <c r="J126" s="95">
        <f>IFERROR(VLOOKUP(I126,S6M3!$B$1:$C$161,2,0),0)</f>
        <v>0</v>
      </c>
      <c r="K126" s="94" t="str">
        <f>IFERROR(VLOOKUP($B126,S6M4!$A$1:$B$160,2,0),"0")</f>
        <v>0</v>
      </c>
      <c r="L126" s="95">
        <f>IFERROR(VLOOKUP(K126,S6M4!$B$1:$C$161,2,0),0)</f>
        <v>0</v>
      </c>
      <c r="M126" s="94" t="str">
        <f>IFERROR(VLOOKUP($B126,S6M5!$A$1:$B$160,2,0),"0")</f>
        <v>0</v>
      </c>
      <c r="N126" s="95">
        <f>IFERROR(VLOOKUP(M126,S6M5!$B$1:$C$161,2,0),0)</f>
        <v>0</v>
      </c>
      <c r="O126" s="94" t="str">
        <f>IFERROR(VLOOKUP($B126,S6M6!$A$1:$B$160,2,0),"0")</f>
        <v>0</v>
      </c>
      <c r="P126" s="95">
        <f>IFERROR(VLOOKUP(O126,S6M6!$B$1:$C$161,2,0),0)</f>
        <v>0</v>
      </c>
      <c r="Q126" s="94" t="str">
        <f>IFERROR(VLOOKUP($B126,S6M7!$A$1:$B$160,2,0),"0")</f>
        <v>0</v>
      </c>
      <c r="R126" s="95">
        <f>IFERROR(VLOOKUP(Q126,S6M7!$B$1:$C$161,2,0),0)</f>
        <v>0</v>
      </c>
      <c r="S126" s="94" t="str">
        <f>IFERROR(VLOOKUP($B126,S6M8!$A$1:$B$160,2,0),"0")</f>
        <v>0</v>
      </c>
      <c r="T126" s="95">
        <f>IFERROR(VLOOKUP(S126,S6M8!$B$1:$C$161,2,0),0)</f>
        <v>0</v>
      </c>
      <c r="U126" s="94" t="str">
        <f>IFERROR(VLOOKUP($B126,S6M9!$A$1:$B$160,2,0),"0")</f>
        <v>0</v>
      </c>
      <c r="V126" s="95">
        <f>IFERROR(VLOOKUP(U126,S6M9!$B$1:$C$161,2,0),0)</f>
        <v>0</v>
      </c>
      <c r="W126" s="94" t="str">
        <f>IFERROR(VLOOKUP($B126,S6M10!$A$1:$B$160,2,0),"0")</f>
        <v>0</v>
      </c>
      <c r="X126" s="95">
        <f>IFERROR(VLOOKUP(W126,S6M10!$B$1:$C$161,2,0),0)</f>
        <v>0</v>
      </c>
      <c r="Y126" s="94" t="str">
        <f>IFERROR(VLOOKUP($B126,S6M11!$A$1:$B$160,2,0),"0")</f>
        <v>0</v>
      </c>
      <c r="Z126" s="95">
        <f>IFERROR(VLOOKUP(Y126,S6M11!$B$1:$C$161,2,0),0)</f>
        <v>0</v>
      </c>
      <c r="AA126" s="97">
        <f>IFERROR(VLOOKUP(E126,S6M1!$B$1:$C$161,2,0),0)</f>
        <v>0</v>
      </c>
      <c r="AB126" s="97">
        <f>IFERROR(VLOOKUP(G126,S6M2!$B$1:$C$161,2,0),0)</f>
        <v>0</v>
      </c>
      <c r="AC126" s="97">
        <f>IFERROR(VLOOKUP(I126,S6M3!$B$1:$C$161,2,0),0)</f>
        <v>0</v>
      </c>
      <c r="AD126" s="97">
        <f>IFERROR(VLOOKUP(K126,S6M4!$B$1:$C$161,2,0),0)</f>
        <v>0</v>
      </c>
      <c r="AE126" s="97">
        <f>IFERROR(VLOOKUP(M126,S6M5!$B$1:$C$161,2,0),0)</f>
        <v>0</v>
      </c>
      <c r="AF126" s="97">
        <f>IFERROR(VLOOKUP(O126,S6M6!$B$1:$C$161,2,0),0)</f>
        <v>0</v>
      </c>
      <c r="AG126" s="97">
        <f>IFERROR(VLOOKUP(Q126,S6M7!$B$1:$C$161,2,0),0)</f>
        <v>0</v>
      </c>
      <c r="AH126" s="97">
        <f>IFERROR(VLOOKUP(S126,S6M8!$B$1:$C$161,2,0),0)</f>
        <v>0</v>
      </c>
      <c r="AI126" s="97">
        <f>IFERROR(VLOOKUP(U126,S6M9!$B$1:$C$161,2,0),0)</f>
        <v>0</v>
      </c>
      <c r="AJ126" s="97">
        <f>IFERROR(VLOOKUP(W126,S6M10!$B$1:$C$161,2,0),0)</f>
        <v>0</v>
      </c>
      <c r="AK126" s="97">
        <f>IFERROR(VLOOKUP(Y126,S6M11!$B$1:$C$161,2,0),0)</f>
        <v>0</v>
      </c>
    </row>
    <row r="127" ht="15.75" customHeight="1">
      <c r="A127" s="92">
        <v>126.0</v>
      </c>
      <c r="B127" s="107"/>
      <c r="C127" s="93">
        <f t="shared" si="1"/>
        <v>0</v>
      </c>
      <c r="D127" s="93"/>
      <c r="E127" s="94" t="str">
        <f>IFERROR(VLOOKUP($B127,S6M1!$A$1:$B$160,2,0),"0")</f>
        <v>0</v>
      </c>
      <c r="F127" s="95">
        <f>IFERROR(VLOOKUP(E127,S6M1!$B$1:$C$161,2,0),0)</f>
        <v>0</v>
      </c>
      <c r="G127" s="94" t="str">
        <f>IFERROR(VLOOKUP($B127,S6M2!$A$1:$B$160,2,0),"0")</f>
        <v>0</v>
      </c>
      <c r="H127" s="95">
        <f>IFERROR(VLOOKUP(G127,S6M2!$B$1:$C$161,2,0),0)</f>
        <v>0</v>
      </c>
      <c r="I127" s="94">
        <f>IFERROR(VLOOKUP($B127,S6M3!$A$1:$B$161,2,0),0)</f>
        <v>0</v>
      </c>
      <c r="J127" s="95">
        <f>IFERROR(VLOOKUP(I127,S6M3!$B$1:$C$161,2,0),0)</f>
        <v>0</v>
      </c>
      <c r="K127" s="94" t="str">
        <f>IFERROR(VLOOKUP($B127,S6M4!$A$1:$B$160,2,0),"0")</f>
        <v>0</v>
      </c>
      <c r="L127" s="95">
        <f>IFERROR(VLOOKUP(K127,S6M4!$B$1:$C$161,2,0),0)</f>
        <v>0</v>
      </c>
      <c r="M127" s="94" t="str">
        <f>IFERROR(VLOOKUP($B127,S6M5!$A$1:$B$160,2,0),"0")</f>
        <v>0</v>
      </c>
      <c r="N127" s="95">
        <f>IFERROR(VLOOKUP(M127,S6M5!$B$1:$C$161,2,0),0)</f>
        <v>0</v>
      </c>
      <c r="O127" s="94" t="str">
        <f>IFERROR(VLOOKUP($B127,S6M6!$A$1:$B$160,2,0),"0")</f>
        <v>0</v>
      </c>
      <c r="P127" s="95">
        <f>IFERROR(VLOOKUP(O127,S6M6!$B$1:$C$161,2,0),0)</f>
        <v>0</v>
      </c>
      <c r="Q127" s="94" t="str">
        <f>IFERROR(VLOOKUP($B127,S6M7!$A$1:$B$160,2,0),"0")</f>
        <v>0</v>
      </c>
      <c r="R127" s="95">
        <f>IFERROR(VLOOKUP(Q127,S6M7!$B$1:$C$161,2,0),0)</f>
        <v>0</v>
      </c>
      <c r="S127" s="94" t="str">
        <f>IFERROR(VLOOKUP($B127,S6M8!$A$1:$B$160,2,0),"0")</f>
        <v>0</v>
      </c>
      <c r="T127" s="95">
        <f>IFERROR(VLOOKUP(S127,S6M8!$B$1:$C$161,2,0),0)</f>
        <v>0</v>
      </c>
      <c r="U127" s="94" t="str">
        <f>IFERROR(VLOOKUP($B127,S6M9!$A$1:$B$160,2,0),"0")</f>
        <v>0</v>
      </c>
      <c r="V127" s="95">
        <f>IFERROR(VLOOKUP(U127,S6M9!$B$1:$C$161,2,0),0)</f>
        <v>0</v>
      </c>
      <c r="W127" s="94" t="str">
        <f>IFERROR(VLOOKUP($B127,S6M10!$A$1:$B$160,2,0),"0")</f>
        <v>0</v>
      </c>
      <c r="X127" s="95">
        <f>IFERROR(VLOOKUP(W127,S6M10!$B$1:$C$161,2,0),0)</f>
        <v>0</v>
      </c>
      <c r="Y127" s="94" t="str">
        <f>IFERROR(VLOOKUP($B127,S6M11!$A$1:$B$160,2,0),"0")</f>
        <v>0</v>
      </c>
      <c r="Z127" s="95">
        <f>IFERROR(VLOOKUP(Y127,S6M11!$B$1:$C$161,2,0),0)</f>
        <v>0</v>
      </c>
      <c r="AA127" s="97">
        <f>IFERROR(VLOOKUP(E127,S6M1!$B$1:$C$161,2,0),0)</f>
        <v>0</v>
      </c>
      <c r="AB127" s="97">
        <f>IFERROR(VLOOKUP(G127,S6M2!$B$1:$C$161,2,0),0)</f>
        <v>0</v>
      </c>
      <c r="AC127" s="97">
        <f>IFERROR(VLOOKUP(I127,S6M3!$B$1:$C$161,2,0),0)</f>
        <v>0</v>
      </c>
      <c r="AD127" s="97">
        <f>IFERROR(VLOOKUP(K127,S6M4!$B$1:$C$161,2,0),0)</f>
        <v>0</v>
      </c>
      <c r="AE127" s="97">
        <f>IFERROR(VLOOKUP(M127,S6M5!$B$1:$C$161,2,0),0)</f>
        <v>0</v>
      </c>
      <c r="AF127" s="97">
        <f>IFERROR(VLOOKUP(O127,S6M6!$B$1:$C$161,2,0),0)</f>
        <v>0</v>
      </c>
      <c r="AG127" s="97">
        <f>IFERROR(VLOOKUP(Q127,S6M7!$B$1:$C$161,2,0),0)</f>
        <v>0</v>
      </c>
      <c r="AH127" s="97">
        <f>IFERROR(VLOOKUP(S127,S6M8!$B$1:$C$161,2,0),0)</f>
        <v>0</v>
      </c>
      <c r="AI127" s="97">
        <f>IFERROR(VLOOKUP(U127,S6M9!$B$1:$C$161,2,0),0)</f>
        <v>0</v>
      </c>
      <c r="AJ127" s="97">
        <f>IFERROR(VLOOKUP(W127,S6M10!$B$1:$C$161,2,0),0)</f>
        <v>0</v>
      </c>
      <c r="AK127" s="97">
        <f>IFERROR(VLOOKUP(Y127,S6M11!$B$1:$C$161,2,0),0)</f>
        <v>0</v>
      </c>
    </row>
    <row r="128" ht="15.75" customHeight="1">
      <c r="A128" s="92">
        <v>127.0</v>
      </c>
      <c r="B128" s="103"/>
      <c r="C128" s="93">
        <f t="shared" si="1"/>
        <v>0</v>
      </c>
      <c r="D128" s="93"/>
      <c r="E128" s="94" t="str">
        <f>IFERROR(VLOOKUP($B128,S6M1!$A$1:$B$160,2,0),"0")</f>
        <v>0</v>
      </c>
      <c r="F128" s="95">
        <f>IFERROR(VLOOKUP(E128,S6M1!$B$1:$C$161,2,0),0)</f>
        <v>0</v>
      </c>
      <c r="G128" s="94" t="str">
        <f>IFERROR(VLOOKUP($B128,S6M2!$A$1:$B$160,2,0),"0")</f>
        <v>0</v>
      </c>
      <c r="H128" s="95">
        <f>IFERROR(VLOOKUP(G128,S6M2!$B$1:$C$161,2,0),0)</f>
        <v>0</v>
      </c>
      <c r="I128" s="94">
        <f>IFERROR(VLOOKUP($B128,S6M3!$A$1:$B$161,2,0),0)</f>
        <v>0</v>
      </c>
      <c r="J128" s="95">
        <f>IFERROR(VLOOKUP(I128,S6M3!$B$1:$C$161,2,0),0)</f>
        <v>0</v>
      </c>
      <c r="K128" s="94" t="str">
        <f>IFERROR(VLOOKUP($B128,S6M4!$A$1:$B$160,2,0),"0")</f>
        <v>0</v>
      </c>
      <c r="L128" s="95">
        <f>IFERROR(VLOOKUP(K128,S6M4!$B$1:$C$161,2,0),0)</f>
        <v>0</v>
      </c>
      <c r="M128" s="94" t="str">
        <f>IFERROR(VLOOKUP($B128,S6M5!$A$1:$B$160,2,0),"0")</f>
        <v>0</v>
      </c>
      <c r="N128" s="95">
        <f>IFERROR(VLOOKUP(M128,S6M5!$B$1:$C$161,2,0),0)</f>
        <v>0</v>
      </c>
      <c r="O128" s="94" t="str">
        <f>IFERROR(VLOOKUP($B128,S6M6!$A$1:$B$160,2,0),"0")</f>
        <v>0</v>
      </c>
      <c r="P128" s="95">
        <f>IFERROR(VLOOKUP(O128,S6M6!$B$1:$C$161,2,0),0)</f>
        <v>0</v>
      </c>
      <c r="Q128" s="94" t="str">
        <f>IFERROR(VLOOKUP($B128,S6M7!$A$1:$B$160,2,0),"0")</f>
        <v>0</v>
      </c>
      <c r="R128" s="95">
        <f>IFERROR(VLOOKUP(Q128,S6M7!$B$1:$C$161,2,0),0)</f>
        <v>0</v>
      </c>
      <c r="S128" s="94" t="str">
        <f>IFERROR(VLOOKUP($B128,S6M8!$A$1:$B$160,2,0),"0")</f>
        <v>0</v>
      </c>
      <c r="T128" s="95">
        <f>IFERROR(VLOOKUP(S128,S6M8!$B$1:$C$161,2,0),0)</f>
        <v>0</v>
      </c>
      <c r="U128" s="94" t="str">
        <f>IFERROR(VLOOKUP($B128,S6M9!$A$1:$B$160,2,0),"0")</f>
        <v>0</v>
      </c>
      <c r="V128" s="95">
        <f>IFERROR(VLOOKUP(U128,S6M9!$B$1:$C$161,2,0),0)</f>
        <v>0</v>
      </c>
      <c r="W128" s="94" t="str">
        <f>IFERROR(VLOOKUP($B128,S6M10!$A$1:$B$160,2,0),"0")</f>
        <v>0</v>
      </c>
      <c r="X128" s="95">
        <f>IFERROR(VLOOKUP(W128,S6M10!$B$1:$C$161,2,0),0)</f>
        <v>0</v>
      </c>
      <c r="Y128" s="94" t="str">
        <f>IFERROR(VLOOKUP($B128,S6M11!$A$1:$B$160,2,0),"0")</f>
        <v>0</v>
      </c>
      <c r="Z128" s="95">
        <f>IFERROR(VLOOKUP(Y128,S6M11!$B$1:$C$161,2,0),0)</f>
        <v>0</v>
      </c>
      <c r="AA128" s="97">
        <f>IFERROR(VLOOKUP(E128,S6M1!$B$1:$C$161,2,0),0)</f>
        <v>0</v>
      </c>
      <c r="AB128" s="97">
        <f>IFERROR(VLOOKUP(G128,S6M2!$B$1:$C$161,2,0),0)</f>
        <v>0</v>
      </c>
      <c r="AC128" s="97">
        <f>IFERROR(VLOOKUP(I128,S6M3!$B$1:$C$161,2,0),0)</f>
        <v>0</v>
      </c>
      <c r="AD128" s="97">
        <f>IFERROR(VLOOKUP(K128,S6M4!$B$1:$C$161,2,0),0)</f>
        <v>0</v>
      </c>
      <c r="AE128" s="97">
        <f>IFERROR(VLOOKUP(M128,S6M5!$B$1:$C$161,2,0),0)</f>
        <v>0</v>
      </c>
      <c r="AF128" s="97">
        <f>IFERROR(VLOOKUP(O128,S6M6!$B$1:$C$161,2,0),0)</f>
        <v>0</v>
      </c>
      <c r="AG128" s="97">
        <f>IFERROR(VLOOKUP(Q128,S6M7!$B$1:$C$161,2,0),0)</f>
        <v>0</v>
      </c>
      <c r="AH128" s="97">
        <f>IFERROR(VLOOKUP(S128,S6M8!$B$1:$C$161,2,0),0)</f>
        <v>0</v>
      </c>
      <c r="AI128" s="97">
        <f>IFERROR(VLOOKUP(U128,S6M9!$B$1:$C$161,2,0),0)</f>
        <v>0</v>
      </c>
      <c r="AJ128" s="97">
        <f>IFERROR(VLOOKUP(W128,S6M10!$B$1:$C$161,2,0),0)</f>
        <v>0</v>
      </c>
      <c r="AK128" s="97">
        <f>IFERROR(VLOOKUP(Y128,S6M11!$B$1:$C$161,2,0),0)</f>
        <v>0</v>
      </c>
    </row>
    <row r="129" ht="15.75" customHeight="1">
      <c r="A129" s="92">
        <v>128.0</v>
      </c>
      <c r="B129" s="103"/>
      <c r="C129" s="93">
        <f t="shared" si="1"/>
        <v>0</v>
      </c>
      <c r="D129" s="93"/>
      <c r="E129" s="94" t="str">
        <f>IFERROR(VLOOKUP($B129,S6M1!$A$1:$B$160,2,0),"0")</f>
        <v>0</v>
      </c>
      <c r="F129" s="95">
        <f>IFERROR(VLOOKUP(E129,S6M1!$B$1:$C$161,2,0),0)</f>
        <v>0</v>
      </c>
      <c r="G129" s="94" t="str">
        <f>IFERROR(VLOOKUP($B129,S6M2!$A$1:$B$160,2,0),"0")</f>
        <v>0</v>
      </c>
      <c r="H129" s="95">
        <f>IFERROR(VLOOKUP(G129,S6M2!$B$1:$C$161,2,0),0)</f>
        <v>0</v>
      </c>
      <c r="I129" s="94">
        <f>IFERROR(VLOOKUP($B129,S6M3!$A$1:$B$161,2,0),0)</f>
        <v>0</v>
      </c>
      <c r="J129" s="95">
        <f>IFERROR(VLOOKUP(I129,S6M3!$B$1:$C$161,2,0),0)</f>
        <v>0</v>
      </c>
      <c r="K129" s="94" t="str">
        <f>IFERROR(VLOOKUP($B129,S6M4!$A$1:$B$160,2,0),"0")</f>
        <v>0</v>
      </c>
      <c r="L129" s="95">
        <f>IFERROR(VLOOKUP(K129,S6M4!$B$1:$C$161,2,0),0)</f>
        <v>0</v>
      </c>
      <c r="M129" s="94" t="str">
        <f>IFERROR(VLOOKUP($B129,S6M5!$A$1:$B$160,2,0),"0")</f>
        <v>0</v>
      </c>
      <c r="N129" s="95">
        <f>IFERROR(VLOOKUP(M129,S6M5!$B$1:$C$161,2,0),0)</f>
        <v>0</v>
      </c>
      <c r="O129" s="94" t="str">
        <f>IFERROR(VLOOKUP($B129,S6M6!$A$1:$B$160,2,0),"0")</f>
        <v>0</v>
      </c>
      <c r="P129" s="95">
        <f>IFERROR(VLOOKUP(O129,S6M6!$B$1:$C$161,2,0),0)</f>
        <v>0</v>
      </c>
      <c r="Q129" s="94" t="str">
        <f>IFERROR(VLOOKUP($B129,S6M7!$A$1:$B$160,2,0),"0")</f>
        <v>0</v>
      </c>
      <c r="R129" s="95">
        <f>IFERROR(VLOOKUP(Q129,S6M7!$B$1:$C$161,2,0),0)</f>
        <v>0</v>
      </c>
      <c r="S129" s="94" t="str">
        <f>IFERROR(VLOOKUP($B129,S6M8!$A$1:$B$160,2,0),"0")</f>
        <v>0</v>
      </c>
      <c r="T129" s="95">
        <f>IFERROR(VLOOKUP(S129,S6M8!$B$1:$C$161,2,0),0)</f>
        <v>0</v>
      </c>
      <c r="U129" s="94" t="str">
        <f>IFERROR(VLOOKUP($B129,S6M9!$A$1:$B$160,2,0),"0")</f>
        <v>0</v>
      </c>
      <c r="V129" s="95">
        <f>IFERROR(VLOOKUP(U129,S6M9!$B$1:$C$161,2,0),0)</f>
        <v>0</v>
      </c>
      <c r="W129" s="94" t="str">
        <f>IFERROR(VLOOKUP($B129,S6M10!$A$1:$B$160,2,0),"0")</f>
        <v>0</v>
      </c>
      <c r="X129" s="95">
        <f>IFERROR(VLOOKUP(W129,S6M10!$B$1:$C$161,2,0),0)</f>
        <v>0</v>
      </c>
      <c r="Y129" s="94" t="str">
        <f>IFERROR(VLOOKUP($B129,S6M11!$A$1:$B$160,2,0),"0")</f>
        <v>0</v>
      </c>
      <c r="Z129" s="95">
        <f>IFERROR(VLOOKUP(Y129,S6M11!$B$1:$C$161,2,0),0)</f>
        <v>0</v>
      </c>
      <c r="AA129" s="97">
        <f>IFERROR(VLOOKUP(E129,S6M1!$B$1:$C$161,2,0),0)</f>
        <v>0</v>
      </c>
      <c r="AB129" s="97">
        <f>IFERROR(VLOOKUP(G129,S6M2!$B$1:$C$161,2,0),0)</f>
        <v>0</v>
      </c>
      <c r="AC129" s="97">
        <f>IFERROR(VLOOKUP(I129,S6M3!$B$1:$C$161,2,0),0)</f>
        <v>0</v>
      </c>
      <c r="AD129" s="97">
        <f>IFERROR(VLOOKUP(K129,S6M4!$B$1:$C$161,2,0),0)</f>
        <v>0</v>
      </c>
      <c r="AE129" s="97">
        <f>IFERROR(VLOOKUP(M129,S6M5!$B$1:$C$161,2,0),0)</f>
        <v>0</v>
      </c>
      <c r="AF129" s="97">
        <f>IFERROR(VLOOKUP(O129,S6M6!$B$1:$C$161,2,0),0)</f>
        <v>0</v>
      </c>
      <c r="AG129" s="97">
        <f>IFERROR(VLOOKUP(Q129,S6M7!$B$1:$C$161,2,0),0)</f>
        <v>0</v>
      </c>
      <c r="AH129" s="97">
        <f>IFERROR(VLOOKUP(S129,S6M8!$B$1:$C$161,2,0),0)</f>
        <v>0</v>
      </c>
      <c r="AI129" s="97">
        <f>IFERROR(VLOOKUP(U129,S6M9!$B$1:$C$161,2,0),0)</f>
        <v>0</v>
      </c>
      <c r="AJ129" s="97">
        <f>IFERROR(VLOOKUP(W129,S6M10!$B$1:$C$161,2,0),0)</f>
        <v>0</v>
      </c>
      <c r="AK129" s="97">
        <f>IFERROR(VLOOKUP(Y129,S6M11!$B$1:$C$161,2,0),0)</f>
        <v>0</v>
      </c>
    </row>
    <row r="130" ht="15.75" customHeight="1">
      <c r="A130" s="92">
        <v>129.0</v>
      </c>
      <c r="B130" s="103"/>
      <c r="C130" s="93">
        <f t="shared" si="1"/>
        <v>0</v>
      </c>
      <c r="D130" s="93"/>
      <c r="E130" s="94" t="str">
        <f>IFERROR(VLOOKUP($B130,S6M1!$A$1:$B$160,2,0),"0")</f>
        <v>0</v>
      </c>
      <c r="F130" s="95">
        <f>IFERROR(VLOOKUP(E130,S6M1!$B$1:$C$161,2,0),0)</f>
        <v>0</v>
      </c>
      <c r="G130" s="94" t="str">
        <f>IFERROR(VLOOKUP($B130,S6M2!$A$1:$B$160,2,0),"0")</f>
        <v>0</v>
      </c>
      <c r="H130" s="95">
        <f>IFERROR(VLOOKUP(G130,S6M2!$B$1:$C$161,2,0),0)</f>
        <v>0</v>
      </c>
      <c r="I130" s="94">
        <f>IFERROR(VLOOKUP($B130,S6M3!$A$1:$B$161,2,0),0)</f>
        <v>0</v>
      </c>
      <c r="J130" s="95">
        <f>IFERROR(VLOOKUP(I130,S6M3!$B$1:$C$161,2,0),0)</f>
        <v>0</v>
      </c>
      <c r="K130" s="94" t="str">
        <f>IFERROR(VLOOKUP($B130,S6M4!$A$1:$B$160,2,0),"0")</f>
        <v>0</v>
      </c>
      <c r="L130" s="95">
        <f>IFERROR(VLOOKUP(K130,S6M4!$B$1:$C$161,2,0),0)</f>
        <v>0</v>
      </c>
      <c r="M130" s="94" t="str">
        <f>IFERROR(VLOOKUP($B130,S6M5!$A$1:$B$160,2,0),"0")</f>
        <v>0</v>
      </c>
      <c r="N130" s="95">
        <f>IFERROR(VLOOKUP(M130,S6M5!$B$1:$C$161,2,0),0)</f>
        <v>0</v>
      </c>
      <c r="O130" s="94" t="str">
        <f>IFERROR(VLOOKUP($B130,S6M6!$A$1:$B$160,2,0),"0")</f>
        <v>0</v>
      </c>
      <c r="P130" s="95">
        <f>IFERROR(VLOOKUP(O130,S6M6!$B$1:$C$161,2,0),0)</f>
        <v>0</v>
      </c>
      <c r="Q130" s="94" t="str">
        <f>IFERROR(VLOOKUP($B130,S6M7!$A$1:$B$160,2,0),"0")</f>
        <v>0</v>
      </c>
      <c r="R130" s="95">
        <f>IFERROR(VLOOKUP(Q130,S6M7!$B$1:$C$161,2,0),0)</f>
        <v>0</v>
      </c>
      <c r="S130" s="94" t="str">
        <f>IFERROR(VLOOKUP($B130,S6M8!$A$1:$B$160,2,0),"0")</f>
        <v>0</v>
      </c>
      <c r="T130" s="95">
        <f>IFERROR(VLOOKUP(S130,S6M8!$B$1:$C$161,2,0),0)</f>
        <v>0</v>
      </c>
      <c r="U130" s="94" t="str">
        <f>IFERROR(VLOOKUP($B130,S6M9!$A$1:$B$160,2,0),"0")</f>
        <v>0</v>
      </c>
      <c r="V130" s="95">
        <f>IFERROR(VLOOKUP(U130,S6M9!$B$1:$C$161,2,0),0)</f>
        <v>0</v>
      </c>
      <c r="W130" s="94" t="str">
        <f>IFERROR(VLOOKUP($B130,S6M10!$A$1:$B$160,2,0),"0")</f>
        <v>0</v>
      </c>
      <c r="X130" s="95">
        <f>IFERROR(VLOOKUP(W130,S6M10!$B$1:$C$161,2,0),0)</f>
        <v>0</v>
      </c>
      <c r="Y130" s="94" t="str">
        <f>IFERROR(VLOOKUP($B130,S6M11!$A$1:$B$160,2,0),"0")</f>
        <v>0</v>
      </c>
      <c r="Z130" s="95">
        <f>IFERROR(VLOOKUP(Y130,S6M11!$B$1:$C$161,2,0),0)</f>
        <v>0</v>
      </c>
      <c r="AA130" s="97">
        <f>IFERROR(VLOOKUP(E130,S6M1!$B$1:$C$161,2,0),0)</f>
        <v>0</v>
      </c>
      <c r="AB130" s="97">
        <f>IFERROR(VLOOKUP(G130,S6M2!$B$1:$C$161,2,0),0)</f>
        <v>0</v>
      </c>
      <c r="AC130" s="97">
        <f>IFERROR(VLOOKUP(I130,S6M3!$B$1:$C$161,2,0),0)</f>
        <v>0</v>
      </c>
      <c r="AD130" s="97">
        <f>IFERROR(VLOOKUP(K130,S6M4!$B$1:$C$161,2,0),0)</f>
        <v>0</v>
      </c>
      <c r="AE130" s="97">
        <f>IFERROR(VLOOKUP(M130,S6M5!$B$1:$C$161,2,0),0)</f>
        <v>0</v>
      </c>
      <c r="AF130" s="97">
        <f>IFERROR(VLOOKUP(O130,S6M6!$B$1:$C$161,2,0),0)</f>
        <v>0</v>
      </c>
      <c r="AG130" s="97">
        <f>IFERROR(VLOOKUP(Q130,S6M7!$B$1:$C$161,2,0),0)</f>
        <v>0</v>
      </c>
      <c r="AH130" s="97">
        <f>IFERROR(VLOOKUP(S130,S6M8!$B$1:$C$161,2,0),0)</f>
        <v>0</v>
      </c>
      <c r="AI130" s="97">
        <f>IFERROR(VLOOKUP(U130,S6M9!$B$1:$C$161,2,0),0)</f>
        <v>0</v>
      </c>
      <c r="AJ130" s="97">
        <f>IFERROR(VLOOKUP(W130,S6M10!$B$1:$C$161,2,0),0)</f>
        <v>0</v>
      </c>
      <c r="AK130" s="97">
        <f>IFERROR(VLOOKUP(Y130,S6M11!$B$1:$C$161,2,0),0)</f>
        <v>0</v>
      </c>
    </row>
    <row r="131" ht="15.75" customHeight="1">
      <c r="A131" s="92">
        <v>130.0</v>
      </c>
      <c r="B131" s="103"/>
      <c r="C131" s="93">
        <f t="shared" si="1"/>
        <v>0</v>
      </c>
      <c r="D131" s="93"/>
      <c r="E131" s="94" t="str">
        <f>IFERROR(VLOOKUP($B131,S6M1!$A$1:$B$160,2,0),"0")</f>
        <v>0</v>
      </c>
      <c r="F131" s="95">
        <f>IFERROR(VLOOKUP(E131,S6M1!$B$1:$C$161,2,0),0)</f>
        <v>0</v>
      </c>
      <c r="G131" s="94" t="str">
        <f>IFERROR(VLOOKUP($B131,S6M2!$A$1:$B$160,2,0),"0")</f>
        <v>0</v>
      </c>
      <c r="H131" s="95">
        <f>IFERROR(VLOOKUP(G131,S6M2!$B$1:$C$161,2,0),0)</f>
        <v>0</v>
      </c>
      <c r="I131" s="94">
        <f>IFERROR(VLOOKUP($B131,S6M3!$A$1:$B$161,2,0),0)</f>
        <v>0</v>
      </c>
      <c r="J131" s="95">
        <f>IFERROR(VLOOKUP(I131,S6M3!$B$1:$C$161,2,0),0)</f>
        <v>0</v>
      </c>
      <c r="K131" s="94" t="str">
        <f>IFERROR(VLOOKUP($B131,S6M4!$A$1:$B$160,2,0),"0")</f>
        <v>0</v>
      </c>
      <c r="L131" s="95">
        <f>IFERROR(VLOOKUP(K131,S6M4!$B$1:$C$161,2,0),0)</f>
        <v>0</v>
      </c>
      <c r="M131" s="94" t="str">
        <f>IFERROR(VLOOKUP($B131,S6M5!$A$1:$B$160,2,0),"0")</f>
        <v>0</v>
      </c>
      <c r="N131" s="95">
        <f>IFERROR(VLOOKUP(M131,S6M5!$B$1:$C$161,2,0),0)</f>
        <v>0</v>
      </c>
      <c r="O131" s="94" t="str">
        <f>IFERROR(VLOOKUP($B131,S6M6!$A$1:$B$160,2,0),"0")</f>
        <v>0</v>
      </c>
      <c r="P131" s="95">
        <f>IFERROR(VLOOKUP(O131,S6M6!$B$1:$C$161,2,0),0)</f>
        <v>0</v>
      </c>
      <c r="Q131" s="94" t="str">
        <f>IFERROR(VLOOKUP($B131,S6M7!$A$1:$B$160,2,0),"0")</f>
        <v>0</v>
      </c>
      <c r="R131" s="95">
        <f>IFERROR(VLOOKUP(Q131,S6M7!$B$1:$C$161,2,0),0)</f>
        <v>0</v>
      </c>
      <c r="S131" s="94" t="str">
        <f>IFERROR(VLOOKUP($B131,S6M8!$A$1:$B$160,2,0),"0")</f>
        <v>0</v>
      </c>
      <c r="T131" s="95">
        <f>IFERROR(VLOOKUP(S131,S6M8!$B$1:$C$161,2,0),0)</f>
        <v>0</v>
      </c>
      <c r="U131" s="94" t="str">
        <f>IFERROR(VLOOKUP($B131,S6M9!$A$1:$B$160,2,0),"0")</f>
        <v>0</v>
      </c>
      <c r="V131" s="95">
        <f>IFERROR(VLOOKUP(U131,S6M9!$B$1:$C$161,2,0),0)</f>
        <v>0</v>
      </c>
      <c r="W131" s="94" t="str">
        <f>IFERROR(VLOOKUP($B131,S6M10!$A$1:$B$160,2,0),"0")</f>
        <v>0</v>
      </c>
      <c r="X131" s="95">
        <f>IFERROR(VLOOKUP(W131,S6M10!$B$1:$C$161,2,0),0)</f>
        <v>0</v>
      </c>
      <c r="Y131" s="94" t="str">
        <f>IFERROR(VLOOKUP($B131,S6M11!$A$1:$B$160,2,0),"0")</f>
        <v>0</v>
      </c>
      <c r="Z131" s="95">
        <f>IFERROR(VLOOKUP(Y131,S6M11!$B$1:$C$161,2,0),0)</f>
        <v>0</v>
      </c>
      <c r="AA131" s="97">
        <f>IFERROR(VLOOKUP(E131,S6M1!$B$1:$C$161,2,0),0)</f>
        <v>0</v>
      </c>
      <c r="AB131" s="97">
        <f>IFERROR(VLOOKUP(G131,S6M2!$B$1:$C$161,2,0),0)</f>
        <v>0</v>
      </c>
      <c r="AC131" s="97">
        <f>IFERROR(VLOOKUP(I131,S6M3!$B$1:$C$161,2,0),0)</f>
        <v>0</v>
      </c>
      <c r="AD131" s="97">
        <f>IFERROR(VLOOKUP(K131,S6M4!$B$1:$C$161,2,0),0)</f>
        <v>0</v>
      </c>
      <c r="AE131" s="97">
        <f>IFERROR(VLOOKUP(M131,S6M5!$B$1:$C$161,2,0),0)</f>
        <v>0</v>
      </c>
      <c r="AF131" s="97">
        <f>IFERROR(VLOOKUP(O131,S6M6!$B$1:$C$161,2,0),0)</f>
        <v>0</v>
      </c>
      <c r="AG131" s="97">
        <f>IFERROR(VLOOKUP(Q131,S6M7!$B$1:$C$161,2,0),0)</f>
        <v>0</v>
      </c>
      <c r="AH131" s="97">
        <f>IFERROR(VLOOKUP(S131,S6M8!$B$1:$C$161,2,0),0)</f>
        <v>0</v>
      </c>
      <c r="AI131" s="97">
        <f>IFERROR(VLOOKUP(U131,S6M9!$B$1:$C$161,2,0),0)</f>
        <v>0</v>
      </c>
      <c r="AJ131" s="97">
        <f>IFERROR(VLOOKUP(W131,S6M10!$B$1:$C$161,2,0),0)</f>
        <v>0</v>
      </c>
      <c r="AK131" s="97">
        <f>IFERROR(VLOOKUP(Y131,S6M11!$B$1:$C$161,2,0),0)</f>
        <v>0</v>
      </c>
    </row>
    <row r="132" ht="15.75" customHeight="1">
      <c r="A132" s="92">
        <v>131.0</v>
      </c>
      <c r="B132" s="103"/>
      <c r="C132" s="93">
        <f t="shared" si="1"/>
        <v>0</v>
      </c>
      <c r="D132" s="93"/>
      <c r="E132" s="94" t="str">
        <f>IFERROR(VLOOKUP($B132,S6M1!$A$1:$B$160,2,0),"0")</f>
        <v>0</v>
      </c>
      <c r="F132" s="95">
        <f>IFERROR(VLOOKUP(E132,S6M1!$B$1:$C$161,2,0),0)</f>
        <v>0</v>
      </c>
      <c r="G132" s="94" t="str">
        <f>IFERROR(VLOOKUP($B132,S6M2!$A$1:$B$160,2,0),"0")</f>
        <v>0</v>
      </c>
      <c r="H132" s="95">
        <f>IFERROR(VLOOKUP(G132,S6M2!$B$1:$C$161,2,0),0)</f>
        <v>0</v>
      </c>
      <c r="I132" s="94">
        <f>IFERROR(VLOOKUP($B132,S6M3!$A$1:$B$161,2,0),0)</f>
        <v>0</v>
      </c>
      <c r="J132" s="95">
        <f>IFERROR(VLOOKUP(I132,S6M3!$B$1:$C$161,2,0),0)</f>
        <v>0</v>
      </c>
      <c r="K132" s="94" t="str">
        <f>IFERROR(VLOOKUP($B132,S6M4!$A$1:$B$160,2,0),"0")</f>
        <v>0</v>
      </c>
      <c r="L132" s="95">
        <f>IFERROR(VLOOKUP(K132,S6M4!$B$1:$C$161,2,0),0)</f>
        <v>0</v>
      </c>
      <c r="M132" s="94" t="str">
        <f>IFERROR(VLOOKUP($B132,S6M5!$A$1:$B$160,2,0),"0")</f>
        <v>0</v>
      </c>
      <c r="N132" s="95">
        <f>IFERROR(VLOOKUP(M132,S6M5!$B$1:$C$161,2,0),0)</f>
        <v>0</v>
      </c>
      <c r="O132" s="94" t="str">
        <f>IFERROR(VLOOKUP($B132,S6M6!$A$1:$B$160,2,0),"0")</f>
        <v>0</v>
      </c>
      <c r="P132" s="95">
        <f>IFERROR(VLOOKUP(O132,S6M6!$B$1:$C$161,2,0),0)</f>
        <v>0</v>
      </c>
      <c r="Q132" s="94" t="str">
        <f>IFERROR(VLOOKUP($B132,S6M7!$A$1:$B$160,2,0),"0")</f>
        <v>0</v>
      </c>
      <c r="R132" s="95">
        <f>IFERROR(VLOOKUP(Q132,S6M7!$B$1:$C$161,2,0),0)</f>
        <v>0</v>
      </c>
      <c r="S132" s="94" t="str">
        <f>IFERROR(VLOOKUP($B132,S6M8!$A$1:$B$160,2,0),"0")</f>
        <v>0</v>
      </c>
      <c r="T132" s="95">
        <f>IFERROR(VLOOKUP(S132,S6M8!$B$1:$C$161,2,0),0)</f>
        <v>0</v>
      </c>
      <c r="U132" s="94" t="str">
        <f>IFERROR(VLOOKUP($B132,S6M9!$A$1:$B$160,2,0),"0")</f>
        <v>0</v>
      </c>
      <c r="V132" s="95">
        <f>IFERROR(VLOOKUP(U132,S6M9!$B$1:$C$161,2,0),0)</f>
        <v>0</v>
      </c>
      <c r="W132" s="94" t="str">
        <f>IFERROR(VLOOKUP($B132,S6M10!$A$1:$B$160,2,0),"0")</f>
        <v>0</v>
      </c>
      <c r="X132" s="95">
        <f>IFERROR(VLOOKUP(W132,S6M10!$B$1:$C$161,2,0),0)</f>
        <v>0</v>
      </c>
      <c r="Y132" s="94" t="str">
        <f>IFERROR(VLOOKUP($B132,S6M11!$A$1:$B$160,2,0),"0")</f>
        <v>0</v>
      </c>
      <c r="Z132" s="95">
        <f>IFERROR(VLOOKUP(Y132,S6M11!$B$1:$C$161,2,0),0)</f>
        <v>0</v>
      </c>
      <c r="AA132" s="97">
        <f>IFERROR(VLOOKUP(E132,S6M1!$B$1:$C$161,2,0),0)</f>
        <v>0</v>
      </c>
      <c r="AB132" s="97">
        <f>IFERROR(VLOOKUP(G132,S6M2!$B$1:$C$161,2,0),0)</f>
        <v>0</v>
      </c>
      <c r="AC132" s="97">
        <f>IFERROR(VLOOKUP(I132,S6M3!$B$1:$C$161,2,0),0)</f>
        <v>0</v>
      </c>
      <c r="AD132" s="97">
        <f>IFERROR(VLOOKUP(K132,S6M4!$B$1:$C$161,2,0),0)</f>
        <v>0</v>
      </c>
      <c r="AE132" s="97">
        <f>IFERROR(VLOOKUP(M132,S6M5!$B$1:$C$161,2,0),0)</f>
        <v>0</v>
      </c>
      <c r="AF132" s="97">
        <f>IFERROR(VLOOKUP(O132,S6M6!$B$1:$C$161,2,0),0)</f>
        <v>0</v>
      </c>
      <c r="AG132" s="97">
        <f>IFERROR(VLOOKUP(Q132,S6M7!$B$1:$C$161,2,0),0)</f>
        <v>0</v>
      </c>
      <c r="AH132" s="97">
        <f>IFERROR(VLOOKUP(S132,S6M8!$B$1:$C$161,2,0),0)</f>
        <v>0</v>
      </c>
      <c r="AI132" s="97">
        <f>IFERROR(VLOOKUP(U132,S6M9!$B$1:$C$161,2,0),0)</f>
        <v>0</v>
      </c>
      <c r="AJ132" s="97">
        <f>IFERROR(VLOOKUP(W132,S6M10!$B$1:$C$161,2,0),0)</f>
        <v>0</v>
      </c>
      <c r="AK132" s="97">
        <f>IFERROR(VLOOKUP(Y132,S6M11!$B$1:$C$161,2,0),0)</f>
        <v>0</v>
      </c>
    </row>
    <row r="133" ht="15.75" customHeight="1">
      <c r="A133" s="92">
        <v>132.0</v>
      </c>
      <c r="B133" s="103"/>
      <c r="C133" s="93">
        <f t="shared" ref="C133:C251" si="2">F133+H133+J133+L133+N133+P133+R133+T133+V133+X133+Z133-small((AA133:AK133),1)</f>
        <v>0</v>
      </c>
      <c r="D133" s="93"/>
      <c r="E133" s="94" t="str">
        <f>IFERROR(VLOOKUP($B133,S6M1!$A$1:$B$160,2,0),"0")</f>
        <v>0</v>
      </c>
      <c r="F133" s="95">
        <f>IFERROR(VLOOKUP(E133,S6M1!$B$1:$C$161,2,0),0)</f>
        <v>0</v>
      </c>
      <c r="G133" s="94" t="str">
        <f>IFERROR(VLOOKUP($B133,S6M2!$A$1:$B$160,2,0),"0")</f>
        <v>0</v>
      </c>
      <c r="H133" s="95">
        <f>IFERROR(VLOOKUP(G133,S6M2!$B$1:$C$161,2,0),0)</f>
        <v>0</v>
      </c>
      <c r="I133" s="94">
        <f>IFERROR(VLOOKUP($B133,S6M3!$A$1:$B$161,2,0),0)</f>
        <v>0</v>
      </c>
      <c r="J133" s="95">
        <f>IFERROR(VLOOKUP(I133,S6M3!$B$1:$C$161,2,0),0)</f>
        <v>0</v>
      </c>
      <c r="K133" s="94" t="str">
        <f>IFERROR(VLOOKUP($B133,S6M4!$A$1:$B$160,2,0),"0")</f>
        <v>0</v>
      </c>
      <c r="L133" s="95">
        <f>IFERROR(VLOOKUP(K133,S6M4!$B$1:$C$161,2,0),0)</f>
        <v>0</v>
      </c>
      <c r="M133" s="94" t="str">
        <f>IFERROR(VLOOKUP($B133,S6M5!$A$1:$B$160,2,0),"0")</f>
        <v>0</v>
      </c>
      <c r="N133" s="95">
        <f>IFERROR(VLOOKUP(M133,S6M5!$B$1:$C$161,2,0),0)</f>
        <v>0</v>
      </c>
      <c r="O133" s="94" t="str">
        <f>IFERROR(VLOOKUP($B133,S6M6!$A$1:$B$160,2,0),"0")</f>
        <v>0</v>
      </c>
      <c r="P133" s="95">
        <f>IFERROR(VLOOKUP(O133,S6M6!$B$1:$C$161,2,0),0)</f>
        <v>0</v>
      </c>
      <c r="Q133" s="94" t="str">
        <f>IFERROR(VLOOKUP($B133,S6M7!$A$1:$B$160,2,0),"0")</f>
        <v>0</v>
      </c>
      <c r="R133" s="95">
        <f>IFERROR(VLOOKUP(Q133,S6M7!$B$1:$C$161,2,0),0)</f>
        <v>0</v>
      </c>
      <c r="S133" s="94" t="str">
        <f>IFERROR(VLOOKUP($B133,S6M8!$A$1:$B$160,2,0),"0")</f>
        <v>0</v>
      </c>
      <c r="T133" s="95">
        <f>IFERROR(VLOOKUP(S133,S6M8!$B$1:$C$161,2,0),0)</f>
        <v>0</v>
      </c>
      <c r="U133" s="94" t="str">
        <f>IFERROR(VLOOKUP($B133,S6M9!$A$1:$B$160,2,0),"0")</f>
        <v>0</v>
      </c>
      <c r="V133" s="95">
        <f>IFERROR(VLOOKUP(U133,S6M9!$B$1:$C$161,2,0),0)</f>
        <v>0</v>
      </c>
      <c r="W133" s="94" t="str">
        <f>IFERROR(VLOOKUP($B133,S6M10!$A$1:$B$160,2,0),"0")</f>
        <v>0</v>
      </c>
      <c r="X133" s="95">
        <f>IFERROR(VLOOKUP(W133,S6M10!$B$1:$C$161,2,0),0)</f>
        <v>0</v>
      </c>
      <c r="Y133" s="94" t="str">
        <f>IFERROR(VLOOKUP($B133,S6M11!$A$1:$B$160,2,0),"0")</f>
        <v>0</v>
      </c>
      <c r="Z133" s="95">
        <f>IFERROR(VLOOKUP(Y133,S6M11!$B$1:$C$161,2,0),0)</f>
        <v>0</v>
      </c>
      <c r="AA133" s="97">
        <f>IFERROR(VLOOKUP(E133,S6M1!$B$1:$C$161,2,0),0)</f>
        <v>0</v>
      </c>
      <c r="AB133" s="97">
        <f>IFERROR(VLOOKUP(G133,S6M2!$B$1:$C$161,2,0),0)</f>
        <v>0</v>
      </c>
      <c r="AC133" s="97">
        <f>IFERROR(VLOOKUP(I133,S6M3!$B$1:$C$161,2,0),0)</f>
        <v>0</v>
      </c>
      <c r="AD133" s="97">
        <f>IFERROR(VLOOKUP(K133,S6M4!$B$1:$C$161,2,0),0)</f>
        <v>0</v>
      </c>
      <c r="AE133" s="97">
        <f>IFERROR(VLOOKUP(M133,S6M5!$B$1:$C$161,2,0),0)</f>
        <v>0</v>
      </c>
      <c r="AF133" s="97">
        <f>IFERROR(VLOOKUP(O133,S6M6!$B$1:$C$161,2,0),0)</f>
        <v>0</v>
      </c>
      <c r="AG133" s="97">
        <f>IFERROR(VLOOKUP(Q133,S6M7!$B$1:$C$161,2,0),0)</f>
        <v>0</v>
      </c>
      <c r="AH133" s="97">
        <f>IFERROR(VLOOKUP(S133,S6M8!$B$1:$C$161,2,0),0)</f>
        <v>0</v>
      </c>
      <c r="AI133" s="97">
        <f>IFERROR(VLOOKUP(U133,S6M9!$B$1:$C$161,2,0),0)</f>
        <v>0</v>
      </c>
      <c r="AJ133" s="97">
        <f>IFERROR(VLOOKUP(W133,S6M10!$B$1:$C$161,2,0),0)</f>
        <v>0</v>
      </c>
      <c r="AK133" s="97">
        <f>IFERROR(VLOOKUP(Y133,S6M11!$B$1:$C$161,2,0),0)</f>
        <v>0</v>
      </c>
    </row>
    <row r="134" ht="15.75" customHeight="1">
      <c r="A134" s="92">
        <v>133.0</v>
      </c>
      <c r="B134" s="103"/>
      <c r="C134" s="93">
        <f t="shared" si="2"/>
        <v>0</v>
      </c>
      <c r="D134" s="93"/>
      <c r="E134" s="94" t="str">
        <f>IFERROR(VLOOKUP($B134,S6M1!$A$1:$B$160,2,0),"0")</f>
        <v>0</v>
      </c>
      <c r="F134" s="95">
        <f>IFERROR(VLOOKUP(E134,S6M1!$B$1:$C$161,2,0),0)</f>
        <v>0</v>
      </c>
      <c r="G134" s="94" t="str">
        <f>IFERROR(VLOOKUP($B134,S6M2!$A$1:$B$160,2,0),"0")</f>
        <v>0</v>
      </c>
      <c r="H134" s="95">
        <f>IFERROR(VLOOKUP(G134,S6M2!$B$1:$C$161,2,0),0)</f>
        <v>0</v>
      </c>
      <c r="I134" s="94">
        <f>IFERROR(VLOOKUP($B134,S6M3!$A$1:$B$161,2,0),0)</f>
        <v>0</v>
      </c>
      <c r="J134" s="95">
        <f>IFERROR(VLOOKUP(I134,S6M3!$B$1:$C$161,2,0),0)</f>
        <v>0</v>
      </c>
      <c r="K134" s="94" t="str">
        <f>IFERROR(VLOOKUP($B134,S6M4!$A$1:$B$160,2,0),"0")</f>
        <v>0</v>
      </c>
      <c r="L134" s="95">
        <f>IFERROR(VLOOKUP(K134,S6M4!$B$1:$C$161,2,0),0)</f>
        <v>0</v>
      </c>
      <c r="M134" s="94" t="str">
        <f>IFERROR(VLOOKUP($B134,S6M5!$A$1:$B$160,2,0),"0")</f>
        <v>0</v>
      </c>
      <c r="N134" s="95">
        <f>IFERROR(VLOOKUP(M134,S6M5!$B$1:$C$161,2,0),0)</f>
        <v>0</v>
      </c>
      <c r="O134" s="94" t="str">
        <f>IFERROR(VLOOKUP($B134,S6M6!$A$1:$B$160,2,0),"0")</f>
        <v>0</v>
      </c>
      <c r="P134" s="95">
        <f>IFERROR(VLOOKUP(O134,S6M6!$B$1:$C$161,2,0),0)</f>
        <v>0</v>
      </c>
      <c r="Q134" s="94" t="str">
        <f>IFERROR(VLOOKUP($B134,S6M7!$A$1:$B$160,2,0),"0")</f>
        <v>0</v>
      </c>
      <c r="R134" s="95">
        <f>IFERROR(VLOOKUP(Q134,S6M7!$B$1:$C$161,2,0),0)</f>
        <v>0</v>
      </c>
      <c r="S134" s="94" t="str">
        <f>IFERROR(VLOOKUP($B134,S6M8!$A$1:$B$160,2,0),"0")</f>
        <v>0</v>
      </c>
      <c r="T134" s="95">
        <f>IFERROR(VLOOKUP(S134,S6M8!$B$1:$C$161,2,0),0)</f>
        <v>0</v>
      </c>
      <c r="U134" s="94" t="str">
        <f>IFERROR(VLOOKUP($B134,S6M9!$A$1:$B$160,2,0),"0")</f>
        <v>0</v>
      </c>
      <c r="V134" s="95">
        <f>IFERROR(VLOOKUP(U134,S6M9!$B$1:$C$161,2,0),0)</f>
        <v>0</v>
      </c>
      <c r="W134" s="94" t="str">
        <f>IFERROR(VLOOKUP($B134,S6M10!$A$1:$B$160,2,0),"0")</f>
        <v>0</v>
      </c>
      <c r="X134" s="95">
        <f>IFERROR(VLOOKUP(W134,S6M10!$B$1:$C$161,2,0),0)</f>
        <v>0</v>
      </c>
      <c r="Y134" s="94" t="str">
        <f>IFERROR(VLOOKUP($B134,S6M11!$A$1:$B$160,2,0),"0")</f>
        <v>0</v>
      </c>
      <c r="Z134" s="95">
        <f>IFERROR(VLOOKUP(Y134,S6M11!$B$1:$C$161,2,0),0)</f>
        <v>0</v>
      </c>
      <c r="AA134" s="97">
        <f>IFERROR(VLOOKUP(E134,S6M1!$B$1:$C$161,2,0),0)</f>
        <v>0</v>
      </c>
      <c r="AB134" s="97">
        <f>IFERROR(VLOOKUP(G134,S6M2!$B$1:$C$161,2,0),0)</f>
        <v>0</v>
      </c>
      <c r="AC134" s="97">
        <f>IFERROR(VLOOKUP(I134,S6M3!$B$1:$C$161,2,0),0)</f>
        <v>0</v>
      </c>
      <c r="AD134" s="97">
        <f>IFERROR(VLOOKUP(K134,S6M4!$B$1:$C$161,2,0),0)</f>
        <v>0</v>
      </c>
      <c r="AE134" s="97">
        <f>IFERROR(VLOOKUP(M134,S6M5!$B$1:$C$161,2,0),0)</f>
        <v>0</v>
      </c>
      <c r="AF134" s="97">
        <f>IFERROR(VLOOKUP(O134,S6M6!$B$1:$C$161,2,0),0)</f>
        <v>0</v>
      </c>
      <c r="AG134" s="97">
        <f>IFERROR(VLOOKUP(Q134,S6M7!$B$1:$C$161,2,0),0)</f>
        <v>0</v>
      </c>
      <c r="AH134" s="97">
        <f>IFERROR(VLOOKUP(S134,S6M8!$B$1:$C$161,2,0),0)</f>
        <v>0</v>
      </c>
      <c r="AI134" s="97">
        <f>IFERROR(VLOOKUP(U134,S6M9!$B$1:$C$161,2,0),0)</f>
        <v>0</v>
      </c>
      <c r="AJ134" s="97">
        <f>IFERROR(VLOOKUP(W134,S6M10!$B$1:$C$161,2,0),0)</f>
        <v>0</v>
      </c>
      <c r="AK134" s="97">
        <f>IFERROR(VLOOKUP(Y134,S6M11!$B$1:$C$161,2,0),0)</f>
        <v>0</v>
      </c>
    </row>
    <row r="135" ht="15.75" customHeight="1">
      <c r="A135" s="92">
        <v>134.0</v>
      </c>
      <c r="B135" s="103"/>
      <c r="C135" s="93">
        <f t="shared" si="2"/>
        <v>0</v>
      </c>
      <c r="D135" s="93"/>
      <c r="E135" s="94" t="str">
        <f>IFERROR(VLOOKUP($B135,S6M1!$A$1:$B$160,2,0),"0")</f>
        <v>0</v>
      </c>
      <c r="F135" s="95">
        <f>IFERROR(VLOOKUP(E135,S6M1!$B$1:$C$161,2,0),0)</f>
        <v>0</v>
      </c>
      <c r="G135" s="94" t="str">
        <f>IFERROR(VLOOKUP($B135,S6M2!$A$1:$B$160,2,0),"0")</f>
        <v>0</v>
      </c>
      <c r="H135" s="95">
        <f>IFERROR(VLOOKUP(G135,S6M2!$B$1:$C$161,2,0),0)</f>
        <v>0</v>
      </c>
      <c r="I135" s="94">
        <f>IFERROR(VLOOKUP($B135,S6M3!$A$1:$B$161,2,0),0)</f>
        <v>0</v>
      </c>
      <c r="J135" s="95">
        <f>IFERROR(VLOOKUP(I135,S6M3!$B$1:$C$161,2,0),0)</f>
        <v>0</v>
      </c>
      <c r="K135" s="94" t="str">
        <f>IFERROR(VLOOKUP($B135,S6M4!$A$1:$B$160,2,0),"0")</f>
        <v>0</v>
      </c>
      <c r="L135" s="95">
        <f>IFERROR(VLOOKUP(K135,S6M4!$B$1:$C$161,2,0),0)</f>
        <v>0</v>
      </c>
      <c r="M135" s="94" t="str">
        <f>IFERROR(VLOOKUP($B135,S6M5!$A$1:$B$160,2,0),"0")</f>
        <v>0</v>
      </c>
      <c r="N135" s="95">
        <f>IFERROR(VLOOKUP(M135,S6M5!$B$1:$C$161,2,0),0)</f>
        <v>0</v>
      </c>
      <c r="O135" s="94" t="str">
        <f>IFERROR(VLOOKUP($B135,S6M6!$A$1:$B$160,2,0),"0")</f>
        <v>0</v>
      </c>
      <c r="P135" s="95">
        <f>IFERROR(VLOOKUP(O135,S6M6!$B$1:$C$161,2,0),0)</f>
        <v>0</v>
      </c>
      <c r="Q135" s="94" t="str">
        <f>IFERROR(VLOOKUP($B135,S6M7!$A$1:$B$160,2,0),"0")</f>
        <v>0</v>
      </c>
      <c r="R135" s="95">
        <f>IFERROR(VLOOKUP(Q135,S6M7!$B$1:$C$161,2,0),0)</f>
        <v>0</v>
      </c>
      <c r="S135" s="94" t="str">
        <f>IFERROR(VLOOKUP($B135,S6M8!$A$1:$B$160,2,0),"0")</f>
        <v>0</v>
      </c>
      <c r="T135" s="95">
        <f>IFERROR(VLOOKUP(S135,S6M8!$B$1:$C$161,2,0),0)</f>
        <v>0</v>
      </c>
      <c r="U135" s="94" t="str">
        <f>IFERROR(VLOOKUP($B135,S6M9!$A$1:$B$160,2,0),"0")</f>
        <v>0</v>
      </c>
      <c r="V135" s="95">
        <f>IFERROR(VLOOKUP(U135,S6M9!$B$1:$C$161,2,0),0)</f>
        <v>0</v>
      </c>
      <c r="W135" s="94" t="str">
        <f>IFERROR(VLOOKUP($B135,S6M10!$A$1:$B$160,2,0),"0")</f>
        <v>0</v>
      </c>
      <c r="X135" s="95">
        <f>IFERROR(VLOOKUP(W135,S6M10!$B$1:$C$161,2,0),0)</f>
        <v>0</v>
      </c>
      <c r="Y135" s="94" t="str">
        <f>IFERROR(VLOOKUP($B135,S6M11!$A$1:$B$160,2,0),"0")</f>
        <v>0</v>
      </c>
      <c r="Z135" s="95">
        <f>IFERROR(VLOOKUP(Y135,S6M11!$B$1:$C$161,2,0),0)</f>
        <v>0</v>
      </c>
      <c r="AA135" s="97">
        <f>IFERROR(VLOOKUP(E135,S6M1!$B$1:$C$161,2,0),0)</f>
        <v>0</v>
      </c>
      <c r="AB135" s="97">
        <f>IFERROR(VLOOKUP(G135,S6M2!$B$1:$C$161,2,0),0)</f>
        <v>0</v>
      </c>
      <c r="AC135" s="97">
        <f>IFERROR(VLOOKUP(I135,S6M3!$B$1:$C$161,2,0),0)</f>
        <v>0</v>
      </c>
      <c r="AD135" s="97">
        <f>IFERROR(VLOOKUP(K135,S6M4!$B$1:$C$161,2,0),0)</f>
        <v>0</v>
      </c>
      <c r="AE135" s="97">
        <f>IFERROR(VLOOKUP(M135,S6M5!$B$1:$C$161,2,0),0)</f>
        <v>0</v>
      </c>
      <c r="AF135" s="97">
        <f>IFERROR(VLOOKUP(O135,S6M6!$B$1:$C$161,2,0),0)</f>
        <v>0</v>
      </c>
      <c r="AG135" s="97">
        <f>IFERROR(VLOOKUP(Q135,S6M7!$B$1:$C$161,2,0),0)</f>
        <v>0</v>
      </c>
      <c r="AH135" s="97">
        <f>IFERROR(VLOOKUP(S135,S6M8!$B$1:$C$161,2,0),0)</f>
        <v>0</v>
      </c>
      <c r="AI135" s="97">
        <f>IFERROR(VLOOKUP(U135,S6M9!$B$1:$C$161,2,0),0)</f>
        <v>0</v>
      </c>
      <c r="AJ135" s="97">
        <f>IFERROR(VLOOKUP(W135,S6M10!$B$1:$C$161,2,0),0)</f>
        <v>0</v>
      </c>
      <c r="AK135" s="97">
        <f>IFERROR(VLOOKUP(Y135,S6M11!$B$1:$C$161,2,0),0)</f>
        <v>0</v>
      </c>
    </row>
    <row r="136" ht="15.75" customHeight="1">
      <c r="A136" s="92">
        <v>135.0</v>
      </c>
      <c r="B136" s="103"/>
      <c r="C136" s="93">
        <f t="shared" si="2"/>
        <v>0</v>
      </c>
      <c r="D136" s="93"/>
      <c r="E136" s="94" t="str">
        <f>IFERROR(VLOOKUP($B136,S6M1!$A$1:$B$160,2,0),"0")</f>
        <v>0</v>
      </c>
      <c r="F136" s="95">
        <f>IFERROR(VLOOKUP(E136,S6M1!$B$1:$C$161,2,0),0)</f>
        <v>0</v>
      </c>
      <c r="G136" s="94" t="str">
        <f>IFERROR(VLOOKUP($B136,S6M2!$A$1:$B$160,2,0),"0")</f>
        <v>0</v>
      </c>
      <c r="H136" s="95">
        <f>IFERROR(VLOOKUP(G136,S6M2!$B$1:$C$161,2,0),0)</f>
        <v>0</v>
      </c>
      <c r="I136" s="94">
        <f>IFERROR(VLOOKUP($B136,S6M3!$A$1:$B$161,2,0),0)</f>
        <v>0</v>
      </c>
      <c r="J136" s="95">
        <f>IFERROR(VLOOKUP(I136,S6M3!$B$1:$C$161,2,0),0)</f>
        <v>0</v>
      </c>
      <c r="K136" s="94" t="str">
        <f>IFERROR(VLOOKUP($B136,S6M4!$A$1:$B$160,2,0),"0")</f>
        <v>0</v>
      </c>
      <c r="L136" s="95">
        <f>IFERROR(VLOOKUP(K136,S6M4!$B$1:$C$161,2,0),0)</f>
        <v>0</v>
      </c>
      <c r="M136" s="94" t="str">
        <f>IFERROR(VLOOKUP($B136,S6M5!$A$1:$B$160,2,0),"0")</f>
        <v>0</v>
      </c>
      <c r="N136" s="95">
        <f>IFERROR(VLOOKUP(M136,S6M5!$B$1:$C$161,2,0),0)</f>
        <v>0</v>
      </c>
      <c r="O136" s="94" t="str">
        <f>IFERROR(VLOOKUP($B136,S6M6!$A$1:$B$160,2,0),"0")</f>
        <v>0</v>
      </c>
      <c r="P136" s="95">
        <f>IFERROR(VLOOKUP(O136,S6M6!$B$1:$C$161,2,0),0)</f>
        <v>0</v>
      </c>
      <c r="Q136" s="94" t="str">
        <f>IFERROR(VLOOKUP($B136,S6M7!$A$1:$B$160,2,0),"0")</f>
        <v>0</v>
      </c>
      <c r="R136" s="95">
        <f>IFERROR(VLOOKUP(Q136,S6M7!$B$1:$C$161,2,0),0)</f>
        <v>0</v>
      </c>
      <c r="S136" s="94" t="str">
        <f>IFERROR(VLOOKUP($B136,S6M8!$A$1:$B$160,2,0),"0")</f>
        <v>0</v>
      </c>
      <c r="T136" s="95">
        <f>IFERROR(VLOOKUP(S136,S6M8!$B$1:$C$161,2,0),0)</f>
        <v>0</v>
      </c>
      <c r="U136" s="94" t="str">
        <f>IFERROR(VLOOKUP($B136,S6M9!$A$1:$B$160,2,0),"0")</f>
        <v>0</v>
      </c>
      <c r="V136" s="95">
        <f>IFERROR(VLOOKUP(U136,S6M9!$B$1:$C$161,2,0),0)</f>
        <v>0</v>
      </c>
      <c r="W136" s="94" t="str">
        <f>IFERROR(VLOOKUP($B136,S6M10!$A$1:$B$160,2,0),"0")</f>
        <v>0</v>
      </c>
      <c r="X136" s="95">
        <f>IFERROR(VLOOKUP(W136,S6M10!$B$1:$C$161,2,0),0)</f>
        <v>0</v>
      </c>
      <c r="Y136" s="94" t="str">
        <f>IFERROR(VLOOKUP($B136,S6M11!$A$1:$B$160,2,0),"0")</f>
        <v>0</v>
      </c>
      <c r="Z136" s="95">
        <f>IFERROR(VLOOKUP(Y136,S6M11!$B$1:$C$161,2,0),0)</f>
        <v>0</v>
      </c>
      <c r="AA136" s="97">
        <f>IFERROR(VLOOKUP(E136,S6M1!$B$1:$C$161,2,0),0)</f>
        <v>0</v>
      </c>
      <c r="AB136" s="97">
        <f>IFERROR(VLOOKUP(G136,S6M2!$B$1:$C$161,2,0),0)</f>
        <v>0</v>
      </c>
      <c r="AC136" s="97">
        <f>IFERROR(VLOOKUP(I136,S6M3!$B$1:$C$161,2,0),0)</f>
        <v>0</v>
      </c>
      <c r="AD136" s="97">
        <f>IFERROR(VLOOKUP(K136,S6M4!$B$1:$C$161,2,0),0)</f>
        <v>0</v>
      </c>
      <c r="AE136" s="97">
        <f>IFERROR(VLOOKUP(M136,S6M5!$B$1:$C$161,2,0),0)</f>
        <v>0</v>
      </c>
      <c r="AF136" s="97">
        <f>IFERROR(VLOOKUP(O136,S6M6!$B$1:$C$161,2,0),0)</f>
        <v>0</v>
      </c>
      <c r="AG136" s="97">
        <f>IFERROR(VLOOKUP(Q136,S6M7!$B$1:$C$161,2,0),0)</f>
        <v>0</v>
      </c>
      <c r="AH136" s="97">
        <f>IFERROR(VLOOKUP(S136,S6M8!$B$1:$C$161,2,0),0)</f>
        <v>0</v>
      </c>
      <c r="AI136" s="97">
        <f>IFERROR(VLOOKUP(U136,S6M9!$B$1:$C$161,2,0),0)</f>
        <v>0</v>
      </c>
      <c r="AJ136" s="97">
        <f>IFERROR(VLOOKUP(W136,S6M10!$B$1:$C$161,2,0),0)</f>
        <v>0</v>
      </c>
      <c r="AK136" s="97">
        <f>IFERROR(VLOOKUP(Y136,S6M11!$B$1:$C$161,2,0),0)</f>
        <v>0</v>
      </c>
    </row>
    <row r="137" ht="15.75" customHeight="1">
      <c r="A137" s="92">
        <v>136.0</v>
      </c>
      <c r="B137" s="103"/>
      <c r="C137" s="93">
        <f t="shared" si="2"/>
        <v>0</v>
      </c>
      <c r="D137" s="93"/>
      <c r="E137" s="94" t="str">
        <f>IFERROR(VLOOKUP($B137,S6M1!$A$1:$B$160,2,0),"0")</f>
        <v>0</v>
      </c>
      <c r="F137" s="95">
        <f>IFERROR(VLOOKUP(E137,S6M1!$B$1:$C$161,2,0),0)</f>
        <v>0</v>
      </c>
      <c r="G137" s="94" t="str">
        <f>IFERROR(VLOOKUP($B137,S6M2!$A$1:$B$160,2,0),"0")</f>
        <v>0</v>
      </c>
      <c r="H137" s="95">
        <f>IFERROR(VLOOKUP(G137,S6M2!$B$1:$C$161,2,0),0)</f>
        <v>0</v>
      </c>
      <c r="I137" s="94">
        <f>IFERROR(VLOOKUP($B137,S6M3!$A$1:$B$161,2,0),0)</f>
        <v>0</v>
      </c>
      <c r="J137" s="95">
        <f>IFERROR(VLOOKUP(I137,S6M3!$B$1:$C$161,2,0),0)</f>
        <v>0</v>
      </c>
      <c r="K137" s="94" t="str">
        <f>IFERROR(VLOOKUP($B137,S6M4!$A$1:$B$160,2,0),"0")</f>
        <v>0</v>
      </c>
      <c r="L137" s="95">
        <f>IFERROR(VLOOKUP(K137,S6M4!$B$1:$C$161,2,0),0)</f>
        <v>0</v>
      </c>
      <c r="M137" s="94" t="str">
        <f>IFERROR(VLOOKUP($B137,S6M5!$A$1:$B$160,2,0),"0")</f>
        <v>0</v>
      </c>
      <c r="N137" s="95">
        <f>IFERROR(VLOOKUP(M137,S6M5!$B$1:$C$161,2,0),0)</f>
        <v>0</v>
      </c>
      <c r="O137" s="94" t="str">
        <f>IFERROR(VLOOKUP($B137,S6M6!$A$1:$B$160,2,0),"0")</f>
        <v>0</v>
      </c>
      <c r="P137" s="95">
        <f>IFERROR(VLOOKUP(O137,S6M6!$B$1:$C$161,2,0),0)</f>
        <v>0</v>
      </c>
      <c r="Q137" s="94" t="str">
        <f>IFERROR(VLOOKUP($B137,S6M7!$A$1:$B$160,2,0),"0")</f>
        <v>0</v>
      </c>
      <c r="R137" s="95">
        <f>IFERROR(VLOOKUP(Q137,S6M7!$B$1:$C$161,2,0),0)</f>
        <v>0</v>
      </c>
      <c r="S137" s="94" t="str">
        <f>IFERROR(VLOOKUP($B137,S6M8!$A$1:$B$160,2,0),"0")</f>
        <v>0</v>
      </c>
      <c r="T137" s="95">
        <f>IFERROR(VLOOKUP(S137,S6M8!$B$1:$C$161,2,0),0)</f>
        <v>0</v>
      </c>
      <c r="U137" s="94" t="str">
        <f>IFERROR(VLOOKUP($B137,S6M9!$A$1:$B$160,2,0),"0")</f>
        <v>0</v>
      </c>
      <c r="V137" s="95">
        <f>IFERROR(VLOOKUP(U137,S6M9!$B$1:$C$161,2,0),0)</f>
        <v>0</v>
      </c>
      <c r="W137" s="94" t="str">
        <f>IFERROR(VLOOKUP($B137,S6M10!$A$1:$B$160,2,0),"0")</f>
        <v>0</v>
      </c>
      <c r="X137" s="95">
        <f>IFERROR(VLOOKUP(W137,S6M10!$B$1:$C$161,2,0),0)</f>
        <v>0</v>
      </c>
      <c r="Y137" s="94" t="str">
        <f>IFERROR(VLOOKUP($B137,S6M11!$A$1:$B$160,2,0),"0")</f>
        <v>0</v>
      </c>
      <c r="Z137" s="95">
        <f>IFERROR(VLOOKUP(Y137,S6M11!$B$1:$C$161,2,0),0)</f>
        <v>0</v>
      </c>
      <c r="AA137" s="97">
        <f>IFERROR(VLOOKUP(E137,S6M1!$B$1:$C$161,2,0),0)</f>
        <v>0</v>
      </c>
      <c r="AB137" s="97">
        <f>IFERROR(VLOOKUP(G137,S6M2!$B$1:$C$161,2,0),0)</f>
        <v>0</v>
      </c>
      <c r="AC137" s="97">
        <f>IFERROR(VLOOKUP(I137,S6M3!$B$1:$C$161,2,0),0)</f>
        <v>0</v>
      </c>
      <c r="AD137" s="97">
        <f>IFERROR(VLOOKUP(K137,S6M4!$B$1:$C$161,2,0),0)</f>
        <v>0</v>
      </c>
      <c r="AE137" s="97">
        <f>IFERROR(VLOOKUP(M137,S6M5!$B$1:$C$161,2,0),0)</f>
        <v>0</v>
      </c>
      <c r="AF137" s="97">
        <f>IFERROR(VLOOKUP(O137,S6M6!$B$1:$C$161,2,0),0)</f>
        <v>0</v>
      </c>
      <c r="AG137" s="97">
        <f>IFERROR(VLOOKUP(Q137,S6M7!$B$1:$C$161,2,0),0)</f>
        <v>0</v>
      </c>
      <c r="AH137" s="97">
        <f>IFERROR(VLOOKUP(S137,S6M8!$B$1:$C$161,2,0),0)</f>
        <v>0</v>
      </c>
      <c r="AI137" s="97">
        <f>IFERROR(VLOOKUP(U137,S6M9!$B$1:$C$161,2,0),0)</f>
        <v>0</v>
      </c>
      <c r="AJ137" s="97">
        <f>IFERROR(VLOOKUP(W137,S6M10!$B$1:$C$161,2,0),0)</f>
        <v>0</v>
      </c>
      <c r="AK137" s="97">
        <f>IFERROR(VLOOKUP(Y137,S6M11!$B$1:$C$161,2,0),0)</f>
        <v>0</v>
      </c>
    </row>
    <row r="138" ht="15.75" customHeight="1">
      <c r="A138" s="92">
        <v>137.0</v>
      </c>
      <c r="B138" s="103"/>
      <c r="C138" s="93">
        <f t="shared" si="2"/>
        <v>0</v>
      </c>
      <c r="D138" s="93"/>
      <c r="E138" s="94" t="str">
        <f>IFERROR(VLOOKUP($B138,S6M1!$A$1:$B$160,2,0),"0")</f>
        <v>0</v>
      </c>
      <c r="F138" s="95">
        <f>IFERROR(VLOOKUP(E138,S6M1!$B$1:$C$161,2,0),0)</f>
        <v>0</v>
      </c>
      <c r="G138" s="94" t="str">
        <f>IFERROR(VLOOKUP($B138,S6M2!$A$1:$B$160,2,0),"0")</f>
        <v>0</v>
      </c>
      <c r="H138" s="95">
        <f>IFERROR(VLOOKUP(G138,S6M2!$B$1:$C$161,2,0),0)</f>
        <v>0</v>
      </c>
      <c r="I138" s="94">
        <f>IFERROR(VLOOKUP($B138,S6M3!$A$1:$B$161,2,0),0)</f>
        <v>0</v>
      </c>
      <c r="J138" s="95">
        <f>IFERROR(VLOOKUP(I138,S6M3!$B$1:$C$161,2,0),0)</f>
        <v>0</v>
      </c>
      <c r="K138" s="94" t="str">
        <f>IFERROR(VLOOKUP($B138,S6M4!$A$1:$B$160,2,0),"0")</f>
        <v>0</v>
      </c>
      <c r="L138" s="95">
        <f>IFERROR(VLOOKUP(K138,S6M4!$B$1:$C$161,2,0),0)</f>
        <v>0</v>
      </c>
      <c r="M138" s="94" t="str">
        <f>IFERROR(VLOOKUP($B138,S6M5!$A$1:$B$160,2,0),"0")</f>
        <v>0</v>
      </c>
      <c r="N138" s="95">
        <f>IFERROR(VLOOKUP(M138,S6M5!$B$1:$C$161,2,0),0)</f>
        <v>0</v>
      </c>
      <c r="O138" s="94" t="str">
        <f>IFERROR(VLOOKUP($B138,S6M6!$A$1:$B$160,2,0),"0")</f>
        <v>0</v>
      </c>
      <c r="P138" s="95">
        <f>IFERROR(VLOOKUP(O138,S6M6!$B$1:$C$161,2,0),0)</f>
        <v>0</v>
      </c>
      <c r="Q138" s="94" t="str">
        <f>IFERROR(VLOOKUP($B138,S6M7!$A$1:$B$160,2,0),"0")</f>
        <v>0</v>
      </c>
      <c r="R138" s="95">
        <f>IFERROR(VLOOKUP(Q138,S6M7!$B$1:$C$161,2,0),0)</f>
        <v>0</v>
      </c>
      <c r="S138" s="94" t="str">
        <f>IFERROR(VLOOKUP($B138,S6M8!$A$1:$B$160,2,0),"0")</f>
        <v>0</v>
      </c>
      <c r="T138" s="95">
        <f>IFERROR(VLOOKUP(S138,S6M8!$B$1:$C$161,2,0),0)</f>
        <v>0</v>
      </c>
      <c r="U138" s="94" t="str">
        <f>IFERROR(VLOOKUP($B138,S6M9!$A$1:$B$160,2,0),"0")</f>
        <v>0</v>
      </c>
      <c r="V138" s="95">
        <f>IFERROR(VLOOKUP(U138,S6M9!$B$1:$C$161,2,0),0)</f>
        <v>0</v>
      </c>
      <c r="W138" s="94" t="str">
        <f>IFERROR(VLOOKUP($B138,S6M10!$A$1:$B$160,2,0),"0")</f>
        <v>0</v>
      </c>
      <c r="X138" s="95">
        <f>IFERROR(VLOOKUP(W138,S6M10!$B$1:$C$161,2,0),0)</f>
        <v>0</v>
      </c>
      <c r="Y138" s="94" t="str">
        <f>IFERROR(VLOOKUP($B138,S6M11!$A$1:$B$160,2,0),"0")</f>
        <v>0</v>
      </c>
      <c r="Z138" s="95">
        <f>IFERROR(VLOOKUP(Y138,S6M11!$B$1:$C$161,2,0),0)</f>
        <v>0</v>
      </c>
      <c r="AA138" s="97">
        <f>IFERROR(VLOOKUP(E138,S6M1!$B$1:$C$161,2,0),0)</f>
        <v>0</v>
      </c>
      <c r="AB138" s="97">
        <f>IFERROR(VLOOKUP(G138,S6M2!$B$1:$C$161,2,0),0)</f>
        <v>0</v>
      </c>
      <c r="AC138" s="97">
        <f>IFERROR(VLOOKUP(I138,S6M3!$B$1:$C$161,2,0),0)</f>
        <v>0</v>
      </c>
      <c r="AD138" s="97">
        <f>IFERROR(VLOOKUP(K138,S6M4!$B$1:$C$161,2,0),0)</f>
        <v>0</v>
      </c>
      <c r="AE138" s="97">
        <f>IFERROR(VLOOKUP(M138,S6M5!$B$1:$C$161,2,0),0)</f>
        <v>0</v>
      </c>
      <c r="AF138" s="97">
        <f>IFERROR(VLOOKUP(O138,S6M6!$B$1:$C$161,2,0),0)</f>
        <v>0</v>
      </c>
      <c r="AG138" s="97">
        <f>IFERROR(VLOOKUP(Q138,S6M7!$B$1:$C$161,2,0),0)</f>
        <v>0</v>
      </c>
      <c r="AH138" s="97">
        <f>IFERROR(VLOOKUP(S138,S6M8!$B$1:$C$161,2,0),0)</f>
        <v>0</v>
      </c>
      <c r="AI138" s="97">
        <f>IFERROR(VLOOKUP(U138,S6M9!$B$1:$C$161,2,0),0)</f>
        <v>0</v>
      </c>
      <c r="AJ138" s="97">
        <f>IFERROR(VLOOKUP(W138,S6M10!$B$1:$C$161,2,0),0)</f>
        <v>0</v>
      </c>
      <c r="AK138" s="97">
        <f>IFERROR(VLOOKUP(Y138,S6M11!$B$1:$C$161,2,0),0)</f>
        <v>0</v>
      </c>
    </row>
    <row r="139" ht="15.75" customHeight="1">
      <c r="A139" s="92">
        <v>138.0</v>
      </c>
      <c r="B139" s="103"/>
      <c r="C139" s="93">
        <f t="shared" si="2"/>
        <v>0</v>
      </c>
      <c r="D139" s="93"/>
      <c r="E139" s="94" t="str">
        <f>IFERROR(VLOOKUP($B139,S6M1!$A$1:$B$160,2,0),"0")</f>
        <v>0</v>
      </c>
      <c r="F139" s="95">
        <f>IFERROR(VLOOKUP(E139,S6M1!$B$1:$C$161,2,0),0)</f>
        <v>0</v>
      </c>
      <c r="G139" s="94" t="str">
        <f>IFERROR(VLOOKUP($B139,S6M2!$A$1:$B$160,2,0),"0")</f>
        <v>0</v>
      </c>
      <c r="H139" s="95">
        <f>IFERROR(VLOOKUP(G139,S6M2!$B$1:$C$161,2,0),0)</f>
        <v>0</v>
      </c>
      <c r="I139" s="94">
        <f>IFERROR(VLOOKUP($B139,S6M3!$A$1:$B$161,2,0),0)</f>
        <v>0</v>
      </c>
      <c r="J139" s="95">
        <f>IFERROR(VLOOKUP(I139,S6M3!$B$1:$C$161,2,0),0)</f>
        <v>0</v>
      </c>
      <c r="K139" s="94" t="str">
        <f>IFERROR(VLOOKUP($B139,S6M4!$A$1:$B$160,2,0),"0")</f>
        <v>0</v>
      </c>
      <c r="L139" s="95">
        <f>IFERROR(VLOOKUP(K139,S6M4!$B$1:$C$161,2,0),0)</f>
        <v>0</v>
      </c>
      <c r="M139" s="94" t="str">
        <f>IFERROR(VLOOKUP($B139,S6M5!$A$1:$B$160,2,0),"0")</f>
        <v>0</v>
      </c>
      <c r="N139" s="95">
        <f>IFERROR(VLOOKUP(M139,S6M5!$B$1:$C$161,2,0),0)</f>
        <v>0</v>
      </c>
      <c r="O139" s="94" t="str">
        <f>IFERROR(VLOOKUP($B139,S6M6!$A$1:$B$160,2,0),"0")</f>
        <v>0</v>
      </c>
      <c r="P139" s="95">
        <f>IFERROR(VLOOKUP(O139,S6M6!$B$1:$C$161,2,0),0)</f>
        <v>0</v>
      </c>
      <c r="Q139" s="94" t="str">
        <f>IFERROR(VLOOKUP($B139,S6M7!$A$1:$B$160,2,0),"0")</f>
        <v>0</v>
      </c>
      <c r="R139" s="95">
        <f>IFERROR(VLOOKUP(Q139,S6M7!$B$1:$C$161,2,0),0)</f>
        <v>0</v>
      </c>
      <c r="S139" s="94" t="str">
        <f>IFERROR(VLOOKUP($B139,S6M8!$A$1:$B$160,2,0),"0")</f>
        <v>0</v>
      </c>
      <c r="T139" s="95">
        <f>IFERROR(VLOOKUP(S139,S6M8!$B$1:$C$161,2,0),0)</f>
        <v>0</v>
      </c>
      <c r="U139" s="94" t="str">
        <f>IFERROR(VLOOKUP($B139,S6M9!$A$1:$B$160,2,0),"0")</f>
        <v>0</v>
      </c>
      <c r="V139" s="95">
        <f>IFERROR(VLOOKUP(U139,S6M9!$B$1:$C$161,2,0),0)</f>
        <v>0</v>
      </c>
      <c r="W139" s="94" t="str">
        <f>IFERROR(VLOOKUP($B139,S6M10!$A$1:$B$160,2,0),"0")</f>
        <v>0</v>
      </c>
      <c r="X139" s="95">
        <f>IFERROR(VLOOKUP(W139,S6M10!$B$1:$C$161,2,0),0)</f>
        <v>0</v>
      </c>
      <c r="Y139" s="94" t="str">
        <f>IFERROR(VLOOKUP($B139,S6M11!$A$1:$B$160,2,0),"0")</f>
        <v>0</v>
      </c>
      <c r="Z139" s="95">
        <f>IFERROR(VLOOKUP(Y139,S6M11!$B$1:$C$161,2,0),0)</f>
        <v>0</v>
      </c>
      <c r="AA139" s="97">
        <f>IFERROR(VLOOKUP(E139,S6M1!$B$1:$C$161,2,0),0)</f>
        <v>0</v>
      </c>
      <c r="AB139" s="97">
        <f>IFERROR(VLOOKUP(G139,S6M2!$B$1:$C$161,2,0),0)</f>
        <v>0</v>
      </c>
      <c r="AC139" s="97">
        <f>IFERROR(VLOOKUP(I139,S6M3!$B$1:$C$161,2,0),0)</f>
        <v>0</v>
      </c>
      <c r="AD139" s="97">
        <f>IFERROR(VLOOKUP(K139,S6M4!$B$1:$C$161,2,0),0)</f>
        <v>0</v>
      </c>
      <c r="AE139" s="97">
        <f>IFERROR(VLOOKUP(M139,S6M5!$B$1:$C$161,2,0),0)</f>
        <v>0</v>
      </c>
      <c r="AF139" s="97">
        <f>IFERROR(VLOOKUP(O139,S6M6!$B$1:$C$161,2,0),0)</f>
        <v>0</v>
      </c>
      <c r="AG139" s="97">
        <f>IFERROR(VLOOKUP(Q139,S6M7!$B$1:$C$161,2,0),0)</f>
        <v>0</v>
      </c>
      <c r="AH139" s="97">
        <f>IFERROR(VLOOKUP(S139,S6M8!$B$1:$C$161,2,0),0)</f>
        <v>0</v>
      </c>
      <c r="AI139" s="97">
        <f>IFERROR(VLOOKUP(U139,S6M9!$B$1:$C$161,2,0),0)</f>
        <v>0</v>
      </c>
      <c r="AJ139" s="97">
        <f>IFERROR(VLOOKUP(W139,S6M10!$B$1:$C$161,2,0),0)</f>
        <v>0</v>
      </c>
      <c r="AK139" s="97">
        <f>IFERROR(VLOOKUP(Y139,S6M11!$B$1:$C$161,2,0),0)</f>
        <v>0</v>
      </c>
    </row>
    <row r="140" ht="15.75" customHeight="1">
      <c r="A140" s="92">
        <v>139.0</v>
      </c>
      <c r="B140" s="103"/>
      <c r="C140" s="93">
        <f t="shared" si="2"/>
        <v>0</v>
      </c>
      <c r="D140" s="93"/>
      <c r="E140" s="94" t="str">
        <f>IFERROR(VLOOKUP($B140,S6M1!$A$1:$B$160,2,0),"0")</f>
        <v>0</v>
      </c>
      <c r="F140" s="95">
        <f>IFERROR(VLOOKUP(E140,S6M1!$B$1:$C$161,2,0),0)</f>
        <v>0</v>
      </c>
      <c r="G140" s="94" t="str">
        <f>IFERROR(VLOOKUP($B140,S6M2!$A$1:$B$160,2,0),"0")</f>
        <v>0</v>
      </c>
      <c r="H140" s="95">
        <f>IFERROR(VLOOKUP(G140,S6M2!$B$1:$C$161,2,0),0)</f>
        <v>0</v>
      </c>
      <c r="I140" s="94">
        <f>IFERROR(VLOOKUP($B140,S6M3!$A$1:$B$161,2,0),0)</f>
        <v>0</v>
      </c>
      <c r="J140" s="95">
        <f>IFERROR(VLOOKUP(I140,S6M3!$B$1:$C$161,2,0),0)</f>
        <v>0</v>
      </c>
      <c r="K140" s="94" t="str">
        <f>IFERROR(VLOOKUP($B140,S6M4!$A$1:$B$160,2,0),"0")</f>
        <v>0</v>
      </c>
      <c r="L140" s="95">
        <f>IFERROR(VLOOKUP(K140,S6M4!$B$1:$C$161,2,0),0)</f>
        <v>0</v>
      </c>
      <c r="M140" s="94" t="str">
        <f>IFERROR(VLOOKUP($B140,S6M5!$A$1:$B$160,2,0),"0")</f>
        <v>0</v>
      </c>
      <c r="N140" s="95">
        <f>IFERROR(VLOOKUP(M140,S6M5!$B$1:$C$161,2,0),0)</f>
        <v>0</v>
      </c>
      <c r="O140" s="94" t="str">
        <f>IFERROR(VLOOKUP($B140,S6M6!$A$1:$B$160,2,0),"0")</f>
        <v>0</v>
      </c>
      <c r="P140" s="95">
        <f>IFERROR(VLOOKUP(O140,S6M6!$B$1:$C$161,2,0),0)</f>
        <v>0</v>
      </c>
      <c r="Q140" s="94" t="str">
        <f>IFERROR(VLOOKUP($B140,S6M7!$A$1:$B$160,2,0),"0")</f>
        <v>0</v>
      </c>
      <c r="R140" s="95">
        <f>IFERROR(VLOOKUP(Q140,S6M7!$B$1:$C$161,2,0),0)</f>
        <v>0</v>
      </c>
      <c r="S140" s="94" t="str">
        <f>IFERROR(VLOOKUP($B140,S6M8!$A$1:$B$160,2,0),"0")</f>
        <v>0</v>
      </c>
      <c r="T140" s="95">
        <f>IFERROR(VLOOKUP(S140,S6M8!$B$1:$C$161,2,0),0)</f>
        <v>0</v>
      </c>
      <c r="U140" s="94" t="str">
        <f>IFERROR(VLOOKUP($B140,S6M9!$A$1:$B$160,2,0),"0")</f>
        <v>0</v>
      </c>
      <c r="V140" s="95">
        <f>IFERROR(VLOOKUP(U140,S6M9!$B$1:$C$161,2,0),0)</f>
        <v>0</v>
      </c>
      <c r="W140" s="94" t="str">
        <f>IFERROR(VLOOKUP($B140,S6M10!$A$1:$B$160,2,0),"0")</f>
        <v>0</v>
      </c>
      <c r="X140" s="95">
        <f>IFERROR(VLOOKUP(W140,S6M10!$B$1:$C$161,2,0),0)</f>
        <v>0</v>
      </c>
      <c r="Y140" s="94" t="str">
        <f>IFERROR(VLOOKUP($B140,S6M11!$A$1:$B$160,2,0),"0")</f>
        <v>0</v>
      </c>
      <c r="Z140" s="95">
        <f>IFERROR(VLOOKUP(Y140,S6M11!$B$1:$C$161,2,0),0)</f>
        <v>0</v>
      </c>
      <c r="AA140" s="97">
        <f>IFERROR(VLOOKUP(E140,S6M1!$B$1:$C$161,2,0),0)</f>
        <v>0</v>
      </c>
      <c r="AB140" s="97">
        <f>IFERROR(VLOOKUP(G140,S6M2!$B$1:$C$161,2,0),0)</f>
        <v>0</v>
      </c>
      <c r="AC140" s="97">
        <f>IFERROR(VLOOKUP(I140,S6M3!$B$1:$C$161,2,0),0)</f>
        <v>0</v>
      </c>
      <c r="AD140" s="97">
        <f>IFERROR(VLOOKUP(K140,S6M4!$B$1:$C$161,2,0),0)</f>
        <v>0</v>
      </c>
      <c r="AE140" s="97">
        <f>IFERROR(VLOOKUP(M140,S6M5!$B$1:$C$161,2,0),0)</f>
        <v>0</v>
      </c>
      <c r="AF140" s="97">
        <f>IFERROR(VLOOKUP(O140,S6M6!$B$1:$C$161,2,0),0)</f>
        <v>0</v>
      </c>
      <c r="AG140" s="97">
        <f>IFERROR(VLOOKUP(Q140,S6M7!$B$1:$C$161,2,0),0)</f>
        <v>0</v>
      </c>
      <c r="AH140" s="97">
        <f>IFERROR(VLOOKUP(S140,S6M8!$B$1:$C$161,2,0),0)</f>
        <v>0</v>
      </c>
      <c r="AI140" s="97">
        <f>IFERROR(VLOOKUP(U140,S6M9!$B$1:$C$161,2,0),0)</f>
        <v>0</v>
      </c>
      <c r="AJ140" s="97">
        <f>IFERROR(VLOOKUP(W140,S6M10!$B$1:$C$161,2,0),0)</f>
        <v>0</v>
      </c>
      <c r="AK140" s="97">
        <f>IFERROR(VLOOKUP(Y140,S6M11!$B$1:$C$161,2,0),0)</f>
        <v>0</v>
      </c>
    </row>
    <row r="141" ht="15.75" customHeight="1">
      <c r="A141" s="92">
        <v>140.0</v>
      </c>
      <c r="B141" s="103"/>
      <c r="C141" s="93">
        <f t="shared" si="2"/>
        <v>0</v>
      </c>
      <c r="D141" s="93"/>
      <c r="E141" s="94" t="str">
        <f>IFERROR(VLOOKUP($B141,S6M1!$A$1:$B$160,2,0),"0")</f>
        <v>0</v>
      </c>
      <c r="F141" s="95">
        <f>IFERROR(VLOOKUP(E141,S6M1!$B$1:$C$161,2,0),0)</f>
        <v>0</v>
      </c>
      <c r="G141" s="94" t="str">
        <f>IFERROR(VLOOKUP($B141,S6M2!$A$1:$B$160,2,0),"0")</f>
        <v>0</v>
      </c>
      <c r="H141" s="95">
        <f>IFERROR(VLOOKUP(G141,S6M2!$B$1:$C$161,2,0),0)</f>
        <v>0</v>
      </c>
      <c r="I141" s="94">
        <f>IFERROR(VLOOKUP($B141,S6M3!$A$1:$B$161,2,0),0)</f>
        <v>0</v>
      </c>
      <c r="J141" s="95">
        <f>IFERROR(VLOOKUP(I141,S6M3!$B$1:$C$161,2,0),0)</f>
        <v>0</v>
      </c>
      <c r="K141" s="94" t="str">
        <f>IFERROR(VLOOKUP($B141,S6M4!$A$1:$B$160,2,0),"0")</f>
        <v>0</v>
      </c>
      <c r="L141" s="95">
        <f>IFERROR(VLOOKUP(K141,S6M4!$B$1:$C$161,2,0),0)</f>
        <v>0</v>
      </c>
      <c r="M141" s="94" t="str">
        <f>IFERROR(VLOOKUP($B141,S6M5!$A$1:$B$160,2,0),"0")</f>
        <v>0</v>
      </c>
      <c r="N141" s="95">
        <f>IFERROR(VLOOKUP(M141,S6M5!$B$1:$C$161,2,0),0)</f>
        <v>0</v>
      </c>
      <c r="O141" s="94" t="str">
        <f>IFERROR(VLOOKUP($B141,S6M6!$A$1:$B$160,2,0),"0")</f>
        <v>0</v>
      </c>
      <c r="P141" s="95">
        <f>IFERROR(VLOOKUP(O141,S6M6!$B$1:$C$161,2,0),0)</f>
        <v>0</v>
      </c>
      <c r="Q141" s="94" t="str">
        <f>IFERROR(VLOOKUP($B141,S6M7!$A$1:$B$160,2,0),"0")</f>
        <v>0</v>
      </c>
      <c r="R141" s="95">
        <f>IFERROR(VLOOKUP(Q141,S6M7!$B$1:$C$161,2,0),0)</f>
        <v>0</v>
      </c>
      <c r="S141" s="94" t="str">
        <f>IFERROR(VLOOKUP($B141,S6M8!$A$1:$B$160,2,0),"0")</f>
        <v>0</v>
      </c>
      <c r="T141" s="95">
        <f>IFERROR(VLOOKUP(S141,S6M8!$B$1:$C$161,2,0),0)</f>
        <v>0</v>
      </c>
      <c r="U141" s="94" t="str">
        <f>IFERROR(VLOOKUP($B141,S6M9!$A$1:$B$160,2,0),"0")</f>
        <v>0</v>
      </c>
      <c r="V141" s="95">
        <f>IFERROR(VLOOKUP(U141,S6M9!$B$1:$C$161,2,0),0)</f>
        <v>0</v>
      </c>
      <c r="W141" s="94" t="str">
        <f>IFERROR(VLOOKUP($B141,S6M10!$A$1:$B$160,2,0),"0")</f>
        <v>0</v>
      </c>
      <c r="X141" s="95">
        <f>IFERROR(VLOOKUP(W141,S6M10!$B$1:$C$161,2,0),0)</f>
        <v>0</v>
      </c>
      <c r="Y141" s="94" t="str">
        <f>IFERROR(VLOOKUP($B141,S6M11!$A$1:$B$160,2,0),"0")</f>
        <v>0</v>
      </c>
      <c r="Z141" s="95">
        <f>IFERROR(VLOOKUP(Y141,S6M11!$B$1:$C$161,2,0),0)</f>
        <v>0</v>
      </c>
      <c r="AA141" s="97">
        <f>IFERROR(VLOOKUP(E141,S6M1!$B$1:$C$161,2,0),0)</f>
        <v>0</v>
      </c>
      <c r="AB141" s="97">
        <f>IFERROR(VLOOKUP(G141,S6M2!$B$1:$C$161,2,0),0)</f>
        <v>0</v>
      </c>
      <c r="AC141" s="97">
        <f>IFERROR(VLOOKUP(I141,S6M3!$B$1:$C$161,2,0),0)</f>
        <v>0</v>
      </c>
      <c r="AD141" s="97">
        <f>IFERROR(VLOOKUP(K141,S6M4!$B$1:$C$161,2,0),0)</f>
        <v>0</v>
      </c>
      <c r="AE141" s="97">
        <f>IFERROR(VLOOKUP(M141,S6M5!$B$1:$C$161,2,0),0)</f>
        <v>0</v>
      </c>
      <c r="AF141" s="97">
        <f>IFERROR(VLOOKUP(O141,S6M6!$B$1:$C$161,2,0),0)</f>
        <v>0</v>
      </c>
      <c r="AG141" s="97">
        <f>IFERROR(VLOOKUP(Q141,S6M7!$B$1:$C$161,2,0),0)</f>
        <v>0</v>
      </c>
      <c r="AH141" s="97">
        <f>IFERROR(VLOOKUP(S141,S6M8!$B$1:$C$161,2,0),0)</f>
        <v>0</v>
      </c>
      <c r="AI141" s="97">
        <f>IFERROR(VLOOKUP(U141,S6M9!$B$1:$C$161,2,0),0)</f>
        <v>0</v>
      </c>
      <c r="AJ141" s="97">
        <f>IFERROR(VLOOKUP(W141,S6M10!$B$1:$C$161,2,0),0)</f>
        <v>0</v>
      </c>
      <c r="AK141" s="97">
        <f>IFERROR(VLOOKUP(Y141,S6M11!$B$1:$C$161,2,0),0)</f>
        <v>0</v>
      </c>
    </row>
    <row r="142" ht="15.75" customHeight="1">
      <c r="A142" s="92">
        <v>141.0</v>
      </c>
      <c r="B142" s="103"/>
      <c r="C142" s="93">
        <f t="shared" si="2"/>
        <v>0</v>
      </c>
      <c r="D142" s="93"/>
      <c r="E142" s="94" t="str">
        <f>IFERROR(VLOOKUP($B142,S6M1!$A$1:$B$160,2,0),"0")</f>
        <v>0</v>
      </c>
      <c r="F142" s="95">
        <f>IFERROR(VLOOKUP(E142,S6M1!$B$1:$C$161,2,0),0)</f>
        <v>0</v>
      </c>
      <c r="G142" s="94" t="str">
        <f>IFERROR(VLOOKUP($B142,S6M2!$A$1:$B$160,2,0),"0")</f>
        <v>0</v>
      </c>
      <c r="H142" s="95">
        <f>IFERROR(VLOOKUP(G142,S6M2!$B$1:$C$161,2,0),0)</f>
        <v>0</v>
      </c>
      <c r="I142" s="94">
        <f>IFERROR(VLOOKUP($B142,S6M3!$A$1:$B$161,2,0),0)</f>
        <v>0</v>
      </c>
      <c r="J142" s="95">
        <f>IFERROR(VLOOKUP(I142,S6M3!$B$1:$C$161,2,0),0)</f>
        <v>0</v>
      </c>
      <c r="K142" s="94" t="str">
        <f>IFERROR(VLOOKUP($B142,S6M4!$A$1:$B$160,2,0),"0")</f>
        <v>0</v>
      </c>
      <c r="L142" s="95">
        <f>IFERROR(VLOOKUP(K142,S6M4!$B$1:$C$161,2,0),0)</f>
        <v>0</v>
      </c>
      <c r="M142" s="94" t="str">
        <f>IFERROR(VLOOKUP($B142,S6M5!$A$1:$B$160,2,0),"0")</f>
        <v>0</v>
      </c>
      <c r="N142" s="95">
        <f>IFERROR(VLOOKUP(M142,S6M5!$B$1:$C$161,2,0),0)</f>
        <v>0</v>
      </c>
      <c r="O142" s="94" t="str">
        <f>IFERROR(VLOOKUP($B142,S6M6!$A$1:$B$160,2,0),"0")</f>
        <v>0</v>
      </c>
      <c r="P142" s="95">
        <f>IFERROR(VLOOKUP(O142,S6M6!$B$1:$C$161,2,0),0)</f>
        <v>0</v>
      </c>
      <c r="Q142" s="94" t="str">
        <f>IFERROR(VLOOKUP($B142,S6M7!$A$1:$B$160,2,0),"0")</f>
        <v>0</v>
      </c>
      <c r="R142" s="95">
        <f>IFERROR(VLOOKUP(Q142,S6M7!$B$1:$C$161,2,0),0)</f>
        <v>0</v>
      </c>
      <c r="S142" s="94" t="str">
        <f>IFERROR(VLOOKUP($B142,S6M8!$A$1:$B$160,2,0),"0")</f>
        <v>0</v>
      </c>
      <c r="T142" s="95">
        <f>IFERROR(VLOOKUP(S142,S6M8!$B$1:$C$161,2,0),0)</f>
        <v>0</v>
      </c>
      <c r="U142" s="94" t="str">
        <f>IFERROR(VLOOKUP($B142,S6M9!$A$1:$B$160,2,0),"0")</f>
        <v>0</v>
      </c>
      <c r="V142" s="95">
        <f>IFERROR(VLOOKUP(U142,S6M9!$B$1:$C$161,2,0),0)</f>
        <v>0</v>
      </c>
      <c r="W142" s="94" t="str">
        <f>IFERROR(VLOOKUP($B142,S6M10!$A$1:$B$160,2,0),"0")</f>
        <v>0</v>
      </c>
      <c r="X142" s="95">
        <f>IFERROR(VLOOKUP(W142,S6M10!$B$1:$C$161,2,0),0)</f>
        <v>0</v>
      </c>
      <c r="Y142" s="94" t="str">
        <f>IFERROR(VLOOKUP($B142,S6M11!$A$1:$B$160,2,0),"0")</f>
        <v>0</v>
      </c>
      <c r="Z142" s="95">
        <f>IFERROR(VLOOKUP(Y142,S6M11!$B$1:$C$161,2,0),0)</f>
        <v>0</v>
      </c>
      <c r="AA142" s="97">
        <f>IFERROR(VLOOKUP(E142,S6M1!$B$1:$C$161,2,0),0)</f>
        <v>0</v>
      </c>
      <c r="AB142" s="97">
        <f>IFERROR(VLOOKUP(G142,S6M2!$B$1:$C$161,2,0),0)</f>
        <v>0</v>
      </c>
      <c r="AC142" s="97">
        <f>IFERROR(VLOOKUP(I142,S6M3!$B$1:$C$161,2,0),0)</f>
        <v>0</v>
      </c>
      <c r="AD142" s="97">
        <f>IFERROR(VLOOKUP(K142,S6M4!$B$1:$C$161,2,0),0)</f>
        <v>0</v>
      </c>
      <c r="AE142" s="97">
        <f>IFERROR(VLOOKUP(M142,S6M5!$B$1:$C$161,2,0),0)</f>
        <v>0</v>
      </c>
      <c r="AF142" s="97">
        <f>IFERROR(VLOOKUP(O142,S6M6!$B$1:$C$161,2,0),0)</f>
        <v>0</v>
      </c>
      <c r="AG142" s="97">
        <f>IFERROR(VLOOKUP(Q142,S6M7!$B$1:$C$161,2,0),0)</f>
        <v>0</v>
      </c>
      <c r="AH142" s="97">
        <f>IFERROR(VLOOKUP(S142,S6M8!$B$1:$C$161,2,0),0)</f>
        <v>0</v>
      </c>
      <c r="AI142" s="97">
        <f>IFERROR(VLOOKUP(U142,S6M9!$B$1:$C$161,2,0),0)</f>
        <v>0</v>
      </c>
      <c r="AJ142" s="97">
        <f>IFERROR(VLOOKUP(W142,S6M10!$B$1:$C$161,2,0),0)</f>
        <v>0</v>
      </c>
      <c r="AK142" s="97">
        <f>IFERROR(VLOOKUP(Y142,S6M11!$B$1:$C$161,2,0),0)</f>
        <v>0</v>
      </c>
    </row>
    <row r="143" ht="15.75" customHeight="1">
      <c r="A143" s="92">
        <v>142.0</v>
      </c>
      <c r="B143" s="103"/>
      <c r="C143" s="93">
        <f t="shared" si="2"/>
        <v>0</v>
      </c>
      <c r="D143" s="93"/>
      <c r="E143" s="94" t="str">
        <f>IFERROR(VLOOKUP($B143,S6M1!$A$1:$B$160,2,0),"0")</f>
        <v>0</v>
      </c>
      <c r="F143" s="95">
        <f>IFERROR(VLOOKUP(E143,S6M1!$B$1:$C$161,2,0),0)</f>
        <v>0</v>
      </c>
      <c r="G143" s="94" t="str">
        <f>IFERROR(VLOOKUP($B143,S6M2!$A$1:$B$160,2,0),"0")</f>
        <v>0</v>
      </c>
      <c r="H143" s="95">
        <f>IFERROR(VLOOKUP(G143,S6M2!$B$1:$C$161,2,0),0)</f>
        <v>0</v>
      </c>
      <c r="I143" s="94">
        <f>IFERROR(VLOOKUP($B143,S6M3!$A$1:$B$161,2,0),0)</f>
        <v>0</v>
      </c>
      <c r="J143" s="95">
        <f>IFERROR(VLOOKUP(I143,S6M3!$B$1:$C$161,2,0),0)</f>
        <v>0</v>
      </c>
      <c r="K143" s="94" t="str">
        <f>IFERROR(VLOOKUP($B143,S6M4!$A$1:$B$160,2,0),"0")</f>
        <v>0</v>
      </c>
      <c r="L143" s="95">
        <f>IFERROR(VLOOKUP(K143,S6M4!$B$1:$C$161,2,0),0)</f>
        <v>0</v>
      </c>
      <c r="M143" s="94" t="str">
        <f>IFERROR(VLOOKUP($B143,S6M5!$A$1:$B$160,2,0),"0")</f>
        <v>0</v>
      </c>
      <c r="N143" s="95">
        <f>IFERROR(VLOOKUP(M143,S6M5!$B$1:$C$161,2,0),0)</f>
        <v>0</v>
      </c>
      <c r="O143" s="94" t="str">
        <f>IFERROR(VLOOKUP($B143,S6M6!$A$1:$B$160,2,0),"0")</f>
        <v>0</v>
      </c>
      <c r="P143" s="95">
        <f>IFERROR(VLOOKUP(O143,S6M6!$B$1:$C$161,2,0),0)</f>
        <v>0</v>
      </c>
      <c r="Q143" s="94" t="str">
        <f>IFERROR(VLOOKUP($B143,S6M7!$A$1:$B$160,2,0),"0")</f>
        <v>0</v>
      </c>
      <c r="R143" s="95">
        <f>IFERROR(VLOOKUP(Q143,S6M7!$B$1:$C$161,2,0),0)</f>
        <v>0</v>
      </c>
      <c r="S143" s="94" t="str">
        <f>IFERROR(VLOOKUP($B143,S6M8!$A$1:$B$160,2,0),"0")</f>
        <v>0</v>
      </c>
      <c r="T143" s="95">
        <f>IFERROR(VLOOKUP(S143,S6M8!$B$1:$C$161,2,0),0)</f>
        <v>0</v>
      </c>
      <c r="U143" s="94" t="str">
        <f>IFERROR(VLOOKUP($B143,S6M9!$A$1:$B$160,2,0),"0")</f>
        <v>0</v>
      </c>
      <c r="V143" s="95">
        <f>IFERROR(VLOOKUP(U143,S6M9!$B$1:$C$161,2,0),0)</f>
        <v>0</v>
      </c>
      <c r="W143" s="94" t="str">
        <f>IFERROR(VLOOKUP($B143,S6M10!$A$1:$B$160,2,0),"0")</f>
        <v>0</v>
      </c>
      <c r="X143" s="95">
        <f>IFERROR(VLOOKUP(W143,S6M10!$B$1:$C$161,2,0),0)</f>
        <v>0</v>
      </c>
      <c r="Y143" s="94" t="str">
        <f>IFERROR(VLOOKUP($B143,S6M11!$A$1:$B$160,2,0),"0")</f>
        <v>0</v>
      </c>
      <c r="Z143" s="95">
        <f>IFERROR(VLOOKUP(Y143,S6M11!$B$1:$C$161,2,0),0)</f>
        <v>0</v>
      </c>
      <c r="AA143" s="97">
        <f>IFERROR(VLOOKUP(E143,S6M1!$B$1:$C$161,2,0),0)</f>
        <v>0</v>
      </c>
      <c r="AB143" s="97">
        <f>IFERROR(VLOOKUP(G143,S6M2!$B$1:$C$161,2,0),0)</f>
        <v>0</v>
      </c>
      <c r="AC143" s="97">
        <f>IFERROR(VLOOKUP(I143,S6M3!$B$1:$C$161,2,0),0)</f>
        <v>0</v>
      </c>
      <c r="AD143" s="97">
        <f>IFERROR(VLOOKUP(K143,S6M4!$B$1:$C$161,2,0),0)</f>
        <v>0</v>
      </c>
      <c r="AE143" s="97">
        <f>IFERROR(VLOOKUP(M143,S6M5!$B$1:$C$161,2,0),0)</f>
        <v>0</v>
      </c>
      <c r="AF143" s="97">
        <f>IFERROR(VLOOKUP(O143,S6M6!$B$1:$C$161,2,0),0)</f>
        <v>0</v>
      </c>
      <c r="AG143" s="97">
        <f>IFERROR(VLOOKUP(Q143,S6M7!$B$1:$C$161,2,0),0)</f>
        <v>0</v>
      </c>
      <c r="AH143" s="97">
        <f>IFERROR(VLOOKUP(S143,S6M8!$B$1:$C$161,2,0),0)</f>
        <v>0</v>
      </c>
      <c r="AI143" s="97">
        <f>IFERROR(VLOOKUP(U143,S6M9!$B$1:$C$161,2,0),0)</f>
        <v>0</v>
      </c>
      <c r="AJ143" s="97">
        <f>IFERROR(VLOOKUP(W143,S6M10!$B$1:$C$161,2,0),0)</f>
        <v>0</v>
      </c>
      <c r="AK143" s="97">
        <f>IFERROR(VLOOKUP(Y143,S6M11!$B$1:$C$161,2,0),0)</f>
        <v>0</v>
      </c>
    </row>
    <row r="144" ht="15.75" customHeight="1">
      <c r="A144" s="109">
        <v>143.0</v>
      </c>
      <c r="B144" s="103"/>
      <c r="C144" s="93">
        <f t="shared" si="2"/>
        <v>0</v>
      </c>
      <c r="D144" s="93"/>
      <c r="E144" s="94" t="str">
        <f>IFERROR(VLOOKUP($B144,S6M1!$A$1:$B$160,2,0),"0")</f>
        <v>0</v>
      </c>
      <c r="F144" s="95">
        <f>IFERROR(VLOOKUP(E144,S6M1!$B$1:$C$161,2,0),0)</f>
        <v>0</v>
      </c>
      <c r="G144" s="94" t="str">
        <f>IFERROR(VLOOKUP($B144,S6M2!$A$1:$B$160,2,0),"0")</f>
        <v>0</v>
      </c>
      <c r="H144" s="95">
        <f>IFERROR(VLOOKUP(G144,S6M2!$B$1:$C$161,2,0),0)</f>
        <v>0</v>
      </c>
      <c r="I144" s="94">
        <f>IFERROR(VLOOKUP($B144,S6M3!$A$1:$B$161,2,0),0)</f>
        <v>0</v>
      </c>
      <c r="J144" s="95">
        <f>IFERROR(VLOOKUP(I144,S6M3!$B$1:$C$161,2,0),0)</f>
        <v>0</v>
      </c>
      <c r="K144" s="94" t="str">
        <f>IFERROR(VLOOKUP($B144,S6M4!$A$1:$B$160,2,0),"0")</f>
        <v>0</v>
      </c>
      <c r="L144" s="95">
        <f>IFERROR(VLOOKUP(K144,S6M4!$B$1:$C$161,2,0),0)</f>
        <v>0</v>
      </c>
      <c r="M144" s="94" t="str">
        <f>IFERROR(VLOOKUP($B144,S6M5!$A$1:$B$160,2,0),"0")</f>
        <v>0</v>
      </c>
      <c r="N144" s="95">
        <f>IFERROR(VLOOKUP(M144,S6M5!$B$1:$C$161,2,0),0)</f>
        <v>0</v>
      </c>
      <c r="O144" s="94" t="str">
        <f>IFERROR(VLOOKUP($B144,S6M6!$A$1:$B$160,2,0),"0")</f>
        <v>0</v>
      </c>
      <c r="P144" s="95">
        <f>IFERROR(VLOOKUP(O144,S6M6!$B$1:$C$161,2,0),0)</f>
        <v>0</v>
      </c>
      <c r="Q144" s="94" t="str">
        <f>IFERROR(VLOOKUP($B144,S6M7!$A$1:$B$160,2,0),"0")</f>
        <v>0</v>
      </c>
      <c r="R144" s="95">
        <f>IFERROR(VLOOKUP(Q144,S6M7!$B$1:$C$161,2,0),0)</f>
        <v>0</v>
      </c>
      <c r="S144" s="94" t="str">
        <f>IFERROR(VLOOKUP($B144,S6M8!$A$1:$B$160,2,0),"0")</f>
        <v>0</v>
      </c>
      <c r="T144" s="95">
        <f>IFERROR(VLOOKUP(S144,S6M8!$B$1:$C$161,2,0),0)</f>
        <v>0</v>
      </c>
      <c r="U144" s="94" t="str">
        <f>IFERROR(VLOOKUP($B144,S6M9!$A$1:$B$160,2,0),"0")</f>
        <v>0</v>
      </c>
      <c r="V144" s="95">
        <f>IFERROR(VLOOKUP(U144,S6M9!$B$1:$C$161,2,0),0)</f>
        <v>0</v>
      </c>
      <c r="W144" s="94" t="str">
        <f>IFERROR(VLOOKUP($B144,S6M10!$A$1:$B$160,2,0),"0")</f>
        <v>0</v>
      </c>
      <c r="X144" s="95">
        <f>IFERROR(VLOOKUP(W144,S6M10!$B$1:$C$161,2,0),0)</f>
        <v>0</v>
      </c>
      <c r="Y144" s="94" t="str">
        <f>IFERROR(VLOOKUP($B144,S6M11!$A$1:$B$160,2,0),"0")</f>
        <v>0</v>
      </c>
      <c r="Z144" s="95">
        <f>IFERROR(VLOOKUP(Y144,S6M11!$B$1:$C$161,2,0),0)</f>
        <v>0</v>
      </c>
      <c r="AA144" s="97">
        <f>IFERROR(VLOOKUP(E144,S6M1!$B$1:$C$161,2,0),0)</f>
        <v>0</v>
      </c>
      <c r="AB144" s="97">
        <f>IFERROR(VLOOKUP(G144,S6M2!$B$1:$C$161,2,0),0)</f>
        <v>0</v>
      </c>
      <c r="AC144" s="97">
        <f>IFERROR(VLOOKUP(I144,S6M3!$B$1:$C$161,2,0),0)</f>
        <v>0</v>
      </c>
      <c r="AD144" s="97">
        <f>IFERROR(VLOOKUP(K144,S6M4!$B$1:$C$161,2,0),0)</f>
        <v>0</v>
      </c>
      <c r="AE144" s="97">
        <f>IFERROR(VLOOKUP(M144,S6M5!$B$1:$C$161,2,0),0)</f>
        <v>0</v>
      </c>
      <c r="AF144" s="97">
        <f>IFERROR(VLOOKUP(O144,S6M6!$B$1:$C$161,2,0),0)</f>
        <v>0</v>
      </c>
      <c r="AG144" s="97">
        <f>IFERROR(VLOOKUP(Q144,S6M7!$B$1:$C$161,2,0),0)</f>
        <v>0</v>
      </c>
      <c r="AH144" s="97">
        <f>IFERROR(VLOOKUP(S144,S6M8!$B$1:$C$161,2,0),0)</f>
        <v>0</v>
      </c>
      <c r="AI144" s="97">
        <f>IFERROR(VLOOKUP(U144,S6M9!$B$1:$C$161,2,0),0)</f>
        <v>0</v>
      </c>
      <c r="AJ144" s="97">
        <f>IFERROR(VLOOKUP(W144,S6M10!$B$1:$C$161,2,0),0)</f>
        <v>0</v>
      </c>
      <c r="AK144" s="97">
        <f>IFERROR(VLOOKUP(Y144,S6M11!$B$1:$C$161,2,0),0)</f>
        <v>0</v>
      </c>
    </row>
    <row r="145" ht="15.75" customHeight="1">
      <c r="A145" s="109">
        <v>144.0</v>
      </c>
      <c r="B145" s="103"/>
      <c r="C145" s="93">
        <f t="shared" si="2"/>
        <v>0</v>
      </c>
      <c r="D145" s="93"/>
      <c r="E145" s="94" t="str">
        <f>IFERROR(VLOOKUP($B145,S6M1!$A$1:$B$160,2,0),"0")</f>
        <v>0</v>
      </c>
      <c r="F145" s="95">
        <f>IFERROR(VLOOKUP(E145,S6M1!$B$1:$C$161,2,0),0)</f>
        <v>0</v>
      </c>
      <c r="G145" s="94" t="str">
        <f>IFERROR(VLOOKUP($B145,S6M2!$A$1:$B$160,2,0),"0")</f>
        <v>0</v>
      </c>
      <c r="H145" s="95">
        <f>IFERROR(VLOOKUP(G145,S6M2!$B$1:$C$161,2,0),0)</f>
        <v>0</v>
      </c>
      <c r="I145" s="94">
        <f>IFERROR(VLOOKUP($B145,S6M3!$A$1:$B$161,2,0),0)</f>
        <v>0</v>
      </c>
      <c r="J145" s="95">
        <f>IFERROR(VLOOKUP(I145,S6M3!$B$1:$C$161,2,0),0)</f>
        <v>0</v>
      </c>
      <c r="K145" s="94" t="str">
        <f>IFERROR(VLOOKUP($B145,S6M4!$A$1:$B$160,2,0),"0")</f>
        <v>0</v>
      </c>
      <c r="L145" s="95">
        <f>IFERROR(VLOOKUP(K145,S6M4!$B$1:$C$161,2,0),0)</f>
        <v>0</v>
      </c>
      <c r="M145" s="94" t="str">
        <f>IFERROR(VLOOKUP($B145,S6M5!$A$1:$B$160,2,0),"0")</f>
        <v>0</v>
      </c>
      <c r="N145" s="95">
        <f>IFERROR(VLOOKUP(M145,S6M5!$B$1:$C$161,2,0),0)</f>
        <v>0</v>
      </c>
      <c r="O145" s="94" t="str">
        <f>IFERROR(VLOOKUP($B145,S6M6!$A$1:$B$160,2,0),"0")</f>
        <v>0</v>
      </c>
      <c r="P145" s="95">
        <f>IFERROR(VLOOKUP(O145,S6M6!$B$1:$C$161,2,0),0)</f>
        <v>0</v>
      </c>
      <c r="Q145" s="94" t="str">
        <f>IFERROR(VLOOKUP($B145,S6M7!$A$1:$B$160,2,0),"0")</f>
        <v>0</v>
      </c>
      <c r="R145" s="95">
        <f>IFERROR(VLOOKUP(Q145,S6M7!$B$1:$C$161,2,0),0)</f>
        <v>0</v>
      </c>
      <c r="S145" s="94" t="str">
        <f>IFERROR(VLOOKUP($B145,S6M8!$A$1:$B$160,2,0),"0")</f>
        <v>0</v>
      </c>
      <c r="T145" s="95">
        <f>IFERROR(VLOOKUP(S145,S6M8!$B$1:$C$161,2,0),0)</f>
        <v>0</v>
      </c>
      <c r="U145" s="94" t="str">
        <f>IFERROR(VLOOKUP($B145,S6M9!$A$1:$B$160,2,0),"0")</f>
        <v>0</v>
      </c>
      <c r="V145" s="95">
        <f>IFERROR(VLOOKUP(U145,S6M9!$B$1:$C$161,2,0),0)</f>
        <v>0</v>
      </c>
      <c r="W145" s="94" t="str">
        <f>IFERROR(VLOOKUP($B145,S6M10!$A$1:$B$160,2,0),"0")</f>
        <v>0</v>
      </c>
      <c r="X145" s="95">
        <f>IFERROR(VLOOKUP(W145,S6M10!$B$1:$C$161,2,0),0)</f>
        <v>0</v>
      </c>
      <c r="Y145" s="94" t="str">
        <f>IFERROR(VLOOKUP($B145,S6M11!$A$1:$B$160,2,0),"0")</f>
        <v>0</v>
      </c>
      <c r="Z145" s="95">
        <f>IFERROR(VLOOKUP(Y145,S6M11!$B$1:$C$161,2,0),0)</f>
        <v>0</v>
      </c>
      <c r="AA145" s="97">
        <f>IFERROR(VLOOKUP(E145,S6M1!$B$1:$C$161,2,0),0)</f>
        <v>0</v>
      </c>
      <c r="AB145" s="97">
        <f>IFERROR(VLOOKUP(G145,S6M2!$B$1:$C$161,2,0),0)</f>
        <v>0</v>
      </c>
      <c r="AC145" s="97">
        <f>IFERROR(VLOOKUP(I145,S6M3!$B$1:$C$161,2,0),0)</f>
        <v>0</v>
      </c>
      <c r="AD145" s="97">
        <f>IFERROR(VLOOKUP(K145,S6M4!$B$1:$C$161,2,0),0)</f>
        <v>0</v>
      </c>
      <c r="AE145" s="97">
        <f>IFERROR(VLOOKUP(M145,S6M5!$B$1:$C$161,2,0),0)</f>
        <v>0</v>
      </c>
      <c r="AF145" s="97">
        <f>IFERROR(VLOOKUP(O145,S6M6!$B$1:$C$161,2,0),0)</f>
        <v>0</v>
      </c>
      <c r="AG145" s="97">
        <f>IFERROR(VLOOKUP(Q145,S6M7!$B$1:$C$161,2,0),0)</f>
        <v>0</v>
      </c>
      <c r="AH145" s="97">
        <f>IFERROR(VLOOKUP(S145,S6M8!$B$1:$C$161,2,0),0)</f>
        <v>0</v>
      </c>
      <c r="AI145" s="97">
        <f>IFERROR(VLOOKUP(U145,S6M9!$B$1:$C$161,2,0),0)</f>
        <v>0</v>
      </c>
      <c r="AJ145" s="97">
        <f>IFERROR(VLOOKUP(W145,S6M10!$B$1:$C$161,2,0),0)</f>
        <v>0</v>
      </c>
      <c r="AK145" s="97">
        <f>IFERROR(VLOOKUP(Y145,S6M11!$B$1:$C$161,2,0),0)</f>
        <v>0</v>
      </c>
    </row>
    <row r="146" ht="15.75" customHeight="1">
      <c r="A146" s="109">
        <v>145.0</v>
      </c>
      <c r="B146" s="103"/>
      <c r="C146" s="93">
        <f t="shared" si="2"/>
        <v>0</v>
      </c>
      <c r="D146" s="93"/>
      <c r="E146" s="94" t="str">
        <f>IFERROR(VLOOKUP($B146,S6M1!$A$1:$B$160,2,0),"0")</f>
        <v>0</v>
      </c>
      <c r="F146" s="95">
        <f>IFERROR(VLOOKUP(E146,S6M1!$B$1:$C$161,2,0),0)</f>
        <v>0</v>
      </c>
      <c r="G146" s="94" t="str">
        <f>IFERROR(VLOOKUP($B146,S6M2!$A$1:$B$160,2,0),"0")</f>
        <v>0</v>
      </c>
      <c r="H146" s="95">
        <f>IFERROR(VLOOKUP(G146,S6M2!$B$1:$C$161,2,0),0)</f>
        <v>0</v>
      </c>
      <c r="I146" s="94">
        <f>IFERROR(VLOOKUP($B146,S6M3!$A$1:$B$161,2,0),0)</f>
        <v>0</v>
      </c>
      <c r="J146" s="95">
        <f>IFERROR(VLOOKUP(I146,S6M3!$B$1:$C$161,2,0),0)</f>
        <v>0</v>
      </c>
      <c r="K146" s="94" t="str">
        <f>IFERROR(VLOOKUP($B146,S6M4!$A$1:$B$160,2,0),"0")</f>
        <v>0</v>
      </c>
      <c r="L146" s="95">
        <f>IFERROR(VLOOKUP(K146,S6M4!$B$1:$C$161,2,0),0)</f>
        <v>0</v>
      </c>
      <c r="M146" s="94" t="str">
        <f>IFERROR(VLOOKUP($B146,S6M5!$A$1:$B$160,2,0),"0")</f>
        <v>0</v>
      </c>
      <c r="N146" s="95">
        <f>IFERROR(VLOOKUP(M146,S6M5!$B$1:$C$161,2,0),0)</f>
        <v>0</v>
      </c>
      <c r="O146" s="94" t="str">
        <f>IFERROR(VLOOKUP($B146,S6M6!$A$1:$B$160,2,0),"0")</f>
        <v>0</v>
      </c>
      <c r="P146" s="95">
        <f>IFERROR(VLOOKUP(O146,S6M6!$B$1:$C$161,2,0),0)</f>
        <v>0</v>
      </c>
      <c r="Q146" s="94" t="str">
        <f>IFERROR(VLOOKUP($B146,S6M7!$A$1:$B$160,2,0),"0")</f>
        <v>0</v>
      </c>
      <c r="R146" s="95">
        <f>IFERROR(VLOOKUP(Q146,S6M7!$B$1:$C$161,2,0),0)</f>
        <v>0</v>
      </c>
      <c r="S146" s="94" t="str">
        <f>IFERROR(VLOOKUP($B146,S6M8!$A$1:$B$160,2,0),"0")</f>
        <v>0</v>
      </c>
      <c r="T146" s="95">
        <f>IFERROR(VLOOKUP(S146,S6M8!$B$1:$C$161,2,0),0)</f>
        <v>0</v>
      </c>
      <c r="U146" s="94" t="str">
        <f>IFERROR(VLOOKUP($B146,S6M9!$A$1:$B$160,2,0),"0")</f>
        <v>0</v>
      </c>
      <c r="V146" s="95">
        <f>IFERROR(VLOOKUP(U146,S6M9!$B$1:$C$161,2,0),0)</f>
        <v>0</v>
      </c>
      <c r="W146" s="94" t="str">
        <f>IFERROR(VLOOKUP($B146,S6M10!$A$1:$B$160,2,0),"0")</f>
        <v>0</v>
      </c>
      <c r="X146" s="95">
        <f>IFERROR(VLOOKUP(W146,S6M10!$B$1:$C$161,2,0),0)</f>
        <v>0</v>
      </c>
      <c r="Y146" s="94" t="str">
        <f>IFERROR(VLOOKUP($B146,S6M11!$A$1:$B$160,2,0),"0")</f>
        <v>0</v>
      </c>
      <c r="Z146" s="95">
        <f>IFERROR(VLOOKUP(Y146,S6M11!$B$1:$C$161,2,0),0)</f>
        <v>0</v>
      </c>
      <c r="AA146" s="97">
        <f>IFERROR(VLOOKUP(E146,S6M1!$B$1:$C$161,2,0),0)</f>
        <v>0</v>
      </c>
      <c r="AB146" s="97">
        <f>IFERROR(VLOOKUP(G146,S6M2!$B$1:$C$161,2,0),0)</f>
        <v>0</v>
      </c>
      <c r="AC146" s="97">
        <f>IFERROR(VLOOKUP(I146,S6M3!$B$1:$C$161,2,0),0)</f>
        <v>0</v>
      </c>
      <c r="AD146" s="97">
        <f>IFERROR(VLOOKUP(K146,S6M4!$B$1:$C$161,2,0),0)</f>
        <v>0</v>
      </c>
      <c r="AE146" s="97">
        <f>IFERROR(VLOOKUP(M146,S6M5!$B$1:$C$161,2,0),0)</f>
        <v>0</v>
      </c>
      <c r="AF146" s="97">
        <f>IFERROR(VLOOKUP(O146,S6M6!$B$1:$C$161,2,0),0)</f>
        <v>0</v>
      </c>
      <c r="AG146" s="97">
        <f>IFERROR(VLOOKUP(Q146,S6M7!$B$1:$C$161,2,0),0)</f>
        <v>0</v>
      </c>
      <c r="AH146" s="97">
        <f>IFERROR(VLOOKUP(S146,S6M8!$B$1:$C$161,2,0),0)</f>
        <v>0</v>
      </c>
      <c r="AI146" s="97">
        <f>IFERROR(VLOOKUP(U146,S6M9!$B$1:$C$161,2,0),0)</f>
        <v>0</v>
      </c>
      <c r="AJ146" s="97">
        <f>IFERROR(VLOOKUP(W146,S6M10!$B$1:$C$161,2,0),0)</f>
        <v>0</v>
      </c>
      <c r="AK146" s="97">
        <f>IFERROR(VLOOKUP(Y146,S6M11!$B$1:$C$161,2,0),0)</f>
        <v>0</v>
      </c>
    </row>
    <row r="147" ht="15.75" customHeight="1">
      <c r="A147" s="109">
        <v>146.0</v>
      </c>
      <c r="B147" s="103"/>
      <c r="C147" s="93">
        <f t="shared" si="2"/>
        <v>0</v>
      </c>
      <c r="D147" s="93"/>
      <c r="E147" s="94" t="str">
        <f>IFERROR(VLOOKUP($B147,S6M1!$A$1:$B$160,2,0),"0")</f>
        <v>0</v>
      </c>
      <c r="F147" s="95">
        <f>IFERROR(VLOOKUP(E147,S6M1!$B$1:$C$161,2,0),0)</f>
        <v>0</v>
      </c>
      <c r="G147" s="94" t="str">
        <f>IFERROR(VLOOKUP($B147,S6M2!$A$1:$B$160,2,0),"0")</f>
        <v>0</v>
      </c>
      <c r="H147" s="95">
        <f>IFERROR(VLOOKUP(G147,S6M2!$B$1:$C$161,2,0),0)</f>
        <v>0</v>
      </c>
      <c r="I147" s="94">
        <f>IFERROR(VLOOKUP($B147,S6M3!$A$1:$B$161,2,0),0)</f>
        <v>0</v>
      </c>
      <c r="J147" s="95">
        <f>IFERROR(VLOOKUP(I147,S6M3!$B$1:$C$161,2,0),0)</f>
        <v>0</v>
      </c>
      <c r="K147" s="94" t="str">
        <f>IFERROR(VLOOKUP($B147,S6M4!$A$1:$B$160,2,0),"0")</f>
        <v>0</v>
      </c>
      <c r="L147" s="95">
        <f>IFERROR(VLOOKUP(K147,S6M4!$B$1:$C$161,2,0),0)</f>
        <v>0</v>
      </c>
      <c r="M147" s="94" t="str">
        <f>IFERROR(VLOOKUP($B147,S6M5!$A$1:$B$160,2,0),"0")</f>
        <v>0</v>
      </c>
      <c r="N147" s="95">
        <f>IFERROR(VLOOKUP(M147,S6M5!$B$1:$C$161,2,0),0)</f>
        <v>0</v>
      </c>
      <c r="O147" s="94" t="str">
        <f>IFERROR(VLOOKUP($B147,S6M6!$A$1:$B$160,2,0),"0")</f>
        <v>0</v>
      </c>
      <c r="P147" s="95">
        <f>IFERROR(VLOOKUP(O147,S6M6!$B$1:$C$161,2,0),0)</f>
        <v>0</v>
      </c>
      <c r="Q147" s="94" t="str">
        <f>IFERROR(VLOOKUP($B147,S6M7!$A$1:$B$160,2,0),"0")</f>
        <v>0</v>
      </c>
      <c r="R147" s="95">
        <f>IFERROR(VLOOKUP(Q147,S6M7!$B$1:$C$161,2,0),0)</f>
        <v>0</v>
      </c>
      <c r="S147" s="94" t="str">
        <f>IFERROR(VLOOKUP($B147,S6M8!$A$1:$B$160,2,0),"0")</f>
        <v>0</v>
      </c>
      <c r="T147" s="95">
        <f>IFERROR(VLOOKUP(S147,S6M8!$B$1:$C$161,2,0),0)</f>
        <v>0</v>
      </c>
      <c r="U147" s="94" t="str">
        <f>IFERROR(VLOOKUP($B147,S6M9!$A$1:$B$160,2,0),"0")</f>
        <v>0</v>
      </c>
      <c r="V147" s="95">
        <f>IFERROR(VLOOKUP(U147,S6M9!$B$1:$C$161,2,0),0)</f>
        <v>0</v>
      </c>
      <c r="W147" s="94" t="str">
        <f>IFERROR(VLOOKUP($B147,S6M10!$A$1:$B$160,2,0),"0")</f>
        <v>0</v>
      </c>
      <c r="X147" s="95">
        <f>IFERROR(VLOOKUP(W147,S6M10!$B$1:$C$161,2,0),0)</f>
        <v>0</v>
      </c>
      <c r="Y147" s="94" t="str">
        <f>IFERROR(VLOOKUP($B147,S6M11!$A$1:$B$160,2,0),"0")</f>
        <v>0</v>
      </c>
      <c r="Z147" s="95">
        <f>IFERROR(VLOOKUP(Y147,S6M11!$B$1:$C$161,2,0),0)</f>
        <v>0</v>
      </c>
      <c r="AA147" s="97">
        <f>IFERROR(VLOOKUP(E147,S6M1!$B$1:$C$161,2,0),0)</f>
        <v>0</v>
      </c>
      <c r="AB147" s="97">
        <f>IFERROR(VLOOKUP(G147,S6M2!$B$1:$C$161,2,0),0)</f>
        <v>0</v>
      </c>
      <c r="AC147" s="97">
        <f>IFERROR(VLOOKUP(I147,S6M3!$B$1:$C$161,2,0),0)</f>
        <v>0</v>
      </c>
      <c r="AD147" s="97">
        <f>IFERROR(VLOOKUP(K147,S6M4!$B$1:$C$161,2,0),0)</f>
        <v>0</v>
      </c>
      <c r="AE147" s="97">
        <f>IFERROR(VLOOKUP(M147,S6M5!$B$1:$C$161,2,0),0)</f>
        <v>0</v>
      </c>
      <c r="AF147" s="97">
        <f>IFERROR(VLOOKUP(O147,S6M6!$B$1:$C$161,2,0),0)</f>
        <v>0</v>
      </c>
      <c r="AG147" s="97">
        <f>IFERROR(VLOOKUP(Q147,S6M7!$B$1:$C$161,2,0),0)</f>
        <v>0</v>
      </c>
      <c r="AH147" s="97">
        <f>IFERROR(VLOOKUP(S147,S6M8!$B$1:$C$161,2,0),0)</f>
        <v>0</v>
      </c>
      <c r="AI147" s="97">
        <f>IFERROR(VLOOKUP(U147,S6M9!$B$1:$C$161,2,0),0)</f>
        <v>0</v>
      </c>
      <c r="AJ147" s="97">
        <f>IFERROR(VLOOKUP(W147,S6M10!$B$1:$C$161,2,0),0)</f>
        <v>0</v>
      </c>
      <c r="AK147" s="97">
        <f>IFERROR(VLOOKUP(Y147,S6M11!$B$1:$C$161,2,0),0)</f>
        <v>0</v>
      </c>
    </row>
    <row r="148" ht="15.75" customHeight="1">
      <c r="A148" s="109">
        <v>147.0</v>
      </c>
      <c r="B148" s="103"/>
      <c r="C148" s="93">
        <f t="shared" si="2"/>
        <v>0</v>
      </c>
      <c r="D148" s="93"/>
      <c r="E148" s="94" t="str">
        <f>IFERROR(VLOOKUP($B148,S6M1!$A$1:$B$160,2,0),"0")</f>
        <v>0</v>
      </c>
      <c r="F148" s="95">
        <f>IFERROR(VLOOKUP(E148,S6M1!$B$1:$C$161,2,0),0)</f>
        <v>0</v>
      </c>
      <c r="G148" s="94" t="str">
        <f>IFERROR(VLOOKUP($B148,S6M2!$A$1:$B$160,2,0),"0")</f>
        <v>0</v>
      </c>
      <c r="H148" s="95">
        <f>IFERROR(VLOOKUP(G148,S6M2!$B$1:$C$161,2,0),0)</f>
        <v>0</v>
      </c>
      <c r="I148" s="94">
        <f>IFERROR(VLOOKUP($B148,S6M3!$A$1:$B$161,2,0),0)</f>
        <v>0</v>
      </c>
      <c r="J148" s="95">
        <f>IFERROR(VLOOKUP(I148,S6M3!$B$1:$C$161,2,0),0)</f>
        <v>0</v>
      </c>
      <c r="K148" s="94" t="str">
        <f>IFERROR(VLOOKUP($B148,S6M4!$A$1:$B$160,2,0),"0")</f>
        <v>0</v>
      </c>
      <c r="L148" s="95">
        <f>IFERROR(VLOOKUP(K148,S6M4!$B$1:$C$161,2,0),0)</f>
        <v>0</v>
      </c>
      <c r="M148" s="94" t="str">
        <f>IFERROR(VLOOKUP($B148,S6M5!$A$1:$B$160,2,0),"0")</f>
        <v>0</v>
      </c>
      <c r="N148" s="95">
        <f>IFERROR(VLOOKUP(M148,S6M5!$B$1:$C$161,2,0),0)</f>
        <v>0</v>
      </c>
      <c r="O148" s="94" t="str">
        <f>IFERROR(VLOOKUP($B148,S6M6!$A$1:$B$160,2,0),"0")</f>
        <v>0</v>
      </c>
      <c r="P148" s="95">
        <f>IFERROR(VLOOKUP(O148,S6M6!$B$1:$C$161,2,0),0)</f>
        <v>0</v>
      </c>
      <c r="Q148" s="94" t="str">
        <f>IFERROR(VLOOKUP($B148,S6M7!$A$1:$B$160,2,0),"0")</f>
        <v>0</v>
      </c>
      <c r="R148" s="95">
        <f>IFERROR(VLOOKUP(Q148,S6M7!$B$1:$C$161,2,0),0)</f>
        <v>0</v>
      </c>
      <c r="S148" s="94" t="str">
        <f>IFERROR(VLOOKUP($B148,S6M8!$A$1:$B$160,2,0),"0")</f>
        <v>0</v>
      </c>
      <c r="T148" s="95">
        <f>IFERROR(VLOOKUP(S148,S6M8!$B$1:$C$161,2,0),0)</f>
        <v>0</v>
      </c>
      <c r="U148" s="94" t="str">
        <f>IFERROR(VLOOKUP($B148,S6M9!$A$1:$B$160,2,0),"0")</f>
        <v>0</v>
      </c>
      <c r="V148" s="95">
        <f>IFERROR(VLOOKUP(U148,S6M9!$B$1:$C$161,2,0),0)</f>
        <v>0</v>
      </c>
      <c r="W148" s="94" t="str">
        <f>IFERROR(VLOOKUP($B148,S6M10!$A$1:$B$160,2,0),"0")</f>
        <v>0</v>
      </c>
      <c r="X148" s="95">
        <f>IFERROR(VLOOKUP(W148,S6M10!$B$1:$C$161,2,0),0)</f>
        <v>0</v>
      </c>
      <c r="Y148" s="94" t="str">
        <f>IFERROR(VLOOKUP($B148,S6M11!$A$1:$B$160,2,0),"0")</f>
        <v>0</v>
      </c>
      <c r="Z148" s="95">
        <f>IFERROR(VLOOKUP(Y148,S6M11!$B$1:$C$161,2,0),0)</f>
        <v>0</v>
      </c>
      <c r="AA148" s="97">
        <f>IFERROR(VLOOKUP(E148,S6M1!$B$1:$C$161,2,0),0)</f>
        <v>0</v>
      </c>
      <c r="AB148" s="97">
        <f>IFERROR(VLOOKUP(G148,S6M2!$B$1:$C$161,2,0),0)</f>
        <v>0</v>
      </c>
      <c r="AC148" s="97">
        <f>IFERROR(VLOOKUP(I148,S6M3!$B$1:$C$161,2,0),0)</f>
        <v>0</v>
      </c>
      <c r="AD148" s="97">
        <f>IFERROR(VLOOKUP(K148,S6M4!$B$1:$C$161,2,0),0)</f>
        <v>0</v>
      </c>
      <c r="AE148" s="97">
        <f>IFERROR(VLOOKUP(M148,S6M5!$B$1:$C$161,2,0),0)</f>
        <v>0</v>
      </c>
      <c r="AF148" s="97">
        <f>IFERROR(VLOOKUP(O148,S6M6!$B$1:$C$161,2,0),0)</f>
        <v>0</v>
      </c>
      <c r="AG148" s="97">
        <f>IFERROR(VLOOKUP(Q148,S6M7!$B$1:$C$161,2,0),0)</f>
        <v>0</v>
      </c>
      <c r="AH148" s="97">
        <f>IFERROR(VLOOKUP(S148,S6M8!$B$1:$C$161,2,0),0)</f>
        <v>0</v>
      </c>
      <c r="AI148" s="97">
        <f>IFERROR(VLOOKUP(U148,S6M9!$B$1:$C$161,2,0),0)</f>
        <v>0</v>
      </c>
      <c r="AJ148" s="97">
        <f>IFERROR(VLOOKUP(W148,S6M10!$B$1:$C$161,2,0),0)</f>
        <v>0</v>
      </c>
      <c r="AK148" s="97">
        <f>IFERROR(VLOOKUP(Y148,S6M11!$B$1:$C$161,2,0),0)</f>
        <v>0</v>
      </c>
    </row>
    <row r="149" ht="15.75" customHeight="1">
      <c r="A149" s="109">
        <v>148.0</v>
      </c>
      <c r="B149" s="103"/>
      <c r="C149" s="93">
        <f t="shared" si="2"/>
        <v>0</v>
      </c>
      <c r="D149" s="93"/>
      <c r="E149" s="94" t="str">
        <f>IFERROR(VLOOKUP($B149,S6M1!$A$1:$B$160,2,0),"0")</f>
        <v>0</v>
      </c>
      <c r="F149" s="95">
        <f>IFERROR(VLOOKUP(E149,S6M1!$B$1:$C$161,2,0),0)</f>
        <v>0</v>
      </c>
      <c r="G149" s="94" t="str">
        <f>IFERROR(VLOOKUP($B149,S6M2!$A$1:$B$160,2,0),"0")</f>
        <v>0</v>
      </c>
      <c r="H149" s="95">
        <f>IFERROR(VLOOKUP(G149,S6M2!$B$1:$C$161,2,0),0)</f>
        <v>0</v>
      </c>
      <c r="I149" s="94">
        <f>IFERROR(VLOOKUP($B149,S6M3!$A$1:$B$161,2,0),0)</f>
        <v>0</v>
      </c>
      <c r="J149" s="95">
        <f>IFERROR(VLOOKUP(I149,S6M3!$B$1:$C$161,2,0),0)</f>
        <v>0</v>
      </c>
      <c r="K149" s="94" t="str">
        <f>IFERROR(VLOOKUP($B149,S6M4!$A$1:$B$160,2,0),"0")</f>
        <v>0</v>
      </c>
      <c r="L149" s="95">
        <f>IFERROR(VLOOKUP(K149,S6M4!$B$1:$C$161,2,0),0)</f>
        <v>0</v>
      </c>
      <c r="M149" s="94" t="str">
        <f>IFERROR(VLOOKUP($B149,S6M5!$A$1:$B$160,2,0),"0")</f>
        <v>0</v>
      </c>
      <c r="N149" s="95">
        <f>IFERROR(VLOOKUP(M149,S6M5!$B$1:$C$161,2,0),0)</f>
        <v>0</v>
      </c>
      <c r="O149" s="94" t="str">
        <f>IFERROR(VLOOKUP($B149,S6M6!$A$1:$B$160,2,0),"0")</f>
        <v>0</v>
      </c>
      <c r="P149" s="95">
        <f>IFERROR(VLOOKUP(O149,S6M6!$B$1:$C$161,2,0),0)</f>
        <v>0</v>
      </c>
      <c r="Q149" s="94" t="str">
        <f>IFERROR(VLOOKUP($B149,S6M7!$A$1:$B$160,2,0),"0")</f>
        <v>0</v>
      </c>
      <c r="R149" s="95">
        <f>IFERROR(VLOOKUP(Q149,S6M7!$B$1:$C$161,2,0),0)</f>
        <v>0</v>
      </c>
      <c r="S149" s="94" t="str">
        <f>IFERROR(VLOOKUP($B149,S6M8!$A$1:$B$160,2,0),"0")</f>
        <v>0</v>
      </c>
      <c r="T149" s="95">
        <f>IFERROR(VLOOKUP(S149,S6M8!$B$1:$C$161,2,0),0)</f>
        <v>0</v>
      </c>
      <c r="U149" s="94" t="str">
        <f>IFERROR(VLOOKUP($B149,S6M9!$A$1:$B$160,2,0),"0")</f>
        <v>0</v>
      </c>
      <c r="V149" s="95">
        <f>IFERROR(VLOOKUP(U149,S6M9!$B$1:$C$161,2,0),0)</f>
        <v>0</v>
      </c>
      <c r="W149" s="94" t="str">
        <f>IFERROR(VLOOKUP($B149,S6M10!$A$1:$B$160,2,0),"0")</f>
        <v>0</v>
      </c>
      <c r="X149" s="95">
        <f>IFERROR(VLOOKUP(W149,S6M10!$B$1:$C$161,2,0),0)</f>
        <v>0</v>
      </c>
      <c r="Y149" s="94" t="str">
        <f>IFERROR(VLOOKUP($B149,S6M11!$A$1:$B$160,2,0),"0")</f>
        <v>0</v>
      </c>
      <c r="Z149" s="95">
        <f>IFERROR(VLOOKUP(Y149,S6M11!$B$1:$C$161,2,0),0)</f>
        <v>0</v>
      </c>
      <c r="AA149" s="97">
        <f>IFERROR(VLOOKUP(E149,S6M1!$B$1:$C$161,2,0),0)</f>
        <v>0</v>
      </c>
      <c r="AB149" s="97">
        <f>IFERROR(VLOOKUP(G149,S6M2!$B$1:$C$161,2,0),0)</f>
        <v>0</v>
      </c>
      <c r="AC149" s="97">
        <f>IFERROR(VLOOKUP(I149,S6M3!$B$1:$C$161,2,0),0)</f>
        <v>0</v>
      </c>
      <c r="AD149" s="97">
        <f>IFERROR(VLOOKUP(K149,S6M4!$B$1:$C$161,2,0),0)</f>
        <v>0</v>
      </c>
      <c r="AE149" s="97">
        <f>IFERROR(VLOOKUP(M149,S6M5!$B$1:$C$161,2,0),0)</f>
        <v>0</v>
      </c>
      <c r="AF149" s="97">
        <f>IFERROR(VLOOKUP(O149,S6M6!$B$1:$C$161,2,0),0)</f>
        <v>0</v>
      </c>
      <c r="AG149" s="97">
        <f>IFERROR(VLOOKUP(Q149,S6M7!$B$1:$C$161,2,0),0)</f>
        <v>0</v>
      </c>
      <c r="AH149" s="97">
        <f>IFERROR(VLOOKUP(S149,S6M8!$B$1:$C$161,2,0),0)</f>
        <v>0</v>
      </c>
      <c r="AI149" s="97">
        <f>IFERROR(VLOOKUP(U149,S6M9!$B$1:$C$161,2,0),0)</f>
        <v>0</v>
      </c>
      <c r="AJ149" s="97">
        <f>IFERROR(VLOOKUP(W149,S6M10!$B$1:$C$161,2,0),0)</f>
        <v>0</v>
      </c>
      <c r="AK149" s="97">
        <f>IFERROR(VLOOKUP(Y149,S6M11!$B$1:$C$161,2,0),0)</f>
        <v>0</v>
      </c>
    </row>
    <row r="150" ht="15.75" customHeight="1">
      <c r="A150" s="109">
        <v>149.0</v>
      </c>
      <c r="B150" s="103"/>
      <c r="C150" s="93">
        <f t="shared" si="2"/>
        <v>0</v>
      </c>
      <c r="D150" s="93"/>
      <c r="E150" s="94" t="str">
        <f>IFERROR(VLOOKUP($B150,S6M1!$A$1:$B$160,2,0),"0")</f>
        <v>0</v>
      </c>
      <c r="F150" s="95">
        <f>IFERROR(VLOOKUP(E150,S6M1!$B$1:$C$161,2,0),0)</f>
        <v>0</v>
      </c>
      <c r="G150" s="94" t="str">
        <f>IFERROR(VLOOKUP($B150,S6M2!$A$1:$B$160,2,0),"0")</f>
        <v>0</v>
      </c>
      <c r="H150" s="95">
        <f>IFERROR(VLOOKUP(G150,S6M2!$B$1:$C$161,2,0),0)</f>
        <v>0</v>
      </c>
      <c r="I150" s="94">
        <f>IFERROR(VLOOKUP($B150,S6M3!$A$1:$B$161,2,0),0)</f>
        <v>0</v>
      </c>
      <c r="J150" s="95">
        <f>IFERROR(VLOOKUP(I150,S6M3!$B$1:$C$161,2,0),0)</f>
        <v>0</v>
      </c>
      <c r="K150" s="94" t="str">
        <f>IFERROR(VLOOKUP($B150,S6M4!$A$1:$B$160,2,0),"0")</f>
        <v>0</v>
      </c>
      <c r="L150" s="95">
        <f>IFERROR(VLOOKUP(K150,S6M4!$B$1:$C$161,2,0),0)</f>
        <v>0</v>
      </c>
      <c r="M150" s="94" t="str">
        <f>IFERROR(VLOOKUP($B150,S6M5!$A$1:$B$160,2,0),"0")</f>
        <v>0</v>
      </c>
      <c r="N150" s="95">
        <f>IFERROR(VLOOKUP(M150,S6M5!$B$1:$C$161,2,0),0)</f>
        <v>0</v>
      </c>
      <c r="O150" s="94" t="str">
        <f>IFERROR(VLOOKUP($B150,S6M6!$A$1:$B$160,2,0),"0")</f>
        <v>0</v>
      </c>
      <c r="P150" s="95">
        <f>IFERROR(VLOOKUP(O150,S6M6!$B$1:$C$161,2,0),0)</f>
        <v>0</v>
      </c>
      <c r="Q150" s="94" t="str">
        <f>IFERROR(VLOOKUP($B150,S6M7!$A$1:$B$160,2,0),"0")</f>
        <v>0</v>
      </c>
      <c r="R150" s="95">
        <f>IFERROR(VLOOKUP(Q150,S6M7!$B$1:$C$161,2,0),0)</f>
        <v>0</v>
      </c>
      <c r="S150" s="94" t="str">
        <f>IFERROR(VLOOKUP($B150,S6M8!$A$1:$B$160,2,0),"0")</f>
        <v>0</v>
      </c>
      <c r="T150" s="95">
        <f>IFERROR(VLOOKUP(S150,S6M8!$B$1:$C$161,2,0),0)</f>
        <v>0</v>
      </c>
      <c r="U150" s="94" t="str">
        <f>IFERROR(VLOOKUP($B150,S6M9!$A$1:$B$160,2,0),"0")</f>
        <v>0</v>
      </c>
      <c r="V150" s="95">
        <f>IFERROR(VLOOKUP(U150,S6M9!$B$1:$C$161,2,0),0)</f>
        <v>0</v>
      </c>
      <c r="W150" s="94" t="str">
        <f>IFERROR(VLOOKUP($B150,S6M10!$A$1:$B$160,2,0),"0")</f>
        <v>0</v>
      </c>
      <c r="X150" s="95">
        <f>IFERROR(VLOOKUP(W150,S6M10!$B$1:$C$161,2,0),0)</f>
        <v>0</v>
      </c>
      <c r="Y150" s="94" t="str">
        <f>IFERROR(VLOOKUP($B150,S6M11!$A$1:$B$160,2,0),"0")</f>
        <v>0</v>
      </c>
      <c r="Z150" s="95">
        <f>IFERROR(VLOOKUP(Y150,S6M11!$B$1:$C$161,2,0),0)</f>
        <v>0</v>
      </c>
      <c r="AA150" s="97">
        <f>IFERROR(VLOOKUP(E150,S6M1!$B$1:$C$161,2,0),0)</f>
        <v>0</v>
      </c>
      <c r="AB150" s="97">
        <f>IFERROR(VLOOKUP(G150,S6M2!$B$1:$C$161,2,0),0)</f>
        <v>0</v>
      </c>
      <c r="AC150" s="97">
        <f>IFERROR(VLOOKUP(I150,S6M3!$B$1:$C$161,2,0),0)</f>
        <v>0</v>
      </c>
      <c r="AD150" s="97">
        <f>IFERROR(VLOOKUP(K150,S6M4!$B$1:$C$161,2,0),0)</f>
        <v>0</v>
      </c>
      <c r="AE150" s="97">
        <f>IFERROR(VLOOKUP(M150,S6M5!$B$1:$C$161,2,0),0)</f>
        <v>0</v>
      </c>
      <c r="AF150" s="97">
        <f>IFERROR(VLOOKUP(O150,S6M6!$B$1:$C$161,2,0),0)</f>
        <v>0</v>
      </c>
      <c r="AG150" s="97">
        <f>IFERROR(VLOOKUP(Q150,S6M7!$B$1:$C$161,2,0),0)</f>
        <v>0</v>
      </c>
      <c r="AH150" s="97">
        <f>IFERROR(VLOOKUP(S150,S6M8!$B$1:$C$161,2,0),0)</f>
        <v>0</v>
      </c>
      <c r="AI150" s="97">
        <f>IFERROR(VLOOKUP(U150,S6M9!$B$1:$C$161,2,0),0)</f>
        <v>0</v>
      </c>
      <c r="AJ150" s="97">
        <f>IFERROR(VLOOKUP(W150,S6M10!$B$1:$C$161,2,0),0)</f>
        <v>0</v>
      </c>
      <c r="AK150" s="97">
        <f>IFERROR(VLOOKUP(Y150,S6M11!$B$1:$C$161,2,0),0)</f>
        <v>0</v>
      </c>
    </row>
    <row r="151" ht="15.75" customHeight="1">
      <c r="A151" s="110">
        <v>150.0</v>
      </c>
      <c r="B151" s="103"/>
      <c r="C151" s="93">
        <f t="shared" si="2"/>
        <v>0</v>
      </c>
      <c r="D151" s="93"/>
      <c r="E151" s="94" t="str">
        <f>IFERROR(VLOOKUP($B151,S6M1!$A$1:$B$160,2,0),"0")</f>
        <v>0</v>
      </c>
      <c r="F151" s="95">
        <f>IFERROR(VLOOKUP(E151,S6M1!$B$1:$C$161,2,0),0)</f>
        <v>0</v>
      </c>
      <c r="G151" s="94" t="str">
        <f>IFERROR(VLOOKUP($B151,S6M2!$A$1:$B$160,2,0),"0")</f>
        <v>0</v>
      </c>
      <c r="H151" s="95">
        <f>IFERROR(VLOOKUP(G151,S6M2!$B$1:$C$161,2,0),0)</f>
        <v>0</v>
      </c>
      <c r="I151" s="94">
        <f>IFERROR(VLOOKUP($B151,S6M3!$A$1:$B$161,2,0),0)</f>
        <v>0</v>
      </c>
      <c r="J151" s="95">
        <f>IFERROR(VLOOKUP(I151,S6M3!$B$1:$C$161,2,0),0)</f>
        <v>0</v>
      </c>
      <c r="K151" s="94" t="str">
        <f>IFERROR(VLOOKUP($B151,S6M4!$A$1:$B$160,2,0),"0")</f>
        <v>0</v>
      </c>
      <c r="L151" s="95">
        <f>IFERROR(VLOOKUP(K151,S6M4!$B$1:$C$161,2,0),0)</f>
        <v>0</v>
      </c>
      <c r="M151" s="94" t="str">
        <f>IFERROR(VLOOKUP($B151,S6M5!$A$1:$B$160,2,0),"0")</f>
        <v>0</v>
      </c>
      <c r="N151" s="95">
        <f>IFERROR(VLOOKUP(M151,S6M5!$B$1:$C$161,2,0),0)</f>
        <v>0</v>
      </c>
      <c r="O151" s="94" t="str">
        <f>IFERROR(VLOOKUP($B151,S6M6!$A$1:$B$160,2,0),"0")</f>
        <v>0</v>
      </c>
      <c r="P151" s="95">
        <f>IFERROR(VLOOKUP(O151,S6M6!$B$1:$C$161,2,0),0)</f>
        <v>0</v>
      </c>
      <c r="Q151" s="94" t="str">
        <f>IFERROR(VLOOKUP($B151,S6M7!$A$1:$B$160,2,0),"0")</f>
        <v>0</v>
      </c>
      <c r="R151" s="95">
        <f>IFERROR(VLOOKUP(Q151,S6M7!$B$1:$C$161,2,0),0)</f>
        <v>0</v>
      </c>
      <c r="S151" s="94" t="str">
        <f>IFERROR(VLOOKUP($B151,S6M8!$A$1:$B$160,2,0),"0")</f>
        <v>0</v>
      </c>
      <c r="T151" s="95">
        <f>IFERROR(VLOOKUP(S151,S6M8!$B$1:$C$161,2,0),0)</f>
        <v>0</v>
      </c>
      <c r="U151" s="94" t="str">
        <f>IFERROR(VLOOKUP($B151,S6M9!$A$1:$B$160,2,0),"0")</f>
        <v>0</v>
      </c>
      <c r="V151" s="95">
        <f>IFERROR(VLOOKUP(U151,S6M9!$B$1:$C$161,2,0),0)</f>
        <v>0</v>
      </c>
      <c r="W151" s="94" t="str">
        <f>IFERROR(VLOOKUP($B151,S6M10!$A$1:$B$160,2,0),"0")</f>
        <v>0</v>
      </c>
      <c r="X151" s="95">
        <f>IFERROR(VLOOKUP(W151,S6M10!$B$1:$C$161,2,0),0)</f>
        <v>0</v>
      </c>
      <c r="Y151" s="94" t="str">
        <f>IFERROR(VLOOKUP($B151,S6M11!$A$1:$B$160,2,0),"0")</f>
        <v>0</v>
      </c>
      <c r="Z151" s="95">
        <f>IFERROR(VLOOKUP(Y151,S6M11!$B$1:$C$161,2,0),0)</f>
        <v>0</v>
      </c>
      <c r="AA151" s="97">
        <f>IFERROR(VLOOKUP(E151,S6M1!$B$1:$C$161,2,0),0)</f>
        <v>0</v>
      </c>
      <c r="AB151" s="97">
        <f>IFERROR(VLOOKUP(G151,S6M2!$B$1:$C$161,2,0),0)</f>
        <v>0</v>
      </c>
      <c r="AC151" s="97">
        <f>IFERROR(VLOOKUP(I151,S6M3!$B$1:$C$161,2,0),0)</f>
        <v>0</v>
      </c>
      <c r="AD151" s="97">
        <f>IFERROR(VLOOKUP(K151,S6M4!$B$1:$C$161,2,0),0)</f>
        <v>0</v>
      </c>
      <c r="AE151" s="97">
        <f>IFERROR(VLOOKUP(M151,S6M5!$B$1:$C$161,2,0),0)</f>
        <v>0</v>
      </c>
      <c r="AF151" s="97">
        <f>IFERROR(VLOOKUP(O151,S6M6!$B$1:$C$161,2,0),0)</f>
        <v>0</v>
      </c>
      <c r="AG151" s="97">
        <f>IFERROR(VLOOKUP(Q151,S6M7!$B$1:$C$161,2,0),0)</f>
        <v>0</v>
      </c>
      <c r="AH151" s="97">
        <f>IFERROR(VLOOKUP(S151,S6M8!$B$1:$C$161,2,0),0)</f>
        <v>0</v>
      </c>
      <c r="AI151" s="97">
        <f>IFERROR(VLOOKUP(U151,S6M9!$B$1:$C$161,2,0),0)</f>
        <v>0</v>
      </c>
      <c r="AJ151" s="97">
        <f>IFERROR(VLOOKUP(W151,S6M10!$B$1:$C$161,2,0),0)</f>
        <v>0</v>
      </c>
      <c r="AK151" s="97">
        <f>IFERROR(VLOOKUP(Y151,S6M11!$B$1:$C$161,2,0),0)</f>
        <v>0</v>
      </c>
    </row>
    <row r="152" ht="15.75" customHeight="1">
      <c r="A152" s="110">
        <v>151.0</v>
      </c>
      <c r="B152" s="103"/>
      <c r="C152" s="93">
        <f t="shared" si="2"/>
        <v>0</v>
      </c>
      <c r="D152" s="93"/>
      <c r="E152" s="94" t="str">
        <f>IFERROR(VLOOKUP($B152,S6M1!$A$1:$B$160,2,0),"0")</f>
        <v>0</v>
      </c>
      <c r="F152" s="95">
        <f>IFERROR(VLOOKUP(E152,S6M1!$B$1:$C$161,2,0),0)</f>
        <v>0</v>
      </c>
      <c r="G152" s="94" t="str">
        <f>IFERROR(VLOOKUP($B152,S6M2!$A$1:$B$160,2,0),"0")</f>
        <v>0</v>
      </c>
      <c r="H152" s="95">
        <f>IFERROR(VLOOKUP(G152,S6M2!$B$1:$C$161,2,0),0)</f>
        <v>0</v>
      </c>
      <c r="I152" s="94">
        <f>IFERROR(VLOOKUP($B152,S6M3!$A$1:$B$161,2,0),0)</f>
        <v>0</v>
      </c>
      <c r="J152" s="95">
        <f>IFERROR(VLOOKUP(I152,S6M3!$B$1:$C$161,2,0),0)</f>
        <v>0</v>
      </c>
      <c r="K152" s="94" t="str">
        <f>IFERROR(VLOOKUP($B152,S6M4!$A$1:$B$160,2,0),"0")</f>
        <v>0</v>
      </c>
      <c r="L152" s="95">
        <f>IFERROR(VLOOKUP(K152,S6M4!$B$1:$C$161,2,0),0)</f>
        <v>0</v>
      </c>
      <c r="M152" s="94" t="str">
        <f>IFERROR(VLOOKUP($B152,S6M5!$A$1:$B$160,2,0),"0")</f>
        <v>0</v>
      </c>
      <c r="N152" s="95">
        <f>IFERROR(VLOOKUP(M152,S6M5!$B$1:$C$161,2,0),0)</f>
        <v>0</v>
      </c>
      <c r="O152" s="94" t="str">
        <f>IFERROR(VLOOKUP($B152,S6M6!$A$1:$B$160,2,0),"0")</f>
        <v>0</v>
      </c>
      <c r="P152" s="95">
        <f>IFERROR(VLOOKUP(O152,S6M6!$B$1:$C$161,2,0),0)</f>
        <v>0</v>
      </c>
      <c r="Q152" s="94" t="str">
        <f>IFERROR(VLOOKUP($B152,S6M7!$A$1:$B$160,2,0),"0")</f>
        <v>0</v>
      </c>
      <c r="R152" s="95">
        <f>IFERROR(VLOOKUP(Q152,S6M7!$B$1:$C$161,2,0),0)</f>
        <v>0</v>
      </c>
      <c r="S152" s="94" t="str">
        <f>IFERROR(VLOOKUP($B152,S6M8!$A$1:$B$160,2,0),"0")</f>
        <v>0</v>
      </c>
      <c r="T152" s="95">
        <f>IFERROR(VLOOKUP(S152,S6M8!$B$1:$C$161,2,0),0)</f>
        <v>0</v>
      </c>
      <c r="U152" s="94" t="str">
        <f>IFERROR(VLOOKUP($B152,S6M9!$A$1:$B$160,2,0),"0")</f>
        <v>0</v>
      </c>
      <c r="V152" s="95">
        <f>IFERROR(VLOOKUP(U152,S6M9!$B$1:$C$161,2,0),0)</f>
        <v>0</v>
      </c>
      <c r="W152" s="94" t="str">
        <f>IFERROR(VLOOKUP($B152,S6M10!$A$1:$B$160,2,0),"0")</f>
        <v>0</v>
      </c>
      <c r="X152" s="95">
        <f>IFERROR(VLOOKUP(W152,S6M10!$B$1:$C$161,2,0),0)</f>
        <v>0</v>
      </c>
      <c r="Y152" s="94" t="str">
        <f>IFERROR(VLOOKUP($B152,S6M11!$A$1:$B$160,2,0),"0")</f>
        <v>0</v>
      </c>
      <c r="Z152" s="95">
        <f>IFERROR(VLOOKUP(Y152,S6M11!$B$1:$C$161,2,0),0)</f>
        <v>0</v>
      </c>
      <c r="AA152" s="97">
        <f>IFERROR(VLOOKUP(E152,S6M1!$B$1:$C$161,2,0),0)</f>
        <v>0</v>
      </c>
      <c r="AB152" s="97">
        <f>IFERROR(VLOOKUP(G152,S6M2!$B$1:$C$161,2,0),0)</f>
        <v>0</v>
      </c>
      <c r="AC152" s="97">
        <f>IFERROR(VLOOKUP(I152,S6M3!$B$1:$C$161,2,0),0)</f>
        <v>0</v>
      </c>
      <c r="AD152" s="97">
        <f>IFERROR(VLOOKUP(K152,S6M4!$B$1:$C$161,2,0),0)</f>
        <v>0</v>
      </c>
      <c r="AE152" s="97">
        <f>IFERROR(VLOOKUP(M152,S6M5!$B$1:$C$161,2,0),0)</f>
        <v>0</v>
      </c>
      <c r="AF152" s="97">
        <f>IFERROR(VLOOKUP(O152,S6M6!$B$1:$C$161,2,0),0)</f>
        <v>0</v>
      </c>
      <c r="AG152" s="97">
        <f>IFERROR(VLOOKUP(Q152,S6M7!$B$1:$C$161,2,0),0)</f>
        <v>0</v>
      </c>
      <c r="AH152" s="97">
        <f>IFERROR(VLOOKUP(S152,S6M8!$B$1:$C$161,2,0),0)</f>
        <v>0</v>
      </c>
      <c r="AI152" s="97">
        <f>IFERROR(VLOOKUP(U152,S6M9!$B$1:$C$161,2,0),0)</f>
        <v>0</v>
      </c>
      <c r="AJ152" s="97">
        <f>IFERROR(VLOOKUP(W152,S6M10!$B$1:$C$161,2,0),0)</f>
        <v>0</v>
      </c>
      <c r="AK152" s="97">
        <f>IFERROR(VLOOKUP(Y152,S6M11!$B$1:$C$161,2,0),0)</f>
        <v>0</v>
      </c>
    </row>
    <row r="153" ht="15.75" customHeight="1">
      <c r="A153" s="110">
        <v>152.0</v>
      </c>
      <c r="B153" s="103"/>
      <c r="C153" s="93">
        <f t="shared" si="2"/>
        <v>0</v>
      </c>
      <c r="D153" s="93"/>
      <c r="E153" s="94" t="str">
        <f>IFERROR(VLOOKUP($B153,S6M1!$A$1:$B$160,2,0),"0")</f>
        <v>0</v>
      </c>
      <c r="F153" s="95">
        <f>IFERROR(VLOOKUP(E153,S6M1!$B$1:$C$161,2,0),0)</f>
        <v>0</v>
      </c>
      <c r="G153" s="94" t="str">
        <f>IFERROR(VLOOKUP($B153,S6M2!$A$1:$B$160,2,0),"0")</f>
        <v>0</v>
      </c>
      <c r="H153" s="95">
        <f>IFERROR(VLOOKUP(G153,S6M2!$B$1:$C$161,2,0),0)</f>
        <v>0</v>
      </c>
      <c r="I153" s="94">
        <f>IFERROR(VLOOKUP($B153,S6M3!$A$1:$B$161,2,0),0)</f>
        <v>0</v>
      </c>
      <c r="J153" s="95">
        <f>IFERROR(VLOOKUP(I153,S6M3!$B$1:$C$161,2,0),0)</f>
        <v>0</v>
      </c>
      <c r="K153" s="94" t="str">
        <f>IFERROR(VLOOKUP($B153,S6M4!$A$1:$B$160,2,0),"0")</f>
        <v>0</v>
      </c>
      <c r="L153" s="95">
        <f>IFERROR(VLOOKUP(K153,S6M4!$B$1:$C$161,2,0),0)</f>
        <v>0</v>
      </c>
      <c r="M153" s="94" t="str">
        <f>IFERROR(VLOOKUP($B153,S6M5!$A$1:$B$160,2,0),"0")</f>
        <v>0</v>
      </c>
      <c r="N153" s="95">
        <f>IFERROR(VLOOKUP(M153,S6M5!$B$1:$C$161,2,0),0)</f>
        <v>0</v>
      </c>
      <c r="O153" s="94" t="str">
        <f>IFERROR(VLOOKUP($B153,S6M6!$A$1:$B$160,2,0),"0")</f>
        <v>0</v>
      </c>
      <c r="P153" s="95">
        <f>IFERROR(VLOOKUP(O153,S6M6!$B$1:$C$161,2,0),0)</f>
        <v>0</v>
      </c>
      <c r="Q153" s="94" t="str">
        <f>IFERROR(VLOOKUP($B153,S6M7!$A$1:$B$160,2,0),"0")</f>
        <v>0</v>
      </c>
      <c r="R153" s="95">
        <f>IFERROR(VLOOKUP(Q153,S6M7!$B$1:$C$161,2,0),0)</f>
        <v>0</v>
      </c>
      <c r="S153" s="94" t="str">
        <f>IFERROR(VLOOKUP($B153,S6M8!$A$1:$B$160,2,0),"0")</f>
        <v>0</v>
      </c>
      <c r="T153" s="95">
        <f>IFERROR(VLOOKUP(S153,S6M8!$B$1:$C$161,2,0),0)</f>
        <v>0</v>
      </c>
      <c r="U153" s="94" t="str">
        <f>IFERROR(VLOOKUP($B153,S6M9!$A$1:$B$160,2,0),"0")</f>
        <v>0</v>
      </c>
      <c r="V153" s="95">
        <f>IFERROR(VLOOKUP(U153,S6M9!$B$1:$C$161,2,0),0)</f>
        <v>0</v>
      </c>
      <c r="W153" s="94" t="str">
        <f>IFERROR(VLOOKUP($B153,S6M10!$A$1:$B$160,2,0),"0")</f>
        <v>0</v>
      </c>
      <c r="X153" s="95">
        <f>IFERROR(VLOOKUP(W153,S6M10!$B$1:$C$161,2,0),0)</f>
        <v>0</v>
      </c>
      <c r="Y153" s="94" t="str">
        <f>IFERROR(VLOOKUP($B153,S6M11!$A$1:$B$160,2,0),"0")</f>
        <v>0</v>
      </c>
      <c r="Z153" s="95">
        <f>IFERROR(VLOOKUP(Y153,S6M11!$B$1:$C$161,2,0),0)</f>
        <v>0</v>
      </c>
      <c r="AA153" s="97">
        <f>IFERROR(VLOOKUP(E153,S6M1!$B$1:$C$161,2,0),0)</f>
        <v>0</v>
      </c>
      <c r="AB153" s="97">
        <f>IFERROR(VLOOKUP(G153,S6M2!$B$1:$C$161,2,0),0)</f>
        <v>0</v>
      </c>
      <c r="AC153" s="97">
        <f>IFERROR(VLOOKUP(I153,S6M3!$B$1:$C$161,2,0),0)</f>
        <v>0</v>
      </c>
      <c r="AD153" s="97">
        <f>IFERROR(VLOOKUP(K153,S6M4!$B$1:$C$161,2,0),0)</f>
        <v>0</v>
      </c>
      <c r="AE153" s="97">
        <f>IFERROR(VLOOKUP(M153,S6M5!$B$1:$C$161,2,0),0)</f>
        <v>0</v>
      </c>
      <c r="AF153" s="97">
        <f>IFERROR(VLOOKUP(O153,S6M6!$B$1:$C$161,2,0),0)</f>
        <v>0</v>
      </c>
      <c r="AG153" s="97">
        <f>IFERROR(VLOOKUP(Q153,S6M7!$B$1:$C$161,2,0),0)</f>
        <v>0</v>
      </c>
      <c r="AH153" s="97">
        <f>IFERROR(VLOOKUP(S153,S6M8!$B$1:$C$161,2,0),0)</f>
        <v>0</v>
      </c>
      <c r="AI153" s="97">
        <f>IFERROR(VLOOKUP(U153,S6M9!$B$1:$C$161,2,0),0)</f>
        <v>0</v>
      </c>
      <c r="AJ153" s="97">
        <f>IFERROR(VLOOKUP(W153,S6M10!$B$1:$C$161,2,0),0)</f>
        <v>0</v>
      </c>
      <c r="AK153" s="97">
        <f>IFERROR(VLOOKUP(Y153,S6M11!$B$1:$C$161,2,0),0)</f>
        <v>0</v>
      </c>
    </row>
    <row r="154" ht="15.75" customHeight="1">
      <c r="A154" s="110">
        <v>153.0</v>
      </c>
      <c r="B154" s="103"/>
      <c r="C154" s="93">
        <f t="shared" si="2"/>
        <v>0</v>
      </c>
      <c r="D154" s="93"/>
      <c r="E154" s="94" t="str">
        <f>IFERROR(VLOOKUP($B154,S6M1!$A$1:$B$160,2,0),"0")</f>
        <v>0</v>
      </c>
      <c r="F154" s="95">
        <f>IFERROR(VLOOKUP(E154,S6M1!$B$1:$C$161,2,0),0)</f>
        <v>0</v>
      </c>
      <c r="G154" s="94" t="str">
        <f>IFERROR(VLOOKUP($B154,S6M2!$A$1:$B$160,2,0),"0")</f>
        <v>0</v>
      </c>
      <c r="H154" s="95">
        <f>IFERROR(VLOOKUP(G154,S6M2!$B$1:$C$161,2,0),0)</f>
        <v>0</v>
      </c>
      <c r="I154" s="94">
        <f>IFERROR(VLOOKUP($B154,S6M3!$A$1:$B$161,2,0),0)</f>
        <v>0</v>
      </c>
      <c r="J154" s="95">
        <f>IFERROR(VLOOKUP(I154,S6M3!$B$1:$C$161,2,0),0)</f>
        <v>0</v>
      </c>
      <c r="K154" s="94" t="str">
        <f>IFERROR(VLOOKUP($B154,S6M4!$A$1:$B$160,2,0),"0")</f>
        <v>0</v>
      </c>
      <c r="L154" s="95">
        <f>IFERROR(VLOOKUP(K154,S6M4!$B$1:$C$161,2,0),0)</f>
        <v>0</v>
      </c>
      <c r="M154" s="94" t="str">
        <f>IFERROR(VLOOKUP($B154,S6M5!$A$1:$B$160,2,0),"0")</f>
        <v>0</v>
      </c>
      <c r="N154" s="95">
        <f>IFERROR(VLOOKUP(M154,S6M5!$B$1:$C$161,2,0),0)</f>
        <v>0</v>
      </c>
      <c r="O154" s="94" t="str">
        <f>IFERROR(VLOOKUP($B154,S6M6!$A$1:$B$160,2,0),"0")</f>
        <v>0</v>
      </c>
      <c r="P154" s="95">
        <f>IFERROR(VLOOKUP(O154,S6M6!$B$1:$C$161,2,0),0)</f>
        <v>0</v>
      </c>
      <c r="Q154" s="94" t="str">
        <f>IFERROR(VLOOKUP($B154,S6M7!$A$1:$B$160,2,0),"0")</f>
        <v>0</v>
      </c>
      <c r="R154" s="95">
        <f>IFERROR(VLOOKUP(Q154,S6M7!$B$1:$C$161,2,0),0)</f>
        <v>0</v>
      </c>
      <c r="S154" s="94" t="str">
        <f>IFERROR(VLOOKUP($B154,S6M8!$A$1:$B$160,2,0),"0")</f>
        <v>0</v>
      </c>
      <c r="T154" s="95">
        <f>IFERROR(VLOOKUP(S154,S6M8!$B$1:$C$161,2,0),0)</f>
        <v>0</v>
      </c>
      <c r="U154" s="94" t="str">
        <f>IFERROR(VLOOKUP($B154,S6M9!$A$1:$B$160,2,0),"0")</f>
        <v>0</v>
      </c>
      <c r="V154" s="95">
        <f>IFERROR(VLOOKUP(U154,S6M9!$B$1:$C$161,2,0),0)</f>
        <v>0</v>
      </c>
      <c r="W154" s="94" t="str">
        <f>IFERROR(VLOOKUP($B154,S6M10!$A$1:$B$160,2,0),"0")</f>
        <v>0</v>
      </c>
      <c r="X154" s="95">
        <f>IFERROR(VLOOKUP(W154,S6M10!$B$1:$C$161,2,0),0)</f>
        <v>0</v>
      </c>
      <c r="Y154" s="94" t="str">
        <f>IFERROR(VLOOKUP($B154,S6M11!$A$1:$B$160,2,0),"0")</f>
        <v>0</v>
      </c>
      <c r="Z154" s="95">
        <f>IFERROR(VLOOKUP(Y154,S6M11!$B$1:$C$161,2,0),0)</f>
        <v>0</v>
      </c>
      <c r="AA154" s="97">
        <f>IFERROR(VLOOKUP(E154,S6M1!$B$1:$C$161,2,0),0)</f>
        <v>0</v>
      </c>
      <c r="AB154" s="97">
        <f>IFERROR(VLOOKUP(G154,S6M2!$B$1:$C$161,2,0),0)</f>
        <v>0</v>
      </c>
      <c r="AC154" s="97">
        <f>IFERROR(VLOOKUP(I154,S6M3!$B$1:$C$161,2,0),0)</f>
        <v>0</v>
      </c>
      <c r="AD154" s="97">
        <f>IFERROR(VLOOKUP(K154,S6M4!$B$1:$C$161,2,0),0)</f>
        <v>0</v>
      </c>
      <c r="AE154" s="97">
        <f>IFERROR(VLOOKUP(M154,S6M5!$B$1:$C$161,2,0),0)</f>
        <v>0</v>
      </c>
      <c r="AF154" s="97">
        <f>IFERROR(VLOOKUP(O154,S6M6!$B$1:$C$161,2,0),0)</f>
        <v>0</v>
      </c>
      <c r="AG154" s="97">
        <f>IFERROR(VLOOKUP(Q154,S6M7!$B$1:$C$161,2,0),0)</f>
        <v>0</v>
      </c>
      <c r="AH154" s="97">
        <f>IFERROR(VLOOKUP(S154,S6M8!$B$1:$C$161,2,0),0)</f>
        <v>0</v>
      </c>
      <c r="AI154" s="97">
        <f>IFERROR(VLOOKUP(U154,S6M9!$B$1:$C$161,2,0),0)</f>
        <v>0</v>
      </c>
      <c r="AJ154" s="97">
        <f>IFERROR(VLOOKUP(W154,S6M10!$B$1:$C$161,2,0),0)</f>
        <v>0</v>
      </c>
      <c r="AK154" s="97">
        <f>IFERROR(VLOOKUP(Y154,S6M11!$B$1:$C$161,2,0),0)</f>
        <v>0</v>
      </c>
    </row>
    <row r="155" ht="15.75" customHeight="1">
      <c r="A155" s="110">
        <v>154.0</v>
      </c>
      <c r="B155" s="103"/>
      <c r="C155" s="93">
        <f t="shared" si="2"/>
        <v>0</v>
      </c>
      <c r="D155" s="93"/>
      <c r="E155" s="94" t="str">
        <f>IFERROR(VLOOKUP($B155,S6M1!$A$1:$B$160,2,0),"0")</f>
        <v>0</v>
      </c>
      <c r="F155" s="95">
        <f>IFERROR(VLOOKUP(E155,S6M1!$B$1:$C$161,2,0),0)</f>
        <v>0</v>
      </c>
      <c r="G155" s="94" t="str">
        <f>IFERROR(VLOOKUP($B155,S6M2!$A$1:$B$160,2,0),"0")</f>
        <v>0</v>
      </c>
      <c r="H155" s="95">
        <f>IFERROR(VLOOKUP(G155,S6M2!$B$1:$C$161,2,0),0)</f>
        <v>0</v>
      </c>
      <c r="I155" s="94">
        <f>IFERROR(VLOOKUP($B155,S6M3!$A$1:$B$161,2,0),0)</f>
        <v>0</v>
      </c>
      <c r="J155" s="95">
        <f>IFERROR(VLOOKUP(I155,S6M3!$B$1:$C$161,2,0),0)</f>
        <v>0</v>
      </c>
      <c r="K155" s="94" t="str">
        <f>IFERROR(VLOOKUP($B155,S6M4!$A$1:$B$160,2,0),"0")</f>
        <v>0</v>
      </c>
      <c r="L155" s="95">
        <f>IFERROR(VLOOKUP(K155,S6M4!$B$1:$C$161,2,0),0)</f>
        <v>0</v>
      </c>
      <c r="M155" s="94" t="str">
        <f>IFERROR(VLOOKUP($B155,S6M5!$A$1:$B$160,2,0),"0")</f>
        <v>0</v>
      </c>
      <c r="N155" s="95">
        <f>IFERROR(VLOOKUP(M155,S6M5!$B$1:$C$161,2,0),0)</f>
        <v>0</v>
      </c>
      <c r="O155" s="94" t="str">
        <f>IFERROR(VLOOKUP($B155,S6M6!$A$1:$B$160,2,0),"0")</f>
        <v>0</v>
      </c>
      <c r="P155" s="95">
        <f>IFERROR(VLOOKUP(O155,S6M6!$B$1:$C$161,2,0),0)</f>
        <v>0</v>
      </c>
      <c r="Q155" s="94" t="str">
        <f>IFERROR(VLOOKUP($B155,S6M7!$A$1:$B$160,2,0),"0")</f>
        <v>0</v>
      </c>
      <c r="R155" s="95">
        <f>IFERROR(VLOOKUP(Q155,S6M7!$B$1:$C$161,2,0),0)</f>
        <v>0</v>
      </c>
      <c r="S155" s="94" t="str">
        <f>IFERROR(VLOOKUP($B155,S6M8!$A$1:$B$160,2,0),"0")</f>
        <v>0</v>
      </c>
      <c r="T155" s="95">
        <f>IFERROR(VLOOKUP(S155,S6M8!$B$1:$C$161,2,0),0)</f>
        <v>0</v>
      </c>
      <c r="U155" s="94" t="str">
        <f>IFERROR(VLOOKUP($B155,S6M9!$A$1:$B$160,2,0),"0")</f>
        <v>0</v>
      </c>
      <c r="V155" s="95">
        <f>IFERROR(VLOOKUP(U155,S6M9!$B$1:$C$161,2,0),0)</f>
        <v>0</v>
      </c>
      <c r="W155" s="94" t="str">
        <f>IFERROR(VLOOKUP($B155,S6M10!$A$1:$B$160,2,0),"0")</f>
        <v>0</v>
      </c>
      <c r="X155" s="95">
        <f>IFERROR(VLOOKUP(W155,S6M10!$B$1:$C$161,2,0),0)</f>
        <v>0</v>
      </c>
      <c r="Y155" s="94" t="str">
        <f>IFERROR(VLOOKUP($B155,S6M11!$A$1:$B$160,2,0),"0")</f>
        <v>0</v>
      </c>
      <c r="Z155" s="95">
        <f>IFERROR(VLOOKUP(Y155,S6M11!$B$1:$C$161,2,0),0)</f>
        <v>0</v>
      </c>
      <c r="AA155" s="97">
        <f>IFERROR(VLOOKUP(E155,S6M1!$B$1:$C$161,2,0),0)</f>
        <v>0</v>
      </c>
      <c r="AB155" s="97">
        <f>IFERROR(VLOOKUP(G155,S6M2!$B$1:$C$161,2,0),0)</f>
        <v>0</v>
      </c>
      <c r="AC155" s="97">
        <f>IFERROR(VLOOKUP(I155,S6M3!$B$1:$C$161,2,0),0)</f>
        <v>0</v>
      </c>
      <c r="AD155" s="97">
        <f>IFERROR(VLOOKUP(K155,S6M4!$B$1:$C$161,2,0),0)</f>
        <v>0</v>
      </c>
      <c r="AE155" s="97">
        <f>IFERROR(VLOOKUP(M155,S6M5!$B$1:$C$161,2,0),0)</f>
        <v>0</v>
      </c>
      <c r="AF155" s="97">
        <f>IFERROR(VLOOKUP(O155,S6M6!$B$1:$C$161,2,0),0)</f>
        <v>0</v>
      </c>
      <c r="AG155" s="97">
        <f>IFERROR(VLOOKUP(Q155,S6M7!$B$1:$C$161,2,0),0)</f>
        <v>0</v>
      </c>
      <c r="AH155" s="97">
        <f>IFERROR(VLOOKUP(S155,S6M8!$B$1:$C$161,2,0),0)</f>
        <v>0</v>
      </c>
      <c r="AI155" s="97">
        <f>IFERROR(VLOOKUP(U155,S6M9!$B$1:$C$161,2,0),0)</f>
        <v>0</v>
      </c>
      <c r="AJ155" s="97">
        <f>IFERROR(VLOOKUP(W155,S6M10!$B$1:$C$161,2,0),0)</f>
        <v>0</v>
      </c>
      <c r="AK155" s="97">
        <f>IFERROR(VLOOKUP(Y155,S6M11!$B$1:$C$161,2,0),0)</f>
        <v>0</v>
      </c>
    </row>
    <row r="156" ht="15.75" customHeight="1">
      <c r="A156" s="110">
        <v>155.0</v>
      </c>
      <c r="B156" s="103"/>
      <c r="C156" s="93">
        <f t="shared" si="2"/>
        <v>0</v>
      </c>
      <c r="D156" s="93"/>
      <c r="E156" s="94" t="str">
        <f>IFERROR(VLOOKUP($B156,S6M1!$A$1:$B$160,2,0),"0")</f>
        <v>0</v>
      </c>
      <c r="F156" s="95">
        <f>IFERROR(VLOOKUP(E156,S6M1!$B$1:$C$161,2,0),0)</f>
        <v>0</v>
      </c>
      <c r="G156" s="94" t="str">
        <f>IFERROR(VLOOKUP($B156,S6M2!$A$1:$B$160,2,0),"0")</f>
        <v>0</v>
      </c>
      <c r="H156" s="95">
        <f>IFERROR(VLOOKUP(G156,S6M2!$B$1:$C$161,2,0),0)</f>
        <v>0</v>
      </c>
      <c r="I156" s="94">
        <f>IFERROR(VLOOKUP($B156,S6M3!$A$1:$B$161,2,0),0)</f>
        <v>0</v>
      </c>
      <c r="J156" s="95">
        <f>IFERROR(VLOOKUP(I156,S6M3!$B$1:$C$161,2,0),0)</f>
        <v>0</v>
      </c>
      <c r="K156" s="94" t="str">
        <f>IFERROR(VLOOKUP($B156,S6M4!$A$1:$B$160,2,0),"0")</f>
        <v>0</v>
      </c>
      <c r="L156" s="95">
        <f>IFERROR(VLOOKUP(K156,S6M4!$B$1:$C$161,2,0),0)</f>
        <v>0</v>
      </c>
      <c r="M156" s="94" t="str">
        <f>IFERROR(VLOOKUP($B156,S6M5!$A$1:$B$160,2,0),"0")</f>
        <v>0</v>
      </c>
      <c r="N156" s="95">
        <f>IFERROR(VLOOKUP(M156,S6M5!$B$1:$C$161,2,0),0)</f>
        <v>0</v>
      </c>
      <c r="O156" s="94" t="str">
        <f>IFERROR(VLOOKUP($B156,S6M6!$A$1:$B$160,2,0),"0")</f>
        <v>0</v>
      </c>
      <c r="P156" s="95">
        <f>IFERROR(VLOOKUP(O156,S6M6!$B$1:$C$161,2,0),0)</f>
        <v>0</v>
      </c>
      <c r="Q156" s="94" t="str">
        <f>IFERROR(VLOOKUP($B156,S6M7!$A$1:$B$160,2,0),"0")</f>
        <v>0</v>
      </c>
      <c r="R156" s="95">
        <f>IFERROR(VLOOKUP(Q156,S6M7!$B$1:$C$161,2,0),0)</f>
        <v>0</v>
      </c>
      <c r="S156" s="94" t="str">
        <f>IFERROR(VLOOKUP($B156,S6M8!$A$1:$B$160,2,0),"0")</f>
        <v>0</v>
      </c>
      <c r="T156" s="95">
        <f>IFERROR(VLOOKUP(S156,S6M8!$B$1:$C$161,2,0),0)</f>
        <v>0</v>
      </c>
      <c r="U156" s="94" t="str">
        <f>IFERROR(VLOOKUP($B156,S6M9!$A$1:$B$160,2,0),"0")</f>
        <v>0</v>
      </c>
      <c r="V156" s="95">
        <f>IFERROR(VLOOKUP(U156,S6M9!$B$1:$C$161,2,0),0)</f>
        <v>0</v>
      </c>
      <c r="W156" s="94" t="str">
        <f>IFERROR(VLOOKUP($B156,S6M10!$A$1:$B$160,2,0),"0")</f>
        <v>0</v>
      </c>
      <c r="X156" s="95">
        <f>IFERROR(VLOOKUP(W156,S6M10!$B$1:$C$161,2,0),0)</f>
        <v>0</v>
      </c>
      <c r="Y156" s="94" t="str">
        <f>IFERROR(VLOOKUP($B156,S6M11!$A$1:$B$160,2,0),"0")</f>
        <v>0</v>
      </c>
      <c r="Z156" s="95">
        <f>IFERROR(VLOOKUP(Y156,S6M11!$B$1:$C$161,2,0),0)</f>
        <v>0</v>
      </c>
      <c r="AA156" s="97">
        <f>IFERROR(VLOOKUP(E156,S6M1!$B$1:$C$161,2,0),0)</f>
        <v>0</v>
      </c>
      <c r="AB156" s="97">
        <f>IFERROR(VLOOKUP(G156,S6M2!$B$1:$C$161,2,0),0)</f>
        <v>0</v>
      </c>
      <c r="AC156" s="97">
        <f>IFERROR(VLOOKUP(I156,S6M3!$B$1:$C$161,2,0),0)</f>
        <v>0</v>
      </c>
      <c r="AD156" s="97">
        <f>IFERROR(VLOOKUP(K156,S6M4!$B$1:$C$161,2,0),0)</f>
        <v>0</v>
      </c>
      <c r="AE156" s="97">
        <f>IFERROR(VLOOKUP(M156,S6M5!$B$1:$C$161,2,0),0)</f>
        <v>0</v>
      </c>
      <c r="AF156" s="97">
        <f>IFERROR(VLOOKUP(O156,S6M6!$B$1:$C$161,2,0),0)</f>
        <v>0</v>
      </c>
      <c r="AG156" s="97">
        <f>IFERROR(VLOOKUP(Q156,S6M7!$B$1:$C$161,2,0),0)</f>
        <v>0</v>
      </c>
      <c r="AH156" s="97">
        <f>IFERROR(VLOOKUP(S156,S6M8!$B$1:$C$161,2,0),0)</f>
        <v>0</v>
      </c>
      <c r="AI156" s="97">
        <f>IFERROR(VLOOKUP(U156,S6M9!$B$1:$C$161,2,0),0)</f>
        <v>0</v>
      </c>
      <c r="AJ156" s="97">
        <f>IFERROR(VLOOKUP(W156,S6M10!$B$1:$C$161,2,0),0)</f>
        <v>0</v>
      </c>
      <c r="AK156" s="97">
        <f>IFERROR(VLOOKUP(Y156,S6M11!$B$1:$C$161,2,0),0)</f>
        <v>0</v>
      </c>
    </row>
    <row r="157" ht="15.75" customHeight="1">
      <c r="A157" s="110">
        <v>156.0</v>
      </c>
      <c r="B157" s="103"/>
      <c r="C157" s="93">
        <f t="shared" si="2"/>
        <v>0</v>
      </c>
      <c r="D157" s="93"/>
      <c r="E157" s="94" t="str">
        <f>IFERROR(VLOOKUP($B157,S6M1!$A$1:$B$160,2,0),"0")</f>
        <v>0</v>
      </c>
      <c r="F157" s="95">
        <f>IFERROR(VLOOKUP(E157,S6M1!$B$1:$C$161,2,0),0)</f>
        <v>0</v>
      </c>
      <c r="G157" s="94" t="str">
        <f>IFERROR(VLOOKUP($B157,S6M2!$A$1:$B$160,2,0),"0")</f>
        <v>0</v>
      </c>
      <c r="H157" s="95">
        <f>IFERROR(VLOOKUP(G157,S6M2!$B$1:$C$161,2,0),0)</f>
        <v>0</v>
      </c>
      <c r="I157" s="94">
        <f>IFERROR(VLOOKUP($B157,S6M3!$A$1:$B$161,2,0),0)</f>
        <v>0</v>
      </c>
      <c r="J157" s="95">
        <f>IFERROR(VLOOKUP(I157,S6M3!$B$1:$C$161,2,0),0)</f>
        <v>0</v>
      </c>
      <c r="K157" s="94" t="str">
        <f>IFERROR(VLOOKUP($B157,S6M4!$A$1:$B$160,2,0),"0")</f>
        <v>0</v>
      </c>
      <c r="L157" s="95">
        <f>IFERROR(VLOOKUP(K157,S6M4!$B$1:$C$161,2,0),0)</f>
        <v>0</v>
      </c>
      <c r="M157" s="94" t="str">
        <f>IFERROR(VLOOKUP($B157,S6M5!$A$1:$B$160,2,0),"0")</f>
        <v>0</v>
      </c>
      <c r="N157" s="95">
        <f>IFERROR(VLOOKUP(M157,S6M5!$B$1:$C$161,2,0),0)</f>
        <v>0</v>
      </c>
      <c r="O157" s="94" t="str">
        <f>IFERROR(VLOOKUP($B157,S6M6!$A$1:$B$160,2,0),"0")</f>
        <v>0</v>
      </c>
      <c r="P157" s="95">
        <f>IFERROR(VLOOKUP(O157,S6M6!$B$1:$C$161,2,0),0)</f>
        <v>0</v>
      </c>
      <c r="Q157" s="94" t="str">
        <f>IFERROR(VLOOKUP($B157,S6M7!$A$1:$B$160,2,0),"0")</f>
        <v>0</v>
      </c>
      <c r="R157" s="95">
        <f>IFERROR(VLOOKUP(Q157,S6M7!$B$1:$C$161,2,0),0)</f>
        <v>0</v>
      </c>
      <c r="S157" s="94" t="str">
        <f>IFERROR(VLOOKUP($B157,S6M8!$A$1:$B$160,2,0),"0")</f>
        <v>0</v>
      </c>
      <c r="T157" s="95">
        <f>IFERROR(VLOOKUP(S157,S6M8!$B$1:$C$161,2,0),0)</f>
        <v>0</v>
      </c>
      <c r="U157" s="94" t="str">
        <f>IFERROR(VLOOKUP($B157,S6M9!$A$1:$B$160,2,0),"0")</f>
        <v>0</v>
      </c>
      <c r="V157" s="95">
        <f>IFERROR(VLOOKUP(U157,S6M9!$B$1:$C$161,2,0),0)</f>
        <v>0</v>
      </c>
      <c r="W157" s="94" t="str">
        <f>IFERROR(VLOOKUP($B157,S6M10!$A$1:$B$160,2,0),"0")</f>
        <v>0</v>
      </c>
      <c r="X157" s="95">
        <f>IFERROR(VLOOKUP(W157,S6M10!$B$1:$C$161,2,0),0)</f>
        <v>0</v>
      </c>
      <c r="Y157" s="94" t="str">
        <f>IFERROR(VLOOKUP($B157,S6M11!$A$1:$B$160,2,0),"0")</f>
        <v>0</v>
      </c>
      <c r="Z157" s="95">
        <f>IFERROR(VLOOKUP(Y157,S6M11!$B$1:$C$161,2,0),0)</f>
        <v>0</v>
      </c>
      <c r="AA157" s="97">
        <f>IFERROR(VLOOKUP(E157,S6M1!$B$1:$C$161,2,0),0)</f>
        <v>0</v>
      </c>
      <c r="AB157" s="97">
        <f>IFERROR(VLOOKUP(G157,S6M2!$B$1:$C$161,2,0),0)</f>
        <v>0</v>
      </c>
      <c r="AC157" s="97">
        <f>IFERROR(VLOOKUP(I157,S6M3!$B$1:$C$161,2,0),0)</f>
        <v>0</v>
      </c>
      <c r="AD157" s="97">
        <f>IFERROR(VLOOKUP(K157,S6M4!$B$1:$C$161,2,0),0)</f>
        <v>0</v>
      </c>
      <c r="AE157" s="97">
        <f>IFERROR(VLOOKUP(M157,S6M5!$B$1:$C$161,2,0),0)</f>
        <v>0</v>
      </c>
      <c r="AF157" s="97">
        <f>IFERROR(VLOOKUP(O157,S6M6!$B$1:$C$161,2,0),0)</f>
        <v>0</v>
      </c>
      <c r="AG157" s="97">
        <f>IFERROR(VLOOKUP(Q157,S6M7!$B$1:$C$161,2,0),0)</f>
        <v>0</v>
      </c>
      <c r="AH157" s="97">
        <f>IFERROR(VLOOKUP(S157,S6M8!$B$1:$C$161,2,0),0)</f>
        <v>0</v>
      </c>
      <c r="AI157" s="97">
        <f>IFERROR(VLOOKUP(U157,S6M9!$B$1:$C$161,2,0),0)</f>
        <v>0</v>
      </c>
      <c r="AJ157" s="97">
        <f>IFERROR(VLOOKUP(W157,S6M10!$B$1:$C$161,2,0),0)</f>
        <v>0</v>
      </c>
      <c r="AK157" s="97">
        <f>IFERROR(VLOOKUP(Y157,S6M11!$B$1:$C$161,2,0),0)</f>
        <v>0</v>
      </c>
    </row>
    <row r="158" ht="15.75" customHeight="1">
      <c r="A158" s="110">
        <v>157.0</v>
      </c>
      <c r="B158" s="103"/>
      <c r="C158" s="93">
        <f t="shared" si="2"/>
        <v>0</v>
      </c>
      <c r="D158" s="93"/>
      <c r="E158" s="94" t="str">
        <f>IFERROR(VLOOKUP($B158,S6M1!$A$1:$B$160,2,0),"0")</f>
        <v>0</v>
      </c>
      <c r="F158" s="95">
        <f>IFERROR(VLOOKUP(E158,S6M1!$B$1:$C$161,2,0),0)</f>
        <v>0</v>
      </c>
      <c r="G158" s="94" t="str">
        <f>IFERROR(VLOOKUP($B158,S6M2!$A$1:$B$160,2,0),"0")</f>
        <v>0</v>
      </c>
      <c r="H158" s="95">
        <f>IFERROR(VLOOKUP(G158,S6M2!$B$1:$C$161,2,0),0)</f>
        <v>0</v>
      </c>
      <c r="I158" s="94">
        <f>IFERROR(VLOOKUP($B158,S6M3!$A$1:$B$161,2,0),0)</f>
        <v>0</v>
      </c>
      <c r="J158" s="95">
        <f>IFERROR(VLOOKUP(I158,S6M3!$B$1:$C$161,2,0),0)</f>
        <v>0</v>
      </c>
      <c r="K158" s="94" t="str">
        <f>IFERROR(VLOOKUP($B158,S6M4!$A$1:$B$160,2,0),"0")</f>
        <v>0</v>
      </c>
      <c r="L158" s="95">
        <f>IFERROR(VLOOKUP(K158,S6M4!$B$1:$C$161,2,0),0)</f>
        <v>0</v>
      </c>
      <c r="M158" s="94" t="str">
        <f>IFERROR(VLOOKUP($B158,S6M5!$A$1:$B$160,2,0),"0")</f>
        <v>0</v>
      </c>
      <c r="N158" s="95">
        <f>IFERROR(VLOOKUP(M158,S6M5!$B$1:$C$161,2,0),0)</f>
        <v>0</v>
      </c>
      <c r="O158" s="94" t="str">
        <f>IFERROR(VLOOKUP($B158,S6M6!$A$1:$B$160,2,0),"0")</f>
        <v>0</v>
      </c>
      <c r="P158" s="95">
        <f>IFERROR(VLOOKUP(O158,S6M6!$B$1:$C$161,2,0),0)</f>
        <v>0</v>
      </c>
      <c r="Q158" s="94" t="str">
        <f>IFERROR(VLOOKUP($B158,S6M7!$A$1:$B$160,2,0),"0")</f>
        <v>0</v>
      </c>
      <c r="R158" s="95">
        <f>IFERROR(VLOOKUP(Q158,S6M7!$B$1:$C$161,2,0),0)</f>
        <v>0</v>
      </c>
      <c r="S158" s="94" t="str">
        <f>IFERROR(VLOOKUP($B158,S6M8!$A$1:$B$160,2,0),"0")</f>
        <v>0</v>
      </c>
      <c r="T158" s="95">
        <f>IFERROR(VLOOKUP(S158,S6M8!$B$1:$C$161,2,0),0)</f>
        <v>0</v>
      </c>
      <c r="U158" s="94" t="str">
        <f>IFERROR(VLOOKUP($B158,S6M9!$A$1:$B$160,2,0),"0")</f>
        <v>0</v>
      </c>
      <c r="V158" s="95">
        <f>IFERROR(VLOOKUP(U158,S6M9!$B$1:$C$161,2,0),0)</f>
        <v>0</v>
      </c>
      <c r="W158" s="94" t="str">
        <f>IFERROR(VLOOKUP($B158,S6M10!$A$1:$B$160,2,0),"0")</f>
        <v>0</v>
      </c>
      <c r="X158" s="95">
        <f>IFERROR(VLOOKUP(W158,S6M10!$B$1:$C$161,2,0),0)</f>
        <v>0</v>
      </c>
      <c r="Y158" s="94" t="str">
        <f>IFERROR(VLOOKUP($B158,S6M11!$A$1:$B$160,2,0),"0")</f>
        <v>0</v>
      </c>
      <c r="Z158" s="95">
        <f>IFERROR(VLOOKUP(Y158,S6M11!$B$1:$C$161,2,0),0)</f>
        <v>0</v>
      </c>
      <c r="AA158" s="97">
        <f>IFERROR(VLOOKUP(E158,S6M1!$B$1:$C$161,2,0),0)</f>
        <v>0</v>
      </c>
      <c r="AB158" s="97">
        <f>IFERROR(VLOOKUP(G158,S6M2!$B$1:$C$161,2,0),0)</f>
        <v>0</v>
      </c>
      <c r="AC158" s="97">
        <f>IFERROR(VLOOKUP(I158,S6M3!$B$1:$C$161,2,0),0)</f>
        <v>0</v>
      </c>
      <c r="AD158" s="97">
        <f>IFERROR(VLOOKUP(K158,S6M4!$B$1:$C$161,2,0),0)</f>
        <v>0</v>
      </c>
      <c r="AE158" s="97">
        <f>IFERROR(VLOOKUP(M158,S6M5!$B$1:$C$161,2,0),0)</f>
        <v>0</v>
      </c>
      <c r="AF158" s="97">
        <f>IFERROR(VLOOKUP(O158,S6M6!$B$1:$C$161,2,0),0)</f>
        <v>0</v>
      </c>
      <c r="AG158" s="97">
        <f>IFERROR(VLOOKUP(Q158,S6M7!$B$1:$C$161,2,0),0)</f>
        <v>0</v>
      </c>
      <c r="AH158" s="97">
        <f>IFERROR(VLOOKUP(S158,S6M8!$B$1:$C$161,2,0),0)</f>
        <v>0</v>
      </c>
      <c r="AI158" s="97">
        <f>IFERROR(VLOOKUP(U158,S6M9!$B$1:$C$161,2,0),0)</f>
        <v>0</v>
      </c>
      <c r="AJ158" s="97">
        <f>IFERROR(VLOOKUP(W158,S6M10!$B$1:$C$161,2,0),0)</f>
        <v>0</v>
      </c>
      <c r="AK158" s="97">
        <f>IFERROR(VLOOKUP(Y158,S6M11!$B$1:$C$161,2,0),0)</f>
        <v>0</v>
      </c>
    </row>
    <row r="159" ht="15.75" customHeight="1">
      <c r="A159" s="110">
        <v>158.0</v>
      </c>
      <c r="B159" s="103"/>
      <c r="C159" s="93">
        <f t="shared" si="2"/>
        <v>0</v>
      </c>
      <c r="D159" s="93"/>
      <c r="E159" s="94" t="str">
        <f>IFERROR(VLOOKUP($B159,S6M1!$A$1:$B$160,2,0),"0")</f>
        <v>0</v>
      </c>
      <c r="F159" s="95">
        <f>IFERROR(VLOOKUP(E159,S6M1!$B$1:$C$161,2,0),0)</f>
        <v>0</v>
      </c>
      <c r="G159" s="94" t="str">
        <f>IFERROR(VLOOKUP($B159,S6M2!$A$1:$B$160,2,0),"0")</f>
        <v>0</v>
      </c>
      <c r="H159" s="95">
        <f>IFERROR(VLOOKUP(G159,S6M2!$B$1:$C$161,2,0),0)</f>
        <v>0</v>
      </c>
      <c r="I159" s="94">
        <f>IFERROR(VLOOKUP($B159,S6M3!$A$1:$B$161,2,0),0)</f>
        <v>0</v>
      </c>
      <c r="J159" s="95">
        <f>IFERROR(VLOOKUP(I159,S6M3!$B$1:$C$161,2,0),0)</f>
        <v>0</v>
      </c>
      <c r="K159" s="94" t="str">
        <f>IFERROR(VLOOKUP($B159,S6M4!$A$1:$B$160,2,0),"0")</f>
        <v>0</v>
      </c>
      <c r="L159" s="95">
        <f>IFERROR(VLOOKUP(K159,S6M4!$B$1:$C$161,2,0),0)</f>
        <v>0</v>
      </c>
      <c r="M159" s="94" t="str">
        <f>IFERROR(VLOOKUP($B159,S6M5!$A$1:$B$160,2,0),"0")</f>
        <v>0</v>
      </c>
      <c r="N159" s="95">
        <f>IFERROR(VLOOKUP(M159,S6M5!$B$1:$C$161,2,0),0)</f>
        <v>0</v>
      </c>
      <c r="O159" s="94" t="str">
        <f>IFERROR(VLOOKUP($B159,S6M6!$A$1:$B$160,2,0),"0")</f>
        <v>0</v>
      </c>
      <c r="P159" s="95">
        <f>IFERROR(VLOOKUP(O159,S6M6!$B$1:$C$161,2,0),0)</f>
        <v>0</v>
      </c>
      <c r="Q159" s="94" t="str">
        <f>IFERROR(VLOOKUP($B159,S6M7!$A$1:$B$160,2,0),"0")</f>
        <v>0</v>
      </c>
      <c r="R159" s="95">
        <f>IFERROR(VLOOKUP(Q159,S6M7!$B$1:$C$161,2,0),0)</f>
        <v>0</v>
      </c>
      <c r="S159" s="94" t="str">
        <f>IFERROR(VLOOKUP($B159,S6M8!$A$1:$B$160,2,0),"0")</f>
        <v>0</v>
      </c>
      <c r="T159" s="95">
        <f>IFERROR(VLOOKUP(S159,S6M8!$B$1:$C$161,2,0),0)</f>
        <v>0</v>
      </c>
      <c r="U159" s="94" t="str">
        <f>IFERROR(VLOOKUP($B159,S6M9!$A$1:$B$160,2,0),"0")</f>
        <v>0</v>
      </c>
      <c r="V159" s="95">
        <f>IFERROR(VLOOKUP(U159,S6M9!$B$1:$C$161,2,0),0)</f>
        <v>0</v>
      </c>
      <c r="W159" s="94" t="str">
        <f>IFERROR(VLOOKUP($B159,S6M10!$A$1:$B$160,2,0),"0")</f>
        <v>0</v>
      </c>
      <c r="X159" s="95">
        <f>IFERROR(VLOOKUP(W159,S6M10!$B$1:$C$161,2,0),0)</f>
        <v>0</v>
      </c>
      <c r="Y159" s="94" t="str">
        <f>IFERROR(VLOOKUP($B159,S6M11!$A$1:$B$160,2,0),"0")</f>
        <v>0</v>
      </c>
      <c r="Z159" s="95">
        <f>IFERROR(VLOOKUP(Y159,S6M11!$B$1:$C$161,2,0),0)</f>
        <v>0</v>
      </c>
      <c r="AA159" s="97">
        <f>IFERROR(VLOOKUP(E159,S6M1!$B$1:$C$161,2,0),0)</f>
        <v>0</v>
      </c>
      <c r="AB159" s="97">
        <f>IFERROR(VLOOKUP(G159,S6M2!$B$1:$C$161,2,0),0)</f>
        <v>0</v>
      </c>
      <c r="AC159" s="97">
        <f>IFERROR(VLOOKUP(I159,S6M3!$B$1:$C$161,2,0),0)</f>
        <v>0</v>
      </c>
      <c r="AD159" s="97">
        <f>IFERROR(VLOOKUP(K159,S6M4!$B$1:$C$161,2,0),0)</f>
        <v>0</v>
      </c>
      <c r="AE159" s="97">
        <f>IFERROR(VLOOKUP(M159,S6M5!$B$1:$C$161,2,0),0)</f>
        <v>0</v>
      </c>
      <c r="AF159" s="97">
        <f>IFERROR(VLOOKUP(O159,S6M6!$B$1:$C$161,2,0),0)</f>
        <v>0</v>
      </c>
      <c r="AG159" s="97">
        <f>IFERROR(VLOOKUP(Q159,S6M7!$B$1:$C$161,2,0),0)</f>
        <v>0</v>
      </c>
      <c r="AH159" s="97">
        <f>IFERROR(VLOOKUP(S159,S6M8!$B$1:$C$161,2,0),0)</f>
        <v>0</v>
      </c>
      <c r="AI159" s="97">
        <f>IFERROR(VLOOKUP(U159,S6M9!$B$1:$C$161,2,0),0)</f>
        <v>0</v>
      </c>
      <c r="AJ159" s="97">
        <f>IFERROR(VLOOKUP(W159,S6M10!$B$1:$C$161,2,0),0)</f>
        <v>0</v>
      </c>
      <c r="AK159" s="97">
        <f>IFERROR(VLOOKUP(Y159,S6M11!$B$1:$C$161,2,0),0)</f>
        <v>0</v>
      </c>
    </row>
    <row r="160" ht="15.75" customHeight="1">
      <c r="A160" s="110">
        <v>159.0</v>
      </c>
      <c r="B160" s="103"/>
      <c r="C160" s="93">
        <f t="shared" si="2"/>
        <v>0</v>
      </c>
      <c r="D160" s="93"/>
      <c r="E160" s="94" t="str">
        <f>IFERROR(VLOOKUP($B160,S6M1!$A$1:$B$160,2,0),"0")</f>
        <v>0</v>
      </c>
      <c r="F160" s="95">
        <f>IFERROR(VLOOKUP(E160,S6M1!$B$1:$C$161,2,0),0)</f>
        <v>0</v>
      </c>
      <c r="G160" s="94" t="str">
        <f>IFERROR(VLOOKUP($B160,S6M2!$A$1:$B$160,2,0),"0")</f>
        <v>0</v>
      </c>
      <c r="H160" s="95">
        <f>IFERROR(VLOOKUP(G160,S6M2!$B$1:$C$161,2,0),0)</f>
        <v>0</v>
      </c>
      <c r="I160" s="94">
        <f>IFERROR(VLOOKUP($B160,S6M3!$A$1:$B$161,2,0),0)</f>
        <v>0</v>
      </c>
      <c r="J160" s="95">
        <f>IFERROR(VLOOKUP(I160,S6M3!$B$1:$C$161,2,0),0)</f>
        <v>0</v>
      </c>
      <c r="K160" s="94" t="str">
        <f>IFERROR(VLOOKUP($B160,S6M4!$A$1:$B$160,2,0),"0")</f>
        <v>0</v>
      </c>
      <c r="L160" s="95">
        <f>IFERROR(VLOOKUP(K160,S6M4!$B$1:$C$161,2,0),0)</f>
        <v>0</v>
      </c>
      <c r="M160" s="94" t="str">
        <f>IFERROR(VLOOKUP($B160,S6M5!$A$1:$B$160,2,0),"0")</f>
        <v>0</v>
      </c>
      <c r="N160" s="95">
        <f>IFERROR(VLOOKUP(M160,S6M5!$B$1:$C$161,2,0),0)</f>
        <v>0</v>
      </c>
      <c r="O160" s="94" t="str">
        <f>IFERROR(VLOOKUP($B160,S6M6!$A$1:$B$160,2,0),"0")</f>
        <v>0</v>
      </c>
      <c r="P160" s="95">
        <f>IFERROR(VLOOKUP(O160,S6M6!$B$1:$C$161,2,0),0)</f>
        <v>0</v>
      </c>
      <c r="Q160" s="94" t="str">
        <f>IFERROR(VLOOKUP($B160,S6M7!$A$1:$B$160,2,0),"0")</f>
        <v>0</v>
      </c>
      <c r="R160" s="95">
        <f>IFERROR(VLOOKUP(Q160,S6M7!$B$1:$C$161,2,0),0)</f>
        <v>0</v>
      </c>
      <c r="S160" s="94" t="str">
        <f>IFERROR(VLOOKUP($B160,S6M8!$A$1:$B$160,2,0),"0")</f>
        <v>0</v>
      </c>
      <c r="T160" s="95">
        <f>IFERROR(VLOOKUP(S160,S6M8!$B$1:$C$161,2,0),0)</f>
        <v>0</v>
      </c>
      <c r="U160" s="94" t="str">
        <f>IFERROR(VLOOKUP($B160,S6M9!$A$1:$B$160,2,0),"0")</f>
        <v>0</v>
      </c>
      <c r="V160" s="95">
        <f>IFERROR(VLOOKUP(U160,S6M9!$B$1:$C$161,2,0),0)</f>
        <v>0</v>
      </c>
      <c r="W160" s="94" t="str">
        <f>IFERROR(VLOOKUP($B160,S6M10!$A$1:$B$160,2,0),"0")</f>
        <v>0</v>
      </c>
      <c r="X160" s="95">
        <f>IFERROR(VLOOKUP(W160,S6M10!$B$1:$C$161,2,0),0)</f>
        <v>0</v>
      </c>
      <c r="Y160" s="94" t="str">
        <f>IFERROR(VLOOKUP($B160,S6M11!$A$1:$B$160,2,0),"0")</f>
        <v>0</v>
      </c>
      <c r="Z160" s="95">
        <f>IFERROR(VLOOKUP(Y160,S6M11!$B$1:$C$161,2,0),0)</f>
        <v>0</v>
      </c>
      <c r="AA160" s="97">
        <f>IFERROR(VLOOKUP(E160,S6M1!$B$1:$C$161,2,0),0)</f>
        <v>0</v>
      </c>
      <c r="AB160" s="97">
        <f>IFERROR(VLOOKUP(G160,S6M2!$B$1:$C$161,2,0),0)</f>
        <v>0</v>
      </c>
      <c r="AC160" s="97">
        <f>IFERROR(VLOOKUP(I160,S6M3!$B$1:$C$161,2,0),0)</f>
        <v>0</v>
      </c>
      <c r="AD160" s="97">
        <f>IFERROR(VLOOKUP(K160,S6M4!$B$1:$C$161,2,0),0)</f>
        <v>0</v>
      </c>
      <c r="AE160" s="97">
        <f>IFERROR(VLOOKUP(M160,S6M5!$B$1:$C$161,2,0),0)</f>
        <v>0</v>
      </c>
      <c r="AF160" s="97">
        <f>IFERROR(VLOOKUP(O160,S6M6!$B$1:$C$161,2,0),0)</f>
        <v>0</v>
      </c>
      <c r="AG160" s="97">
        <f>IFERROR(VLOOKUP(Q160,S6M7!$B$1:$C$161,2,0),0)</f>
        <v>0</v>
      </c>
      <c r="AH160" s="97">
        <f>IFERROR(VLOOKUP(S160,S6M8!$B$1:$C$161,2,0),0)</f>
        <v>0</v>
      </c>
      <c r="AI160" s="97">
        <f>IFERROR(VLOOKUP(U160,S6M9!$B$1:$C$161,2,0),0)</f>
        <v>0</v>
      </c>
      <c r="AJ160" s="97">
        <f>IFERROR(VLOOKUP(W160,S6M10!$B$1:$C$161,2,0),0)</f>
        <v>0</v>
      </c>
      <c r="AK160" s="97">
        <f>IFERROR(VLOOKUP(Y160,S6M11!$B$1:$C$161,2,0),0)</f>
        <v>0</v>
      </c>
    </row>
    <row r="161" ht="15.75" customHeight="1">
      <c r="A161" s="110">
        <v>160.0</v>
      </c>
      <c r="B161" s="103"/>
      <c r="C161" s="93">
        <f t="shared" si="2"/>
        <v>0</v>
      </c>
      <c r="D161" s="93"/>
      <c r="E161" s="94" t="str">
        <f>IFERROR(VLOOKUP($B161,S6M1!$A$1:$B$160,2,0),"0")</f>
        <v>0</v>
      </c>
      <c r="F161" s="95">
        <f>IFERROR(VLOOKUP(E161,S6M1!$B$1:$C$161,2,0),0)</f>
        <v>0</v>
      </c>
      <c r="G161" s="94" t="str">
        <f>IFERROR(VLOOKUP($B161,S6M2!$A$1:$B$160,2,0),"0")</f>
        <v>0</v>
      </c>
      <c r="H161" s="95">
        <f>IFERROR(VLOOKUP(G161,S6M2!$B$1:$C$161,2,0),0)</f>
        <v>0</v>
      </c>
      <c r="I161" s="94">
        <f>IFERROR(VLOOKUP($B161,S6M3!$A$1:$B$161,2,0),0)</f>
        <v>0</v>
      </c>
      <c r="J161" s="95">
        <f>IFERROR(VLOOKUP(I161,S6M3!$B$1:$C$161,2,0),0)</f>
        <v>0</v>
      </c>
      <c r="K161" s="94" t="str">
        <f>IFERROR(VLOOKUP($B161,S6M4!$A$1:$B$160,2,0),"0")</f>
        <v>0</v>
      </c>
      <c r="L161" s="95">
        <f>IFERROR(VLOOKUP(K161,S6M4!$B$1:$C$161,2,0),0)</f>
        <v>0</v>
      </c>
      <c r="M161" s="94" t="str">
        <f>IFERROR(VLOOKUP($B161,S6M5!$A$1:$B$160,2,0),"0")</f>
        <v>0</v>
      </c>
      <c r="N161" s="95">
        <f>IFERROR(VLOOKUP(M161,S6M5!$B$1:$C$161,2,0),0)</f>
        <v>0</v>
      </c>
      <c r="O161" s="94" t="str">
        <f>IFERROR(VLOOKUP($B161,S6M6!$A$1:$B$160,2,0),"0")</f>
        <v>0</v>
      </c>
      <c r="P161" s="95">
        <f>IFERROR(VLOOKUP(O161,S6M6!$B$1:$C$161,2,0),0)</f>
        <v>0</v>
      </c>
      <c r="Q161" s="94" t="str">
        <f>IFERROR(VLOOKUP($B161,S6M7!$A$1:$B$160,2,0),"0")</f>
        <v>0</v>
      </c>
      <c r="R161" s="95">
        <f>IFERROR(VLOOKUP(Q161,S6M7!$B$1:$C$161,2,0),0)</f>
        <v>0</v>
      </c>
      <c r="S161" s="94" t="str">
        <f>IFERROR(VLOOKUP($B161,S6M8!$A$1:$B$160,2,0),"0")</f>
        <v>0</v>
      </c>
      <c r="T161" s="95">
        <f>IFERROR(VLOOKUP(S161,S6M8!$B$1:$C$161,2,0),0)</f>
        <v>0</v>
      </c>
      <c r="U161" s="94" t="str">
        <f>IFERROR(VLOOKUP($B161,S6M9!$A$1:$B$160,2,0),"0")</f>
        <v>0</v>
      </c>
      <c r="V161" s="95">
        <f>IFERROR(VLOOKUP(U161,S6M9!$B$1:$C$161,2,0),0)</f>
        <v>0</v>
      </c>
      <c r="W161" s="94" t="str">
        <f>IFERROR(VLOOKUP($B161,S6M10!$A$1:$B$160,2,0),"0")</f>
        <v>0</v>
      </c>
      <c r="X161" s="95">
        <f>IFERROR(VLOOKUP(W161,S6M10!$B$1:$C$161,2,0),0)</f>
        <v>0</v>
      </c>
      <c r="Y161" s="94" t="str">
        <f>IFERROR(VLOOKUP($B161,S6M11!$A$1:$B$160,2,0),"0")</f>
        <v>0</v>
      </c>
      <c r="Z161" s="95">
        <f>IFERROR(VLOOKUP(Y161,S6M11!$B$1:$C$161,2,0),0)</f>
        <v>0</v>
      </c>
      <c r="AA161" s="97">
        <f>IFERROR(VLOOKUP(E161,S6M1!$B$1:$C$161,2,0),0)</f>
        <v>0</v>
      </c>
      <c r="AB161" s="97">
        <f>IFERROR(VLOOKUP(G161,S6M2!$B$1:$C$161,2,0),0)</f>
        <v>0</v>
      </c>
      <c r="AC161" s="97">
        <f>IFERROR(VLOOKUP(I161,S6M3!$B$1:$C$161,2,0),0)</f>
        <v>0</v>
      </c>
      <c r="AD161" s="97">
        <f>IFERROR(VLOOKUP(K161,S6M4!$B$1:$C$161,2,0),0)</f>
        <v>0</v>
      </c>
      <c r="AE161" s="97">
        <f>IFERROR(VLOOKUP(M161,S6M5!$B$1:$C$161,2,0),0)</f>
        <v>0</v>
      </c>
      <c r="AF161" s="97">
        <f>IFERROR(VLOOKUP(O161,S6M6!$B$1:$C$161,2,0),0)</f>
        <v>0</v>
      </c>
      <c r="AG161" s="97">
        <f>IFERROR(VLOOKUP(Q161,S6M7!$B$1:$C$161,2,0),0)</f>
        <v>0</v>
      </c>
      <c r="AH161" s="97">
        <f>IFERROR(VLOOKUP(S161,S6M8!$B$1:$C$161,2,0),0)</f>
        <v>0</v>
      </c>
      <c r="AI161" s="97">
        <f>IFERROR(VLOOKUP(U161,S6M9!$B$1:$C$161,2,0),0)</f>
        <v>0</v>
      </c>
      <c r="AJ161" s="97">
        <f>IFERROR(VLOOKUP(W161,S6M10!$B$1:$C$161,2,0),0)</f>
        <v>0</v>
      </c>
      <c r="AK161" s="97">
        <f>IFERROR(VLOOKUP(Y161,S6M11!$B$1:$C$161,2,0),0)</f>
        <v>0</v>
      </c>
    </row>
    <row r="162" ht="15.75" customHeight="1">
      <c r="A162" s="110">
        <v>161.0</v>
      </c>
      <c r="B162" s="103"/>
      <c r="C162" s="93">
        <f t="shared" si="2"/>
        <v>0</v>
      </c>
      <c r="D162" s="93"/>
      <c r="E162" s="94" t="str">
        <f>IFERROR(VLOOKUP($B162,S6M1!$A$1:$B$160,2,0),"0")</f>
        <v>0</v>
      </c>
      <c r="F162" s="95">
        <f>IFERROR(VLOOKUP(E162,S6M1!$B$1:$C$161,2,0),0)</f>
        <v>0</v>
      </c>
      <c r="G162" s="94" t="str">
        <f>IFERROR(VLOOKUP($B162,S6M2!$A$1:$B$160,2,0),"0")</f>
        <v>0</v>
      </c>
      <c r="H162" s="95">
        <f>IFERROR(VLOOKUP(G162,S6M2!$B$1:$C$161,2,0),0)</f>
        <v>0</v>
      </c>
      <c r="I162" s="94">
        <f>IFERROR(VLOOKUP($B162,S6M3!$A$1:$B$161,2,0),0)</f>
        <v>0</v>
      </c>
      <c r="J162" s="95">
        <f>IFERROR(VLOOKUP(I162,S6M3!$B$1:$C$161,2,0),0)</f>
        <v>0</v>
      </c>
      <c r="K162" s="94" t="str">
        <f>IFERROR(VLOOKUP($B162,S6M4!$A$1:$B$160,2,0),"0")</f>
        <v>0</v>
      </c>
      <c r="L162" s="95">
        <f>IFERROR(VLOOKUP(K162,S6M4!$B$1:$C$161,2,0),0)</f>
        <v>0</v>
      </c>
      <c r="M162" s="94" t="str">
        <f>IFERROR(VLOOKUP($B162,S6M5!$A$1:$B$160,2,0),"0")</f>
        <v>0</v>
      </c>
      <c r="N162" s="95">
        <f>IFERROR(VLOOKUP(M162,S6M5!$B$1:$C$161,2,0),0)</f>
        <v>0</v>
      </c>
      <c r="O162" s="94" t="str">
        <f>IFERROR(VLOOKUP($B162,S6M6!$A$1:$B$160,2,0),"0")</f>
        <v>0</v>
      </c>
      <c r="P162" s="95">
        <f>IFERROR(VLOOKUP(O162,S6M6!$B$1:$C$161,2,0),0)</f>
        <v>0</v>
      </c>
      <c r="Q162" s="94" t="str">
        <f>IFERROR(VLOOKUP($B162,S6M7!$A$1:$B$160,2,0),"0")</f>
        <v>0</v>
      </c>
      <c r="R162" s="95">
        <f>IFERROR(VLOOKUP(Q162,S6M7!$B$1:$C$161,2,0),0)</f>
        <v>0</v>
      </c>
      <c r="S162" s="94" t="str">
        <f>IFERROR(VLOOKUP($B162,S6M8!$A$1:$B$160,2,0),"0")</f>
        <v>0</v>
      </c>
      <c r="T162" s="95">
        <f>IFERROR(VLOOKUP(S162,S6M8!$B$1:$C$161,2,0),0)</f>
        <v>0</v>
      </c>
      <c r="U162" s="94" t="str">
        <f>IFERROR(VLOOKUP($B162,S6M9!$A$1:$B$160,2,0),"0")</f>
        <v>0</v>
      </c>
      <c r="V162" s="95">
        <f>IFERROR(VLOOKUP(U162,S6M9!$B$1:$C$161,2,0),0)</f>
        <v>0</v>
      </c>
      <c r="W162" s="94" t="str">
        <f>IFERROR(VLOOKUP($B162,S6M10!$A$1:$B$160,2,0),"0")</f>
        <v>0</v>
      </c>
      <c r="X162" s="95">
        <f>IFERROR(VLOOKUP(W162,S6M10!$B$1:$C$161,2,0),0)</f>
        <v>0</v>
      </c>
      <c r="Y162" s="94" t="str">
        <f>IFERROR(VLOOKUP($B162,S6M11!$A$1:$B$160,2,0),"0")</f>
        <v>0</v>
      </c>
      <c r="Z162" s="95">
        <f>IFERROR(VLOOKUP(Y162,S6M11!$B$1:$C$161,2,0),0)</f>
        <v>0</v>
      </c>
      <c r="AA162" s="97">
        <f>IFERROR(VLOOKUP(E162,S6M1!$B$1:$C$161,2,0),0)</f>
        <v>0</v>
      </c>
      <c r="AB162" s="97">
        <f>IFERROR(VLOOKUP(G162,S6M2!$B$1:$C$161,2,0),0)</f>
        <v>0</v>
      </c>
      <c r="AC162" s="97">
        <f>IFERROR(VLOOKUP(I162,S6M3!$B$1:$C$161,2,0),0)</f>
        <v>0</v>
      </c>
      <c r="AD162" s="97">
        <f>IFERROR(VLOOKUP(K162,S6M4!$B$1:$C$161,2,0),0)</f>
        <v>0</v>
      </c>
      <c r="AE162" s="97">
        <f>IFERROR(VLOOKUP(M162,S6M5!$B$1:$C$161,2,0),0)</f>
        <v>0</v>
      </c>
      <c r="AF162" s="97">
        <f>IFERROR(VLOOKUP(O162,S6M6!$B$1:$C$161,2,0),0)</f>
        <v>0</v>
      </c>
      <c r="AG162" s="97">
        <f>IFERROR(VLOOKUP(Q162,S6M7!$B$1:$C$161,2,0),0)</f>
        <v>0</v>
      </c>
      <c r="AH162" s="97">
        <f>IFERROR(VLOOKUP(S162,S6M8!$B$1:$C$161,2,0),0)</f>
        <v>0</v>
      </c>
      <c r="AI162" s="97">
        <f>IFERROR(VLOOKUP(U162,S6M9!$B$1:$C$161,2,0),0)</f>
        <v>0</v>
      </c>
      <c r="AJ162" s="97">
        <f>IFERROR(VLOOKUP(W162,S6M10!$B$1:$C$161,2,0),0)</f>
        <v>0</v>
      </c>
      <c r="AK162" s="97">
        <f>IFERROR(VLOOKUP(Y162,S6M11!$B$1:$C$161,2,0),0)</f>
        <v>0</v>
      </c>
    </row>
    <row r="163" ht="15.75" customHeight="1">
      <c r="A163" s="110">
        <v>162.0</v>
      </c>
      <c r="B163" s="103"/>
      <c r="C163" s="93">
        <f t="shared" si="2"/>
        <v>0</v>
      </c>
      <c r="D163" s="93"/>
      <c r="E163" s="94" t="str">
        <f>IFERROR(VLOOKUP($B163,S6M1!$A$1:$B$160,2,0),"0")</f>
        <v>0</v>
      </c>
      <c r="F163" s="95">
        <f>IFERROR(VLOOKUP(E163,S6M1!$B$1:$C$161,2,0),0)</f>
        <v>0</v>
      </c>
      <c r="G163" s="94" t="str">
        <f>IFERROR(VLOOKUP($B163,S6M2!$A$1:$B$160,2,0),"0")</f>
        <v>0</v>
      </c>
      <c r="H163" s="95">
        <f>IFERROR(VLOOKUP(G163,S6M2!$B$1:$C$161,2,0),0)</f>
        <v>0</v>
      </c>
      <c r="I163" s="94">
        <f>IFERROR(VLOOKUP($B163,S6M3!$A$1:$B$161,2,0),0)</f>
        <v>0</v>
      </c>
      <c r="J163" s="95">
        <f>IFERROR(VLOOKUP(I163,S6M3!$B$1:$C$161,2,0),0)</f>
        <v>0</v>
      </c>
      <c r="K163" s="94" t="str">
        <f>IFERROR(VLOOKUP($B163,S6M4!$A$1:$B$160,2,0),"0")</f>
        <v>0</v>
      </c>
      <c r="L163" s="95">
        <f>IFERROR(VLOOKUP(K163,S6M4!$B$1:$C$161,2,0),0)</f>
        <v>0</v>
      </c>
      <c r="M163" s="94" t="str">
        <f>IFERROR(VLOOKUP($B163,S6M5!$A$1:$B$160,2,0),"0")</f>
        <v>0</v>
      </c>
      <c r="N163" s="95">
        <f>IFERROR(VLOOKUP(M163,S6M5!$B$1:$C$161,2,0),0)</f>
        <v>0</v>
      </c>
      <c r="O163" s="94" t="str">
        <f>IFERROR(VLOOKUP($B163,S6M6!$A$1:$B$160,2,0),"0")</f>
        <v>0</v>
      </c>
      <c r="P163" s="95">
        <f>IFERROR(VLOOKUP(O163,S6M6!$B$1:$C$161,2,0),0)</f>
        <v>0</v>
      </c>
      <c r="Q163" s="94" t="str">
        <f>IFERROR(VLOOKUP($B163,S6M7!$A$1:$B$160,2,0),"0")</f>
        <v>0</v>
      </c>
      <c r="R163" s="95">
        <f>IFERROR(VLOOKUP(Q163,S6M7!$B$1:$C$161,2,0),0)</f>
        <v>0</v>
      </c>
      <c r="S163" s="94" t="str">
        <f>IFERROR(VLOOKUP($B163,S6M8!$A$1:$B$160,2,0),"0")</f>
        <v>0</v>
      </c>
      <c r="T163" s="95">
        <f>IFERROR(VLOOKUP(S163,S6M8!$B$1:$C$161,2,0),0)</f>
        <v>0</v>
      </c>
      <c r="U163" s="94" t="str">
        <f>IFERROR(VLOOKUP($B163,S6M9!$A$1:$B$160,2,0),"0")</f>
        <v>0</v>
      </c>
      <c r="V163" s="95">
        <f>IFERROR(VLOOKUP(U163,S6M9!$B$1:$C$161,2,0),0)</f>
        <v>0</v>
      </c>
      <c r="W163" s="94" t="str">
        <f>IFERROR(VLOOKUP($B163,S6M10!$A$1:$B$160,2,0),"0")</f>
        <v>0</v>
      </c>
      <c r="X163" s="95">
        <f>IFERROR(VLOOKUP(W163,S6M10!$B$1:$C$161,2,0),0)</f>
        <v>0</v>
      </c>
      <c r="Y163" s="94" t="str">
        <f>IFERROR(VLOOKUP($B163,S6M11!$A$1:$B$160,2,0),"0")</f>
        <v>0</v>
      </c>
      <c r="Z163" s="95">
        <f>IFERROR(VLOOKUP(Y163,S6M11!$B$1:$C$161,2,0),0)</f>
        <v>0</v>
      </c>
      <c r="AA163" s="97">
        <f>IFERROR(VLOOKUP(E163,S6M1!$B$1:$C$161,2,0),0)</f>
        <v>0</v>
      </c>
      <c r="AB163" s="97">
        <f>IFERROR(VLOOKUP(G163,S6M2!$B$1:$C$161,2,0),0)</f>
        <v>0</v>
      </c>
      <c r="AC163" s="97">
        <f>IFERROR(VLOOKUP(I163,S6M3!$B$1:$C$161,2,0),0)</f>
        <v>0</v>
      </c>
      <c r="AD163" s="97">
        <f>IFERROR(VLOOKUP(K163,S6M4!$B$1:$C$161,2,0),0)</f>
        <v>0</v>
      </c>
      <c r="AE163" s="97">
        <f>IFERROR(VLOOKUP(M163,S6M5!$B$1:$C$161,2,0),0)</f>
        <v>0</v>
      </c>
      <c r="AF163" s="97">
        <f>IFERROR(VLOOKUP(O163,S6M6!$B$1:$C$161,2,0),0)</f>
        <v>0</v>
      </c>
      <c r="AG163" s="97">
        <f>IFERROR(VLOOKUP(Q163,S6M7!$B$1:$C$161,2,0),0)</f>
        <v>0</v>
      </c>
      <c r="AH163" s="97">
        <f>IFERROR(VLOOKUP(S163,S6M8!$B$1:$C$161,2,0),0)</f>
        <v>0</v>
      </c>
      <c r="AI163" s="97">
        <f>IFERROR(VLOOKUP(U163,S6M9!$B$1:$C$161,2,0),0)</f>
        <v>0</v>
      </c>
      <c r="AJ163" s="97">
        <f>IFERROR(VLOOKUP(W163,S6M10!$B$1:$C$161,2,0),0)</f>
        <v>0</v>
      </c>
      <c r="AK163" s="97">
        <f>IFERROR(VLOOKUP(Y163,S6M11!$B$1:$C$161,2,0),0)</f>
        <v>0</v>
      </c>
    </row>
    <row r="164" ht="15.75" customHeight="1">
      <c r="A164" s="110">
        <v>163.0</v>
      </c>
      <c r="B164" s="103"/>
      <c r="C164" s="93">
        <f t="shared" si="2"/>
        <v>0</v>
      </c>
      <c r="D164" s="93"/>
      <c r="E164" s="94" t="str">
        <f>IFERROR(VLOOKUP($B164,S6M1!$A$1:$B$160,2,0),"0")</f>
        <v>0</v>
      </c>
      <c r="F164" s="95">
        <f>IFERROR(VLOOKUP(E164,S6M1!$B$1:$C$161,2,0),0)</f>
        <v>0</v>
      </c>
      <c r="G164" s="94" t="str">
        <f>IFERROR(VLOOKUP($B164,S6M2!$A$1:$B$160,2,0),"0")</f>
        <v>0</v>
      </c>
      <c r="H164" s="95">
        <f>IFERROR(VLOOKUP(G164,S6M2!$B$1:$C$161,2,0),0)</f>
        <v>0</v>
      </c>
      <c r="I164" s="94">
        <f>IFERROR(VLOOKUP($B164,S6M3!$A$1:$B$161,2,0),0)</f>
        <v>0</v>
      </c>
      <c r="J164" s="95">
        <f>IFERROR(VLOOKUP(I164,S6M3!$B$1:$C$161,2,0),0)</f>
        <v>0</v>
      </c>
      <c r="K164" s="94" t="str">
        <f>IFERROR(VLOOKUP($B164,S6M4!$A$1:$B$160,2,0),"0")</f>
        <v>0</v>
      </c>
      <c r="L164" s="95">
        <f>IFERROR(VLOOKUP(K164,S6M4!$B$1:$C$161,2,0),0)</f>
        <v>0</v>
      </c>
      <c r="M164" s="94" t="str">
        <f>IFERROR(VLOOKUP($B164,S6M5!$A$1:$B$160,2,0),"0")</f>
        <v>0</v>
      </c>
      <c r="N164" s="95">
        <f>IFERROR(VLOOKUP(M164,S6M5!$B$1:$C$161,2,0),0)</f>
        <v>0</v>
      </c>
      <c r="O164" s="94" t="str">
        <f>IFERROR(VLOOKUP($B164,S6M6!$A$1:$B$160,2,0),"0")</f>
        <v>0</v>
      </c>
      <c r="P164" s="95">
        <f>IFERROR(VLOOKUP(O164,S6M6!$B$1:$C$161,2,0),0)</f>
        <v>0</v>
      </c>
      <c r="Q164" s="94" t="str">
        <f>IFERROR(VLOOKUP($B164,S6M7!$A$1:$B$160,2,0),"0")</f>
        <v>0</v>
      </c>
      <c r="R164" s="95">
        <f>IFERROR(VLOOKUP(Q164,S6M7!$B$1:$C$161,2,0),0)</f>
        <v>0</v>
      </c>
      <c r="S164" s="94" t="str">
        <f>IFERROR(VLOOKUP($B164,S6M8!$A$1:$B$160,2,0),"0")</f>
        <v>0</v>
      </c>
      <c r="T164" s="95">
        <f>IFERROR(VLOOKUP(S164,S6M8!$B$1:$C$161,2,0),0)</f>
        <v>0</v>
      </c>
      <c r="U164" s="94" t="str">
        <f>IFERROR(VLOOKUP($B164,S6M9!$A$1:$B$160,2,0),"0")</f>
        <v>0</v>
      </c>
      <c r="V164" s="95">
        <f>IFERROR(VLOOKUP(U164,S6M9!$B$1:$C$161,2,0),0)</f>
        <v>0</v>
      </c>
      <c r="W164" s="94" t="str">
        <f>IFERROR(VLOOKUP($B164,S6M10!$A$1:$B$160,2,0),"0")</f>
        <v>0</v>
      </c>
      <c r="X164" s="95">
        <f>IFERROR(VLOOKUP(W164,S6M10!$B$1:$C$161,2,0),0)</f>
        <v>0</v>
      </c>
      <c r="Y164" s="94" t="str">
        <f>IFERROR(VLOOKUP($B164,S6M11!$A$1:$B$160,2,0),"0")</f>
        <v>0</v>
      </c>
      <c r="Z164" s="95">
        <f>IFERROR(VLOOKUP(Y164,S6M11!$B$1:$C$161,2,0),0)</f>
        <v>0</v>
      </c>
      <c r="AA164" s="97">
        <f>IFERROR(VLOOKUP(E164,S6M1!$B$1:$C$161,2,0),0)</f>
        <v>0</v>
      </c>
      <c r="AB164" s="97">
        <f>IFERROR(VLOOKUP(G164,S6M2!$B$1:$C$161,2,0),0)</f>
        <v>0</v>
      </c>
      <c r="AC164" s="97">
        <f>IFERROR(VLOOKUP(I164,S6M3!$B$1:$C$161,2,0),0)</f>
        <v>0</v>
      </c>
      <c r="AD164" s="97">
        <f>IFERROR(VLOOKUP(K164,S6M4!$B$1:$C$161,2,0),0)</f>
        <v>0</v>
      </c>
      <c r="AE164" s="97">
        <f>IFERROR(VLOOKUP(M164,S6M5!$B$1:$C$161,2,0),0)</f>
        <v>0</v>
      </c>
      <c r="AF164" s="97">
        <f>IFERROR(VLOOKUP(O164,S6M6!$B$1:$C$161,2,0),0)</f>
        <v>0</v>
      </c>
      <c r="AG164" s="97">
        <f>IFERROR(VLOOKUP(Q164,S6M7!$B$1:$C$161,2,0),0)</f>
        <v>0</v>
      </c>
      <c r="AH164" s="97">
        <f>IFERROR(VLOOKUP(S164,S6M8!$B$1:$C$161,2,0),0)</f>
        <v>0</v>
      </c>
      <c r="AI164" s="97">
        <f>IFERROR(VLOOKUP(U164,S6M9!$B$1:$C$161,2,0),0)</f>
        <v>0</v>
      </c>
      <c r="AJ164" s="97">
        <f>IFERROR(VLOOKUP(W164,S6M10!$B$1:$C$161,2,0),0)</f>
        <v>0</v>
      </c>
      <c r="AK164" s="97">
        <f>IFERROR(VLOOKUP(Y164,S6M11!$B$1:$C$161,2,0),0)</f>
        <v>0</v>
      </c>
    </row>
    <row r="165" ht="15.75" customHeight="1">
      <c r="A165" s="110">
        <v>164.0</v>
      </c>
      <c r="B165" s="103"/>
      <c r="C165" s="93">
        <f t="shared" si="2"/>
        <v>0</v>
      </c>
      <c r="D165" s="93"/>
      <c r="E165" s="94" t="str">
        <f>IFERROR(VLOOKUP($B165,S6M1!$A$1:$B$160,2,0),"0")</f>
        <v>0</v>
      </c>
      <c r="F165" s="95">
        <f>IFERROR(VLOOKUP(E165,S6M1!$B$1:$C$161,2,0),0)</f>
        <v>0</v>
      </c>
      <c r="G165" s="94" t="str">
        <f>IFERROR(VLOOKUP($B165,S6M2!$A$1:$B$160,2,0),"0")</f>
        <v>0</v>
      </c>
      <c r="H165" s="95">
        <f>IFERROR(VLOOKUP(G165,S6M2!$B$1:$C$161,2,0),0)</f>
        <v>0</v>
      </c>
      <c r="I165" s="94">
        <f>IFERROR(VLOOKUP($B165,S6M3!$A$1:$B$161,2,0),0)</f>
        <v>0</v>
      </c>
      <c r="J165" s="95">
        <f>IFERROR(VLOOKUP(I165,S6M3!$B$1:$C$161,2,0),0)</f>
        <v>0</v>
      </c>
      <c r="K165" s="94" t="str">
        <f>IFERROR(VLOOKUP($B165,S6M4!$A$1:$B$160,2,0),"0")</f>
        <v>0</v>
      </c>
      <c r="L165" s="95">
        <f>IFERROR(VLOOKUP(K165,S6M4!$B$1:$C$161,2,0),0)</f>
        <v>0</v>
      </c>
      <c r="M165" s="94" t="str">
        <f>IFERROR(VLOOKUP($B165,S6M5!$A$1:$B$160,2,0),"0")</f>
        <v>0</v>
      </c>
      <c r="N165" s="95">
        <f>IFERROR(VLOOKUP(M165,S6M5!$B$1:$C$161,2,0),0)</f>
        <v>0</v>
      </c>
      <c r="O165" s="94" t="str">
        <f>IFERROR(VLOOKUP($B165,S6M6!$A$1:$B$160,2,0),"0")</f>
        <v>0</v>
      </c>
      <c r="P165" s="95">
        <f>IFERROR(VLOOKUP(O165,S6M6!$B$1:$C$161,2,0),0)</f>
        <v>0</v>
      </c>
      <c r="Q165" s="94" t="str">
        <f>IFERROR(VLOOKUP($B165,S6M7!$A$1:$B$160,2,0),"0")</f>
        <v>0</v>
      </c>
      <c r="R165" s="95">
        <f>IFERROR(VLOOKUP(Q165,S6M7!$B$1:$C$161,2,0),0)</f>
        <v>0</v>
      </c>
      <c r="S165" s="94" t="str">
        <f>IFERROR(VLOOKUP($B165,S6M8!$A$1:$B$160,2,0),"0")</f>
        <v>0</v>
      </c>
      <c r="T165" s="95">
        <f>IFERROR(VLOOKUP(S165,S6M8!$B$1:$C$161,2,0),0)</f>
        <v>0</v>
      </c>
      <c r="U165" s="94" t="str">
        <f>IFERROR(VLOOKUP($B165,S6M9!$A$1:$B$160,2,0),"0")</f>
        <v>0</v>
      </c>
      <c r="V165" s="95">
        <f>IFERROR(VLOOKUP(U165,S6M9!$B$1:$C$161,2,0),0)</f>
        <v>0</v>
      </c>
      <c r="W165" s="94" t="str">
        <f>IFERROR(VLOOKUP($B165,S6M10!$A$1:$B$160,2,0),"0")</f>
        <v>0</v>
      </c>
      <c r="X165" s="95">
        <f>IFERROR(VLOOKUP(W165,S6M10!$B$1:$C$161,2,0),0)</f>
        <v>0</v>
      </c>
      <c r="Y165" s="94" t="str">
        <f>IFERROR(VLOOKUP($B165,S6M11!$A$1:$B$160,2,0),"0")</f>
        <v>0</v>
      </c>
      <c r="Z165" s="95">
        <f>IFERROR(VLOOKUP(Y165,S6M11!$B$1:$C$161,2,0),0)</f>
        <v>0</v>
      </c>
      <c r="AA165" s="97">
        <f>IFERROR(VLOOKUP(E165,S6M1!$B$1:$C$161,2,0),0)</f>
        <v>0</v>
      </c>
      <c r="AB165" s="97">
        <f>IFERROR(VLOOKUP(G165,S6M2!$B$1:$C$161,2,0),0)</f>
        <v>0</v>
      </c>
      <c r="AC165" s="97">
        <f>IFERROR(VLOOKUP(I165,S6M3!$B$1:$C$161,2,0),0)</f>
        <v>0</v>
      </c>
      <c r="AD165" s="97">
        <f>IFERROR(VLOOKUP(K165,S6M4!$B$1:$C$161,2,0),0)</f>
        <v>0</v>
      </c>
      <c r="AE165" s="97">
        <f>IFERROR(VLOOKUP(M165,S6M5!$B$1:$C$161,2,0),0)</f>
        <v>0</v>
      </c>
      <c r="AF165" s="97">
        <f>IFERROR(VLOOKUP(O165,S6M6!$B$1:$C$161,2,0),0)</f>
        <v>0</v>
      </c>
      <c r="AG165" s="97">
        <f>IFERROR(VLOOKUP(Q165,S6M7!$B$1:$C$161,2,0),0)</f>
        <v>0</v>
      </c>
      <c r="AH165" s="97">
        <f>IFERROR(VLOOKUP(S165,S6M8!$B$1:$C$161,2,0),0)</f>
        <v>0</v>
      </c>
      <c r="AI165" s="97">
        <f>IFERROR(VLOOKUP(U165,S6M9!$B$1:$C$161,2,0),0)</f>
        <v>0</v>
      </c>
      <c r="AJ165" s="97">
        <f>IFERROR(VLOOKUP(W165,S6M10!$B$1:$C$161,2,0),0)</f>
        <v>0</v>
      </c>
      <c r="AK165" s="97">
        <f>IFERROR(VLOOKUP(Y165,S6M11!$B$1:$C$161,2,0),0)</f>
        <v>0</v>
      </c>
    </row>
    <row r="166" ht="15.75" customHeight="1">
      <c r="A166" s="110">
        <v>165.0</v>
      </c>
      <c r="B166" s="103"/>
      <c r="C166" s="93">
        <f t="shared" si="2"/>
        <v>0</v>
      </c>
      <c r="D166" s="93"/>
      <c r="E166" s="94" t="str">
        <f>IFERROR(VLOOKUP($B166,S6M1!$A$1:$B$160,2,0),"0")</f>
        <v>0</v>
      </c>
      <c r="F166" s="95">
        <f>IFERROR(VLOOKUP(E166,S6M1!$B$1:$C$161,2,0),0)</f>
        <v>0</v>
      </c>
      <c r="G166" s="94" t="str">
        <f>IFERROR(VLOOKUP($B166,S6M2!$A$1:$B$160,2,0),"0")</f>
        <v>0</v>
      </c>
      <c r="H166" s="95">
        <f>IFERROR(VLOOKUP(G166,S6M2!$B$1:$C$161,2,0),0)</f>
        <v>0</v>
      </c>
      <c r="I166" s="94">
        <f>IFERROR(VLOOKUP($B166,S6M3!$A$1:$B$161,2,0),0)</f>
        <v>0</v>
      </c>
      <c r="J166" s="95">
        <f>IFERROR(VLOOKUP(I166,S6M3!$B$1:$C$161,2,0),0)</f>
        <v>0</v>
      </c>
      <c r="K166" s="94" t="str">
        <f>IFERROR(VLOOKUP($B166,S6M4!$A$1:$B$160,2,0),"0")</f>
        <v>0</v>
      </c>
      <c r="L166" s="95">
        <f>IFERROR(VLOOKUP(K166,S6M4!$B$1:$C$161,2,0),0)</f>
        <v>0</v>
      </c>
      <c r="M166" s="94" t="str">
        <f>IFERROR(VLOOKUP($B166,S6M5!$A$1:$B$160,2,0),"0")</f>
        <v>0</v>
      </c>
      <c r="N166" s="95">
        <f>IFERROR(VLOOKUP(M166,S6M5!$B$1:$C$161,2,0),0)</f>
        <v>0</v>
      </c>
      <c r="O166" s="94" t="str">
        <f>IFERROR(VLOOKUP($B166,S6M6!$A$1:$B$160,2,0),"0")</f>
        <v>0</v>
      </c>
      <c r="P166" s="95">
        <f>IFERROR(VLOOKUP(O166,S6M6!$B$1:$C$161,2,0),0)</f>
        <v>0</v>
      </c>
      <c r="Q166" s="94" t="str">
        <f>IFERROR(VLOOKUP($B166,S6M7!$A$1:$B$160,2,0),"0")</f>
        <v>0</v>
      </c>
      <c r="R166" s="95">
        <f>IFERROR(VLOOKUP(Q166,S6M7!$B$1:$C$161,2,0),0)</f>
        <v>0</v>
      </c>
      <c r="S166" s="94" t="str">
        <f>IFERROR(VLOOKUP($B166,S6M8!$A$1:$B$160,2,0),"0")</f>
        <v>0</v>
      </c>
      <c r="T166" s="95">
        <f>IFERROR(VLOOKUP(S166,S6M8!$B$1:$C$161,2,0),0)</f>
        <v>0</v>
      </c>
      <c r="U166" s="94" t="str">
        <f>IFERROR(VLOOKUP($B166,S6M9!$A$1:$B$160,2,0),"0")</f>
        <v>0</v>
      </c>
      <c r="V166" s="95">
        <f>IFERROR(VLOOKUP(U166,S6M9!$B$1:$C$161,2,0),0)</f>
        <v>0</v>
      </c>
      <c r="W166" s="94" t="str">
        <f>IFERROR(VLOOKUP($B166,S6M10!$A$1:$B$160,2,0),"0")</f>
        <v>0</v>
      </c>
      <c r="X166" s="95">
        <f>IFERROR(VLOOKUP(W166,S6M10!$B$1:$C$161,2,0),0)</f>
        <v>0</v>
      </c>
      <c r="Y166" s="94" t="str">
        <f>IFERROR(VLOOKUP($B166,S6M11!$A$1:$B$160,2,0),"0")</f>
        <v>0</v>
      </c>
      <c r="Z166" s="95">
        <f>IFERROR(VLOOKUP(Y166,S6M11!$B$1:$C$161,2,0),0)</f>
        <v>0</v>
      </c>
      <c r="AA166" s="97">
        <f>IFERROR(VLOOKUP(E166,S6M1!$B$1:$C$161,2,0),0)</f>
        <v>0</v>
      </c>
      <c r="AB166" s="97">
        <f>IFERROR(VLOOKUP(G166,S6M2!$B$1:$C$161,2,0),0)</f>
        <v>0</v>
      </c>
      <c r="AC166" s="97">
        <f>IFERROR(VLOOKUP(I166,S6M3!$B$1:$C$161,2,0),0)</f>
        <v>0</v>
      </c>
      <c r="AD166" s="97">
        <f>IFERROR(VLOOKUP(K166,S6M4!$B$1:$C$161,2,0),0)</f>
        <v>0</v>
      </c>
      <c r="AE166" s="97">
        <f>IFERROR(VLOOKUP(M166,S6M5!$B$1:$C$161,2,0),0)</f>
        <v>0</v>
      </c>
      <c r="AF166" s="97">
        <f>IFERROR(VLOOKUP(O166,S6M6!$B$1:$C$161,2,0),0)</f>
        <v>0</v>
      </c>
      <c r="AG166" s="97">
        <f>IFERROR(VLOOKUP(Q166,S6M7!$B$1:$C$161,2,0),0)</f>
        <v>0</v>
      </c>
      <c r="AH166" s="97">
        <f>IFERROR(VLOOKUP(S166,S6M8!$B$1:$C$161,2,0),0)</f>
        <v>0</v>
      </c>
      <c r="AI166" s="97">
        <f>IFERROR(VLOOKUP(U166,S6M9!$B$1:$C$161,2,0),0)</f>
        <v>0</v>
      </c>
      <c r="AJ166" s="97">
        <f>IFERROR(VLOOKUP(W166,S6M10!$B$1:$C$161,2,0),0)</f>
        <v>0</v>
      </c>
      <c r="AK166" s="97">
        <f>IFERROR(VLOOKUP(Y166,S6M11!$B$1:$C$161,2,0),0)</f>
        <v>0</v>
      </c>
    </row>
    <row r="167" ht="15.75" customHeight="1">
      <c r="A167" s="110">
        <v>166.0</v>
      </c>
      <c r="B167" s="103"/>
      <c r="C167" s="93">
        <f t="shared" si="2"/>
        <v>0</v>
      </c>
      <c r="D167" s="93"/>
      <c r="E167" s="94" t="str">
        <f>IFERROR(VLOOKUP($B167,S6M1!$A$1:$B$160,2,0),"0")</f>
        <v>0</v>
      </c>
      <c r="F167" s="95">
        <f>IFERROR(VLOOKUP(E167,S6M1!$B$1:$C$161,2,0),0)</f>
        <v>0</v>
      </c>
      <c r="G167" s="94" t="str">
        <f>IFERROR(VLOOKUP($B167,S6M2!$A$1:$B$160,2,0),"0")</f>
        <v>0</v>
      </c>
      <c r="H167" s="95">
        <f>IFERROR(VLOOKUP(G167,S6M2!$B$1:$C$161,2,0),0)</f>
        <v>0</v>
      </c>
      <c r="I167" s="94">
        <f>IFERROR(VLOOKUP($B167,S6M3!$A$1:$B$161,2,0),0)</f>
        <v>0</v>
      </c>
      <c r="J167" s="95">
        <f>IFERROR(VLOOKUP(I167,S6M3!$B$1:$C$161,2,0),0)</f>
        <v>0</v>
      </c>
      <c r="K167" s="94" t="str">
        <f>IFERROR(VLOOKUP($B167,S6M4!$A$1:$B$160,2,0),"0")</f>
        <v>0</v>
      </c>
      <c r="L167" s="95">
        <f>IFERROR(VLOOKUP(K167,S6M4!$B$1:$C$161,2,0),0)</f>
        <v>0</v>
      </c>
      <c r="M167" s="94" t="str">
        <f>IFERROR(VLOOKUP($B167,S6M5!$A$1:$B$160,2,0),"0")</f>
        <v>0</v>
      </c>
      <c r="N167" s="95">
        <f>IFERROR(VLOOKUP(M167,S6M5!$B$1:$C$161,2,0),0)</f>
        <v>0</v>
      </c>
      <c r="O167" s="94" t="str">
        <f>IFERROR(VLOOKUP($B167,S6M6!$A$1:$B$160,2,0),"0")</f>
        <v>0</v>
      </c>
      <c r="P167" s="95">
        <f>IFERROR(VLOOKUP(O167,S6M6!$B$1:$C$161,2,0),0)</f>
        <v>0</v>
      </c>
      <c r="Q167" s="94" t="str">
        <f>IFERROR(VLOOKUP($B167,S6M7!$A$1:$B$160,2,0),"0")</f>
        <v>0</v>
      </c>
      <c r="R167" s="95">
        <f>IFERROR(VLOOKUP(Q167,S6M7!$B$1:$C$161,2,0),0)</f>
        <v>0</v>
      </c>
      <c r="S167" s="94" t="str">
        <f>IFERROR(VLOOKUP($B167,S6M8!$A$1:$B$160,2,0),"0")</f>
        <v>0</v>
      </c>
      <c r="T167" s="95">
        <f>IFERROR(VLOOKUP(S167,S6M8!$B$1:$C$161,2,0),0)</f>
        <v>0</v>
      </c>
      <c r="U167" s="94" t="str">
        <f>IFERROR(VLOOKUP($B167,S6M9!$A$1:$B$160,2,0),"0")</f>
        <v>0</v>
      </c>
      <c r="V167" s="95">
        <f>IFERROR(VLOOKUP(U167,S6M9!$B$1:$C$161,2,0),0)</f>
        <v>0</v>
      </c>
      <c r="W167" s="94" t="str">
        <f>IFERROR(VLOOKUP($B167,S6M10!$A$1:$B$160,2,0),"0")</f>
        <v>0</v>
      </c>
      <c r="X167" s="95">
        <f>IFERROR(VLOOKUP(W167,S6M10!$B$1:$C$161,2,0),0)</f>
        <v>0</v>
      </c>
      <c r="Y167" s="94" t="str">
        <f>IFERROR(VLOOKUP($B167,S6M11!$A$1:$B$160,2,0),"0")</f>
        <v>0</v>
      </c>
      <c r="Z167" s="95">
        <f>IFERROR(VLOOKUP(Y167,S6M11!$B$1:$C$161,2,0),0)</f>
        <v>0</v>
      </c>
      <c r="AA167" s="97">
        <f>IFERROR(VLOOKUP(E167,S6M1!$B$1:$C$161,2,0),0)</f>
        <v>0</v>
      </c>
      <c r="AB167" s="97">
        <f>IFERROR(VLOOKUP(G167,S6M2!$B$1:$C$161,2,0),0)</f>
        <v>0</v>
      </c>
      <c r="AC167" s="97">
        <f>IFERROR(VLOOKUP(I167,S6M3!$B$1:$C$161,2,0),0)</f>
        <v>0</v>
      </c>
      <c r="AD167" s="97">
        <f>IFERROR(VLOOKUP(K167,S6M4!$B$1:$C$161,2,0),0)</f>
        <v>0</v>
      </c>
      <c r="AE167" s="97">
        <f>IFERROR(VLOOKUP(M167,S6M5!$B$1:$C$161,2,0),0)</f>
        <v>0</v>
      </c>
      <c r="AF167" s="97">
        <f>IFERROR(VLOOKUP(O167,S6M6!$B$1:$C$161,2,0),0)</f>
        <v>0</v>
      </c>
      <c r="AG167" s="97">
        <f>IFERROR(VLOOKUP(Q167,S6M7!$B$1:$C$161,2,0),0)</f>
        <v>0</v>
      </c>
      <c r="AH167" s="97">
        <f>IFERROR(VLOOKUP(S167,S6M8!$B$1:$C$161,2,0),0)</f>
        <v>0</v>
      </c>
      <c r="AI167" s="97">
        <f>IFERROR(VLOOKUP(U167,S6M9!$B$1:$C$161,2,0),0)</f>
        <v>0</v>
      </c>
      <c r="AJ167" s="97">
        <f>IFERROR(VLOOKUP(W167,S6M10!$B$1:$C$161,2,0),0)</f>
        <v>0</v>
      </c>
      <c r="AK167" s="97">
        <f>IFERROR(VLOOKUP(Y167,S6M11!$B$1:$C$161,2,0),0)</f>
        <v>0</v>
      </c>
    </row>
    <row r="168" ht="15.75" customHeight="1">
      <c r="A168" s="110">
        <v>167.0</v>
      </c>
      <c r="B168" s="103"/>
      <c r="C168" s="93">
        <f t="shared" si="2"/>
        <v>0</v>
      </c>
      <c r="D168" s="93"/>
      <c r="E168" s="94" t="str">
        <f>IFERROR(VLOOKUP($B168,S6M1!$A$1:$B$160,2,0),"0")</f>
        <v>0</v>
      </c>
      <c r="F168" s="95">
        <f>IFERROR(VLOOKUP(E168,S6M1!$B$1:$C$161,2,0),0)</f>
        <v>0</v>
      </c>
      <c r="G168" s="94" t="str">
        <f>IFERROR(VLOOKUP($B168,S6M2!$A$1:$B$160,2,0),"0")</f>
        <v>0</v>
      </c>
      <c r="H168" s="95">
        <f>IFERROR(VLOOKUP(G168,S6M2!$B$1:$C$161,2,0),0)</f>
        <v>0</v>
      </c>
      <c r="I168" s="94">
        <f>IFERROR(VLOOKUP($B168,S6M3!$A$1:$B$161,2,0),0)</f>
        <v>0</v>
      </c>
      <c r="J168" s="95">
        <f>IFERROR(VLOOKUP(I168,S6M3!$B$1:$C$161,2,0),0)</f>
        <v>0</v>
      </c>
      <c r="K168" s="94" t="str">
        <f>IFERROR(VLOOKUP($B168,S6M4!$A$1:$B$160,2,0),"0")</f>
        <v>0</v>
      </c>
      <c r="L168" s="95">
        <f>IFERROR(VLOOKUP(K168,S6M4!$B$1:$C$161,2,0),0)</f>
        <v>0</v>
      </c>
      <c r="M168" s="94" t="str">
        <f>IFERROR(VLOOKUP($B168,S6M5!$A$1:$B$160,2,0),"0")</f>
        <v>0</v>
      </c>
      <c r="N168" s="95">
        <f>IFERROR(VLOOKUP(M168,S6M5!$B$1:$C$161,2,0),0)</f>
        <v>0</v>
      </c>
      <c r="O168" s="94" t="str">
        <f>IFERROR(VLOOKUP($B168,S6M6!$A$1:$B$160,2,0),"0")</f>
        <v>0</v>
      </c>
      <c r="P168" s="95">
        <f>IFERROR(VLOOKUP(O168,S6M6!$B$1:$C$161,2,0),0)</f>
        <v>0</v>
      </c>
      <c r="Q168" s="94" t="str">
        <f>IFERROR(VLOOKUP($B168,S6M7!$A$1:$B$160,2,0),"0")</f>
        <v>0</v>
      </c>
      <c r="R168" s="95">
        <f>IFERROR(VLOOKUP(Q168,S6M7!$B$1:$C$161,2,0),0)</f>
        <v>0</v>
      </c>
      <c r="S168" s="94" t="str">
        <f>IFERROR(VLOOKUP($B168,S6M8!$A$1:$B$160,2,0),"0")</f>
        <v>0</v>
      </c>
      <c r="T168" s="95">
        <f>IFERROR(VLOOKUP(S168,S6M8!$B$1:$C$161,2,0),0)</f>
        <v>0</v>
      </c>
      <c r="U168" s="94" t="str">
        <f>IFERROR(VLOOKUP($B168,S6M9!$A$1:$B$160,2,0),"0")</f>
        <v>0</v>
      </c>
      <c r="V168" s="95">
        <f>IFERROR(VLOOKUP(U168,S6M9!$B$1:$C$161,2,0),0)</f>
        <v>0</v>
      </c>
      <c r="W168" s="94" t="str">
        <f>IFERROR(VLOOKUP($B168,S6M10!$A$1:$B$160,2,0),"0")</f>
        <v>0</v>
      </c>
      <c r="X168" s="95">
        <f>IFERROR(VLOOKUP(W168,S6M10!$B$1:$C$161,2,0),0)</f>
        <v>0</v>
      </c>
      <c r="Y168" s="94" t="str">
        <f>IFERROR(VLOOKUP($B168,S6M11!$A$1:$B$160,2,0),"0")</f>
        <v>0</v>
      </c>
      <c r="Z168" s="95">
        <f>IFERROR(VLOOKUP(Y168,S6M11!$B$1:$C$161,2,0),0)</f>
        <v>0</v>
      </c>
      <c r="AA168" s="97">
        <f>IFERROR(VLOOKUP(E168,S6M1!$B$1:$C$161,2,0),0)</f>
        <v>0</v>
      </c>
      <c r="AB168" s="97">
        <f>IFERROR(VLOOKUP(G168,S6M2!$B$1:$C$161,2,0),0)</f>
        <v>0</v>
      </c>
      <c r="AC168" s="97">
        <f>IFERROR(VLOOKUP(I168,S6M3!$B$1:$C$161,2,0),0)</f>
        <v>0</v>
      </c>
      <c r="AD168" s="97">
        <f>IFERROR(VLOOKUP(K168,S6M4!$B$1:$C$161,2,0),0)</f>
        <v>0</v>
      </c>
      <c r="AE168" s="97">
        <f>IFERROR(VLOOKUP(M168,S6M5!$B$1:$C$161,2,0),0)</f>
        <v>0</v>
      </c>
      <c r="AF168" s="97">
        <f>IFERROR(VLOOKUP(O168,S6M6!$B$1:$C$161,2,0),0)</f>
        <v>0</v>
      </c>
      <c r="AG168" s="97">
        <f>IFERROR(VLOOKUP(Q168,S6M7!$B$1:$C$161,2,0),0)</f>
        <v>0</v>
      </c>
      <c r="AH168" s="97">
        <f>IFERROR(VLOOKUP(S168,S6M8!$B$1:$C$161,2,0),0)</f>
        <v>0</v>
      </c>
      <c r="AI168" s="97">
        <f>IFERROR(VLOOKUP(U168,S6M9!$B$1:$C$161,2,0),0)</f>
        <v>0</v>
      </c>
      <c r="AJ168" s="97">
        <f>IFERROR(VLOOKUP(W168,S6M10!$B$1:$C$161,2,0),0)</f>
        <v>0</v>
      </c>
      <c r="AK168" s="97">
        <f>IFERROR(VLOOKUP(Y168,S6M11!$B$1:$C$161,2,0),0)</f>
        <v>0</v>
      </c>
    </row>
    <row r="169" ht="15.75" customHeight="1">
      <c r="A169" s="110">
        <v>168.0</v>
      </c>
      <c r="B169" s="103"/>
      <c r="C169" s="93">
        <f t="shared" si="2"/>
        <v>0</v>
      </c>
      <c r="D169" s="93"/>
      <c r="E169" s="94" t="str">
        <f>IFERROR(VLOOKUP($B169,S6M1!$A$1:$B$160,2,0),"0")</f>
        <v>0</v>
      </c>
      <c r="F169" s="95">
        <f>IFERROR(VLOOKUP(E169,S6M1!$B$1:$C$161,2,0),0)</f>
        <v>0</v>
      </c>
      <c r="G169" s="94" t="str">
        <f>IFERROR(VLOOKUP($B169,S6M2!$A$1:$B$160,2,0),"0")</f>
        <v>0</v>
      </c>
      <c r="H169" s="95">
        <f>IFERROR(VLOOKUP(G169,S6M2!$B$1:$C$161,2,0),0)</f>
        <v>0</v>
      </c>
      <c r="I169" s="94">
        <f>IFERROR(VLOOKUP($B169,S6M3!$A$1:$B$161,2,0),0)</f>
        <v>0</v>
      </c>
      <c r="J169" s="95">
        <f>IFERROR(VLOOKUP(I169,S6M3!$B$1:$C$161,2,0),0)</f>
        <v>0</v>
      </c>
      <c r="K169" s="94" t="str">
        <f>IFERROR(VLOOKUP($B169,S6M4!$A$1:$B$160,2,0),"0")</f>
        <v>0</v>
      </c>
      <c r="L169" s="95">
        <f>IFERROR(VLOOKUP(K169,S6M4!$B$1:$C$161,2,0),0)</f>
        <v>0</v>
      </c>
      <c r="M169" s="94" t="str">
        <f>IFERROR(VLOOKUP($B169,S6M5!$A$1:$B$160,2,0),"0")</f>
        <v>0</v>
      </c>
      <c r="N169" s="95">
        <f>IFERROR(VLOOKUP(M169,S6M5!$B$1:$C$161,2,0),0)</f>
        <v>0</v>
      </c>
      <c r="O169" s="94" t="str">
        <f>IFERROR(VLOOKUP($B169,S6M6!$A$1:$B$160,2,0),"0")</f>
        <v>0</v>
      </c>
      <c r="P169" s="95">
        <f>IFERROR(VLOOKUP(O169,S6M6!$B$1:$C$161,2,0),0)</f>
        <v>0</v>
      </c>
      <c r="Q169" s="94" t="str">
        <f>IFERROR(VLOOKUP($B169,S6M7!$A$1:$B$160,2,0),"0")</f>
        <v>0</v>
      </c>
      <c r="R169" s="95">
        <f>IFERROR(VLOOKUP(Q169,S6M7!$B$1:$C$161,2,0),0)</f>
        <v>0</v>
      </c>
      <c r="S169" s="94" t="str">
        <f>IFERROR(VLOOKUP($B169,S6M8!$A$1:$B$160,2,0),"0")</f>
        <v>0</v>
      </c>
      <c r="T169" s="95">
        <f>IFERROR(VLOOKUP(S169,S6M8!$B$1:$C$161,2,0),0)</f>
        <v>0</v>
      </c>
      <c r="U169" s="94" t="str">
        <f>IFERROR(VLOOKUP($B169,S6M9!$A$1:$B$160,2,0),"0")</f>
        <v>0</v>
      </c>
      <c r="V169" s="95">
        <f>IFERROR(VLOOKUP(U169,S6M9!$B$1:$C$161,2,0),0)</f>
        <v>0</v>
      </c>
      <c r="W169" s="94" t="str">
        <f>IFERROR(VLOOKUP($B169,S6M10!$A$1:$B$160,2,0),"0")</f>
        <v>0</v>
      </c>
      <c r="X169" s="95">
        <f>IFERROR(VLOOKUP(W169,S6M10!$B$1:$C$161,2,0),0)</f>
        <v>0</v>
      </c>
      <c r="Y169" s="94" t="str">
        <f>IFERROR(VLOOKUP($B169,S6M11!$A$1:$B$160,2,0),"0")</f>
        <v>0</v>
      </c>
      <c r="Z169" s="95">
        <f>IFERROR(VLOOKUP(Y169,S6M11!$B$1:$C$161,2,0),0)</f>
        <v>0</v>
      </c>
      <c r="AA169" s="97">
        <f>IFERROR(VLOOKUP(E169,S6M1!$B$1:$C$161,2,0),0)</f>
        <v>0</v>
      </c>
      <c r="AB169" s="97">
        <f>IFERROR(VLOOKUP(G169,S6M2!$B$1:$C$161,2,0),0)</f>
        <v>0</v>
      </c>
      <c r="AC169" s="97">
        <f>IFERROR(VLOOKUP(I169,S6M3!$B$1:$C$161,2,0),0)</f>
        <v>0</v>
      </c>
      <c r="AD169" s="97">
        <f>IFERROR(VLOOKUP(K169,S6M4!$B$1:$C$161,2,0),0)</f>
        <v>0</v>
      </c>
      <c r="AE169" s="97">
        <f>IFERROR(VLOOKUP(M169,S6M5!$B$1:$C$161,2,0),0)</f>
        <v>0</v>
      </c>
      <c r="AF169" s="97">
        <f>IFERROR(VLOOKUP(O169,S6M6!$B$1:$C$161,2,0),0)</f>
        <v>0</v>
      </c>
      <c r="AG169" s="97">
        <f>IFERROR(VLOOKUP(Q169,S6M7!$B$1:$C$161,2,0),0)</f>
        <v>0</v>
      </c>
      <c r="AH169" s="97">
        <f>IFERROR(VLOOKUP(S169,S6M8!$B$1:$C$161,2,0),0)</f>
        <v>0</v>
      </c>
      <c r="AI169" s="97">
        <f>IFERROR(VLOOKUP(U169,S6M9!$B$1:$C$161,2,0),0)</f>
        <v>0</v>
      </c>
      <c r="AJ169" s="97">
        <f>IFERROR(VLOOKUP(W169,S6M10!$B$1:$C$161,2,0),0)</f>
        <v>0</v>
      </c>
      <c r="AK169" s="97">
        <f>IFERROR(VLOOKUP(Y169,S6M11!$B$1:$C$161,2,0),0)</f>
        <v>0</v>
      </c>
    </row>
    <row r="170" ht="15.75" customHeight="1">
      <c r="A170" s="110">
        <v>169.0</v>
      </c>
      <c r="B170" s="103"/>
      <c r="C170" s="93">
        <f t="shared" si="2"/>
        <v>0</v>
      </c>
      <c r="D170" s="93"/>
      <c r="E170" s="94" t="str">
        <f>IFERROR(VLOOKUP($B170,S6M1!$A$1:$B$160,2,0),"0")</f>
        <v>0</v>
      </c>
      <c r="F170" s="95">
        <f>IFERROR(VLOOKUP(E170,S6M1!$B$1:$C$161,2,0),0)</f>
        <v>0</v>
      </c>
      <c r="G170" s="94" t="str">
        <f>IFERROR(VLOOKUP($B170,S6M2!$A$1:$B$160,2,0),"0")</f>
        <v>0</v>
      </c>
      <c r="H170" s="95">
        <f>IFERROR(VLOOKUP(G170,S6M2!$B$1:$C$161,2,0),0)</f>
        <v>0</v>
      </c>
      <c r="I170" s="94">
        <f>IFERROR(VLOOKUP($B170,S6M3!$A$1:$B$161,2,0),0)</f>
        <v>0</v>
      </c>
      <c r="J170" s="95">
        <f>IFERROR(VLOOKUP(I170,S6M3!$B$1:$C$161,2,0),0)</f>
        <v>0</v>
      </c>
      <c r="K170" s="94" t="str">
        <f>IFERROR(VLOOKUP($B170,S6M4!$A$1:$B$160,2,0),"0")</f>
        <v>0</v>
      </c>
      <c r="L170" s="95">
        <f>IFERROR(VLOOKUP(K170,S6M4!$B$1:$C$161,2,0),0)</f>
        <v>0</v>
      </c>
      <c r="M170" s="94" t="str">
        <f>IFERROR(VLOOKUP($B170,S6M5!$A$1:$B$160,2,0),"0")</f>
        <v>0</v>
      </c>
      <c r="N170" s="95">
        <f>IFERROR(VLOOKUP(M170,S6M5!$B$1:$C$161,2,0),0)</f>
        <v>0</v>
      </c>
      <c r="O170" s="94" t="str">
        <f>IFERROR(VLOOKUP($B170,S6M6!$A$1:$B$160,2,0),"0")</f>
        <v>0</v>
      </c>
      <c r="P170" s="95">
        <f>IFERROR(VLOOKUP(O170,S6M6!$B$1:$C$161,2,0),0)</f>
        <v>0</v>
      </c>
      <c r="Q170" s="94" t="str">
        <f>IFERROR(VLOOKUP($B170,S6M7!$A$1:$B$160,2,0),"0")</f>
        <v>0</v>
      </c>
      <c r="R170" s="95">
        <f>IFERROR(VLOOKUP(Q170,S6M7!$B$1:$C$161,2,0),0)</f>
        <v>0</v>
      </c>
      <c r="S170" s="94" t="str">
        <f>IFERROR(VLOOKUP($B170,S6M8!$A$1:$B$160,2,0),"0")</f>
        <v>0</v>
      </c>
      <c r="T170" s="95">
        <f>IFERROR(VLOOKUP(S170,S6M8!$B$1:$C$161,2,0),0)</f>
        <v>0</v>
      </c>
      <c r="U170" s="94" t="str">
        <f>IFERROR(VLOOKUP($B170,S6M9!$A$1:$B$160,2,0),"0")</f>
        <v>0</v>
      </c>
      <c r="V170" s="95">
        <f>IFERROR(VLOOKUP(U170,S6M9!$B$1:$C$161,2,0),0)</f>
        <v>0</v>
      </c>
      <c r="W170" s="94" t="str">
        <f>IFERROR(VLOOKUP($B170,S6M10!$A$1:$B$160,2,0),"0")</f>
        <v>0</v>
      </c>
      <c r="X170" s="95">
        <f>IFERROR(VLOOKUP(W170,S6M10!$B$1:$C$161,2,0),0)</f>
        <v>0</v>
      </c>
      <c r="Y170" s="94" t="str">
        <f>IFERROR(VLOOKUP($B170,S6M11!$A$1:$B$160,2,0),"0")</f>
        <v>0</v>
      </c>
      <c r="Z170" s="95">
        <f>IFERROR(VLOOKUP(Y170,S6M11!$B$1:$C$161,2,0),0)</f>
        <v>0</v>
      </c>
      <c r="AA170" s="97">
        <f>IFERROR(VLOOKUP(E170,S6M1!$B$1:$C$161,2,0),0)</f>
        <v>0</v>
      </c>
      <c r="AB170" s="97">
        <f>IFERROR(VLOOKUP(G170,S6M2!$B$1:$C$161,2,0),0)</f>
        <v>0</v>
      </c>
      <c r="AC170" s="97">
        <f>IFERROR(VLOOKUP(I170,S6M3!$B$1:$C$161,2,0),0)</f>
        <v>0</v>
      </c>
      <c r="AD170" s="97">
        <f>IFERROR(VLOOKUP(K170,S6M4!$B$1:$C$161,2,0),0)</f>
        <v>0</v>
      </c>
      <c r="AE170" s="97">
        <f>IFERROR(VLOOKUP(M170,S6M5!$B$1:$C$161,2,0),0)</f>
        <v>0</v>
      </c>
      <c r="AF170" s="97">
        <f>IFERROR(VLOOKUP(O170,S6M6!$B$1:$C$161,2,0),0)</f>
        <v>0</v>
      </c>
      <c r="AG170" s="97">
        <f>IFERROR(VLOOKUP(Q170,S6M7!$B$1:$C$161,2,0),0)</f>
        <v>0</v>
      </c>
      <c r="AH170" s="97">
        <f>IFERROR(VLOOKUP(S170,S6M8!$B$1:$C$161,2,0),0)</f>
        <v>0</v>
      </c>
      <c r="AI170" s="97">
        <f>IFERROR(VLOOKUP(U170,S6M9!$B$1:$C$161,2,0),0)</f>
        <v>0</v>
      </c>
      <c r="AJ170" s="97">
        <f>IFERROR(VLOOKUP(W170,S6M10!$B$1:$C$161,2,0),0)</f>
        <v>0</v>
      </c>
      <c r="AK170" s="97">
        <f>IFERROR(VLOOKUP(Y170,S6M11!$B$1:$C$161,2,0),0)</f>
        <v>0</v>
      </c>
    </row>
    <row r="171" ht="15.75" customHeight="1">
      <c r="A171" s="110">
        <v>170.0</v>
      </c>
      <c r="B171" s="103"/>
      <c r="C171" s="93">
        <f t="shared" si="2"/>
        <v>0</v>
      </c>
      <c r="D171" s="93"/>
      <c r="E171" s="94" t="str">
        <f>IFERROR(VLOOKUP($B171,S6M1!$A$1:$B$160,2,0),"0")</f>
        <v>0</v>
      </c>
      <c r="F171" s="95">
        <f>IFERROR(VLOOKUP(E171,S6M1!$B$1:$C$161,2,0),0)</f>
        <v>0</v>
      </c>
      <c r="G171" s="94" t="str">
        <f>IFERROR(VLOOKUP($B171,S6M2!$A$1:$B$160,2,0),"0")</f>
        <v>0</v>
      </c>
      <c r="H171" s="95">
        <f>IFERROR(VLOOKUP(G171,S6M2!$B$1:$C$161,2,0),0)</f>
        <v>0</v>
      </c>
      <c r="I171" s="94">
        <f>IFERROR(VLOOKUP($B171,S6M3!$A$1:$B$161,2,0),0)</f>
        <v>0</v>
      </c>
      <c r="J171" s="95">
        <f>IFERROR(VLOOKUP(I171,S6M3!$B$1:$C$161,2,0),0)</f>
        <v>0</v>
      </c>
      <c r="K171" s="94" t="str">
        <f>IFERROR(VLOOKUP($B171,S6M4!$A$1:$B$160,2,0),"0")</f>
        <v>0</v>
      </c>
      <c r="L171" s="95">
        <f>IFERROR(VLOOKUP(K171,S6M4!$B$1:$C$161,2,0),0)</f>
        <v>0</v>
      </c>
      <c r="M171" s="94" t="str">
        <f>IFERROR(VLOOKUP($B171,S6M5!$A$1:$B$160,2,0),"0")</f>
        <v>0</v>
      </c>
      <c r="N171" s="95">
        <f>IFERROR(VLOOKUP(M171,S6M5!$B$1:$C$161,2,0),0)</f>
        <v>0</v>
      </c>
      <c r="O171" s="94" t="str">
        <f>IFERROR(VLOOKUP($B171,S6M6!$A$1:$B$160,2,0),"0")</f>
        <v>0</v>
      </c>
      <c r="P171" s="95">
        <f>IFERROR(VLOOKUP(O171,S6M6!$B$1:$C$161,2,0),0)</f>
        <v>0</v>
      </c>
      <c r="Q171" s="94" t="str">
        <f>IFERROR(VLOOKUP($B171,S6M7!$A$1:$B$160,2,0),"0")</f>
        <v>0</v>
      </c>
      <c r="R171" s="95">
        <f>IFERROR(VLOOKUP(Q171,S6M7!$B$1:$C$161,2,0),0)</f>
        <v>0</v>
      </c>
      <c r="S171" s="94" t="str">
        <f>IFERROR(VLOOKUP($B171,S6M8!$A$1:$B$160,2,0),"0")</f>
        <v>0</v>
      </c>
      <c r="T171" s="95">
        <f>IFERROR(VLOOKUP(S171,S6M8!$B$1:$C$161,2,0),0)</f>
        <v>0</v>
      </c>
      <c r="U171" s="94" t="str">
        <f>IFERROR(VLOOKUP($B171,S6M9!$A$1:$B$160,2,0),"0")</f>
        <v>0</v>
      </c>
      <c r="V171" s="95">
        <f>IFERROR(VLOOKUP(U171,S6M9!$B$1:$C$161,2,0),0)</f>
        <v>0</v>
      </c>
      <c r="W171" s="94" t="str">
        <f>IFERROR(VLOOKUP($B171,S6M10!$A$1:$B$160,2,0),"0")</f>
        <v>0</v>
      </c>
      <c r="X171" s="95">
        <f>IFERROR(VLOOKUP(W171,S6M10!$B$1:$C$161,2,0),0)</f>
        <v>0</v>
      </c>
      <c r="Y171" s="94" t="str">
        <f>IFERROR(VLOOKUP($B171,S6M11!$A$1:$B$160,2,0),"0")</f>
        <v>0</v>
      </c>
      <c r="Z171" s="95">
        <f>IFERROR(VLOOKUP(Y171,S6M11!$B$1:$C$161,2,0),0)</f>
        <v>0</v>
      </c>
      <c r="AA171" s="97">
        <f>IFERROR(VLOOKUP(E171,S6M1!$B$1:$C$161,2,0),0)</f>
        <v>0</v>
      </c>
      <c r="AB171" s="97">
        <f>IFERROR(VLOOKUP(G171,S6M2!$B$1:$C$161,2,0),0)</f>
        <v>0</v>
      </c>
      <c r="AC171" s="97">
        <f>IFERROR(VLOOKUP(I171,S6M3!$B$1:$C$161,2,0),0)</f>
        <v>0</v>
      </c>
      <c r="AD171" s="97">
        <f>IFERROR(VLOOKUP(K171,S6M4!$B$1:$C$161,2,0),0)</f>
        <v>0</v>
      </c>
      <c r="AE171" s="97">
        <f>IFERROR(VLOOKUP(M171,S6M5!$B$1:$C$161,2,0),0)</f>
        <v>0</v>
      </c>
      <c r="AF171" s="97">
        <f>IFERROR(VLOOKUP(O171,S6M6!$B$1:$C$161,2,0),0)</f>
        <v>0</v>
      </c>
      <c r="AG171" s="97">
        <f>IFERROR(VLOOKUP(Q171,S6M7!$B$1:$C$161,2,0),0)</f>
        <v>0</v>
      </c>
      <c r="AH171" s="97">
        <f>IFERROR(VLOOKUP(S171,S6M8!$B$1:$C$161,2,0),0)</f>
        <v>0</v>
      </c>
      <c r="AI171" s="97">
        <f>IFERROR(VLOOKUP(U171,S6M9!$B$1:$C$161,2,0),0)</f>
        <v>0</v>
      </c>
      <c r="AJ171" s="97">
        <f>IFERROR(VLOOKUP(W171,S6M10!$B$1:$C$161,2,0),0)</f>
        <v>0</v>
      </c>
      <c r="AK171" s="97">
        <f>IFERROR(VLOOKUP(Y171,S6M11!$B$1:$C$161,2,0),0)</f>
        <v>0</v>
      </c>
    </row>
    <row r="172" ht="15.75" customHeight="1">
      <c r="A172" s="110">
        <v>171.0</v>
      </c>
      <c r="B172" s="103"/>
      <c r="C172" s="93">
        <f t="shared" si="2"/>
        <v>0</v>
      </c>
      <c r="D172" s="93"/>
      <c r="E172" s="94" t="str">
        <f>IFERROR(VLOOKUP($B172,S6M1!$A$1:$B$160,2,0),"0")</f>
        <v>0</v>
      </c>
      <c r="F172" s="95">
        <f>IFERROR(VLOOKUP(E172,S6M1!$B$1:$C$161,2,0),0)</f>
        <v>0</v>
      </c>
      <c r="G172" s="94" t="str">
        <f>IFERROR(VLOOKUP($B172,S6M2!$A$1:$B$160,2,0),"0")</f>
        <v>0</v>
      </c>
      <c r="H172" s="95">
        <f>IFERROR(VLOOKUP(G172,S6M2!$B$1:$C$161,2,0),0)</f>
        <v>0</v>
      </c>
      <c r="I172" s="94">
        <f>IFERROR(VLOOKUP($B172,S6M3!$A$1:$B$161,2,0),0)</f>
        <v>0</v>
      </c>
      <c r="J172" s="95">
        <f>IFERROR(VLOOKUP(I172,S6M3!$B$1:$C$161,2,0),0)</f>
        <v>0</v>
      </c>
      <c r="K172" s="94" t="str">
        <f>IFERROR(VLOOKUP($B172,S6M4!$A$1:$B$160,2,0),"0")</f>
        <v>0</v>
      </c>
      <c r="L172" s="95">
        <f>IFERROR(VLOOKUP(K172,S6M4!$B$1:$C$161,2,0),0)</f>
        <v>0</v>
      </c>
      <c r="M172" s="94" t="str">
        <f>IFERROR(VLOOKUP($B172,S6M5!$A$1:$B$160,2,0),"0")</f>
        <v>0</v>
      </c>
      <c r="N172" s="95">
        <f>IFERROR(VLOOKUP(M172,S6M5!$B$1:$C$161,2,0),0)</f>
        <v>0</v>
      </c>
      <c r="O172" s="94" t="str">
        <f>IFERROR(VLOOKUP($B172,S6M6!$A$1:$B$160,2,0),"0")</f>
        <v>0</v>
      </c>
      <c r="P172" s="95">
        <f>IFERROR(VLOOKUP(O172,S6M6!$B$1:$C$161,2,0),0)</f>
        <v>0</v>
      </c>
      <c r="Q172" s="94" t="str">
        <f>IFERROR(VLOOKUP($B172,S6M7!$A$1:$B$160,2,0),"0")</f>
        <v>0</v>
      </c>
      <c r="R172" s="95">
        <f>IFERROR(VLOOKUP(Q172,S6M7!$B$1:$C$161,2,0),0)</f>
        <v>0</v>
      </c>
      <c r="S172" s="94" t="str">
        <f>IFERROR(VLOOKUP($B172,S6M8!$A$1:$B$160,2,0),"0")</f>
        <v>0</v>
      </c>
      <c r="T172" s="95">
        <f>IFERROR(VLOOKUP(S172,S6M8!$B$1:$C$161,2,0),0)</f>
        <v>0</v>
      </c>
      <c r="U172" s="94" t="str">
        <f>IFERROR(VLOOKUP($B172,S6M9!$A$1:$B$160,2,0),"0")</f>
        <v>0</v>
      </c>
      <c r="V172" s="95">
        <f>IFERROR(VLOOKUP(U172,S6M9!$B$1:$C$161,2,0),0)</f>
        <v>0</v>
      </c>
      <c r="W172" s="94" t="str">
        <f>IFERROR(VLOOKUP($B172,S6M10!$A$1:$B$160,2,0),"0")</f>
        <v>0</v>
      </c>
      <c r="X172" s="95">
        <f>IFERROR(VLOOKUP(W172,S6M10!$B$1:$C$161,2,0),0)</f>
        <v>0</v>
      </c>
      <c r="Y172" s="94" t="str">
        <f>IFERROR(VLOOKUP($B172,S6M11!$A$1:$B$160,2,0),"0")</f>
        <v>0</v>
      </c>
      <c r="Z172" s="95">
        <f>IFERROR(VLOOKUP(Y172,S6M11!$B$1:$C$161,2,0),0)</f>
        <v>0</v>
      </c>
      <c r="AA172" s="97">
        <f>IFERROR(VLOOKUP(E172,S6M1!$B$1:$C$161,2,0),0)</f>
        <v>0</v>
      </c>
      <c r="AB172" s="97">
        <f>IFERROR(VLOOKUP(G172,S6M2!$B$1:$C$161,2,0),0)</f>
        <v>0</v>
      </c>
      <c r="AC172" s="97">
        <f>IFERROR(VLOOKUP(I172,S6M3!$B$1:$C$161,2,0),0)</f>
        <v>0</v>
      </c>
      <c r="AD172" s="97">
        <f>IFERROR(VLOOKUP(K172,S6M4!$B$1:$C$161,2,0),0)</f>
        <v>0</v>
      </c>
      <c r="AE172" s="97">
        <f>IFERROR(VLOOKUP(M172,S6M5!$B$1:$C$161,2,0),0)</f>
        <v>0</v>
      </c>
      <c r="AF172" s="97">
        <f>IFERROR(VLOOKUP(O172,S6M6!$B$1:$C$161,2,0),0)</f>
        <v>0</v>
      </c>
      <c r="AG172" s="97">
        <f>IFERROR(VLOOKUP(Q172,S6M7!$B$1:$C$161,2,0),0)</f>
        <v>0</v>
      </c>
      <c r="AH172" s="97">
        <f>IFERROR(VLOOKUP(S172,S6M8!$B$1:$C$161,2,0),0)</f>
        <v>0</v>
      </c>
      <c r="AI172" s="97">
        <f>IFERROR(VLOOKUP(U172,S6M9!$B$1:$C$161,2,0),0)</f>
        <v>0</v>
      </c>
      <c r="AJ172" s="97">
        <f>IFERROR(VLOOKUP(W172,S6M10!$B$1:$C$161,2,0),0)</f>
        <v>0</v>
      </c>
      <c r="AK172" s="97">
        <f>IFERROR(VLOOKUP(Y172,S6M11!$B$1:$C$161,2,0),0)</f>
        <v>0</v>
      </c>
    </row>
    <row r="173" ht="15.75" customHeight="1">
      <c r="A173" s="110">
        <v>172.0</v>
      </c>
      <c r="B173" s="103"/>
      <c r="C173" s="93">
        <f t="shared" si="2"/>
        <v>0</v>
      </c>
      <c r="D173" s="93"/>
      <c r="E173" s="94" t="str">
        <f>IFERROR(VLOOKUP($B173,S6M1!$A$1:$B$160,2,0),"0")</f>
        <v>0</v>
      </c>
      <c r="F173" s="95">
        <f>IFERROR(VLOOKUP(E173,S6M1!$B$1:$C$161,2,0),0)</f>
        <v>0</v>
      </c>
      <c r="G173" s="94" t="str">
        <f>IFERROR(VLOOKUP($B173,S6M2!$A$1:$B$160,2,0),"0")</f>
        <v>0</v>
      </c>
      <c r="H173" s="95">
        <f>IFERROR(VLOOKUP(G173,S6M2!$B$1:$C$161,2,0),0)</f>
        <v>0</v>
      </c>
      <c r="I173" s="94">
        <f>IFERROR(VLOOKUP($B173,S6M3!$A$1:$B$161,2,0),0)</f>
        <v>0</v>
      </c>
      <c r="J173" s="95">
        <f>IFERROR(VLOOKUP(I173,S6M3!$B$1:$C$161,2,0),0)</f>
        <v>0</v>
      </c>
      <c r="K173" s="94" t="str">
        <f>IFERROR(VLOOKUP($B173,S6M4!$A$1:$B$160,2,0),"0")</f>
        <v>0</v>
      </c>
      <c r="L173" s="95">
        <f>IFERROR(VLOOKUP(K173,S6M4!$B$1:$C$161,2,0),0)</f>
        <v>0</v>
      </c>
      <c r="M173" s="94" t="str">
        <f>IFERROR(VLOOKUP($B173,S6M5!$A$1:$B$160,2,0),"0")</f>
        <v>0</v>
      </c>
      <c r="N173" s="95">
        <f>IFERROR(VLOOKUP(M173,S6M5!$B$1:$C$161,2,0),0)</f>
        <v>0</v>
      </c>
      <c r="O173" s="94" t="str">
        <f>IFERROR(VLOOKUP($B173,S6M6!$A$1:$B$160,2,0),"0")</f>
        <v>0</v>
      </c>
      <c r="P173" s="95">
        <f>IFERROR(VLOOKUP(O173,S6M6!$B$1:$C$161,2,0),0)</f>
        <v>0</v>
      </c>
      <c r="Q173" s="94" t="str">
        <f>IFERROR(VLOOKUP($B173,S6M7!$A$1:$B$160,2,0),"0")</f>
        <v>0</v>
      </c>
      <c r="R173" s="95">
        <f>IFERROR(VLOOKUP(Q173,S6M7!$B$1:$C$161,2,0),0)</f>
        <v>0</v>
      </c>
      <c r="S173" s="94" t="str">
        <f>IFERROR(VLOOKUP($B173,S6M8!$A$1:$B$160,2,0),"0")</f>
        <v>0</v>
      </c>
      <c r="T173" s="95">
        <f>IFERROR(VLOOKUP(S173,S6M8!$B$1:$C$161,2,0),0)</f>
        <v>0</v>
      </c>
      <c r="U173" s="94" t="str">
        <f>IFERROR(VLOOKUP($B173,S6M9!$A$1:$B$160,2,0),"0")</f>
        <v>0</v>
      </c>
      <c r="V173" s="95">
        <f>IFERROR(VLOOKUP(U173,S6M9!$B$1:$C$161,2,0),0)</f>
        <v>0</v>
      </c>
      <c r="W173" s="94" t="str">
        <f>IFERROR(VLOOKUP($B173,S6M10!$A$1:$B$160,2,0),"0")</f>
        <v>0</v>
      </c>
      <c r="X173" s="95">
        <f>IFERROR(VLOOKUP(W173,S6M10!$B$1:$C$161,2,0),0)</f>
        <v>0</v>
      </c>
      <c r="Y173" s="94" t="str">
        <f>IFERROR(VLOOKUP($B173,S6M11!$A$1:$B$160,2,0),"0")</f>
        <v>0</v>
      </c>
      <c r="Z173" s="95">
        <f>IFERROR(VLOOKUP(Y173,S6M11!$B$1:$C$161,2,0),0)</f>
        <v>0</v>
      </c>
      <c r="AA173" s="97">
        <f>IFERROR(VLOOKUP(E173,S6M1!$B$1:$C$161,2,0),0)</f>
        <v>0</v>
      </c>
      <c r="AB173" s="97">
        <f>IFERROR(VLOOKUP(G173,S6M2!$B$1:$C$161,2,0),0)</f>
        <v>0</v>
      </c>
      <c r="AC173" s="97">
        <f>IFERROR(VLOOKUP(I173,S6M3!$B$1:$C$161,2,0),0)</f>
        <v>0</v>
      </c>
      <c r="AD173" s="97">
        <f>IFERROR(VLOOKUP(K173,S6M4!$B$1:$C$161,2,0),0)</f>
        <v>0</v>
      </c>
      <c r="AE173" s="97">
        <f>IFERROR(VLOOKUP(M173,S6M5!$B$1:$C$161,2,0),0)</f>
        <v>0</v>
      </c>
      <c r="AF173" s="97">
        <f>IFERROR(VLOOKUP(O173,S6M6!$B$1:$C$161,2,0),0)</f>
        <v>0</v>
      </c>
      <c r="AG173" s="97">
        <f>IFERROR(VLOOKUP(Q173,S6M7!$B$1:$C$161,2,0),0)</f>
        <v>0</v>
      </c>
      <c r="AH173" s="97">
        <f>IFERROR(VLOOKUP(S173,S6M8!$B$1:$C$161,2,0),0)</f>
        <v>0</v>
      </c>
      <c r="AI173" s="97">
        <f>IFERROR(VLOOKUP(U173,S6M9!$B$1:$C$161,2,0),0)</f>
        <v>0</v>
      </c>
      <c r="AJ173" s="97">
        <f>IFERROR(VLOOKUP(W173,S6M10!$B$1:$C$161,2,0),0)</f>
        <v>0</v>
      </c>
      <c r="AK173" s="97">
        <f>IFERROR(VLOOKUP(Y173,S6M11!$B$1:$C$161,2,0),0)</f>
        <v>0</v>
      </c>
    </row>
    <row r="174" ht="15.75" customHeight="1">
      <c r="A174" s="110">
        <v>173.0</v>
      </c>
      <c r="B174" s="103"/>
      <c r="C174" s="93">
        <f t="shared" si="2"/>
        <v>0</v>
      </c>
      <c r="D174" s="93"/>
      <c r="E174" s="94" t="str">
        <f>IFERROR(VLOOKUP($B174,S6M1!$A$1:$B$160,2,0),"0")</f>
        <v>0</v>
      </c>
      <c r="F174" s="95">
        <f>IFERROR(VLOOKUP(E174,S6M1!$B$1:$C$161,2,0),0)</f>
        <v>0</v>
      </c>
      <c r="G174" s="94" t="str">
        <f>IFERROR(VLOOKUP($B174,S6M2!$A$1:$B$160,2,0),"0")</f>
        <v>0</v>
      </c>
      <c r="H174" s="95">
        <f>IFERROR(VLOOKUP(G174,S6M2!$B$1:$C$161,2,0),0)</f>
        <v>0</v>
      </c>
      <c r="I174" s="94">
        <f>IFERROR(VLOOKUP($B174,S6M3!$A$1:$B$161,2,0),0)</f>
        <v>0</v>
      </c>
      <c r="J174" s="95">
        <f>IFERROR(VLOOKUP(I174,S6M3!$B$1:$C$161,2,0),0)</f>
        <v>0</v>
      </c>
      <c r="K174" s="94" t="str">
        <f>IFERROR(VLOOKUP($B174,S6M4!$A$1:$B$160,2,0),"0")</f>
        <v>0</v>
      </c>
      <c r="L174" s="95">
        <f>IFERROR(VLOOKUP(K174,S6M4!$B$1:$C$161,2,0),0)</f>
        <v>0</v>
      </c>
      <c r="M174" s="94" t="str">
        <f>IFERROR(VLOOKUP($B174,S6M5!$A$1:$B$160,2,0),"0")</f>
        <v>0</v>
      </c>
      <c r="N174" s="95">
        <f>IFERROR(VLOOKUP(M174,S6M5!$B$1:$C$161,2,0),0)</f>
        <v>0</v>
      </c>
      <c r="O174" s="94" t="str">
        <f>IFERROR(VLOOKUP($B174,S6M6!$A$1:$B$160,2,0),"0")</f>
        <v>0</v>
      </c>
      <c r="P174" s="95">
        <f>IFERROR(VLOOKUP(O174,S6M6!$B$1:$C$161,2,0),0)</f>
        <v>0</v>
      </c>
      <c r="Q174" s="94" t="str">
        <f>IFERROR(VLOOKUP($B174,S6M7!$A$1:$B$160,2,0),"0")</f>
        <v>0</v>
      </c>
      <c r="R174" s="95">
        <f>IFERROR(VLOOKUP(Q174,S6M7!$B$1:$C$161,2,0),0)</f>
        <v>0</v>
      </c>
      <c r="S174" s="94" t="str">
        <f>IFERROR(VLOOKUP($B174,S6M8!$A$1:$B$160,2,0),"0")</f>
        <v>0</v>
      </c>
      <c r="T174" s="95">
        <f>IFERROR(VLOOKUP(S174,S6M8!$B$1:$C$161,2,0),0)</f>
        <v>0</v>
      </c>
      <c r="U174" s="94" t="str">
        <f>IFERROR(VLOOKUP($B174,S6M9!$A$1:$B$160,2,0),"0")</f>
        <v>0</v>
      </c>
      <c r="V174" s="95">
        <f>IFERROR(VLOOKUP(U174,S6M9!$B$1:$C$161,2,0),0)</f>
        <v>0</v>
      </c>
      <c r="W174" s="94" t="str">
        <f>IFERROR(VLOOKUP($B174,S6M10!$A$1:$B$160,2,0),"0")</f>
        <v>0</v>
      </c>
      <c r="X174" s="95">
        <f>IFERROR(VLOOKUP(W174,S6M10!$B$1:$C$161,2,0),0)</f>
        <v>0</v>
      </c>
      <c r="Y174" s="94" t="str">
        <f>IFERROR(VLOOKUP($B174,S6M11!$A$1:$B$160,2,0),"0")</f>
        <v>0</v>
      </c>
      <c r="Z174" s="95">
        <f>IFERROR(VLOOKUP(Y174,S6M11!$B$1:$C$161,2,0),0)</f>
        <v>0</v>
      </c>
      <c r="AA174" s="97">
        <f>IFERROR(VLOOKUP(E174,S6M1!$B$1:$C$161,2,0),0)</f>
        <v>0</v>
      </c>
      <c r="AB174" s="97">
        <f>IFERROR(VLOOKUP(G174,S6M2!$B$1:$C$161,2,0),0)</f>
        <v>0</v>
      </c>
      <c r="AC174" s="97">
        <f>IFERROR(VLOOKUP(I174,S6M3!$B$1:$C$161,2,0),0)</f>
        <v>0</v>
      </c>
      <c r="AD174" s="97">
        <f>IFERROR(VLOOKUP(K174,S6M4!$B$1:$C$161,2,0),0)</f>
        <v>0</v>
      </c>
      <c r="AE174" s="97">
        <f>IFERROR(VLOOKUP(M174,S6M5!$B$1:$C$161,2,0),0)</f>
        <v>0</v>
      </c>
      <c r="AF174" s="97">
        <f>IFERROR(VLOOKUP(O174,S6M6!$B$1:$C$161,2,0),0)</f>
        <v>0</v>
      </c>
      <c r="AG174" s="97">
        <f>IFERROR(VLOOKUP(Q174,S6M7!$B$1:$C$161,2,0),0)</f>
        <v>0</v>
      </c>
      <c r="AH174" s="97">
        <f>IFERROR(VLOOKUP(S174,S6M8!$B$1:$C$161,2,0),0)</f>
        <v>0</v>
      </c>
      <c r="AI174" s="97">
        <f>IFERROR(VLOOKUP(U174,S6M9!$B$1:$C$161,2,0),0)</f>
        <v>0</v>
      </c>
      <c r="AJ174" s="97">
        <f>IFERROR(VLOOKUP(W174,S6M10!$B$1:$C$161,2,0),0)</f>
        <v>0</v>
      </c>
      <c r="AK174" s="97">
        <f>IFERROR(VLOOKUP(Y174,S6M11!$B$1:$C$161,2,0),0)</f>
        <v>0</v>
      </c>
    </row>
    <row r="175" ht="15.75" customHeight="1">
      <c r="A175" s="110">
        <v>174.0</v>
      </c>
      <c r="B175" s="103"/>
      <c r="C175" s="93">
        <f t="shared" si="2"/>
        <v>0</v>
      </c>
      <c r="D175" s="93"/>
      <c r="E175" s="94" t="str">
        <f>IFERROR(VLOOKUP($B175,S6M1!$A$1:$B$160,2,0),"0")</f>
        <v>0</v>
      </c>
      <c r="F175" s="95">
        <f>IFERROR(VLOOKUP(E175,S6M1!$B$1:$C$161,2,0),0)</f>
        <v>0</v>
      </c>
      <c r="G175" s="94" t="str">
        <f>IFERROR(VLOOKUP($B175,S6M2!$A$1:$B$160,2,0),"0")</f>
        <v>0</v>
      </c>
      <c r="H175" s="95">
        <f>IFERROR(VLOOKUP(G175,S6M2!$B$1:$C$161,2,0),0)</f>
        <v>0</v>
      </c>
      <c r="I175" s="94">
        <f>IFERROR(VLOOKUP($B175,S6M3!$A$1:$B$161,2,0),0)</f>
        <v>0</v>
      </c>
      <c r="J175" s="95">
        <f>IFERROR(VLOOKUP(I175,S6M3!$B$1:$C$161,2,0),0)</f>
        <v>0</v>
      </c>
      <c r="K175" s="94" t="str">
        <f>IFERROR(VLOOKUP($B175,S6M4!$A$1:$B$160,2,0),"0")</f>
        <v>0</v>
      </c>
      <c r="L175" s="95">
        <f>IFERROR(VLOOKUP(K175,S6M4!$B$1:$C$161,2,0),0)</f>
        <v>0</v>
      </c>
      <c r="M175" s="94" t="str">
        <f>IFERROR(VLOOKUP($B175,S6M5!$A$1:$B$160,2,0),"0")</f>
        <v>0</v>
      </c>
      <c r="N175" s="95">
        <f>IFERROR(VLOOKUP(M175,S6M5!$B$1:$C$161,2,0),0)</f>
        <v>0</v>
      </c>
      <c r="O175" s="94" t="str">
        <f>IFERROR(VLOOKUP($B175,S6M6!$A$1:$B$160,2,0),"0")</f>
        <v>0</v>
      </c>
      <c r="P175" s="95">
        <f>IFERROR(VLOOKUP(O175,S6M6!$B$1:$C$161,2,0),0)</f>
        <v>0</v>
      </c>
      <c r="Q175" s="94" t="str">
        <f>IFERROR(VLOOKUP($B175,S6M7!$A$1:$B$160,2,0),"0")</f>
        <v>0</v>
      </c>
      <c r="R175" s="95">
        <f>IFERROR(VLOOKUP(Q175,S6M7!$B$1:$C$161,2,0),0)</f>
        <v>0</v>
      </c>
      <c r="S175" s="94" t="str">
        <f>IFERROR(VLOOKUP($B175,S6M8!$A$1:$B$160,2,0),"0")</f>
        <v>0</v>
      </c>
      <c r="T175" s="95">
        <f>IFERROR(VLOOKUP(S175,S6M8!$B$1:$C$161,2,0),0)</f>
        <v>0</v>
      </c>
      <c r="U175" s="94" t="str">
        <f>IFERROR(VLOOKUP($B175,S6M9!$A$1:$B$160,2,0),"0")</f>
        <v>0</v>
      </c>
      <c r="V175" s="95">
        <f>IFERROR(VLOOKUP(U175,S6M9!$B$1:$C$161,2,0),0)</f>
        <v>0</v>
      </c>
      <c r="W175" s="94" t="str">
        <f>IFERROR(VLOOKUP($B175,S6M10!$A$1:$B$160,2,0),"0")</f>
        <v>0</v>
      </c>
      <c r="X175" s="95">
        <f>IFERROR(VLOOKUP(W175,S6M10!$B$1:$C$161,2,0),0)</f>
        <v>0</v>
      </c>
      <c r="Y175" s="94" t="str">
        <f>IFERROR(VLOOKUP($B175,S6M11!$A$1:$B$160,2,0),"0")</f>
        <v>0</v>
      </c>
      <c r="Z175" s="95">
        <f>IFERROR(VLOOKUP(Y175,S6M11!$B$1:$C$161,2,0),0)</f>
        <v>0</v>
      </c>
      <c r="AA175" s="97">
        <f>IFERROR(VLOOKUP(E175,S6M1!$B$1:$C$161,2,0),0)</f>
        <v>0</v>
      </c>
      <c r="AB175" s="97">
        <f>IFERROR(VLOOKUP(G175,S6M2!$B$1:$C$161,2,0),0)</f>
        <v>0</v>
      </c>
      <c r="AC175" s="97">
        <f>IFERROR(VLOOKUP(I175,S6M3!$B$1:$C$161,2,0),0)</f>
        <v>0</v>
      </c>
      <c r="AD175" s="97">
        <f>IFERROR(VLOOKUP(K175,S6M4!$B$1:$C$161,2,0),0)</f>
        <v>0</v>
      </c>
      <c r="AE175" s="97">
        <f>IFERROR(VLOOKUP(M175,S6M5!$B$1:$C$161,2,0),0)</f>
        <v>0</v>
      </c>
      <c r="AF175" s="97">
        <f>IFERROR(VLOOKUP(O175,S6M6!$B$1:$C$161,2,0),0)</f>
        <v>0</v>
      </c>
      <c r="AG175" s="97">
        <f>IFERROR(VLOOKUP(Q175,S6M7!$B$1:$C$161,2,0),0)</f>
        <v>0</v>
      </c>
      <c r="AH175" s="97">
        <f>IFERROR(VLOOKUP(S175,S6M8!$B$1:$C$161,2,0),0)</f>
        <v>0</v>
      </c>
      <c r="AI175" s="97">
        <f>IFERROR(VLOOKUP(U175,S6M9!$B$1:$C$161,2,0),0)</f>
        <v>0</v>
      </c>
      <c r="AJ175" s="97">
        <f>IFERROR(VLOOKUP(W175,S6M10!$B$1:$C$161,2,0),0)</f>
        <v>0</v>
      </c>
      <c r="AK175" s="97">
        <f>IFERROR(VLOOKUP(Y175,S6M11!$B$1:$C$161,2,0),0)</f>
        <v>0</v>
      </c>
    </row>
    <row r="176" ht="15.75" customHeight="1">
      <c r="A176" s="110">
        <v>175.0</v>
      </c>
      <c r="B176" s="103"/>
      <c r="C176" s="93">
        <f t="shared" si="2"/>
        <v>0</v>
      </c>
      <c r="D176" s="93"/>
      <c r="E176" s="94" t="str">
        <f>IFERROR(VLOOKUP($B176,S6M1!$A$1:$B$160,2,0),"0")</f>
        <v>0</v>
      </c>
      <c r="F176" s="95">
        <f>IFERROR(VLOOKUP(E176,S6M1!$B$1:$C$161,2,0),0)</f>
        <v>0</v>
      </c>
      <c r="G176" s="94" t="str">
        <f>IFERROR(VLOOKUP($B176,S6M2!$A$1:$B$160,2,0),"0")</f>
        <v>0</v>
      </c>
      <c r="H176" s="95">
        <f>IFERROR(VLOOKUP(G176,S6M2!$B$1:$C$161,2,0),0)</f>
        <v>0</v>
      </c>
      <c r="I176" s="94">
        <f>IFERROR(VLOOKUP($B176,S6M3!$A$1:$B$161,2,0),0)</f>
        <v>0</v>
      </c>
      <c r="J176" s="95">
        <f>IFERROR(VLOOKUP(I176,S6M3!$B$1:$C$161,2,0),0)</f>
        <v>0</v>
      </c>
      <c r="K176" s="94" t="str">
        <f>IFERROR(VLOOKUP($B176,S6M4!$A$1:$B$160,2,0),"0")</f>
        <v>0</v>
      </c>
      <c r="L176" s="95">
        <f>IFERROR(VLOOKUP(K176,S6M4!$B$1:$C$161,2,0),0)</f>
        <v>0</v>
      </c>
      <c r="M176" s="94" t="str">
        <f>IFERROR(VLOOKUP($B176,S6M5!$A$1:$B$160,2,0),"0")</f>
        <v>0</v>
      </c>
      <c r="N176" s="95">
        <f>IFERROR(VLOOKUP(M176,S6M5!$B$1:$C$161,2,0),0)</f>
        <v>0</v>
      </c>
      <c r="O176" s="94" t="str">
        <f>IFERROR(VLOOKUP($B176,S6M6!$A$1:$B$160,2,0),"0")</f>
        <v>0</v>
      </c>
      <c r="P176" s="95">
        <f>IFERROR(VLOOKUP(O176,S6M6!$B$1:$C$161,2,0),0)</f>
        <v>0</v>
      </c>
      <c r="Q176" s="94" t="str">
        <f>IFERROR(VLOOKUP($B176,S6M7!$A$1:$B$160,2,0),"0")</f>
        <v>0</v>
      </c>
      <c r="R176" s="95">
        <f>IFERROR(VLOOKUP(Q176,S6M7!$B$1:$C$161,2,0),0)</f>
        <v>0</v>
      </c>
      <c r="S176" s="94" t="str">
        <f>IFERROR(VLOOKUP($B176,S6M8!$A$1:$B$160,2,0),"0")</f>
        <v>0</v>
      </c>
      <c r="T176" s="95">
        <f>IFERROR(VLOOKUP(S176,S6M8!$B$1:$C$161,2,0),0)</f>
        <v>0</v>
      </c>
      <c r="U176" s="94" t="str">
        <f>IFERROR(VLOOKUP($B176,S6M9!$A$1:$B$160,2,0),"0")</f>
        <v>0</v>
      </c>
      <c r="V176" s="95">
        <f>IFERROR(VLOOKUP(U176,S6M9!$B$1:$C$161,2,0),0)</f>
        <v>0</v>
      </c>
      <c r="W176" s="94" t="str">
        <f>IFERROR(VLOOKUP($B176,S6M10!$A$1:$B$160,2,0),"0")</f>
        <v>0</v>
      </c>
      <c r="X176" s="95">
        <f>IFERROR(VLOOKUP(W176,S6M10!$B$1:$C$161,2,0),0)</f>
        <v>0</v>
      </c>
      <c r="Y176" s="94" t="str">
        <f>IFERROR(VLOOKUP($B176,S6M11!$A$1:$B$160,2,0),"0")</f>
        <v>0</v>
      </c>
      <c r="Z176" s="95">
        <f>IFERROR(VLOOKUP(Y176,S6M11!$B$1:$C$161,2,0),0)</f>
        <v>0</v>
      </c>
      <c r="AA176" s="97">
        <f>IFERROR(VLOOKUP(E176,S6M1!$B$1:$C$161,2,0),0)</f>
        <v>0</v>
      </c>
      <c r="AB176" s="97">
        <f>IFERROR(VLOOKUP(G176,S6M2!$B$1:$C$161,2,0),0)</f>
        <v>0</v>
      </c>
      <c r="AC176" s="97">
        <f>IFERROR(VLOOKUP(I176,S6M3!$B$1:$C$161,2,0),0)</f>
        <v>0</v>
      </c>
      <c r="AD176" s="97">
        <f>IFERROR(VLOOKUP(K176,S6M4!$B$1:$C$161,2,0),0)</f>
        <v>0</v>
      </c>
      <c r="AE176" s="97">
        <f>IFERROR(VLOOKUP(M176,S6M5!$B$1:$C$161,2,0),0)</f>
        <v>0</v>
      </c>
      <c r="AF176" s="97">
        <f>IFERROR(VLOOKUP(O176,S6M6!$B$1:$C$161,2,0),0)</f>
        <v>0</v>
      </c>
      <c r="AG176" s="97">
        <f>IFERROR(VLOOKUP(Q176,S6M7!$B$1:$C$161,2,0),0)</f>
        <v>0</v>
      </c>
      <c r="AH176" s="97">
        <f>IFERROR(VLOOKUP(S176,S6M8!$B$1:$C$161,2,0),0)</f>
        <v>0</v>
      </c>
      <c r="AI176" s="97">
        <f>IFERROR(VLOOKUP(U176,S6M9!$B$1:$C$161,2,0),0)</f>
        <v>0</v>
      </c>
      <c r="AJ176" s="97">
        <f>IFERROR(VLOOKUP(W176,S6M10!$B$1:$C$161,2,0),0)</f>
        <v>0</v>
      </c>
      <c r="AK176" s="97">
        <f>IFERROR(VLOOKUP(Y176,S6M11!$B$1:$C$161,2,0),0)</f>
        <v>0</v>
      </c>
    </row>
    <row r="177" ht="15.75" customHeight="1">
      <c r="A177" s="110">
        <v>176.0</v>
      </c>
      <c r="B177" s="103"/>
      <c r="C177" s="93">
        <f t="shared" si="2"/>
        <v>0</v>
      </c>
      <c r="D177" s="93"/>
      <c r="E177" s="94" t="str">
        <f>IFERROR(VLOOKUP($B177,S6M1!$A$1:$B$160,2,0),"0")</f>
        <v>0</v>
      </c>
      <c r="F177" s="95">
        <f>IFERROR(VLOOKUP(E177,S6M1!$B$1:$C$161,2,0),0)</f>
        <v>0</v>
      </c>
      <c r="G177" s="94" t="str">
        <f>IFERROR(VLOOKUP($B177,S6M2!$A$1:$B$160,2,0),"0")</f>
        <v>0</v>
      </c>
      <c r="H177" s="95">
        <f>IFERROR(VLOOKUP(G177,S6M2!$B$1:$C$161,2,0),0)</f>
        <v>0</v>
      </c>
      <c r="I177" s="94">
        <f>IFERROR(VLOOKUP($B177,S6M3!$A$1:$B$161,2,0),0)</f>
        <v>0</v>
      </c>
      <c r="J177" s="95">
        <f>IFERROR(VLOOKUP(I177,S6M3!$B$1:$C$161,2,0),0)</f>
        <v>0</v>
      </c>
      <c r="K177" s="94" t="str">
        <f>IFERROR(VLOOKUP($B177,S6M4!$A$1:$B$160,2,0),"0")</f>
        <v>0</v>
      </c>
      <c r="L177" s="95">
        <f>IFERROR(VLOOKUP(K177,S6M4!$B$1:$C$161,2,0),0)</f>
        <v>0</v>
      </c>
      <c r="M177" s="94" t="str">
        <f>IFERROR(VLOOKUP($B177,S6M5!$A$1:$B$160,2,0),"0")</f>
        <v>0</v>
      </c>
      <c r="N177" s="95">
        <f>IFERROR(VLOOKUP(M177,S6M5!$B$1:$C$161,2,0),0)</f>
        <v>0</v>
      </c>
      <c r="O177" s="94" t="str">
        <f>IFERROR(VLOOKUP($B177,S6M6!$A$1:$B$160,2,0),"0")</f>
        <v>0</v>
      </c>
      <c r="P177" s="95">
        <f>IFERROR(VLOOKUP(O177,S6M6!$B$1:$C$161,2,0),0)</f>
        <v>0</v>
      </c>
      <c r="Q177" s="94" t="str">
        <f>IFERROR(VLOOKUP($B177,S6M7!$A$1:$B$160,2,0),"0")</f>
        <v>0</v>
      </c>
      <c r="R177" s="95">
        <f>IFERROR(VLOOKUP(Q177,S6M7!$B$1:$C$161,2,0),0)</f>
        <v>0</v>
      </c>
      <c r="S177" s="94" t="str">
        <f>IFERROR(VLOOKUP($B177,S6M8!$A$1:$B$160,2,0),"0")</f>
        <v>0</v>
      </c>
      <c r="T177" s="95">
        <f>IFERROR(VLOOKUP(S177,S6M8!$B$1:$C$161,2,0),0)</f>
        <v>0</v>
      </c>
      <c r="U177" s="94" t="str">
        <f>IFERROR(VLOOKUP($B177,S6M9!$A$1:$B$160,2,0),"0")</f>
        <v>0</v>
      </c>
      <c r="V177" s="95">
        <f>IFERROR(VLOOKUP(U177,S6M9!$B$1:$C$161,2,0),0)</f>
        <v>0</v>
      </c>
      <c r="W177" s="94" t="str">
        <f>IFERROR(VLOOKUP($B177,S6M10!$A$1:$B$160,2,0),"0")</f>
        <v>0</v>
      </c>
      <c r="X177" s="95">
        <f>IFERROR(VLOOKUP(W177,S6M10!$B$1:$C$161,2,0),0)</f>
        <v>0</v>
      </c>
      <c r="Y177" s="94" t="str">
        <f>IFERROR(VLOOKUP($B177,S6M11!$A$1:$B$160,2,0),"0")</f>
        <v>0</v>
      </c>
      <c r="Z177" s="95">
        <f>IFERROR(VLOOKUP(Y177,S6M11!$B$1:$C$161,2,0),0)</f>
        <v>0</v>
      </c>
      <c r="AA177" s="97">
        <f>IFERROR(VLOOKUP(E177,S6M1!$B$1:$C$161,2,0),0)</f>
        <v>0</v>
      </c>
      <c r="AB177" s="97">
        <f>IFERROR(VLOOKUP(G177,S6M2!$B$1:$C$161,2,0),0)</f>
        <v>0</v>
      </c>
      <c r="AC177" s="97">
        <f>IFERROR(VLOOKUP(I177,S6M3!$B$1:$C$161,2,0),0)</f>
        <v>0</v>
      </c>
      <c r="AD177" s="97">
        <f>IFERROR(VLOOKUP(K177,S6M4!$B$1:$C$161,2,0),0)</f>
        <v>0</v>
      </c>
      <c r="AE177" s="97">
        <f>IFERROR(VLOOKUP(M177,S6M5!$B$1:$C$161,2,0),0)</f>
        <v>0</v>
      </c>
      <c r="AF177" s="97">
        <f>IFERROR(VLOOKUP(O177,S6M6!$B$1:$C$161,2,0),0)</f>
        <v>0</v>
      </c>
      <c r="AG177" s="97">
        <f>IFERROR(VLOOKUP(Q177,S6M7!$B$1:$C$161,2,0),0)</f>
        <v>0</v>
      </c>
      <c r="AH177" s="97">
        <f>IFERROR(VLOOKUP(S177,S6M8!$B$1:$C$161,2,0),0)</f>
        <v>0</v>
      </c>
      <c r="AI177" s="97">
        <f>IFERROR(VLOOKUP(U177,S6M9!$B$1:$C$161,2,0),0)</f>
        <v>0</v>
      </c>
      <c r="AJ177" s="97">
        <f>IFERROR(VLOOKUP(W177,S6M10!$B$1:$C$161,2,0),0)</f>
        <v>0</v>
      </c>
      <c r="AK177" s="97">
        <f>IFERROR(VLOOKUP(Y177,S6M11!$B$1:$C$161,2,0),0)</f>
        <v>0</v>
      </c>
    </row>
    <row r="178" ht="15.75" customHeight="1">
      <c r="A178" s="110">
        <v>177.0</v>
      </c>
      <c r="B178" s="103"/>
      <c r="C178" s="93">
        <f t="shared" si="2"/>
        <v>0</v>
      </c>
      <c r="D178" s="93"/>
      <c r="E178" s="94" t="str">
        <f>IFERROR(VLOOKUP($B178,S6M1!$A$1:$B$160,2,0),"0")</f>
        <v>0</v>
      </c>
      <c r="F178" s="95">
        <f>IFERROR(VLOOKUP(E178,S6M1!$B$1:$C$161,2,0),0)</f>
        <v>0</v>
      </c>
      <c r="G178" s="94" t="str">
        <f>IFERROR(VLOOKUP($B178,S6M2!$A$1:$B$160,2,0),"0")</f>
        <v>0</v>
      </c>
      <c r="H178" s="95">
        <f>IFERROR(VLOOKUP(G178,S6M2!$B$1:$C$161,2,0),0)</f>
        <v>0</v>
      </c>
      <c r="I178" s="94">
        <f>IFERROR(VLOOKUP($B178,S6M3!$A$1:$B$161,2,0),0)</f>
        <v>0</v>
      </c>
      <c r="J178" s="95">
        <f>IFERROR(VLOOKUP(I178,S6M3!$B$1:$C$161,2,0),0)</f>
        <v>0</v>
      </c>
      <c r="K178" s="94" t="str">
        <f>IFERROR(VLOOKUP($B178,S6M4!$A$1:$B$160,2,0),"0")</f>
        <v>0</v>
      </c>
      <c r="L178" s="95">
        <f>IFERROR(VLOOKUP(K178,S6M4!$B$1:$C$161,2,0),0)</f>
        <v>0</v>
      </c>
      <c r="M178" s="94" t="str">
        <f>IFERROR(VLOOKUP($B178,S6M5!$A$1:$B$160,2,0),"0")</f>
        <v>0</v>
      </c>
      <c r="N178" s="95">
        <f>IFERROR(VLOOKUP(M178,S6M5!$B$1:$C$161,2,0),0)</f>
        <v>0</v>
      </c>
      <c r="O178" s="94" t="str">
        <f>IFERROR(VLOOKUP($B178,S6M6!$A$1:$B$160,2,0),"0")</f>
        <v>0</v>
      </c>
      <c r="P178" s="95">
        <f>IFERROR(VLOOKUP(O178,S6M6!$B$1:$C$161,2,0),0)</f>
        <v>0</v>
      </c>
      <c r="Q178" s="94" t="str">
        <f>IFERROR(VLOOKUP($B178,S6M7!$A$1:$B$160,2,0),"0")</f>
        <v>0</v>
      </c>
      <c r="R178" s="95">
        <f>IFERROR(VLOOKUP(Q178,S6M7!$B$1:$C$161,2,0),0)</f>
        <v>0</v>
      </c>
      <c r="S178" s="94" t="str">
        <f>IFERROR(VLOOKUP($B178,S6M8!$A$1:$B$160,2,0),"0")</f>
        <v>0</v>
      </c>
      <c r="T178" s="95">
        <f>IFERROR(VLOOKUP(S178,S6M8!$B$1:$C$161,2,0),0)</f>
        <v>0</v>
      </c>
      <c r="U178" s="94" t="str">
        <f>IFERROR(VLOOKUP($B178,S6M9!$A$1:$B$160,2,0),"0")</f>
        <v>0</v>
      </c>
      <c r="V178" s="95">
        <f>IFERROR(VLOOKUP(U178,S6M9!$B$1:$C$161,2,0),0)</f>
        <v>0</v>
      </c>
      <c r="W178" s="94" t="str">
        <f>IFERROR(VLOOKUP($B178,S6M10!$A$1:$B$160,2,0),"0")</f>
        <v>0</v>
      </c>
      <c r="X178" s="95">
        <f>IFERROR(VLOOKUP(W178,S6M10!$B$1:$C$161,2,0),0)</f>
        <v>0</v>
      </c>
      <c r="Y178" s="94" t="str">
        <f>IFERROR(VLOOKUP($B178,S6M11!$A$1:$B$160,2,0),"0")</f>
        <v>0</v>
      </c>
      <c r="Z178" s="95">
        <f>IFERROR(VLOOKUP(Y178,S6M11!$B$1:$C$161,2,0),0)</f>
        <v>0</v>
      </c>
      <c r="AA178" s="97">
        <f>IFERROR(VLOOKUP(E178,S6M1!$B$1:$C$161,2,0),0)</f>
        <v>0</v>
      </c>
      <c r="AB178" s="97">
        <f>IFERROR(VLOOKUP(G178,S6M2!$B$1:$C$161,2,0),0)</f>
        <v>0</v>
      </c>
      <c r="AC178" s="97">
        <f>IFERROR(VLOOKUP(I178,S6M3!$B$1:$C$161,2,0),0)</f>
        <v>0</v>
      </c>
      <c r="AD178" s="97">
        <f>IFERROR(VLOOKUP(K178,S6M4!$B$1:$C$161,2,0),0)</f>
        <v>0</v>
      </c>
      <c r="AE178" s="97">
        <f>IFERROR(VLOOKUP(M178,S6M5!$B$1:$C$161,2,0),0)</f>
        <v>0</v>
      </c>
      <c r="AF178" s="97">
        <f>IFERROR(VLOOKUP(O178,S6M6!$B$1:$C$161,2,0),0)</f>
        <v>0</v>
      </c>
      <c r="AG178" s="97">
        <f>IFERROR(VLOOKUP(Q178,S6M7!$B$1:$C$161,2,0),0)</f>
        <v>0</v>
      </c>
      <c r="AH178" s="97">
        <f>IFERROR(VLOOKUP(S178,S6M8!$B$1:$C$161,2,0),0)</f>
        <v>0</v>
      </c>
      <c r="AI178" s="97">
        <f>IFERROR(VLOOKUP(U178,S6M9!$B$1:$C$161,2,0),0)</f>
        <v>0</v>
      </c>
      <c r="AJ178" s="97">
        <f>IFERROR(VLOOKUP(W178,S6M10!$B$1:$C$161,2,0),0)</f>
        <v>0</v>
      </c>
      <c r="AK178" s="97">
        <f>IFERROR(VLOOKUP(Y178,S6M11!$B$1:$C$161,2,0),0)</f>
        <v>0</v>
      </c>
    </row>
    <row r="179" ht="15.75" customHeight="1">
      <c r="A179" s="110">
        <v>178.0</v>
      </c>
      <c r="B179" s="103"/>
      <c r="C179" s="93">
        <f t="shared" si="2"/>
        <v>0</v>
      </c>
      <c r="D179" s="93"/>
      <c r="E179" s="94" t="str">
        <f>IFERROR(VLOOKUP($B179,S6M1!$A$1:$B$160,2,0),"0")</f>
        <v>0</v>
      </c>
      <c r="F179" s="95">
        <f>IFERROR(VLOOKUP(E179,S6M1!$B$1:$C$161,2,0),0)</f>
        <v>0</v>
      </c>
      <c r="G179" s="94" t="str">
        <f>IFERROR(VLOOKUP($B179,S6M2!$A$1:$B$160,2,0),"0")</f>
        <v>0</v>
      </c>
      <c r="H179" s="95">
        <f>IFERROR(VLOOKUP(G179,S6M2!$B$1:$C$161,2,0),0)</f>
        <v>0</v>
      </c>
      <c r="I179" s="94">
        <f>IFERROR(VLOOKUP($B179,S6M3!$A$1:$B$161,2,0),0)</f>
        <v>0</v>
      </c>
      <c r="J179" s="95">
        <f>IFERROR(VLOOKUP(I179,S6M3!$B$1:$C$161,2,0),0)</f>
        <v>0</v>
      </c>
      <c r="K179" s="94" t="str">
        <f>IFERROR(VLOOKUP($B179,S6M4!$A$1:$B$160,2,0),"0")</f>
        <v>0</v>
      </c>
      <c r="L179" s="95">
        <f>IFERROR(VLOOKUP(K179,S6M4!$B$1:$C$161,2,0),0)</f>
        <v>0</v>
      </c>
      <c r="M179" s="94" t="str">
        <f>IFERROR(VLOOKUP($B179,S6M5!$A$1:$B$160,2,0),"0")</f>
        <v>0</v>
      </c>
      <c r="N179" s="95">
        <f>IFERROR(VLOOKUP(M179,S6M5!$B$1:$C$161,2,0),0)</f>
        <v>0</v>
      </c>
      <c r="O179" s="94" t="str">
        <f>IFERROR(VLOOKUP($B179,S6M6!$A$1:$B$160,2,0),"0")</f>
        <v>0</v>
      </c>
      <c r="P179" s="95">
        <f>IFERROR(VLOOKUP(O179,S6M6!$B$1:$C$161,2,0),0)</f>
        <v>0</v>
      </c>
      <c r="Q179" s="94" t="str">
        <f>IFERROR(VLOOKUP($B179,S6M7!$A$1:$B$160,2,0),"0")</f>
        <v>0</v>
      </c>
      <c r="R179" s="95">
        <f>IFERROR(VLOOKUP(Q179,S6M7!$B$1:$C$161,2,0),0)</f>
        <v>0</v>
      </c>
      <c r="S179" s="94" t="str">
        <f>IFERROR(VLOOKUP($B179,S6M8!$A$1:$B$160,2,0),"0")</f>
        <v>0</v>
      </c>
      <c r="T179" s="95">
        <f>IFERROR(VLOOKUP(S179,S6M8!$B$1:$C$161,2,0),0)</f>
        <v>0</v>
      </c>
      <c r="U179" s="94" t="str">
        <f>IFERROR(VLOOKUP($B179,S6M9!$A$1:$B$160,2,0),"0")</f>
        <v>0</v>
      </c>
      <c r="V179" s="95">
        <f>IFERROR(VLOOKUP(U179,S6M9!$B$1:$C$161,2,0),0)</f>
        <v>0</v>
      </c>
      <c r="W179" s="94" t="str">
        <f>IFERROR(VLOOKUP($B179,S6M10!$A$1:$B$160,2,0),"0")</f>
        <v>0</v>
      </c>
      <c r="X179" s="95">
        <f>IFERROR(VLOOKUP(W179,S6M10!$B$1:$C$161,2,0),0)</f>
        <v>0</v>
      </c>
      <c r="Y179" s="94" t="str">
        <f>IFERROR(VLOOKUP($B179,S6M11!$A$1:$B$160,2,0),"0")</f>
        <v>0</v>
      </c>
      <c r="Z179" s="95">
        <f>IFERROR(VLOOKUP(Y179,S6M11!$B$1:$C$161,2,0),0)</f>
        <v>0</v>
      </c>
      <c r="AA179" s="97">
        <f>IFERROR(VLOOKUP(E179,S6M1!$B$1:$C$161,2,0),0)</f>
        <v>0</v>
      </c>
      <c r="AB179" s="97">
        <f>IFERROR(VLOOKUP(G179,S6M2!$B$1:$C$161,2,0),0)</f>
        <v>0</v>
      </c>
      <c r="AC179" s="97">
        <f>IFERROR(VLOOKUP(I179,S6M3!$B$1:$C$161,2,0),0)</f>
        <v>0</v>
      </c>
      <c r="AD179" s="97">
        <f>IFERROR(VLOOKUP(K179,S6M4!$B$1:$C$161,2,0),0)</f>
        <v>0</v>
      </c>
      <c r="AE179" s="97">
        <f>IFERROR(VLOOKUP(M179,S6M5!$B$1:$C$161,2,0),0)</f>
        <v>0</v>
      </c>
      <c r="AF179" s="97">
        <f>IFERROR(VLOOKUP(O179,S6M6!$B$1:$C$161,2,0),0)</f>
        <v>0</v>
      </c>
      <c r="AG179" s="97">
        <f>IFERROR(VLOOKUP(Q179,S6M7!$B$1:$C$161,2,0),0)</f>
        <v>0</v>
      </c>
      <c r="AH179" s="97">
        <f>IFERROR(VLOOKUP(S179,S6M8!$B$1:$C$161,2,0),0)</f>
        <v>0</v>
      </c>
      <c r="AI179" s="97">
        <f>IFERROR(VLOOKUP(U179,S6M9!$B$1:$C$161,2,0),0)</f>
        <v>0</v>
      </c>
      <c r="AJ179" s="97">
        <f>IFERROR(VLOOKUP(W179,S6M10!$B$1:$C$161,2,0),0)</f>
        <v>0</v>
      </c>
      <c r="AK179" s="97">
        <f>IFERROR(VLOOKUP(Y179,S6M11!$B$1:$C$161,2,0),0)</f>
        <v>0</v>
      </c>
    </row>
    <row r="180" ht="15.75" customHeight="1">
      <c r="A180" s="110">
        <v>179.0</v>
      </c>
      <c r="B180" s="103"/>
      <c r="C180" s="93">
        <f t="shared" si="2"/>
        <v>0</v>
      </c>
      <c r="D180" s="93"/>
      <c r="E180" s="94" t="str">
        <f>IFERROR(VLOOKUP($B180,S6M1!$A$1:$B$160,2,0),"0")</f>
        <v>0</v>
      </c>
      <c r="F180" s="95">
        <f>IFERROR(VLOOKUP(E180,S6M1!$B$1:$C$161,2,0),0)</f>
        <v>0</v>
      </c>
      <c r="G180" s="94" t="str">
        <f>IFERROR(VLOOKUP($B180,S6M2!$A$1:$B$160,2,0),"0")</f>
        <v>0</v>
      </c>
      <c r="H180" s="95">
        <f>IFERROR(VLOOKUP(G180,S6M2!$B$1:$C$161,2,0),0)</f>
        <v>0</v>
      </c>
      <c r="I180" s="94">
        <f>IFERROR(VLOOKUP($B180,S6M3!$A$1:$B$161,2,0),0)</f>
        <v>0</v>
      </c>
      <c r="J180" s="95">
        <f>IFERROR(VLOOKUP(I180,S6M3!$B$1:$C$161,2,0),0)</f>
        <v>0</v>
      </c>
      <c r="K180" s="94" t="str">
        <f>IFERROR(VLOOKUP($B180,S6M4!$A$1:$B$160,2,0),"0")</f>
        <v>0</v>
      </c>
      <c r="L180" s="95">
        <f>IFERROR(VLOOKUP(K180,S6M4!$B$1:$C$161,2,0),0)</f>
        <v>0</v>
      </c>
      <c r="M180" s="94" t="str">
        <f>IFERROR(VLOOKUP($B180,S6M5!$A$1:$B$160,2,0),"0")</f>
        <v>0</v>
      </c>
      <c r="N180" s="95">
        <f>IFERROR(VLOOKUP(M180,S6M5!$B$1:$C$161,2,0),0)</f>
        <v>0</v>
      </c>
      <c r="O180" s="94" t="str">
        <f>IFERROR(VLOOKUP($B180,S6M6!$A$1:$B$160,2,0),"0")</f>
        <v>0</v>
      </c>
      <c r="P180" s="95">
        <f>IFERROR(VLOOKUP(O180,S6M6!$B$1:$C$161,2,0),0)</f>
        <v>0</v>
      </c>
      <c r="Q180" s="94" t="str">
        <f>IFERROR(VLOOKUP($B180,S6M7!$A$1:$B$160,2,0),"0")</f>
        <v>0</v>
      </c>
      <c r="R180" s="95">
        <f>IFERROR(VLOOKUP(Q180,S6M7!$B$1:$C$161,2,0),0)</f>
        <v>0</v>
      </c>
      <c r="S180" s="94" t="str">
        <f>IFERROR(VLOOKUP($B180,S6M8!$A$1:$B$160,2,0),"0")</f>
        <v>0</v>
      </c>
      <c r="T180" s="95">
        <f>IFERROR(VLOOKUP(S180,S6M8!$B$1:$C$161,2,0),0)</f>
        <v>0</v>
      </c>
      <c r="U180" s="94" t="str">
        <f>IFERROR(VLOOKUP($B180,S6M9!$A$1:$B$160,2,0),"0")</f>
        <v>0</v>
      </c>
      <c r="V180" s="95">
        <f>IFERROR(VLOOKUP(U180,S6M9!$B$1:$C$161,2,0),0)</f>
        <v>0</v>
      </c>
      <c r="W180" s="94" t="str">
        <f>IFERROR(VLOOKUP($B180,S6M10!$A$1:$B$160,2,0),"0")</f>
        <v>0</v>
      </c>
      <c r="X180" s="95">
        <f>IFERROR(VLOOKUP(W180,S6M10!$B$1:$C$161,2,0),0)</f>
        <v>0</v>
      </c>
      <c r="Y180" s="94" t="str">
        <f>IFERROR(VLOOKUP($B180,S6M11!$A$1:$B$160,2,0),"0")</f>
        <v>0</v>
      </c>
      <c r="Z180" s="95">
        <f>IFERROR(VLOOKUP(Y180,S6M11!$B$1:$C$161,2,0),0)</f>
        <v>0</v>
      </c>
      <c r="AA180" s="97">
        <f>IFERROR(VLOOKUP(E180,S6M1!$B$1:$C$161,2,0),0)</f>
        <v>0</v>
      </c>
      <c r="AB180" s="97">
        <f>IFERROR(VLOOKUP(G180,S6M2!$B$1:$C$161,2,0),0)</f>
        <v>0</v>
      </c>
      <c r="AC180" s="97">
        <f>IFERROR(VLOOKUP(I180,S6M3!$B$1:$C$161,2,0),0)</f>
        <v>0</v>
      </c>
      <c r="AD180" s="97">
        <f>IFERROR(VLOOKUP(K180,S6M4!$B$1:$C$161,2,0),0)</f>
        <v>0</v>
      </c>
      <c r="AE180" s="97">
        <f>IFERROR(VLOOKUP(M180,S6M5!$B$1:$C$161,2,0),0)</f>
        <v>0</v>
      </c>
      <c r="AF180" s="97">
        <f>IFERROR(VLOOKUP(O180,S6M6!$B$1:$C$161,2,0),0)</f>
        <v>0</v>
      </c>
      <c r="AG180" s="97">
        <f>IFERROR(VLOOKUP(Q180,S6M7!$B$1:$C$161,2,0),0)</f>
        <v>0</v>
      </c>
      <c r="AH180" s="97">
        <f>IFERROR(VLOOKUP(S180,S6M8!$B$1:$C$161,2,0),0)</f>
        <v>0</v>
      </c>
      <c r="AI180" s="97">
        <f>IFERROR(VLOOKUP(U180,S6M9!$B$1:$C$161,2,0),0)</f>
        <v>0</v>
      </c>
      <c r="AJ180" s="97">
        <f>IFERROR(VLOOKUP(W180,S6M10!$B$1:$C$161,2,0),0)</f>
        <v>0</v>
      </c>
      <c r="AK180" s="97">
        <f>IFERROR(VLOOKUP(Y180,S6M11!$B$1:$C$161,2,0),0)</f>
        <v>0</v>
      </c>
    </row>
    <row r="181" ht="15.75" customHeight="1">
      <c r="A181" s="110">
        <v>180.0</v>
      </c>
      <c r="B181" s="103"/>
      <c r="C181" s="93">
        <f t="shared" si="2"/>
        <v>0</v>
      </c>
      <c r="D181" s="93"/>
      <c r="E181" s="94" t="str">
        <f>IFERROR(VLOOKUP($B181,S6M1!$A$1:$B$160,2,0),"0")</f>
        <v>0</v>
      </c>
      <c r="F181" s="95">
        <f>IFERROR(VLOOKUP(E181,S6M1!$B$1:$C$161,2,0),0)</f>
        <v>0</v>
      </c>
      <c r="G181" s="94" t="str">
        <f>IFERROR(VLOOKUP($B181,S6M2!$A$1:$B$160,2,0),"0")</f>
        <v>0</v>
      </c>
      <c r="H181" s="95">
        <f>IFERROR(VLOOKUP(G181,S6M2!$B$1:$C$161,2,0),0)</f>
        <v>0</v>
      </c>
      <c r="I181" s="94">
        <f>IFERROR(VLOOKUP($B181,S6M3!$A$1:$B$161,2,0),0)</f>
        <v>0</v>
      </c>
      <c r="J181" s="95">
        <f>IFERROR(VLOOKUP(I181,S6M3!$B$1:$C$161,2,0),0)</f>
        <v>0</v>
      </c>
      <c r="K181" s="94" t="str">
        <f>IFERROR(VLOOKUP($B181,S6M4!$A$1:$B$160,2,0),"0")</f>
        <v>0</v>
      </c>
      <c r="L181" s="95">
        <f>IFERROR(VLOOKUP(K181,S6M4!$B$1:$C$161,2,0),0)</f>
        <v>0</v>
      </c>
      <c r="M181" s="94" t="str">
        <f>IFERROR(VLOOKUP($B181,S6M5!$A$1:$B$160,2,0),"0")</f>
        <v>0</v>
      </c>
      <c r="N181" s="95">
        <f>IFERROR(VLOOKUP(M181,S6M5!$B$1:$C$161,2,0),0)</f>
        <v>0</v>
      </c>
      <c r="O181" s="94" t="str">
        <f>IFERROR(VLOOKUP($B181,S6M6!$A$1:$B$160,2,0),"0")</f>
        <v>0</v>
      </c>
      <c r="P181" s="95">
        <f>IFERROR(VLOOKUP(O181,S6M6!$B$1:$C$161,2,0),0)</f>
        <v>0</v>
      </c>
      <c r="Q181" s="94" t="str">
        <f>IFERROR(VLOOKUP($B181,S6M7!$A$1:$B$160,2,0),"0")</f>
        <v>0</v>
      </c>
      <c r="R181" s="95">
        <f>IFERROR(VLOOKUP(Q181,S6M7!$B$1:$C$161,2,0),0)</f>
        <v>0</v>
      </c>
      <c r="S181" s="94" t="str">
        <f>IFERROR(VLOOKUP($B181,S6M8!$A$1:$B$160,2,0),"0")</f>
        <v>0</v>
      </c>
      <c r="T181" s="95">
        <f>IFERROR(VLOOKUP(S181,S6M8!$B$1:$C$161,2,0),0)</f>
        <v>0</v>
      </c>
      <c r="U181" s="94" t="str">
        <f>IFERROR(VLOOKUP($B181,S6M9!$A$1:$B$160,2,0),"0")</f>
        <v>0</v>
      </c>
      <c r="V181" s="95">
        <f>IFERROR(VLOOKUP(U181,S6M9!$B$1:$C$161,2,0),0)</f>
        <v>0</v>
      </c>
      <c r="W181" s="94" t="str">
        <f>IFERROR(VLOOKUP($B181,S6M10!$A$1:$B$160,2,0),"0")</f>
        <v>0</v>
      </c>
      <c r="X181" s="95">
        <f>IFERROR(VLOOKUP(W181,S6M10!$B$1:$C$161,2,0),0)</f>
        <v>0</v>
      </c>
      <c r="Y181" s="94" t="str">
        <f>IFERROR(VLOOKUP($B181,S6M11!$A$1:$B$160,2,0),"0")</f>
        <v>0</v>
      </c>
      <c r="Z181" s="95">
        <f>IFERROR(VLOOKUP(Y181,S6M11!$B$1:$C$161,2,0),0)</f>
        <v>0</v>
      </c>
      <c r="AA181" s="97">
        <f>IFERROR(VLOOKUP(E181,S6M1!$B$1:$C$161,2,0),0)</f>
        <v>0</v>
      </c>
      <c r="AB181" s="97">
        <f>IFERROR(VLOOKUP(G181,S6M2!$B$1:$C$161,2,0),0)</f>
        <v>0</v>
      </c>
      <c r="AC181" s="97">
        <f>IFERROR(VLOOKUP(I181,S6M3!$B$1:$C$161,2,0),0)</f>
        <v>0</v>
      </c>
      <c r="AD181" s="97">
        <f>IFERROR(VLOOKUP(K181,S6M4!$B$1:$C$161,2,0),0)</f>
        <v>0</v>
      </c>
      <c r="AE181" s="97">
        <f>IFERROR(VLOOKUP(M181,S6M5!$B$1:$C$161,2,0),0)</f>
        <v>0</v>
      </c>
      <c r="AF181" s="97">
        <f>IFERROR(VLOOKUP(O181,S6M6!$B$1:$C$161,2,0),0)</f>
        <v>0</v>
      </c>
      <c r="AG181" s="97">
        <f>IFERROR(VLOOKUP(Q181,S6M7!$B$1:$C$161,2,0),0)</f>
        <v>0</v>
      </c>
      <c r="AH181" s="97">
        <f>IFERROR(VLOOKUP(S181,S6M8!$B$1:$C$161,2,0),0)</f>
        <v>0</v>
      </c>
      <c r="AI181" s="97">
        <f>IFERROR(VLOOKUP(U181,S6M9!$B$1:$C$161,2,0),0)</f>
        <v>0</v>
      </c>
      <c r="AJ181" s="97">
        <f>IFERROR(VLOOKUP(W181,S6M10!$B$1:$C$161,2,0),0)</f>
        <v>0</v>
      </c>
      <c r="AK181" s="97">
        <f>IFERROR(VLOOKUP(Y181,S6M11!$B$1:$C$161,2,0),0)</f>
        <v>0</v>
      </c>
    </row>
    <row r="182" ht="15.75" customHeight="1">
      <c r="A182" s="110">
        <v>181.0</v>
      </c>
      <c r="B182" s="103"/>
      <c r="C182" s="93">
        <f t="shared" si="2"/>
        <v>0</v>
      </c>
      <c r="D182" s="93"/>
      <c r="E182" s="94" t="str">
        <f>IFERROR(VLOOKUP($B182,S6M1!$A$1:$B$160,2,0),"0")</f>
        <v>0</v>
      </c>
      <c r="F182" s="95">
        <f>IFERROR(VLOOKUP(E182,S6M1!$B$1:$C$161,2,0),0)</f>
        <v>0</v>
      </c>
      <c r="G182" s="94" t="str">
        <f>IFERROR(VLOOKUP($B182,S6M2!$A$1:$B$160,2,0),"0")</f>
        <v>0</v>
      </c>
      <c r="H182" s="95">
        <f>IFERROR(VLOOKUP(G182,S6M2!$B$1:$C$161,2,0),0)</f>
        <v>0</v>
      </c>
      <c r="I182" s="94">
        <f>IFERROR(VLOOKUP($B182,S6M3!$A$1:$B$161,2,0),0)</f>
        <v>0</v>
      </c>
      <c r="J182" s="95">
        <f>IFERROR(VLOOKUP(I182,S6M3!$B$1:$C$161,2,0),0)</f>
        <v>0</v>
      </c>
      <c r="K182" s="94" t="str">
        <f>IFERROR(VLOOKUP($B182,S6M4!$A$1:$B$160,2,0),"0")</f>
        <v>0</v>
      </c>
      <c r="L182" s="95">
        <f>IFERROR(VLOOKUP(K182,S6M4!$B$1:$C$161,2,0),0)</f>
        <v>0</v>
      </c>
      <c r="M182" s="94" t="str">
        <f>IFERROR(VLOOKUP($B182,S6M5!$A$1:$B$160,2,0),"0")</f>
        <v>0</v>
      </c>
      <c r="N182" s="95">
        <f>IFERROR(VLOOKUP(M182,S6M5!$B$1:$C$161,2,0),0)</f>
        <v>0</v>
      </c>
      <c r="O182" s="94" t="str">
        <f>IFERROR(VLOOKUP($B182,S6M6!$A$1:$B$160,2,0),"0")</f>
        <v>0</v>
      </c>
      <c r="P182" s="95">
        <f>IFERROR(VLOOKUP(O182,S6M6!$B$1:$C$161,2,0),0)</f>
        <v>0</v>
      </c>
      <c r="Q182" s="94" t="str">
        <f>IFERROR(VLOOKUP($B182,S6M7!$A$1:$B$160,2,0),"0")</f>
        <v>0</v>
      </c>
      <c r="R182" s="95">
        <f>IFERROR(VLOOKUP(Q182,S6M7!$B$1:$C$161,2,0),0)</f>
        <v>0</v>
      </c>
      <c r="S182" s="94" t="str">
        <f>IFERROR(VLOOKUP($B182,S6M8!$A$1:$B$160,2,0),"0")</f>
        <v>0</v>
      </c>
      <c r="T182" s="95">
        <f>IFERROR(VLOOKUP(S182,S6M8!$B$1:$C$161,2,0),0)</f>
        <v>0</v>
      </c>
      <c r="U182" s="94" t="str">
        <f>IFERROR(VLOOKUP($B182,S6M9!$A$1:$B$160,2,0),"0")</f>
        <v>0</v>
      </c>
      <c r="V182" s="95">
        <f>IFERROR(VLOOKUP(U182,S6M9!$B$1:$C$161,2,0),0)</f>
        <v>0</v>
      </c>
      <c r="W182" s="94" t="str">
        <f>IFERROR(VLOOKUP($B182,S6M10!$A$1:$B$160,2,0),"0")</f>
        <v>0</v>
      </c>
      <c r="X182" s="95">
        <f>IFERROR(VLOOKUP(W182,S6M10!$B$1:$C$161,2,0),0)</f>
        <v>0</v>
      </c>
      <c r="Y182" s="94" t="str">
        <f>IFERROR(VLOOKUP($B182,S6M11!$A$1:$B$160,2,0),"0")</f>
        <v>0</v>
      </c>
      <c r="Z182" s="95">
        <f>IFERROR(VLOOKUP(Y182,S6M11!$B$1:$C$161,2,0),0)</f>
        <v>0</v>
      </c>
      <c r="AA182" s="97">
        <f>IFERROR(VLOOKUP(E182,S6M1!$B$1:$C$161,2,0),0)</f>
        <v>0</v>
      </c>
      <c r="AB182" s="97">
        <f>IFERROR(VLOOKUP(G182,S6M2!$B$1:$C$161,2,0),0)</f>
        <v>0</v>
      </c>
      <c r="AC182" s="97">
        <f>IFERROR(VLOOKUP(I182,S6M3!$B$1:$C$161,2,0),0)</f>
        <v>0</v>
      </c>
      <c r="AD182" s="97">
        <f>IFERROR(VLOOKUP(K182,S6M4!$B$1:$C$161,2,0),0)</f>
        <v>0</v>
      </c>
      <c r="AE182" s="97">
        <f>IFERROR(VLOOKUP(M182,S6M5!$B$1:$C$161,2,0),0)</f>
        <v>0</v>
      </c>
      <c r="AF182" s="97">
        <f>IFERROR(VLOOKUP(O182,S6M6!$B$1:$C$161,2,0),0)</f>
        <v>0</v>
      </c>
      <c r="AG182" s="97">
        <f>IFERROR(VLOOKUP(Q182,S6M7!$B$1:$C$161,2,0),0)</f>
        <v>0</v>
      </c>
      <c r="AH182" s="97">
        <f>IFERROR(VLOOKUP(S182,S6M8!$B$1:$C$161,2,0),0)</f>
        <v>0</v>
      </c>
      <c r="AI182" s="97">
        <f>IFERROR(VLOOKUP(U182,S6M9!$B$1:$C$161,2,0),0)</f>
        <v>0</v>
      </c>
      <c r="AJ182" s="97">
        <f>IFERROR(VLOOKUP(W182,S6M10!$B$1:$C$161,2,0),0)</f>
        <v>0</v>
      </c>
      <c r="AK182" s="97">
        <f>IFERROR(VLOOKUP(Y182,S6M11!$B$1:$C$161,2,0),0)</f>
        <v>0</v>
      </c>
    </row>
    <row r="183" ht="15.75" customHeight="1">
      <c r="A183" s="110">
        <v>182.0</v>
      </c>
      <c r="B183" s="103"/>
      <c r="C183" s="93">
        <f t="shared" si="2"/>
        <v>0</v>
      </c>
      <c r="D183" s="93"/>
      <c r="E183" s="94" t="str">
        <f>IFERROR(VLOOKUP($B183,S6M1!$A$1:$B$160,2,0),"0")</f>
        <v>0</v>
      </c>
      <c r="F183" s="95">
        <f>IFERROR(VLOOKUP(E183,S6M1!$B$1:$C$161,2,0),0)</f>
        <v>0</v>
      </c>
      <c r="G183" s="94" t="str">
        <f>IFERROR(VLOOKUP($B183,S6M2!$A$1:$B$160,2,0),"0")</f>
        <v>0</v>
      </c>
      <c r="H183" s="95">
        <f>IFERROR(VLOOKUP(G183,S6M2!$B$1:$C$161,2,0),0)</f>
        <v>0</v>
      </c>
      <c r="I183" s="94">
        <f>IFERROR(VLOOKUP($B183,S6M3!$A$1:$B$161,2,0),0)</f>
        <v>0</v>
      </c>
      <c r="J183" s="95">
        <f>IFERROR(VLOOKUP(I183,S6M3!$B$1:$C$161,2,0),0)</f>
        <v>0</v>
      </c>
      <c r="K183" s="94" t="str">
        <f>IFERROR(VLOOKUP($B183,S6M4!$A$1:$B$160,2,0),"0")</f>
        <v>0</v>
      </c>
      <c r="L183" s="95">
        <f>IFERROR(VLOOKUP(K183,S6M4!$B$1:$C$161,2,0),0)</f>
        <v>0</v>
      </c>
      <c r="M183" s="94" t="str">
        <f>IFERROR(VLOOKUP($B183,S6M5!$A$1:$B$160,2,0),"0")</f>
        <v>0</v>
      </c>
      <c r="N183" s="95">
        <f>IFERROR(VLOOKUP(M183,S6M5!$B$1:$C$161,2,0),0)</f>
        <v>0</v>
      </c>
      <c r="O183" s="94" t="str">
        <f>IFERROR(VLOOKUP($B183,S6M6!$A$1:$B$160,2,0),"0")</f>
        <v>0</v>
      </c>
      <c r="P183" s="95">
        <f>IFERROR(VLOOKUP(O183,S6M6!$B$1:$C$161,2,0),0)</f>
        <v>0</v>
      </c>
      <c r="Q183" s="94" t="str">
        <f>IFERROR(VLOOKUP($B183,S6M7!$A$1:$B$160,2,0),"0")</f>
        <v>0</v>
      </c>
      <c r="R183" s="95">
        <f>IFERROR(VLOOKUP(Q183,S6M7!$B$1:$C$161,2,0),0)</f>
        <v>0</v>
      </c>
      <c r="S183" s="94" t="str">
        <f>IFERROR(VLOOKUP($B183,S6M8!$A$1:$B$160,2,0),"0")</f>
        <v>0</v>
      </c>
      <c r="T183" s="95">
        <f>IFERROR(VLOOKUP(S183,S6M8!$B$1:$C$161,2,0),0)</f>
        <v>0</v>
      </c>
      <c r="U183" s="94" t="str">
        <f>IFERROR(VLOOKUP($B183,S6M9!$A$1:$B$160,2,0),"0")</f>
        <v>0</v>
      </c>
      <c r="V183" s="95">
        <f>IFERROR(VLOOKUP(U183,S6M9!$B$1:$C$161,2,0),0)</f>
        <v>0</v>
      </c>
      <c r="W183" s="94" t="str">
        <f>IFERROR(VLOOKUP($B183,S6M10!$A$1:$B$160,2,0),"0")</f>
        <v>0</v>
      </c>
      <c r="X183" s="95">
        <f>IFERROR(VLOOKUP(W183,S6M10!$B$1:$C$161,2,0),0)</f>
        <v>0</v>
      </c>
      <c r="Y183" s="94" t="str">
        <f>IFERROR(VLOOKUP($B183,S6M11!$A$1:$B$160,2,0),"0")</f>
        <v>0</v>
      </c>
      <c r="Z183" s="95">
        <f>IFERROR(VLOOKUP(Y183,S6M11!$B$1:$C$161,2,0),0)</f>
        <v>0</v>
      </c>
      <c r="AA183" s="97">
        <f>IFERROR(VLOOKUP(E183,S6M1!$B$1:$C$161,2,0),0)</f>
        <v>0</v>
      </c>
      <c r="AB183" s="97">
        <f>IFERROR(VLOOKUP(G183,S6M2!$B$1:$C$161,2,0),0)</f>
        <v>0</v>
      </c>
      <c r="AC183" s="97">
        <f>IFERROR(VLOOKUP(I183,S6M3!$B$1:$C$161,2,0),0)</f>
        <v>0</v>
      </c>
      <c r="AD183" s="97">
        <f>IFERROR(VLOOKUP(K183,S6M4!$B$1:$C$161,2,0),0)</f>
        <v>0</v>
      </c>
      <c r="AE183" s="97">
        <f>IFERROR(VLOOKUP(M183,S6M5!$B$1:$C$161,2,0),0)</f>
        <v>0</v>
      </c>
      <c r="AF183" s="97">
        <f>IFERROR(VLOOKUP(O183,S6M6!$B$1:$C$161,2,0),0)</f>
        <v>0</v>
      </c>
      <c r="AG183" s="97">
        <f>IFERROR(VLOOKUP(Q183,S6M7!$B$1:$C$161,2,0),0)</f>
        <v>0</v>
      </c>
      <c r="AH183" s="97">
        <f>IFERROR(VLOOKUP(S183,S6M8!$B$1:$C$161,2,0),0)</f>
        <v>0</v>
      </c>
      <c r="AI183" s="97">
        <f>IFERROR(VLOOKUP(U183,S6M9!$B$1:$C$161,2,0),0)</f>
        <v>0</v>
      </c>
      <c r="AJ183" s="97">
        <f>IFERROR(VLOOKUP(W183,S6M10!$B$1:$C$161,2,0),0)</f>
        <v>0</v>
      </c>
      <c r="AK183" s="97">
        <f>IFERROR(VLOOKUP(Y183,S6M11!$B$1:$C$161,2,0),0)</f>
        <v>0</v>
      </c>
    </row>
    <row r="184" ht="15.75" customHeight="1">
      <c r="A184" s="110">
        <v>183.0</v>
      </c>
      <c r="B184" s="103"/>
      <c r="C184" s="93">
        <f t="shared" si="2"/>
        <v>0</v>
      </c>
      <c r="D184" s="93"/>
      <c r="E184" s="94" t="str">
        <f>IFERROR(VLOOKUP($B184,S6M1!$A$1:$B$160,2,0),"0")</f>
        <v>0</v>
      </c>
      <c r="F184" s="95">
        <f>IFERROR(VLOOKUP(E184,S6M1!$B$1:$C$161,2,0),0)</f>
        <v>0</v>
      </c>
      <c r="G184" s="94" t="str">
        <f>IFERROR(VLOOKUP($B184,S6M2!$A$1:$B$160,2,0),"0")</f>
        <v>0</v>
      </c>
      <c r="H184" s="95">
        <f>IFERROR(VLOOKUP(G184,S6M2!$B$1:$C$161,2,0),0)</f>
        <v>0</v>
      </c>
      <c r="I184" s="94">
        <f>IFERROR(VLOOKUP($B184,S6M3!$A$1:$B$161,2,0),0)</f>
        <v>0</v>
      </c>
      <c r="J184" s="95">
        <f>IFERROR(VLOOKUP(I184,S6M3!$B$1:$C$161,2,0),0)</f>
        <v>0</v>
      </c>
      <c r="K184" s="94" t="str">
        <f>IFERROR(VLOOKUP($B184,S6M4!$A$1:$B$160,2,0),"0")</f>
        <v>0</v>
      </c>
      <c r="L184" s="95">
        <f>IFERROR(VLOOKUP(K184,S6M4!$B$1:$C$161,2,0),0)</f>
        <v>0</v>
      </c>
      <c r="M184" s="94" t="str">
        <f>IFERROR(VLOOKUP($B184,S6M5!$A$1:$B$160,2,0),"0")</f>
        <v>0</v>
      </c>
      <c r="N184" s="95">
        <f>IFERROR(VLOOKUP(M184,S6M5!$B$1:$C$161,2,0),0)</f>
        <v>0</v>
      </c>
      <c r="O184" s="94" t="str">
        <f>IFERROR(VLOOKUP($B184,S6M6!$A$1:$B$160,2,0),"0")</f>
        <v>0</v>
      </c>
      <c r="P184" s="95">
        <f>IFERROR(VLOOKUP(O184,S6M6!$B$1:$C$161,2,0),0)</f>
        <v>0</v>
      </c>
      <c r="Q184" s="94" t="str">
        <f>IFERROR(VLOOKUP($B184,S6M7!$A$1:$B$160,2,0),"0")</f>
        <v>0</v>
      </c>
      <c r="R184" s="95">
        <f>IFERROR(VLOOKUP(Q184,S6M7!$B$1:$C$161,2,0),0)</f>
        <v>0</v>
      </c>
      <c r="S184" s="94" t="str">
        <f>IFERROR(VLOOKUP($B184,S6M8!$A$1:$B$160,2,0),"0")</f>
        <v>0</v>
      </c>
      <c r="T184" s="95">
        <f>IFERROR(VLOOKUP(S184,S6M8!$B$1:$C$161,2,0),0)</f>
        <v>0</v>
      </c>
      <c r="U184" s="94" t="str">
        <f>IFERROR(VLOOKUP($B184,S6M9!$A$1:$B$160,2,0),"0")</f>
        <v>0</v>
      </c>
      <c r="V184" s="95">
        <f>IFERROR(VLOOKUP(U184,S6M9!$B$1:$C$161,2,0),0)</f>
        <v>0</v>
      </c>
      <c r="W184" s="94" t="str">
        <f>IFERROR(VLOOKUP($B184,S6M10!$A$1:$B$160,2,0),"0")</f>
        <v>0</v>
      </c>
      <c r="X184" s="95">
        <f>IFERROR(VLOOKUP(W184,S6M10!$B$1:$C$161,2,0),0)</f>
        <v>0</v>
      </c>
      <c r="Y184" s="94" t="str">
        <f>IFERROR(VLOOKUP($B184,S6M11!$A$1:$B$160,2,0),"0")</f>
        <v>0</v>
      </c>
      <c r="Z184" s="95">
        <f>IFERROR(VLOOKUP(Y184,S6M11!$B$1:$C$161,2,0),0)</f>
        <v>0</v>
      </c>
      <c r="AA184" s="97">
        <f>IFERROR(VLOOKUP(E184,S6M1!$B$1:$C$161,2,0),0)</f>
        <v>0</v>
      </c>
      <c r="AB184" s="97">
        <f>IFERROR(VLOOKUP(G184,S6M2!$B$1:$C$161,2,0),0)</f>
        <v>0</v>
      </c>
      <c r="AC184" s="97">
        <f>IFERROR(VLOOKUP(I184,S6M3!$B$1:$C$161,2,0),0)</f>
        <v>0</v>
      </c>
      <c r="AD184" s="97">
        <f>IFERROR(VLOOKUP(K184,S6M4!$B$1:$C$161,2,0),0)</f>
        <v>0</v>
      </c>
      <c r="AE184" s="97">
        <f>IFERROR(VLOOKUP(M184,S6M5!$B$1:$C$161,2,0),0)</f>
        <v>0</v>
      </c>
      <c r="AF184" s="97">
        <f>IFERROR(VLOOKUP(O184,S6M6!$B$1:$C$161,2,0),0)</f>
        <v>0</v>
      </c>
      <c r="AG184" s="97">
        <f>IFERROR(VLOOKUP(Q184,S6M7!$B$1:$C$161,2,0),0)</f>
        <v>0</v>
      </c>
      <c r="AH184" s="97">
        <f>IFERROR(VLOOKUP(S184,S6M8!$B$1:$C$161,2,0),0)</f>
        <v>0</v>
      </c>
      <c r="AI184" s="97">
        <f>IFERROR(VLOOKUP(U184,S6M9!$B$1:$C$161,2,0),0)</f>
        <v>0</v>
      </c>
      <c r="AJ184" s="97">
        <f>IFERROR(VLOOKUP(W184,S6M10!$B$1:$C$161,2,0),0)</f>
        <v>0</v>
      </c>
      <c r="AK184" s="97">
        <f>IFERROR(VLOOKUP(Y184,S6M11!$B$1:$C$161,2,0),0)</f>
        <v>0</v>
      </c>
    </row>
    <row r="185" ht="15.75" customHeight="1">
      <c r="A185" s="110">
        <v>184.0</v>
      </c>
      <c r="B185" s="103"/>
      <c r="C185" s="93">
        <f t="shared" si="2"/>
        <v>0</v>
      </c>
      <c r="D185" s="93"/>
      <c r="E185" s="94" t="str">
        <f>IFERROR(VLOOKUP($B185,S6M1!$A$1:$B$160,2,0),"0")</f>
        <v>0</v>
      </c>
      <c r="F185" s="95">
        <f>IFERROR(VLOOKUP(E185,S6M1!$B$1:$C$161,2,0),0)</f>
        <v>0</v>
      </c>
      <c r="G185" s="94" t="str">
        <f>IFERROR(VLOOKUP($B185,S6M2!$A$1:$B$160,2,0),"0")</f>
        <v>0</v>
      </c>
      <c r="H185" s="95">
        <f>IFERROR(VLOOKUP(G185,S6M2!$B$1:$C$161,2,0),0)</f>
        <v>0</v>
      </c>
      <c r="I185" s="94">
        <f>IFERROR(VLOOKUP($B185,S6M3!$A$1:$B$161,2,0),0)</f>
        <v>0</v>
      </c>
      <c r="J185" s="95">
        <f>IFERROR(VLOOKUP(I185,S6M3!$B$1:$C$161,2,0),0)</f>
        <v>0</v>
      </c>
      <c r="K185" s="94" t="str">
        <f>IFERROR(VLOOKUP($B185,S6M4!$A$1:$B$160,2,0),"0")</f>
        <v>0</v>
      </c>
      <c r="L185" s="95">
        <f>IFERROR(VLOOKUP(K185,S6M4!$B$1:$C$161,2,0),0)</f>
        <v>0</v>
      </c>
      <c r="M185" s="94" t="str">
        <f>IFERROR(VLOOKUP($B185,S6M5!$A$1:$B$160,2,0),"0")</f>
        <v>0</v>
      </c>
      <c r="N185" s="95">
        <f>IFERROR(VLOOKUP(M185,S6M5!$B$1:$C$161,2,0),0)</f>
        <v>0</v>
      </c>
      <c r="O185" s="94" t="str">
        <f>IFERROR(VLOOKUP($B185,S6M6!$A$1:$B$160,2,0),"0")</f>
        <v>0</v>
      </c>
      <c r="P185" s="95">
        <f>IFERROR(VLOOKUP(O185,S6M6!$B$1:$C$161,2,0),0)</f>
        <v>0</v>
      </c>
      <c r="Q185" s="94" t="str">
        <f>IFERROR(VLOOKUP($B185,S6M7!$A$1:$B$160,2,0),"0")</f>
        <v>0</v>
      </c>
      <c r="R185" s="95">
        <f>IFERROR(VLOOKUP(Q185,S6M7!$B$1:$C$161,2,0),0)</f>
        <v>0</v>
      </c>
      <c r="S185" s="94" t="str">
        <f>IFERROR(VLOOKUP($B185,S6M8!$A$1:$B$160,2,0),"0")</f>
        <v>0</v>
      </c>
      <c r="T185" s="95">
        <f>IFERROR(VLOOKUP(S185,S6M8!$B$1:$C$161,2,0),0)</f>
        <v>0</v>
      </c>
      <c r="U185" s="94" t="str">
        <f>IFERROR(VLOOKUP($B185,S6M9!$A$1:$B$160,2,0),"0")</f>
        <v>0</v>
      </c>
      <c r="V185" s="95">
        <f>IFERROR(VLOOKUP(U185,S6M9!$B$1:$C$161,2,0),0)</f>
        <v>0</v>
      </c>
      <c r="W185" s="94" t="str">
        <f>IFERROR(VLOOKUP($B185,S6M10!$A$1:$B$160,2,0),"0")</f>
        <v>0</v>
      </c>
      <c r="X185" s="95">
        <f>IFERROR(VLOOKUP(W185,S6M10!$B$1:$C$161,2,0),0)</f>
        <v>0</v>
      </c>
      <c r="Y185" s="94" t="str">
        <f>IFERROR(VLOOKUP($B185,S6M11!$A$1:$B$160,2,0),"0")</f>
        <v>0</v>
      </c>
      <c r="Z185" s="95">
        <f>IFERROR(VLOOKUP(Y185,S6M11!$B$1:$C$161,2,0),0)</f>
        <v>0</v>
      </c>
      <c r="AA185" s="97">
        <f>IFERROR(VLOOKUP(E185,S6M1!$B$1:$C$161,2,0),0)</f>
        <v>0</v>
      </c>
      <c r="AB185" s="97">
        <f>IFERROR(VLOOKUP(G185,S6M2!$B$1:$C$161,2,0),0)</f>
        <v>0</v>
      </c>
      <c r="AC185" s="97">
        <f>IFERROR(VLOOKUP(I185,S6M3!$B$1:$C$161,2,0),0)</f>
        <v>0</v>
      </c>
      <c r="AD185" s="97">
        <f>IFERROR(VLOOKUP(K185,S6M4!$B$1:$C$161,2,0),0)</f>
        <v>0</v>
      </c>
      <c r="AE185" s="97">
        <f>IFERROR(VLOOKUP(M185,S6M5!$B$1:$C$161,2,0),0)</f>
        <v>0</v>
      </c>
      <c r="AF185" s="97">
        <f>IFERROR(VLOOKUP(O185,S6M6!$B$1:$C$161,2,0),0)</f>
        <v>0</v>
      </c>
      <c r="AG185" s="97">
        <f>IFERROR(VLOOKUP(Q185,S6M7!$B$1:$C$161,2,0),0)</f>
        <v>0</v>
      </c>
      <c r="AH185" s="97">
        <f>IFERROR(VLOOKUP(S185,S6M8!$B$1:$C$161,2,0),0)</f>
        <v>0</v>
      </c>
      <c r="AI185" s="97">
        <f>IFERROR(VLOOKUP(U185,S6M9!$B$1:$C$161,2,0),0)</f>
        <v>0</v>
      </c>
      <c r="AJ185" s="97">
        <f>IFERROR(VLOOKUP(W185,S6M10!$B$1:$C$161,2,0),0)</f>
        <v>0</v>
      </c>
      <c r="AK185" s="97">
        <f>IFERROR(VLOOKUP(Y185,S6M11!$B$1:$C$161,2,0),0)</f>
        <v>0</v>
      </c>
    </row>
    <row r="186" ht="15.75" customHeight="1">
      <c r="A186" s="110">
        <v>185.0</v>
      </c>
      <c r="B186" s="103"/>
      <c r="C186" s="93">
        <f t="shared" si="2"/>
        <v>0</v>
      </c>
      <c r="D186" s="93"/>
      <c r="E186" s="94" t="str">
        <f>IFERROR(VLOOKUP($B186,S6M1!$A$1:$B$160,2,0),"0")</f>
        <v>0</v>
      </c>
      <c r="F186" s="95">
        <f>IFERROR(VLOOKUP(E186,S6M1!$B$1:$C$161,2,0),0)</f>
        <v>0</v>
      </c>
      <c r="G186" s="94" t="str">
        <f>IFERROR(VLOOKUP($B186,S6M2!$A$1:$B$160,2,0),"0")</f>
        <v>0</v>
      </c>
      <c r="H186" s="95">
        <f>IFERROR(VLOOKUP(G186,S6M2!$B$1:$C$161,2,0),0)</f>
        <v>0</v>
      </c>
      <c r="I186" s="94">
        <f>IFERROR(VLOOKUP($B186,S6M3!$A$1:$B$161,2,0),0)</f>
        <v>0</v>
      </c>
      <c r="J186" s="95">
        <f>IFERROR(VLOOKUP(I186,S6M3!$B$1:$C$161,2,0),0)</f>
        <v>0</v>
      </c>
      <c r="K186" s="94" t="str">
        <f>IFERROR(VLOOKUP($B186,S6M4!$A$1:$B$160,2,0),"0")</f>
        <v>0</v>
      </c>
      <c r="L186" s="95">
        <f>IFERROR(VLOOKUP(K186,S6M4!$B$1:$C$161,2,0),0)</f>
        <v>0</v>
      </c>
      <c r="M186" s="94" t="str">
        <f>IFERROR(VLOOKUP($B186,S6M5!$A$1:$B$160,2,0),"0")</f>
        <v>0</v>
      </c>
      <c r="N186" s="95">
        <f>IFERROR(VLOOKUP(M186,S6M5!$B$1:$C$161,2,0),0)</f>
        <v>0</v>
      </c>
      <c r="O186" s="94" t="str">
        <f>IFERROR(VLOOKUP($B186,S6M6!$A$1:$B$160,2,0),"0")</f>
        <v>0</v>
      </c>
      <c r="P186" s="95">
        <f>IFERROR(VLOOKUP(O186,S6M6!$B$1:$C$161,2,0),0)</f>
        <v>0</v>
      </c>
      <c r="Q186" s="94" t="str">
        <f>IFERROR(VLOOKUP($B186,S6M7!$A$1:$B$160,2,0),"0")</f>
        <v>0</v>
      </c>
      <c r="R186" s="95">
        <f>IFERROR(VLOOKUP(Q186,S6M7!$B$1:$C$161,2,0),0)</f>
        <v>0</v>
      </c>
      <c r="S186" s="94" t="str">
        <f>IFERROR(VLOOKUP($B186,S6M8!$A$1:$B$160,2,0),"0")</f>
        <v>0</v>
      </c>
      <c r="T186" s="95">
        <f>IFERROR(VLOOKUP(S186,S6M8!$B$1:$C$161,2,0),0)</f>
        <v>0</v>
      </c>
      <c r="U186" s="94" t="str">
        <f>IFERROR(VLOOKUP($B186,S6M9!$A$1:$B$160,2,0),"0")</f>
        <v>0</v>
      </c>
      <c r="V186" s="95">
        <f>IFERROR(VLOOKUP(U186,S6M9!$B$1:$C$161,2,0),0)</f>
        <v>0</v>
      </c>
      <c r="W186" s="94" t="str">
        <f>IFERROR(VLOOKUP($B186,S6M10!$A$1:$B$160,2,0),"0")</f>
        <v>0</v>
      </c>
      <c r="X186" s="95">
        <f>IFERROR(VLOOKUP(W186,S6M10!$B$1:$C$161,2,0),0)</f>
        <v>0</v>
      </c>
      <c r="Y186" s="94" t="str">
        <f>IFERROR(VLOOKUP($B186,S6M11!$A$1:$B$160,2,0),"0")</f>
        <v>0</v>
      </c>
      <c r="Z186" s="95">
        <f>IFERROR(VLOOKUP(Y186,S6M11!$B$1:$C$161,2,0),0)</f>
        <v>0</v>
      </c>
      <c r="AA186" s="97">
        <f>IFERROR(VLOOKUP(E186,S6M1!$B$1:$C$161,2,0),0)</f>
        <v>0</v>
      </c>
      <c r="AB186" s="97">
        <f>IFERROR(VLOOKUP(G186,S6M2!$B$1:$C$161,2,0),0)</f>
        <v>0</v>
      </c>
      <c r="AC186" s="97">
        <f>IFERROR(VLOOKUP(I186,S6M3!$B$1:$C$161,2,0),0)</f>
        <v>0</v>
      </c>
      <c r="AD186" s="97">
        <f>IFERROR(VLOOKUP(K186,S6M4!$B$1:$C$161,2,0),0)</f>
        <v>0</v>
      </c>
      <c r="AE186" s="97">
        <f>IFERROR(VLOOKUP(M186,S6M5!$B$1:$C$161,2,0),0)</f>
        <v>0</v>
      </c>
      <c r="AF186" s="97">
        <f>IFERROR(VLOOKUP(O186,S6M6!$B$1:$C$161,2,0),0)</f>
        <v>0</v>
      </c>
      <c r="AG186" s="97">
        <f>IFERROR(VLOOKUP(Q186,S6M7!$B$1:$C$161,2,0),0)</f>
        <v>0</v>
      </c>
      <c r="AH186" s="97">
        <f>IFERROR(VLOOKUP(S186,S6M8!$B$1:$C$161,2,0),0)</f>
        <v>0</v>
      </c>
      <c r="AI186" s="97">
        <f>IFERROR(VLOOKUP(U186,S6M9!$B$1:$C$161,2,0),0)</f>
        <v>0</v>
      </c>
      <c r="AJ186" s="97">
        <f>IFERROR(VLOOKUP(W186,S6M10!$B$1:$C$161,2,0),0)</f>
        <v>0</v>
      </c>
      <c r="AK186" s="97">
        <f>IFERROR(VLOOKUP(Y186,S6M11!$B$1:$C$161,2,0),0)</f>
        <v>0</v>
      </c>
    </row>
    <row r="187" ht="15.75" customHeight="1">
      <c r="A187" s="110">
        <v>186.0</v>
      </c>
      <c r="B187" s="103"/>
      <c r="C187" s="93">
        <f t="shared" si="2"/>
        <v>0</v>
      </c>
      <c r="D187" s="93"/>
      <c r="E187" s="94" t="str">
        <f>IFERROR(VLOOKUP($B187,S6M1!$A$1:$B$160,2,0),"0")</f>
        <v>0</v>
      </c>
      <c r="F187" s="95">
        <f>IFERROR(VLOOKUP(E187,S6M1!$B$1:$C$161,2,0),0)</f>
        <v>0</v>
      </c>
      <c r="G187" s="94" t="str">
        <f>IFERROR(VLOOKUP($B187,S6M2!$A$1:$B$160,2,0),"0")</f>
        <v>0</v>
      </c>
      <c r="H187" s="95">
        <f>IFERROR(VLOOKUP(G187,S6M2!$B$1:$C$161,2,0),0)</f>
        <v>0</v>
      </c>
      <c r="I187" s="94">
        <f>IFERROR(VLOOKUP($B187,S6M3!$A$1:$B$161,2,0),0)</f>
        <v>0</v>
      </c>
      <c r="J187" s="95">
        <f>IFERROR(VLOOKUP(I187,S6M3!$B$1:$C$161,2,0),0)</f>
        <v>0</v>
      </c>
      <c r="K187" s="94" t="str">
        <f>IFERROR(VLOOKUP($B187,S6M4!$A$1:$B$160,2,0),"0")</f>
        <v>0</v>
      </c>
      <c r="L187" s="95">
        <f>IFERROR(VLOOKUP(K187,S6M4!$B$1:$C$161,2,0),0)</f>
        <v>0</v>
      </c>
      <c r="M187" s="94" t="str">
        <f>IFERROR(VLOOKUP($B187,S6M5!$A$1:$B$160,2,0),"0")</f>
        <v>0</v>
      </c>
      <c r="N187" s="95">
        <f>IFERROR(VLOOKUP(M187,S6M5!$B$1:$C$161,2,0),0)</f>
        <v>0</v>
      </c>
      <c r="O187" s="94" t="str">
        <f>IFERROR(VLOOKUP($B187,S6M6!$A$1:$B$160,2,0),"0")</f>
        <v>0</v>
      </c>
      <c r="P187" s="95">
        <f>IFERROR(VLOOKUP(O187,S6M6!$B$1:$C$161,2,0),0)</f>
        <v>0</v>
      </c>
      <c r="Q187" s="94" t="str">
        <f>IFERROR(VLOOKUP($B187,S6M7!$A$1:$B$160,2,0),"0")</f>
        <v>0</v>
      </c>
      <c r="R187" s="95">
        <f>IFERROR(VLOOKUP(Q187,S6M7!$B$1:$C$161,2,0),0)</f>
        <v>0</v>
      </c>
      <c r="S187" s="94" t="str">
        <f>IFERROR(VLOOKUP($B187,S6M8!$A$1:$B$160,2,0),"0")</f>
        <v>0</v>
      </c>
      <c r="T187" s="95">
        <f>IFERROR(VLOOKUP(S187,S6M8!$B$1:$C$161,2,0),0)</f>
        <v>0</v>
      </c>
      <c r="U187" s="94" t="str">
        <f>IFERROR(VLOOKUP($B187,S6M9!$A$1:$B$160,2,0),"0")</f>
        <v>0</v>
      </c>
      <c r="V187" s="95">
        <f>IFERROR(VLOOKUP(U187,S6M9!$B$1:$C$161,2,0),0)</f>
        <v>0</v>
      </c>
      <c r="W187" s="94" t="str">
        <f>IFERROR(VLOOKUP($B187,S6M10!$A$1:$B$160,2,0),"0")</f>
        <v>0</v>
      </c>
      <c r="X187" s="95">
        <f>IFERROR(VLOOKUP(W187,S6M10!$B$1:$C$161,2,0),0)</f>
        <v>0</v>
      </c>
      <c r="Y187" s="94" t="str">
        <f>IFERROR(VLOOKUP($B187,S6M11!$A$1:$B$160,2,0),"0")</f>
        <v>0</v>
      </c>
      <c r="Z187" s="95">
        <f>IFERROR(VLOOKUP(Y187,S6M11!$B$1:$C$161,2,0),0)</f>
        <v>0</v>
      </c>
      <c r="AA187" s="97">
        <f>IFERROR(VLOOKUP(E187,S6M1!$B$1:$C$161,2,0),0)</f>
        <v>0</v>
      </c>
      <c r="AB187" s="97">
        <f>IFERROR(VLOOKUP(G187,S6M2!$B$1:$C$161,2,0),0)</f>
        <v>0</v>
      </c>
      <c r="AC187" s="97">
        <f>IFERROR(VLOOKUP(I187,S6M3!$B$1:$C$161,2,0),0)</f>
        <v>0</v>
      </c>
      <c r="AD187" s="97">
        <f>IFERROR(VLOOKUP(K187,S6M4!$B$1:$C$161,2,0),0)</f>
        <v>0</v>
      </c>
      <c r="AE187" s="97">
        <f>IFERROR(VLOOKUP(M187,S6M5!$B$1:$C$161,2,0),0)</f>
        <v>0</v>
      </c>
      <c r="AF187" s="97">
        <f>IFERROR(VLOOKUP(O187,S6M6!$B$1:$C$161,2,0),0)</f>
        <v>0</v>
      </c>
      <c r="AG187" s="97">
        <f>IFERROR(VLOOKUP(Q187,S6M7!$B$1:$C$161,2,0),0)</f>
        <v>0</v>
      </c>
      <c r="AH187" s="97">
        <f>IFERROR(VLOOKUP(S187,S6M8!$B$1:$C$161,2,0),0)</f>
        <v>0</v>
      </c>
      <c r="AI187" s="97">
        <f>IFERROR(VLOOKUP(U187,S6M9!$B$1:$C$161,2,0),0)</f>
        <v>0</v>
      </c>
      <c r="AJ187" s="97">
        <f>IFERROR(VLOOKUP(W187,S6M10!$B$1:$C$161,2,0),0)</f>
        <v>0</v>
      </c>
      <c r="AK187" s="97">
        <f>IFERROR(VLOOKUP(Y187,S6M11!$B$1:$C$161,2,0),0)</f>
        <v>0</v>
      </c>
    </row>
    <row r="188" ht="15.75" customHeight="1">
      <c r="A188" s="110">
        <v>187.0</v>
      </c>
      <c r="B188" s="103"/>
      <c r="C188" s="93">
        <f t="shared" si="2"/>
        <v>0</v>
      </c>
      <c r="D188" s="93"/>
      <c r="E188" s="94" t="str">
        <f>IFERROR(VLOOKUP($B188,S6M1!$A$1:$B$160,2,0),"0")</f>
        <v>0</v>
      </c>
      <c r="F188" s="95">
        <f>IFERROR(VLOOKUP(E188,S6M1!$B$1:$C$161,2,0),0)</f>
        <v>0</v>
      </c>
      <c r="G188" s="94" t="str">
        <f>IFERROR(VLOOKUP($B188,S6M2!$A$1:$B$160,2,0),"0")</f>
        <v>0</v>
      </c>
      <c r="H188" s="95">
        <f>IFERROR(VLOOKUP(G188,S6M2!$B$1:$C$161,2,0),0)</f>
        <v>0</v>
      </c>
      <c r="I188" s="94">
        <f>IFERROR(VLOOKUP($B188,S6M3!$A$1:$B$161,2,0),0)</f>
        <v>0</v>
      </c>
      <c r="J188" s="95">
        <f>IFERROR(VLOOKUP(I188,S6M3!$B$1:$C$161,2,0),0)</f>
        <v>0</v>
      </c>
      <c r="K188" s="94" t="str">
        <f>IFERROR(VLOOKUP($B188,S6M4!$A$1:$B$160,2,0),"0")</f>
        <v>0</v>
      </c>
      <c r="L188" s="95">
        <f>IFERROR(VLOOKUP(K188,S6M4!$B$1:$C$161,2,0),0)</f>
        <v>0</v>
      </c>
      <c r="M188" s="94" t="str">
        <f>IFERROR(VLOOKUP($B188,S6M5!$A$1:$B$160,2,0),"0")</f>
        <v>0</v>
      </c>
      <c r="N188" s="95">
        <f>IFERROR(VLOOKUP(M188,S6M5!$B$1:$C$161,2,0),0)</f>
        <v>0</v>
      </c>
      <c r="O188" s="94" t="str">
        <f>IFERROR(VLOOKUP($B188,S6M6!$A$1:$B$160,2,0),"0")</f>
        <v>0</v>
      </c>
      <c r="P188" s="95">
        <f>IFERROR(VLOOKUP(O188,S6M6!$B$1:$C$161,2,0),0)</f>
        <v>0</v>
      </c>
      <c r="Q188" s="94" t="str">
        <f>IFERROR(VLOOKUP($B188,S6M7!$A$1:$B$160,2,0),"0")</f>
        <v>0</v>
      </c>
      <c r="R188" s="95">
        <f>IFERROR(VLOOKUP(Q188,S6M7!$B$1:$C$161,2,0),0)</f>
        <v>0</v>
      </c>
      <c r="S188" s="94" t="str">
        <f>IFERROR(VLOOKUP($B188,S6M8!$A$1:$B$160,2,0),"0")</f>
        <v>0</v>
      </c>
      <c r="T188" s="95">
        <f>IFERROR(VLOOKUP(S188,S6M8!$B$1:$C$161,2,0),0)</f>
        <v>0</v>
      </c>
      <c r="U188" s="94" t="str">
        <f>IFERROR(VLOOKUP($B188,S6M9!$A$1:$B$160,2,0),"0")</f>
        <v>0</v>
      </c>
      <c r="V188" s="95">
        <f>IFERROR(VLOOKUP(U188,S6M9!$B$1:$C$161,2,0),0)</f>
        <v>0</v>
      </c>
      <c r="W188" s="94" t="str">
        <f>IFERROR(VLOOKUP($B188,S6M10!$A$1:$B$160,2,0),"0")</f>
        <v>0</v>
      </c>
      <c r="X188" s="95">
        <f>IFERROR(VLOOKUP(W188,S6M10!$B$1:$C$161,2,0),0)</f>
        <v>0</v>
      </c>
      <c r="Y188" s="94" t="str">
        <f>IFERROR(VLOOKUP($B188,S6M11!$A$1:$B$160,2,0),"0")</f>
        <v>0</v>
      </c>
      <c r="Z188" s="95">
        <f>IFERROR(VLOOKUP(Y188,S6M11!$B$1:$C$161,2,0),0)</f>
        <v>0</v>
      </c>
      <c r="AA188" s="97">
        <f>IFERROR(VLOOKUP(E188,S6M1!$B$1:$C$161,2,0),0)</f>
        <v>0</v>
      </c>
      <c r="AB188" s="97">
        <f>IFERROR(VLOOKUP(G188,S6M2!$B$1:$C$161,2,0),0)</f>
        <v>0</v>
      </c>
      <c r="AC188" s="97">
        <f>IFERROR(VLOOKUP(I188,S6M3!$B$1:$C$161,2,0),0)</f>
        <v>0</v>
      </c>
      <c r="AD188" s="97">
        <f>IFERROR(VLOOKUP(K188,S6M4!$B$1:$C$161,2,0),0)</f>
        <v>0</v>
      </c>
      <c r="AE188" s="97">
        <f>IFERROR(VLOOKUP(M188,S6M5!$B$1:$C$161,2,0),0)</f>
        <v>0</v>
      </c>
      <c r="AF188" s="97">
        <f>IFERROR(VLOOKUP(O188,S6M6!$B$1:$C$161,2,0),0)</f>
        <v>0</v>
      </c>
      <c r="AG188" s="97">
        <f>IFERROR(VLOOKUP(Q188,S6M7!$B$1:$C$161,2,0),0)</f>
        <v>0</v>
      </c>
      <c r="AH188" s="97">
        <f>IFERROR(VLOOKUP(S188,S6M8!$B$1:$C$161,2,0),0)</f>
        <v>0</v>
      </c>
      <c r="AI188" s="97">
        <f>IFERROR(VLOOKUP(U188,S6M9!$B$1:$C$161,2,0),0)</f>
        <v>0</v>
      </c>
      <c r="AJ188" s="97">
        <f>IFERROR(VLOOKUP(W188,S6M10!$B$1:$C$161,2,0),0)</f>
        <v>0</v>
      </c>
      <c r="AK188" s="97">
        <f>IFERROR(VLOOKUP(Y188,S6M11!$B$1:$C$161,2,0),0)</f>
        <v>0</v>
      </c>
    </row>
    <row r="189" ht="15.75" customHeight="1">
      <c r="A189" s="110">
        <v>188.0</v>
      </c>
      <c r="B189" s="103"/>
      <c r="C189" s="93">
        <f t="shared" si="2"/>
        <v>0</v>
      </c>
      <c r="D189" s="93"/>
      <c r="E189" s="94" t="str">
        <f>IFERROR(VLOOKUP($B189,S6M1!$A$1:$B$160,2,0),"0")</f>
        <v>0</v>
      </c>
      <c r="F189" s="95">
        <f>IFERROR(VLOOKUP(E189,S6M1!$B$1:$C$161,2,0),0)</f>
        <v>0</v>
      </c>
      <c r="G189" s="94" t="str">
        <f>IFERROR(VLOOKUP($B189,S6M2!$A$1:$B$160,2,0),"0")</f>
        <v>0</v>
      </c>
      <c r="H189" s="95">
        <f>IFERROR(VLOOKUP(G189,S6M2!$B$1:$C$161,2,0),0)</f>
        <v>0</v>
      </c>
      <c r="I189" s="94">
        <f>IFERROR(VLOOKUP($B189,S6M3!$A$1:$B$161,2,0),0)</f>
        <v>0</v>
      </c>
      <c r="J189" s="95">
        <f>IFERROR(VLOOKUP(I189,S6M3!$B$1:$C$161,2,0),0)</f>
        <v>0</v>
      </c>
      <c r="K189" s="94" t="str">
        <f>IFERROR(VLOOKUP($B189,S6M4!$A$1:$B$160,2,0),"0")</f>
        <v>0</v>
      </c>
      <c r="L189" s="95">
        <f>IFERROR(VLOOKUP(K189,S6M4!$B$1:$C$161,2,0),0)</f>
        <v>0</v>
      </c>
      <c r="M189" s="94" t="str">
        <f>IFERROR(VLOOKUP($B189,S6M5!$A$1:$B$160,2,0),"0")</f>
        <v>0</v>
      </c>
      <c r="N189" s="95">
        <f>IFERROR(VLOOKUP(M189,S6M5!$B$1:$C$161,2,0),0)</f>
        <v>0</v>
      </c>
      <c r="O189" s="94" t="str">
        <f>IFERROR(VLOOKUP($B189,S6M6!$A$1:$B$160,2,0),"0")</f>
        <v>0</v>
      </c>
      <c r="P189" s="95">
        <f>IFERROR(VLOOKUP(O189,S6M6!$B$1:$C$161,2,0),0)</f>
        <v>0</v>
      </c>
      <c r="Q189" s="94" t="str">
        <f>IFERROR(VLOOKUP($B189,S6M7!$A$1:$B$160,2,0),"0")</f>
        <v>0</v>
      </c>
      <c r="R189" s="95">
        <f>IFERROR(VLOOKUP(Q189,S6M7!$B$1:$C$161,2,0),0)</f>
        <v>0</v>
      </c>
      <c r="S189" s="94" t="str">
        <f>IFERROR(VLOOKUP($B189,S6M8!$A$1:$B$160,2,0),"0")</f>
        <v>0</v>
      </c>
      <c r="T189" s="95">
        <f>IFERROR(VLOOKUP(S189,S6M8!$B$1:$C$161,2,0),0)</f>
        <v>0</v>
      </c>
      <c r="U189" s="94" t="str">
        <f>IFERROR(VLOOKUP($B189,S6M9!$A$1:$B$160,2,0),"0")</f>
        <v>0</v>
      </c>
      <c r="V189" s="95">
        <f>IFERROR(VLOOKUP(U189,S6M9!$B$1:$C$161,2,0),0)</f>
        <v>0</v>
      </c>
      <c r="W189" s="94" t="str">
        <f>IFERROR(VLOOKUP($B189,S6M10!$A$1:$B$160,2,0),"0")</f>
        <v>0</v>
      </c>
      <c r="X189" s="95">
        <f>IFERROR(VLOOKUP(W189,S6M10!$B$1:$C$161,2,0),0)</f>
        <v>0</v>
      </c>
      <c r="Y189" s="94" t="str">
        <f>IFERROR(VLOOKUP($B189,S6M11!$A$1:$B$160,2,0),"0")</f>
        <v>0</v>
      </c>
      <c r="Z189" s="95">
        <f>IFERROR(VLOOKUP(Y189,S6M11!$B$1:$C$161,2,0),0)</f>
        <v>0</v>
      </c>
      <c r="AA189" s="97">
        <f>IFERROR(VLOOKUP(E189,S6M1!$B$1:$C$161,2,0),0)</f>
        <v>0</v>
      </c>
      <c r="AB189" s="97">
        <f>IFERROR(VLOOKUP(G189,S6M2!$B$1:$C$161,2,0),0)</f>
        <v>0</v>
      </c>
      <c r="AC189" s="97">
        <f>IFERROR(VLOOKUP(I189,S6M3!$B$1:$C$161,2,0),0)</f>
        <v>0</v>
      </c>
      <c r="AD189" s="97">
        <f>IFERROR(VLOOKUP(K189,S6M4!$B$1:$C$161,2,0),0)</f>
        <v>0</v>
      </c>
      <c r="AE189" s="97">
        <f>IFERROR(VLOOKUP(M189,S6M5!$B$1:$C$161,2,0),0)</f>
        <v>0</v>
      </c>
      <c r="AF189" s="97">
        <f>IFERROR(VLOOKUP(O189,S6M6!$B$1:$C$161,2,0),0)</f>
        <v>0</v>
      </c>
      <c r="AG189" s="97">
        <f>IFERROR(VLOOKUP(Q189,S6M7!$B$1:$C$161,2,0),0)</f>
        <v>0</v>
      </c>
      <c r="AH189" s="97">
        <f>IFERROR(VLOOKUP(S189,S6M8!$B$1:$C$161,2,0),0)</f>
        <v>0</v>
      </c>
      <c r="AI189" s="97">
        <f>IFERROR(VLOOKUP(U189,S6M9!$B$1:$C$161,2,0),0)</f>
        <v>0</v>
      </c>
      <c r="AJ189" s="97">
        <f>IFERROR(VLOOKUP(W189,S6M10!$B$1:$C$161,2,0),0)</f>
        <v>0</v>
      </c>
      <c r="AK189" s="97">
        <f>IFERROR(VLOOKUP(Y189,S6M11!$B$1:$C$161,2,0),0)</f>
        <v>0</v>
      </c>
    </row>
    <row r="190" ht="15.75" customHeight="1">
      <c r="A190" s="110">
        <v>189.0</v>
      </c>
      <c r="B190" s="103"/>
      <c r="C190" s="93">
        <f t="shared" si="2"/>
        <v>0</v>
      </c>
      <c r="D190" s="93"/>
      <c r="E190" s="94" t="str">
        <f>IFERROR(VLOOKUP($B190,S6M1!$A$1:$B$160,2,0),"0")</f>
        <v>0</v>
      </c>
      <c r="F190" s="95">
        <f>IFERROR(VLOOKUP(E190,S6M1!$B$1:$C$161,2,0),0)</f>
        <v>0</v>
      </c>
      <c r="G190" s="94" t="str">
        <f>IFERROR(VLOOKUP($B190,S6M2!$A$1:$B$160,2,0),"0")</f>
        <v>0</v>
      </c>
      <c r="H190" s="95">
        <f>IFERROR(VLOOKUP(G190,S6M2!$B$1:$C$161,2,0),0)</f>
        <v>0</v>
      </c>
      <c r="I190" s="94">
        <f>IFERROR(VLOOKUP($B190,S6M3!$A$1:$B$161,2,0),0)</f>
        <v>0</v>
      </c>
      <c r="J190" s="95">
        <f>IFERROR(VLOOKUP(I190,S6M3!$B$1:$C$161,2,0),0)</f>
        <v>0</v>
      </c>
      <c r="K190" s="94" t="str">
        <f>IFERROR(VLOOKUP($B190,S6M4!$A$1:$B$160,2,0),"0")</f>
        <v>0</v>
      </c>
      <c r="L190" s="95">
        <f>IFERROR(VLOOKUP(K190,S6M4!$B$1:$C$161,2,0),0)</f>
        <v>0</v>
      </c>
      <c r="M190" s="94" t="str">
        <f>IFERROR(VLOOKUP($B190,S6M5!$A$1:$B$160,2,0),"0")</f>
        <v>0</v>
      </c>
      <c r="N190" s="95">
        <f>IFERROR(VLOOKUP(M190,S6M5!$B$1:$C$161,2,0),0)</f>
        <v>0</v>
      </c>
      <c r="O190" s="94" t="str">
        <f>IFERROR(VLOOKUP($B190,S6M6!$A$1:$B$160,2,0),"0")</f>
        <v>0</v>
      </c>
      <c r="P190" s="95">
        <f>IFERROR(VLOOKUP(O190,S6M6!$B$1:$C$161,2,0),0)</f>
        <v>0</v>
      </c>
      <c r="Q190" s="94" t="str">
        <f>IFERROR(VLOOKUP($B190,S6M7!$A$1:$B$160,2,0),"0")</f>
        <v>0</v>
      </c>
      <c r="R190" s="95">
        <f>IFERROR(VLOOKUP(Q190,S6M7!$B$1:$C$161,2,0),0)</f>
        <v>0</v>
      </c>
      <c r="S190" s="94" t="str">
        <f>IFERROR(VLOOKUP($B190,S6M8!$A$1:$B$160,2,0),"0")</f>
        <v>0</v>
      </c>
      <c r="T190" s="95">
        <f>IFERROR(VLOOKUP(S190,S6M8!$B$1:$C$161,2,0),0)</f>
        <v>0</v>
      </c>
      <c r="U190" s="94" t="str">
        <f>IFERROR(VLOOKUP($B190,S6M9!$A$1:$B$160,2,0),"0")</f>
        <v>0</v>
      </c>
      <c r="V190" s="95">
        <f>IFERROR(VLOOKUP(U190,S6M9!$B$1:$C$161,2,0),0)</f>
        <v>0</v>
      </c>
      <c r="W190" s="94" t="str">
        <f>IFERROR(VLOOKUP($B190,S6M10!$A$1:$B$160,2,0),"0")</f>
        <v>0</v>
      </c>
      <c r="X190" s="95">
        <f>IFERROR(VLOOKUP(W190,S6M10!$B$1:$C$161,2,0),0)</f>
        <v>0</v>
      </c>
      <c r="Y190" s="94" t="str">
        <f>IFERROR(VLOOKUP($B190,S6M11!$A$1:$B$160,2,0),"0")</f>
        <v>0</v>
      </c>
      <c r="Z190" s="95">
        <f>IFERROR(VLOOKUP(Y190,S6M11!$B$1:$C$161,2,0),0)</f>
        <v>0</v>
      </c>
      <c r="AA190" s="97">
        <f>IFERROR(VLOOKUP(E190,S6M1!$B$1:$C$161,2,0),0)</f>
        <v>0</v>
      </c>
      <c r="AB190" s="97">
        <f>IFERROR(VLOOKUP(G190,S6M2!$B$1:$C$161,2,0),0)</f>
        <v>0</v>
      </c>
      <c r="AC190" s="97">
        <f>IFERROR(VLOOKUP(I190,S6M3!$B$1:$C$161,2,0),0)</f>
        <v>0</v>
      </c>
      <c r="AD190" s="97">
        <f>IFERROR(VLOOKUP(K190,S6M4!$B$1:$C$161,2,0),0)</f>
        <v>0</v>
      </c>
      <c r="AE190" s="97">
        <f>IFERROR(VLOOKUP(M190,S6M5!$B$1:$C$161,2,0),0)</f>
        <v>0</v>
      </c>
      <c r="AF190" s="97">
        <f>IFERROR(VLOOKUP(O190,S6M6!$B$1:$C$161,2,0),0)</f>
        <v>0</v>
      </c>
      <c r="AG190" s="97">
        <f>IFERROR(VLOOKUP(Q190,S6M7!$B$1:$C$161,2,0),0)</f>
        <v>0</v>
      </c>
      <c r="AH190" s="97">
        <f>IFERROR(VLOOKUP(S190,S6M8!$B$1:$C$161,2,0),0)</f>
        <v>0</v>
      </c>
      <c r="AI190" s="97">
        <f>IFERROR(VLOOKUP(U190,S6M9!$B$1:$C$161,2,0),0)</f>
        <v>0</v>
      </c>
      <c r="AJ190" s="97">
        <f>IFERROR(VLOOKUP(W190,S6M10!$B$1:$C$161,2,0),0)</f>
        <v>0</v>
      </c>
      <c r="AK190" s="97">
        <f>IFERROR(VLOOKUP(Y190,S6M11!$B$1:$C$161,2,0),0)</f>
        <v>0</v>
      </c>
    </row>
    <row r="191" ht="15.75" customHeight="1">
      <c r="A191" s="110">
        <v>190.0</v>
      </c>
      <c r="B191" s="103"/>
      <c r="C191" s="93">
        <f t="shared" si="2"/>
        <v>0</v>
      </c>
      <c r="D191" s="93"/>
      <c r="E191" s="94" t="str">
        <f>IFERROR(VLOOKUP($B191,S6M1!$A$1:$B$160,2,0),"0")</f>
        <v>0</v>
      </c>
      <c r="F191" s="95">
        <f>IFERROR(VLOOKUP(E191,S6M1!$B$1:$C$161,2,0),0)</f>
        <v>0</v>
      </c>
      <c r="G191" s="94" t="str">
        <f>IFERROR(VLOOKUP($B191,S6M2!$A$1:$B$160,2,0),"0")</f>
        <v>0</v>
      </c>
      <c r="H191" s="95">
        <f>IFERROR(VLOOKUP(G191,S6M2!$B$1:$C$161,2,0),0)</f>
        <v>0</v>
      </c>
      <c r="I191" s="94">
        <f>IFERROR(VLOOKUP($B191,S6M3!$A$1:$B$161,2,0),0)</f>
        <v>0</v>
      </c>
      <c r="J191" s="95">
        <f>IFERROR(VLOOKUP(I191,S6M3!$B$1:$C$161,2,0),0)</f>
        <v>0</v>
      </c>
      <c r="K191" s="94" t="str">
        <f>IFERROR(VLOOKUP($B191,S6M4!$A$1:$B$160,2,0),"0")</f>
        <v>0</v>
      </c>
      <c r="L191" s="95">
        <f>IFERROR(VLOOKUP(K191,S6M4!$B$1:$C$161,2,0),0)</f>
        <v>0</v>
      </c>
      <c r="M191" s="94" t="str">
        <f>IFERROR(VLOOKUP($B191,S6M5!$A$1:$B$160,2,0),"0")</f>
        <v>0</v>
      </c>
      <c r="N191" s="95">
        <f>IFERROR(VLOOKUP(M191,S6M5!$B$1:$C$161,2,0),0)</f>
        <v>0</v>
      </c>
      <c r="O191" s="94" t="str">
        <f>IFERROR(VLOOKUP($B191,S6M6!$A$1:$B$160,2,0),"0")</f>
        <v>0</v>
      </c>
      <c r="P191" s="95">
        <f>IFERROR(VLOOKUP(O191,S6M6!$B$1:$C$161,2,0),0)</f>
        <v>0</v>
      </c>
      <c r="Q191" s="94" t="str">
        <f>IFERROR(VLOOKUP($B191,S6M7!$A$1:$B$160,2,0),"0")</f>
        <v>0</v>
      </c>
      <c r="R191" s="95">
        <f>IFERROR(VLOOKUP(Q191,S6M7!$B$1:$C$161,2,0),0)</f>
        <v>0</v>
      </c>
      <c r="S191" s="94" t="str">
        <f>IFERROR(VLOOKUP($B191,S6M8!$A$1:$B$160,2,0),"0")</f>
        <v>0</v>
      </c>
      <c r="T191" s="95">
        <f>IFERROR(VLOOKUP(S191,S6M8!$B$1:$C$161,2,0),0)</f>
        <v>0</v>
      </c>
      <c r="U191" s="94" t="str">
        <f>IFERROR(VLOOKUP($B191,S6M9!$A$1:$B$160,2,0),"0")</f>
        <v>0</v>
      </c>
      <c r="V191" s="95">
        <f>IFERROR(VLOOKUP(U191,S6M9!$B$1:$C$161,2,0),0)</f>
        <v>0</v>
      </c>
      <c r="W191" s="94" t="str">
        <f>IFERROR(VLOOKUP($B191,S6M10!$A$1:$B$160,2,0),"0")</f>
        <v>0</v>
      </c>
      <c r="X191" s="95">
        <f>IFERROR(VLOOKUP(W191,S6M10!$B$1:$C$161,2,0),0)</f>
        <v>0</v>
      </c>
      <c r="Y191" s="94" t="str">
        <f>IFERROR(VLOOKUP($B191,S6M11!$A$1:$B$160,2,0),"0")</f>
        <v>0</v>
      </c>
      <c r="Z191" s="95">
        <f>IFERROR(VLOOKUP(Y191,S6M11!$B$1:$C$161,2,0),0)</f>
        <v>0</v>
      </c>
      <c r="AA191" s="97">
        <f>IFERROR(VLOOKUP(E191,S6M1!$B$1:$C$161,2,0),0)</f>
        <v>0</v>
      </c>
      <c r="AB191" s="97">
        <f>IFERROR(VLOOKUP(G191,S6M2!$B$1:$C$161,2,0),0)</f>
        <v>0</v>
      </c>
      <c r="AC191" s="97">
        <f>IFERROR(VLOOKUP(I191,S6M3!$B$1:$C$161,2,0),0)</f>
        <v>0</v>
      </c>
      <c r="AD191" s="97">
        <f>IFERROR(VLOOKUP(K191,S6M4!$B$1:$C$161,2,0),0)</f>
        <v>0</v>
      </c>
      <c r="AE191" s="97">
        <f>IFERROR(VLOOKUP(M191,S6M5!$B$1:$C$161,2,0),0)</f>
        <v>0</v>
      </c>
      <c r="AF191" s="97">
        <f>IFERROR(VLOOKUP(O191,S6M6!$B$1:$C$161,2,0),0)</f>
        <v>0</v>
      </c>
      <c r="AG191" s="97">
        <f>IFERROR(VLOOKUP(Q191,S6M7!$B$1:$C$161,2,0),0)</f>
        <v>0</v>
      </c>
      <c r="AH191" s="97">
        <f>IFERROR(VLOOKUP(S191,S6M8!$B$1:$C$161,2,0),0)</f>
        <v>0</v>
      </c>
      <c r="AI191" s="97">
        <f>IFERROR(VLOOKUP(U191,S6M9!$B$1:$C$161,2,0),0)</f>
        <v>0</v>
      </c>
      <c r="AJ191" s="97">
        <f>IFERROR(VLOOKUP(W191,S6M10!$B$1:$C$161,2,0),0)</f>
        <v>0</v>
      </c>
      <c r="AK191" s="97">
        <f>IFERROR(VLOOKUP(Y191,S6M11!$B$1:$C$161,2,0),0)</f>
        <v>0</v>
      </c>
    </row>
    <row r="192" ht="15.75" customHeight="1">
      <c r="A192" s="110">
        <v>191.0</v>
      </c>
      <c r="B192" s="103"/>
      <c r="C192" s="93">
        <f t="shared" si="2"/>
        <v>0</v>
      </c>
      <c r="D192" s="93"/>
      <c r="E192" s="94" t="str">
        <f>IFERROR(VLOOKUP($B192,S6M1!$A$1:$B$160,2,0),"0")</f>
        <v>0</v>
      </c>
      <c r="F192" s="95">
        <f>IFERROR(VLOOKUP(E192,S6M1!$B$1:$C$161,2,0),0)</f>
        <v>0</v>
      </c>
      <c r="G192" s="94" t="str">
        <f>IFERROR(VLOOKUP($B192,S6M2!$A$1:$B$160,2,0),"0")</f>
        <v>0</v>
      </c>
      <c r="H192" s="95">
        <f>IFERROR(VLOOKUP(G192,S6M2!$B$1:$C$161,2,0),0)</f>
        <v>0</v>
      </c>
      <c r="I192" s="94">
        <f>IFERROR(VLOOKUP($B192,S6M3!$A$1:$B$161,2,0),0)</f>
        <v>0</v>
      </c>
      <c r="J192" s="95">
        <f>IFERROR(VLOOKUP(I192,S6M3!$B$1:$C$161,2,0),0)</f>
        <v>0</v>
      </c>
      <c r="K192" s="94" t="str">
        <f>IFERROR(VLOOKUP($B192,S6M4!$A$1:$B$160,2,0),"0")</f>
        <v>0</v>
      </c>
      <c r="L192" s="95">
        <f>IFERROR(VLOOKUP(K192,S6M4!$B$1:$C$161,2,0),0)</f>
        <v>0</v>
      </c>
      <c r="M192" s="94" t="str">
        <f>IFERROR(VLOOKUP($B192,S6M5!$A$1:$B$160,2,0),"0")</f>
        <v>0</v>
      </c>
      <c r="N192" s="95">
        <f>IFERROR(VLOOKUP(M192,S6M5!$B$1:$C$161,2,0),0)</f>
        <v>0</v>
      </c>
      <c r="O192" s="94" t="str">
        <f>IFERROR(VLOOKUP($B192,S6M6!$A$1:$B$160,2,0),"0")</f>
        <v>0</v>
      </c>
      <c r="P192" s="95">
        <f>IFERROR(VLOOKUP(O192,S6M6!$B$1:$C$161,2,0),0)</f>
        <v>0</v>
      </c>
      <c r="Q192" s="94" t="str">
        <f>IFERROR(VLOOKUP($B192,S6M7!$A$1:$B$160,2,0),"0")</f>
        <v>0</v>
      </c>
      <c r="R192" s="95">
        <f>IFERROR(VLOOKUP(Q192,S6M7!$B$1:$C$161,2,0),0)</f>
        <v>0</v>
      </c>
      <c r="S192" s="94" t="str">
        <f>IFERROR(VLOOKUP($B192,S6M8!$A$1:$B$160,2,0),"0")</f>
        <v>0</v>
      </c>
      <c r="T192" s="95">
        <f>IFERROR(VLOOKUP(S192,S6M8!$B$1:$C$161,2,0),0)</f>
        <v>0</v>
      </c>
      <c r="U192" s="94" t="str">
        <f>IFERROR(VLOOKUP($B192,S6M9!$A$1:$B$160,2,0),"0")</f>
        <v>0</v>
      </c>
      <c r="V192" s="95">
        <f>IFERROR(VLOOKUP(U192,S6M9!$B$1:$C$161,2,0),0)</f>
        <v>0</v>
      </c>
      <c r="W192" s="94" t="str">
        <f>IFERROR(VLOOKUP($B192,S6M10!$A$1:$B$160,2,0),"0")</f>
        <v>0</v>
      </c>
      <c r="X192" s="95">
        <f>IFERROR(VLOOKUP(W192,S6M10!$B$1:$C$161,2,0),0)</f>
        <v>0</v>
      </c>
      <c r="Y192" s="94" t="str">
        <f>IFERROR(VLOOKUP($B192,S6M11!$A$1:$B$160,2,0),"0")</f>
        <v>0</v>
      </c>
      <c r="Z192" s="95">
        <f>IFERROR(VLOOKUP(Y192,S6M11!$B$1:$C$161,2,0),0)</f>
        <v>0</v>
      </c>
      <c r="AA192" s="97">
        <f>IFERROR(VLOOKUP(E192,S6M1!$B$1:$C$161,2,0),0)</f>
        <v>0</v>
      </c>
      <c r="AB192" s="97">
        <f>IFERROR(VLOOKUP(G192,S6M2!$B$1:$C$161,2,0),0)</f>
        <v>0</v>
      </c>
      <c r="AC192" s="97">
        <f>IFERROR(VLOOKUP(I192,S6M3!$B$1:$C$161,2,0),0)</f>
        <v>0</v>
      </c>
      <c r="AD192" s="97">
        <f>IFERROR(VLOOKUP(K192,S6M4!$B$1:$C$161,2,0),0)</f>
        <v>0</v>
      </c>
      <c r="AE192" s="97">
        <f>IFERROR(VLOOKUP(M192,S6M5!$B$1:$C$161,2,0),0)</f>
        <v>0</v>
      </c>
      <c r="AF192" s="97">
        <f>IFERROR(VLOOKUP(O192,S6M6!$B$1:$C$161,2,0),0)</f>
        <v>0</v>
      </c>
      <c r="AG192" s="97">
        <f>IFERROR(VLOOKUP(Q192,S6M7!$B$1:$C$161,2,0),0)</f>
        <v>0</v>
      </c>
      <c r="AH192" s="97">
        <f>IFERROR(VLOOKUP(S192,S6M8!$B$1:$C$161,2,0),0)</f>
        <v>0</v>
      </c>
      <c r="AI192" s="97">
        <f>IFERROR(VLOOKUP(U192,S6M9!$B$1:$C$161,2,0),0)</f>
        <v>0</v>
      </c>
      <c r="AJ192" s="97">
        <f>IFERROR(VLOOKUP(W192,S6M10!$B$1:$C$161,2,0),0)</f>
        <v>0</v>
      </c>
      <c r="AK192" s="97">
        <f>IFERROR(VLOOKUP(Y192,S6M11!$B$1:$C$161,2,0),0)</f>
        <v>0</v>
      </c>
    </row>
    <row r="193" ht="15.75" customHeight="1">
      <c r="A193" s="110">
        <v>192.0</v>
      </c>
      <c r="B193" s="103"/>
      <c r="C193" s="93">
        <f t="shared" si="2"/>
        <v>0</v>
      </c>
      <c r="D193" s="93"/>
      <c r="E193" s="94" t="str">
        <f>IFERROR(VLOOKUP($B193,S6M1!$A$1:$B$160,2,0),"0")</f>
        <v>0</v>
      </c>
      <c r="F193" s="95">
        <f>IFERROR(VLOOKUP(E193,S6M1!$B$1:$C$161,2,0),0)</f>
        <v>0</v>
      </c>
      <c r="G193" s="94" t="str">
        <f>IFERROR(VLOOKUP($B193,S6M2!$A$1:$B$160,2,0),"0")</f>
        <v>0</v>
      </c>
      <c r="H193" s="95">
        <f>IFERROR(VLOOKUP(G193,S6M2!$B$1:$C$161,2,0),0)</f>
        <v>0</v>
      </c>
      <c r="I193" s="94">
        <f>IFERROR(VLOOKUP($B193,S6M3!$A$1:$B$161,2,0),0)</f>
        <v>0</v>
      </c>
      <c r="J193" s="95">
        <f>IFERROR(VLOOKUP(I193,S6M3!$B$1:$C$161,2,0),0)</f>
        <v>0</v>
      </c>
      <c r="K193" s="94" t="str">
        <f>IFERROR(VLOOKUP($B193,S6M4!$A$1:$B$160,2,0),"0")</f>
        <v>0</v>
      </c>
      <c r="L193" s="95">
        <f>IFERROR(VLOOKUP(K193,S6M4!$B$1:$C$161,2,0),0)</f>
        <v>0</v>
      </c>
      <c r="M193" s="94" t="str">
        <f>IFERROR(VLOOKUP($B193,S6M5!$A$1:$B$160,2,0),"0")</f>
        <v>0</v>
      </c>
      <c r="N193" s="95">
        <f>IFERROR(VLOOKUP(M193,S6M5!$B$1:$C$161,2,0),0)</f>
        <v>0</v>
      </c>
      <c r="O193" s="94" t="str">
        <f>IFERROR(VLOOKUP($B193,S6M6!$A$1:$B$160,2,0),"0")</f>
        <v>0</v>
      </c>
      <c r="P193" s="95">
        <f>IFERROR(VLOOKUP(O193,S6M6!$B$1:$C$161,2,0),0)</f>
        <v>0</v>
      </c>
      <c r="Q193" s="94" t="str">
        <f>IFERROR(VLOOKUP($B193,S6M7!$A$1:$B$160,2,0),"0")</f>
        <v>0</v>
      </c>
      <c r="R193" s="95">
        <f>IFERROR(VLOOKUP(Q193,S6M7!$B$1:$C$161,2,0),0)</f>
        <v>0</v>
      </c>
      <c r="S193" s="94" t="str">
        <f>IFERROR(VLOOKUP($B193,S6M8!$A$1:$B$160,2,0),"0")</f>
        <v>0</v>
      </c>
      <c r="T193" s="95">
        <f>IFERROR(VLOOKUP(S193,S6M8!$B$1:$C$161,2,0),0)</f>
        <v>0</v>
      </c>
      <c r="U193" s="94" t="str">
        <f>IFERROR(VLOOKUP($B193,S6M9!$A$1:$B$160,2,0),"0")</f>
        <v>0</v>
      </c>
      <c r="V193" s="95">
        <f>IFERROR(VLOOKUP(U193,S6M9!$B$1:$C$161,2,0),0)</f>
        <v>0</v>
      </c>
      <c r="W193" s="94" t="str">
        <f>IFERROR(VLOOKUP($B193,S6M10!$A$1:$B$160,2,0),"0")</f>
        <v>0</v>
      </c>
      <c r="X193" s="95">
        <f>IFERROR(VLOOKUP(W193,S6M10!$B$1:$C$161,2,0),0)</f>
        <v>0</v>
      </c>
      <c r="Y193" s="94" t="str">
        <f>IFERROR(VLOOKUP($B193,S6M11!$A$1:$B$160,2,0),"0")</f>
        <v>0</v>
      </c>
      <c r="Z193" s="95">
        <f>IFERROR(VLOOKUP(Y193,S6M11!$B$1:$C$161,2,0),0)</f>
        <v>0</v>
      </c>
      <c r="AA193" s="97">
        <f>IFERROR(VLOOKUP(E193,S6M1!$B$1:$C$161,2,0),0)</f>
        <v>0</v>
      </c>
      <c r="AB193" s="97">
        <f>IFERROR(VLOOKUP(G193,S6M2!$B$1:$C$161,2,0),0)</f>
        <v>0</v>
      </c>
      <c r="AC193" s="97">
        <f>IFERROR(VLOOKUP(I193,S6M3!$B$1:$C$161,2,0),0)</f>
        <v>0</v>
      </c>
      <c r="AD193" s="97">
        <f>IFERROR(VLOOKUP(K193,S6M4!$B$1:$C$161,2,0),0)</f>
        <v>0</v>
      </c>
      <c r="AE193" s="97">
        <f>IFERROR(VLOOKUP(M193,S6M5!$B$1:$C$161,2,0),0)</f>
        <v>0</v>
      </c>
      <c r="AF193" s="97">
        <f>IFERROR(VLOOKUP(O193,S6M6!$B$1:$C$161,2,0),0)</f>
        <v>0</v>
      </c>
      <c r="AG193" s="97">
        <f>IFERROR(VLOOKUP(Q193,S6M7!$B$1:$C$161,2,0),0)</f>
        <v>0</v>
      </c>
      <c r="AH193" s="97">
        <f>IFERROR(VLOOKUP(S193,S6M8!$B$1:$C$161,2,0),0)</f>
        <v>0</v>
      </c>
      <c r="AI193" s="97">
        <f>IFERROR(VLOOKUP(U193,S6M9!$B$1:$C$161,2,0),0)</f>
        <v>0</v>
      </c>
      <c r="AJ193" s="97">
        <f>IFERROR(VLOOKUP(W193,S6M10!$B$1:$C$161,2,0),0)</f>
        <v>0</v>
      </c>
      <c r="AK193" s="97">
        <f>IFERROR(VLOOKUP(Y193,S6M11!$B$1:$C$161,2,0),0)</f>
        <v>0</v>
      </c>
    </row>
    <row r="194" ht="15.75" customHeight="1">
      <c r="A194" s="110">
        <v>193.0</v>
      </c>
      <c r="B194" s="103"/>
      <c r="C194" s="93">
        <f t="shared" si="2"/>
        <v>0</v>
      </c>
      <c r="D194" s="93"/>
      <c r="E194" s="94" t="str">
        <f>IFERROR(VLOOKUP($B194,S6M1!$A$1:$B$160,2,0),"0")</f>
        <v>0</v>
      </c>
      <c r="F194" s="95">
        <f>IFERROR(VLOOKUP(E194,S6M1!$B$1:$C$161,2,0),0)</f>
        <v>0</v>
      </c>
      <c r="G194" s="94" t="str">
        <f>IFERROR(VLOOKUP($B194,S6M2!$A$1:$B$160,2,0),"0")</f>
        <v>0</v>
      </c>
      <c r="H194" s="95">
        <f>IFERROR(VLOOKUP(G194,S6M2!$B$1:$C$161,2,0),0)</f>
        <v>0</v>
      </c>
      <c r="I194" s="94">
        <f>IFERROR(VLOOKUP($B194,S6M3!$A$1:$B$161,2,0),0)</f>
        <v>0</v>
      </c>
      <c r="J194" s="95">
        <f>IFERROR(VLOOKUP(I194,S6M3!$B$1:$C$161,2,0),0)</f>
        <v>0</v>
      </c>
      <c r="K194" s="94" t="str">
        <f>IFERROR(VLOOKUP($B194,S6M4!$A$1:$B$160,2,0),"0")</f>
        <v>0</v>
      </c>
      <c r="L194" s="95">
        <f>IFERROR(VLOOKUP(K194,S6M4!$B$1:$C$161,2,0),0)</f>
        <v>0</v>
      </c>
      <c r="M194" s="94" t="str">
        <f>IFERROR(VLOOKUP($B194,S6M5!$A$1:$B$160,2,0),"0")</f>
        <v>0</v>
      </c>
      <c r="N194" s="95">
        <f>IFERROR(VLOOKUP(M194,S6M5!$B$1:$C$161,2,0),0)</f>
        <v>0</v>
      </c>
      <c r="O194" s="94" t="str">
        <f>IFERROR(VLOOKUP($B194,S6M6!$A$1:$B$160,2,0),"0")</f>
        <v>0</v>
      </c>
      <c r="P194" s="95">
        <f>IFERROR(VLOOKUP(O194,S6M6!$B$1:$C$161,2,0),0)</f>
        <v>0</v>
      </c>
      <c r="Q194" s="94" t="str">
        <f>IFERROR(VLOOKUP($B194,S6M7!$A$1:$B$160,2,0),"0")</f>
        <v>0</v>
      </c>
      <c r="R194" s="95">
        <f>IFERROR(VLOOKUP(Q194,S6M7!$B$1:$C$161,2,0),0)</f>
        <v>0</v>
      </c>
      <c r="S194" s="94" t="str">
        <f>IFERROR(VLOOKUP($B194,S6M8!$A$1:$B$160,2,0),"0")</f>
        <v>0</v>
      </c>
      <c r="T194" s="95">
        <f>IFERROR(VLOOKUP(S194,S6M8!$B$1:$C$161,2,0),0)</f>
        <v>0</v>
      </c>
      <c r="U194" s="94" t="str">
        <f>IFERROR(VLOOKUP($B194,S6M9!$A$1:$B$160,2,0),"0")</f>
        <v>0</v>
      </c>
      <c r="V194" s="95">
        <f>IFERROR(VLOOKUP(U194,S6M9!$B$1:$C$161,2,0),0)</f>
        <v>0</v>
      </c>
      <c r="W194" s="94" t="str">
        <f>IFERROR(VLOOKUP($B194,S6M10!$A$1:$B$160,2,0),"0")</f>
        <v>0</v>
      </c>
      <c r="X194" s="95">
        <f>IFERROR(VLOOKUP(W194,S6M10!$B$1:$C$161,2,0),0)</f>
        <v>0</v>
      </c>
      <c r="Y194" s="94" t="str">
        <f>IFERROR(VLOOKUP($B194,S6M11!$A$1:$B$160,2,0),"0")</f>
        <v>0</v>
      </c>
      <c r="Z194" s="95">
        <f>IFERROR(VLOOKUP(Y194,S6M11!$B$1:$C$161,2,0),0)</f>
        <v>0</v>
      </c>
      <c r="AA194" s="97">
        <f>IFERROR(VLOOKUP(E194,S6M1!$B$1:$C$161,2,0),0)</f>
        <v>0</v>
      </c>
      <c r="AB194" s="97">
        <f>IFERROR(VLOOKUP(G194,S6M2!$B$1:$C$161,2,0),0)</f>
        <v>0</v>
      </c>
      <c r="AC194" s="97">
        <f>IFERROR(VLOOKUP(I194,S6M3!$B$1:$C$161,2,0),0)</f>
        <v>0</v>
      </c>
      <c r="AD194" s="97">
        <f>IFERROR(VLOOKUP(K194,S6M4!$B$1:$C$161,2,0),0)</f>
        <v>0</v>
      </c>
      <c r="AE194" s="97">
        <f>IFERROR(VLOOKUP(M194,S6M5!$B$1:$C$161,2,0),0)</f>
        <v>0</v>
      </c>
      <c r="AF194" s="97">
        <f>IFERROR(VLOOKUP(O194,S6M6!$B$1:$C$161,2,0),0)</f>
        <v>0</v>
      </c>
      <c r="AG194" s="97">
        <f>IFERROR(VLOOKUP(Q194,S6M7!$B$1:$C$161,2,0),0)</f>
        <v>0</v>
      </c>
      <c r="AH194" s="97">
        <f>IFERROR(VLOOKUP(S194,S6M8!$B$1:$C$161,2,0),0)</f>
        <v>0</v>
      </c>
      <c r="AI194" s="97">
        <f>IFERROR(VLOOKUP(U194,S6M9!$B$1:$C$161,2,0),0)</f>
        <v>0</v>
      </c>
      <c r="AJ194" s="97">
        <f>IFERROR(VLOOKUP(W194,S6M10!$B$1:$C$161,2,0),0)</f>
        <v>0</v>
      </c>
      <c r="AK194" s="97">
        <f>IFERROR(VLOOKUP(Y194,S6M11!$B$1:$C$161,2,0),0)</f>
        <v>0</v>
      </c>
    </row>
    <row r="195" ht="15.75" customHeight="1">
      <c r="A195" s="110">
        <v>194.0</v>
      </c>
      <c r="B195" s="103"/>
      <c r="C195" s="93">
        <f t="shared" si="2"/>
        <v>0</v>
      </c>
      <c r="D195" s="93"/>
      <c r="E195" s="94" t="str">
        <f>IFERROR(VLOOKUP($B195,S6M1!$A$1:$B$160,2,0),"0")</f>
        <v>0</v>
      </c>
      <c r="F195" s="95">
        <f>IFERROR(VLOOKUP(E195,S6M1!$B$1:$C$161,2,0),0)</f>
        <v>0</v>
      </c>
      <c r="G195" s="94" t="str">
        <f>IFERROR(VLOOKUP($B195,S6M2!$A$1:$B$160,2,0),"0")</f>
        <v>0</v>
      </c>
      <c r="H195" s="95">
        <f>IFERROR(VLOOKUP(G195,S6M2!$B$1:$C$161,2,0),0)</f>
        <v>0</v>
      </c>
      <c r="I195" s="94">
        <f>IFERROR(VLOOKUP($B195,S6M3!$A$1:$B$161,2,0),0)</f>
        <v>0</v>
      </c>
      <c r="J195" s="95">
        <f>IFERROR(VLOOKUP(I195,S6M3!$B$1:$C$161,2,0),0)</f>
        <v>0</v>
      </c>
      <c r="K195" s="94" t="str">
        <f>IFERROR(VLOOKUP($B195,S6M4!$A$1:$B$160,2,0),"0")</f>
        <v>0</v>
      </c>
      <c r="L195" s="95">
        <f>IFERROR(VLOOKUP(K195,S6M4!$B$1:$C$161,2,0),0)</f>
        <v>0</v>
      </c>
      <c r="M195" s="94" t="str">
        <f>IFERROR(VLOOKUP($B195,S6M5!$A$1:$B$160,2,0),"0")</f>
        <v>0</v>
      </c>
      <c r="N195" s="95">
        <f>IFERROR(VLOOKUP(M195,S6M5!$B$1:$C$161,2,0),0)</f>
        <v>0</v>
      </c>
      <c r="O195" s="94" t="str">
        <f>IFERROR(VLOOKUP($B195,S6M6!$A$1:$B$160,2,0),"0")</f>
        <v>0</v>
      </c>
      <c r="P195" s="95">
        <f>IFERROR(VLOOKUP(O195,S6M6!$B$1:$C$161,2,0),0)</f>
        <v>0</v>
      </c>
      <c r="Q195" s="94" t="str">
        <f>IFERROR(VLOOKUP($B195,S6M7!$A$1:$B$160,2,0),"0")</f>
        <v>0</v>
      </c>
      <c r="R195" s="95">
        <f>IFERROR(VLOOKUP(Q195,S6M7!$B$1:$C$161,2,0),0)</f>
        <v>0</v>
      </c>
      <c r="S195" s="94" t="str">
        <f>IFERROR(VLOOKUP($B195,S6M8!$A$1:$B$160,2,0),"0")</f>
        <v>0</v>
      </c>
      <c r="T195" s="95">
        <f>IFERROR(VLOOKUP(S195,S6M8!$B$1:$C$161,2,0),0)</f>
        <v>0</v>
      </c>
      <c r="U195" s="94" t="str">
        <f>IFERROR(VLOOKUP($B195,S6M9!$A$1:$B$160,2,0),"0")</f>
        <v>0</v>
      </c>
      <c r="V195" s="95">
        <f>IFERROR(VLOOKUP(U195,S6M9!$B$1:$C$161,2,0),0)</f>
        <v>0</v>
      </c>
      <c r="W195" s="94" t="str">
        <f>IFERROR(VLOOKUP($B195,S6M10!$A$1:$B$160,2,0),"0")</f>
        <v>0</v>
      </c>
      <c r="X195" s="95">
        <f>IFERROR(VLOOKUP(W195,S6M10!$B$1:$C$161,2,0),0)</f>
        <v>0</v>
      </c>
      <c r="Y195" s="94" t="str">
        <f>IFERROR(VLOOKUP($B195,S6M11!$A$1:$B$160,2,0),"0")</f>
        <v>0</v>
      </c>
      <c r="Z195" s="95">
        <f>IFERROR(VLOOKUP(Y195,S6M11!$B$1:$C$161,2,0),0)</f>
        <v>0</v>
      </c>
      <c r="AA195" s="97">
        <f>IFERROR(VLOOKUP(E195,S6M1!$B$1:$C$161,2,0),0)</f>
        <v>0</v>
      </c>
      <c r="AB195" s="97">
        <f>IFERROR(VLOOKUP(G195,S6M2!$B$1:$C$161,2,0),0)</f>
        <v>0</v>
      </c>
      <c r="AC195" s="97">
        <f>IFERROR(VLOOKUP(I195,S6M3!$B$1:$C$161,2,0),0)</f>
        <v>0</v>
      </c>
      <c r="AD195" s="97">
        <f>IFERROR(VLOOKUP(K195,S6M4!$B$1:$C$161,2,0),0)</f>
        <v>0</v>
      </c>
      <c r="AE195" s="97">
        <f>IFERROR(VLOOKUP(M195,S6M5!$B$1:$C$161,2,0),0)</f>
        <v>0</v>
      </c>
      <c r="AF195" s="97">
        <f>IFERROR(VLOOKUP(O195,S6M6!$B$1:$C$161,2,0),0)</f>
        <v>0</v>
      </c>
      <c r="AG195" s="97">
        <f>IFERROR(VLOOKUP(Q195,S6M7!$B$1:$C$161,2,0),0)</f>
        <v>0</v>
      </c>
      <c r="AH195" s="97">
        <f>IFERROR(VLOOKUP(S195,S6M8!$B$1:$C$161,2,0),0)</f>
        <v>0</v>
      </c>
      <c r="AI195" s="97">
        <f>IFERROR(VLOOKUP(U195,S6M9!$B$1:$C$161,2,0),0)</f>
        <v>0</v>
      </c>
      <c r="AJ195" s="97">
        <f>IFERROR(VLOOKUP(W195,S6M10!$B$1:$C$161,2,0),0)</f>
        <v>0</v>
      </c>
      <c r="AK195" s="97">
        <f>IFERROR(VLOOKUP(Y195,S6M11!$B$1:$C$161,2,0),0)</f>
        <v>0</v>
      </c>
    </row>
    <row r="196" ht="15.75" customHeight="1">
      <c r="A196" s="110">
        <v>195.0</v>
      </c>
      <c r="B196" s="103"/>
      <c r="C196" s="93">
        <f t="shared" si="2"/>
        <v>0</v>
      </c>
      <c r="D196" s="93"/>
      <c r="E196" s="94" t="str">
        <f>IFERROR(VLOOKUP($B196,S6M1!$A$1:$B$160,2,0),"0")</f>
        <v>0</v>
      </c>
      <c r="F196" s="95">
        <f>IFERROR(VLOOKUP(E196,S6M1!$B$1:$C$161,2,0),0)</f>
        <v>0</v>
      </c>
      <c r="G196" s="94" t="str">
        <f>IFERROR(VLOOKUP($B196,S6M2!$A$1:$B$160,2,0),"0")</f>
        <v>0</v>
      </c>
      <c r="H196" s="95">
        <f>IFERROR(VLOOKUP(G196,S6M2!$B$1:$C$161,2,0),0)</f>
        <v>0</v>
      </c>
      <c r="I196" s="94">
        <f>IFERROR(VLOOKUP($B196,S6M3!$A$1:$B$161,2,0),0)</f>
        <v>0</v>
      </c>
      <c r="J196" s="95">
        <f>IFERROR(VLOOKUP(I196,S6M3!$B$1:$C$161,2,0),0)</f>
        <v>0</v>
      </c>
      <c r="K196" s="94" t="str">
        <f>IFERROR(VLOOKUP($B196,S6M4!$A$1:$B$160,2,0),"0")</f>
        <v>0</v>
      </c>
      <c r="L196" s="95">
        <f>IFERROR(VLOOKUP(K196,S6M4!$B$1:$C$161,2,0),0)</f>
        <v>0</v>
      </c>
      <c r="M196" s="94" t="str">
        <f>IFERROR(VLOOKUP($B196,S6M5!$A$1:$B$160,2,0),"0")</f>
        <v>0</v>
      </c>
      <c r="N196" s="95">
        <f>IFERROR(VLOOKUP(M196,S6M5!$B$1:$C$161,2,0),0)</f>
        <v>0</v>
      </c>
      <c r="O196" s="94" t="str">
        <f>IFERROR(VLOOKUP($B196,S6M6!$A$1:$B$160,2,0),"0")</f>
        <v>0</v>
      </c>
      <c r="P196" s="95">
        <f>IFERROR(VLOOKUP(O196,S6M6!$B$1:$C$161,2,0),0)</f>
        <v>0</v>
      </c>
      <c r="Q196" s="94" t="str">
        <f>IFERROR(VLOOKUP($B196,S6M7!$A$1:$B$160,2,0),"0")</f>
        <v>0</v>
      </c>
      <c r="R196" s="95">
        <f>IFERROR(VLOOKUP(Q196,S6M7!$B$1:$C$161,2,0),0)</f>
        <v>0</v>
      </c>
      <c r="S196" s="94" t="str">
        <f>IFERROR(VLOOKUP($B196,S6M8!$A$1:$B$160,2,0),"0")</f>
        <v>0</v>
      </c>
      <c r="T196" s="95">
        <f>IFERROR(VLOOKUP(S196,S6M8!$B$1:$C$161,2,0),0)</f>
        <v>0</v>
      </c>
      <c r="U196" s="94" t="str">
        <f>IFERROR(VLOOKUP($B196,S6M9!$A$1:$B$160,2,0),"0")</f>
        <v>0</v>
      </c>
      <c r="V196" s="95">
        <f>IFERROR(VLOOKUP(U196,S6M9!$B$1:$C$161,2,0),0)</f>
        <v>0</v>
      </c>
      <c r="W196" s="94" t="str">
        <f>IFERROR(VLOOKUP($B196,S6M10!$A$1:$B$160,2,0),"0")</f>
        <v>0</v>
      </c>
      <c r="X196" s="95">
        <f>IFERROR(VLOOKUP(W196,S6M10!$B$1:$C$161,2,0),0)</f>
        <v>0</v>
      </c>
      <c r="Y196" s="94" t="str">
        <f>IFERROR(VLOOKUP($B196,S6M11!$A$1:$B$160,2,0),"0")</f>
        <v>0</v>
      </c>
      <c r="Z196" s="95">
        <f>IFERROR(VLOOKUP(Y196,S6M11!$B$1:$C$161,2,0),0)</f>
        <v>0</v>
      </c>
      <c r="AA196" s="97">
        <f>IFERROR(VLOOKUP(E196,S6M1!$B$1:$C$161,2,0),0)</f>
        <v>0</v>
      </c>
      <c r="AB196" s="97">
        <f>IFERROR(VLOOKUP(G196,S6M2!$B$1:$C$161,2,0),0)</f>
        <v>0</v>
      </c>
      <c r="AC196" s="97">
        <f>IFERROR(VLOOKUP(I196,S6M3!$B$1:$C$161,2,0),0)</f>
        <v>0</v>
      </c>
      <c r="AD196" s="97">
        <f>IFERROR(VLOOKUP(K196,S6M4!$B$1:$C$161,2,0),0)</f>
        <v>0</v>
      </c>
      <c r="AE196" s="97">
        <f>IFERROR(VLOOKUP(M196,S6M5!$B$1:$C$161,2,0),0)</f>
        <v>0</v>
      </c>
      <c r="AF196" s="97">
        <f>IFERROR(VLOOKUP(O196,S6M6!$B$1:$C$161,2,0),0)</f>
        <v>0</v>
      </c>
      <c r="AG196" s="97">
        <f>IFERROR(VLOOKUP(Q196,S6M7!$B$1:$C$161,2,0),0)</f>
        <v>0</v>
      </c>
      <c r="AH196" s="97">
        <f>IFERROR(VLOOKUP(S196,S6M8!$B$1:$C$161,2,0),0)</f>
        <v>0</v>
      </c>
      <c r="AI196" s="97">
        <f>IFERROR(VLOOKUP(U196,S6M9!$B$1:$C$161,2,0),0)</f>
        <v>0</v>
      </c>
      <c r="AJ196" s="97">
        <f>IFERROR(VLOOKUP(W196,S6M10!$B$1:$C$161,2,0),0)</f>
        <v>0</v>
      </c>
      <c r="AK196" s="97">
        <f>IFERROR(VLOOKUP(Y196,S6M11!$B$1:$C$161,2,0),0)</f>
        <v>0</v>
      </c>
    </row>
    <row r="197" ht="15.75" customHeight="1">
      <c r="A197" s="110">
        <v>196.0</v>
      </c>
      <c r="B197" s="103"/>
      <c r="C197" s="93">
        <f t="shared" si="2"/>
        <v>0</v>
      </c>
      <c r="D197" s="93"/>
      <c r="E197" s="94" t="str">
        <f>IFERROR(VLOOKUP($B197,S6M1!$A$1:$B$160,2,0),"0")</f>
        <v>0</v>
      </c>
      <c r="F197" s="95">
        <f>IFERROR(VLOOKUP(E197,S6M1!$B$1:$C$161,2,0),0)</f>
        <v>0</v>
      </c>
      <c r="G197" s="94" t="str">
        <f>IFERROR(VLOOKUP($B197,S6M2!$A$1:$B$160,2,0),"0")</f>
        <v>0</v>
      </c>
      <c r="H197" s="95">
        <f>IFERROR(VLOOKUP(G197,S6M2!$B$1:$C$161,2,0),0)</f>
        <v>0</v>
      </c>
      <c r="I197" s="94">
        <f>IFERROR(VLOOKUP($B197,S6M3!$A$1:$B$161,2,0),0)</f>
        <v>0</v>
      </c>
      <c r="J197" s="95">
        <f>IFERROR(VLOOKUP(I197,S6M3!$B$1:$C$161,2,0),0)</f>
        <v>0</v>
      </c>
      <c r="K197" s="94" t="str">
        <f>IFERROR(VLOOKUP($B197,S6M4!$A$1:$B$160,2,0),"0")</f>
        <v>0</v>
      </c>
      <c r="L197" s="95">
        <f>IFERROR(VLOOKUP(K197,S6M4!$B$1:$C$161,2,0),0)</f>
        <v>0</v>
      </c>
      <c r="M197" s="94" t="str">
        <f>IFERROR(VLOOKUP($B197,S6M5!$A$1:$B$160,2,0),"0")</f>
        <v>0</v>
      </c>
      <c r="N197" s="95">
        <f>IFERROR(VLOOKUP(M197,S6M5!$B$1:$C$161,2,0),0)</f>
        <v>0</v>
      </c>
      <c r="O197" s="94" t="str">
        <f>IFERROR(VLOOKUP($B197,S6M6!$A$1:$B$160,2,0),"0")</f>
        <v>0</v>
      </c>
      <c r="P197" s="95">
        <f>IFERROR(VLOOKUP(O197,S6M6!$B$1:$C$161,2,0),0)</f>
        <v>0</v>
      </c>
      <c r="Q197" s="94" t="str">
        <f>IFERROR(VLOOKUP($B197,S6M7!$A$1:$B$160,2,0),"0")</f>
        <v>0</v>
      </c>
      <c r="R197" s="95">
        <f>IFERROR(VLOOKUP(Q197,S6M7!$B$1:$C$161,2,0),0)</f>
        <v>0</v>
      </c>
      <c r="S197" s="94" t="str">
        <f>IFERROR(VLOOKUP($B197,S6M8!$A$1:$B$160,2,0),"0")</f>
        <v>0</v>
      </c>
      <c r="T197" s="95">
        <f>IFERROR(VLOOKUP(S197,S6M8!$B$1:$C$161,2,0),0)</f>
        <v>0</v>
      </c>
      <c r="U197" s="94" t="str">
        <f>IFERROR(VLOOKUP($B197,S6M9!$A$1:$B$160,2,0),"0")</f>
        <v>0</v>
      </c>
      <c r="V197" s="95">
        <f>IFERROR(VLOOKUP(U197,S6M9!$B$1:$C$161,2,0),0)</f>
        <v>0</v>
      </c>
      <c r="W197" s="94" t="str">
        <f>IFERROR(VLOOKUP($B197,S6M10!$A$1:$B$160,2,0),"0")</f>
        <v>0</v>
      </c>
      <c r="X197" s="95">
        <f>IFERROR(VLOOKUP(W197,S6M10!$B$1:$C$161,2,0),0)</f>
        <v>0</v>
      </c>
      <c r="Y197" s="94" t="str">
        <f>IFERROR(VLOOKUP($B197,S6M11!$A$1:$B$160,2,0),"0")</f>
        <v>0</v>
      </c>
      <c r="Z197" s="95">
        <f>IFERROR(VLOOKUP(Y197,S6M11!$B$1:$C$161,2,0),0)</f>
        <v>0</v>
      </c>
      <c r="AA197" s="97">
        <f>IFERROR(VLOOKUP(E197,S6M1!$B$1:$C$161,2,0),0)</f>
        <v>0</v>
      </c>
      <c r="AB197" s="97">
        <f>IFERROR(VLOOKUP(G197,S6M2!$B$1:$C$161,2,0),0)</f>
        <v>0</v>
      </c>
      <c r="AC197" s="97">
        <f>IFERROR(VLOOKUP(I197,S6M3!$B$1:$C$161,2,0),0)</f>
        <v>0</v>
      </c>
      <c r="AD197" s="97">
        <f>IFERROR(VLOOKUP(K197,S6M4!$B$1:$C$161,2,0),0)</f>
        <v>0</v>
      </c>
      <c r="AE197" s="97">
        <f>IFERROR(VLOOKUP(M197,S6M5!$B$1:$C$161,2,0),0)</f>
        <v>0</v>
      </c>
      <c r="AF197" s="97">
        <f>IFERROR(VLOOKUP(O197,S6M6!$B$1:$C$161,2,0),0)</f>
        <v>0</v>
      </c>
      <c r="AG197" s="97">
        <f>IFERROR(VLOOKUP(Q197,S6M7!$B$1:$C$161,2,0),0)</f>
        <v>0</v>
      </c>
      <c r="AH197" s="97">
        <f>IFERROR(VLOOKUP(S197,S6M8!$B$1:$C$161,2,0),0)</f>
        <v>0</v>
      </c>
      <c r="AI197" s="97">
        <f>IFERROR(VLOOKUP(U197,S6M9!$B$1:$C$161,2,0),0)</f>
        <v>0</v>
      </c>
      <c r="AJ197" s="97">
        <f>IFERROR(VLOOKUP(W197,S6M10!$B$1:$C$161,2,0),0)</f>
        <v>0</v>
      </c>
      <c r="AK197" s="97">
        <f>IFERROR(VLOOKUP(Y197,S6M11!$B$1:$C$161,2,0),0)</f>
        <v>0</v>
      </c>
    </row>
    <row r="198" ht="15.75" customHeight="1">
      <c r="A198" s="110">
        <v>197.0</v>
      </c>
      <c r="B198" s="103"/>
      <c r="C198" s="93">
        <f t="shared" si="2"/>
        <v>0</v>
      </c>
      <c r="D198" s="93"/>
      <c r="E198" s="94" t="str">
        <f>IFERROR(VLOOKUP($B198,S6M1!$A$1:$B$160,2,0),"0")</f>
        <v>0</v>
      </c>
      <c r="F198" s="95">
        <f>IFERROR(VLOOKUP(E198,S6M1!$B$1:$C$161,2,0),0)</f>
        <v>0</v>
      </c>
      <c r="G198" s="94" t="str">
        <f>IFERROR(VLOOKUP($B198,S6M2!$A$1:$B$160,2,0),"0")</f>
        <v>0</v>
      </c>
      <c r="H198" s="95">
        <f>IFERROR(VLOOKUP(G198,S6M2!$B$1:$C$161,2,0),0)</f>
        <v>0</v>
      </c>
      <c r="I198" s="94">
        <f>IFERROR(VLOOKUP($B198,S6M3!$A$1:$B$161,2,0),0)</f>
        <v>0</v>
      </c>
      <c r="J198" s="95">
        <f>IFERROR(VLOOKUP(I198,S6M3!$B$1:$C$161,2,0),0)</f>
        <v>0</v>
      </c>
      <c r="K198" s="94" t="str">
        <f>IFERROR(VLOOKUP($B198,S6M4!$A$1:$B$160,2,0),"0")</f>
        <v>0</v>
      </c>
      <c r="L198" s="95">
        <f>IFERROR(VLOOKUP(K198,S6M4!$B$1:$C$161,2,0),0)</f>
        <v>0</v>
      </c>
      <c r="M198" s="94" t="str">
        <f>IFERROR(VLOOKUP($B198,S6M5!$A$1:$B$160,2,0),"0")</f>
        <v>0</v>
      </c>
      <c r="N198" s="95">
        <f>IFERROR(VLOOKUP(M198,S6M5!$B$1:$C$161,2,0),0)</f>
        <v>0</v>
      </c>
      <c r="O198" s="94" t="str">
        <f>IFERROR(VLOOKUP($B198,S6M6!$A$1:$B$160,2,0),"0")</f>
        <v>0</v>
      </c>
      <c r="P198" s="95">
        <f>IFERROR(VLOOKUP(O198,S6M6!$B$1:$C$161,2,0),0)</f>
        <v>0</v>
      </c>
      <c r="Q198" s="94" t="str">
        <f>IFERROR(VLOOKUP($B198,S6M7!$A$1:$B$160,2,0),"0")</f>
        <v>0</v>
      </c>
      <c r="R198" s="95">
        <f>IFERROR(VLOOKUP(Q198,S6M7!$B$1:$C$161,2,0),0)</f>
        <v>0</v>
      </c>
      <c r="S198" s="94" t="str">
        <f>IFERROR(VLOOKUP($B198,S6M8!$A$1:$B$160,2,0),"0")</f>
        <v>0</v>
      </c>
      <c r="T198" s="95">
        <f>IFERROR(VLOOKUP(S198,S6M8!$B$1:$C$161,2,0),0)</f>
        <v>0</v>
      </c>
      <c r="U198" s="94" t="str">
        <f>IFERROR(VLOOKUP($B198,S6M9!$A$1:$B$160,2,0),"0")</f>
        <v>0</v>
      </c>
      <c r="V198" s="95">
        <f>IFERROR(VLOOKUP(U198,S6M9!$B$1:$C$161,2,0),0)</f>
        <v>0</v>
      </c>
      <c r="W198" s="94" t="str">
        <f>IFERROR(VLOOKUP($B198,S6M10!$A$1:$B$160,2,0),"0")</f>
        <v>0</v>
      </c>
      <c r="X198" s="95">
        <f>IFERROR(VLOOKUP(W198,S6M10!$B$1:$C$161,2,0),0)</f>
        <v>0</v>
      </c>
      <c r="Y198" s="94" t="str">
        <f>IFERROR(VLOOKUP($B198,S6M11!$A$1:$B$160,2,0),"0")</f>
        <v>0</v>
      </c>
      <c r="Z198" s="95">
        <f>IFERROR(VLOOKUP(Y198,S6M11!$B$1:$C$161,2,0),0)</f>
        <v>0</v>
      </c>
      <c r="AA198" s="97">
        <f>IFERROR(VLOOKUP(E198,S6M1!$B$1:$C$161,2,0),0)</f>
        <v>0</v>
      </c>
      <c r="AB198" s="97">
        <f>IFERROR(VLOOKUP(G198,S6M2!$B$1:$C$161,2,0),0)</f>
        <v>0</v>
      </c>
      <c r="AC198" s="97">
        <f>IFERROR(VLOOKUP(I198,S6M3!$B$1:$C$161,2,0),0)</f>
        <v>0</v>
      </c>
      <c r="AD198" s="97">
        <f>IFERROR(VLOOKUP(K198,S6M4!$B$1:$C$161,2,0),0)</f>
        <v>0</v>
      </c>
      <c r="AE198" s="97">
        <f>IFERROR(VLOOKUP(M198,S6M5!$B$1:$C$161,2,0),0)</f>
        <v>0</v>
      </c>
      <c r="AF198" s="97">
        <f>IFERROR(VLOOKUP(O198,S6M6!$B$1:$C$161,2,0),0)</f>
        <v>0</v>
      </c>
      <c r="AG198" s="97">
        <f>IFERROR(VLOOKUP(Q198,S6M7!$B$1:$C$161,2,0),0)</f>
        <v>0</v>
      </c>
      <c r="AH198" s="97">
        <f>IFERROR(VLOOKUP(S198,S6M8!$B$1:$C$161,2,0),0)</f>
        <v>0</v>
      </c>
      <c r="AI198" s="97">
        <f>IFERROR(VLOOKUP(U198,S6M9!$B$1:$C$161,2,0),0)</f>
        <v>0</v>
      </c>
      <c r="AJ198" s="97">
        <f>IFERROR(VLOOKUP(W198,S6M10!$B$1:$C$161,2,0),0)</f>
        <v>0</v>
      </c>
      <c r="AK198" s="97">
        <f>IFERROR(VLOOKUP(Y198,S6M11!$B$1:$C$161,2,0),0)</f>
        <v>0</v>
      </c>
    </row>
    <row r="199" ht="15.75" customHeight="1">
      <c r="A199" s="110">
        <v>198.0</v>
      </c>
      <c r="B199" s="103"/>
      <c r="C199" s="93">
        <f t="shared" si="2"/>
        <v>0</v>
      </c>
      <c r="D199" s="93"/>
      <c r="E199" s="94" t="str">
        <f>IFERROR(VLOOKUP($B199,S6M1!$A$1:$B$160,2,0),"0")</f>
        <v>0</v>
      </c>
      <c r="F199" s="95">
        <f>IFERROR(VLOOKUP(E199,S6M1!$B$1:$C$161,2,0),0)</f>
        <v>0</v>
      </c>
      <c r="G199" s="94" t="str">
        <f>IFERROR(VLOOKUP($B199,S6M2!$A$1:$B$160,2,0),"0")</f>
        <v>0</v>
      </c>
      <c r="H199" s="95">
        <f>IFERROR(VLOOKUP(G199,S6M2!$B$1:$C$161,2,0),0)</f>
        <v>0</v>
      </c>
      <c r="I199" s="94">
        <f>IFERROR(VLOOKUP($B199,S6M3!$A$1:$B$161,2,0),0)</f>
        <v>0</v>
      </c>
      <c r="J199" s="95">
        <f>IFERROR(VLOOKUP(I199,S6M3!$B$1:$C$161,2,0),0)</f>
        <v>0</v>
      </c>
      <c r="K199" s="94" t="str">
        <f>IFERROR(VLOOKUP($B199,S6M4!$A$1:$B$160,2,0),"0")</f>
        <v>0</v>
      </c>
      <c r="L199" s="95">
        <f>IFERROR(VLOOKUP(K199,S6M4!$B$1:$C$161,2,0),0)</f>
        <v>0</v>
      </c>
      <c r="M199" s="94" t="str">
        <f>IFERROR(VLOOKUP($B199,S6M5!$A$1:$B$160,2,0),"0")</f>
        <v>0</v>
      </c>
      <c r="N199" s="95">
        <f>IFERROR(VLOOKUP(M199,S6M5!$B$1:$C$161,2,0),0)</f>
        <v>0</v>
      </c>
      <c r="O199" s="94" t="str">
        <f>IFERROR(VLOOKUP($B199,S6M6!$A$1:$B$160,2,0),"0")</f>
        <v>0</v>
      </c>
      <c r="P199" s="95">
        <f>IFERROR(VLOOKUP(O199,S6M6!$B$1:$C$161,2,0),0)</f>
        <v>0</v>
      </c>
      <c r="Q199" s="94" t="str">
        <f>IFERROR(VLOOKUP($B199,S6M7!$A$1:$B$160,2,0),"0")</f>
        <v>0</v>
      </c>
      <c r="R199" s="95">
        <f>IFERROR(VLOOKUP(Q199,S6M7!$B$1:$C$161,2,0),0)</f>
        <v>0</v>
      </c>
      <c r="S199" s="94" t="str">
        <f>IFERROR(VLOOKUP($B199,S6M8!$A$1:$B$160,2,0),"0")</f>
        <v>0</v>
      </c>
      <c r="T199" s="95">
        <f>IFERROR(VLOOKUP(S199,S6M8!$B$1:$C$161,2,0),0)</f>
        <v>0</v>
      </c>
      <c r="U199" s="94" t="str">
        <f>IFERROR(VLOOKUP($B199,S6M9!$A$1:$B$160,2,0),"0")</f>
        <v>0</v>
      </c>
      <c r="V199" s="95">
        <f>IFERROR(VLOOKUP(U199,S6M9!$B$1:$C$161,2,0),0)</f>
        <v>0</v>
      </c>
      <c r="W199" s="94" t="str">
        <f>IFERROR(VLOOKUP($B199,S6M10!$A$1:$B$160,2,0),"0")</f>
        <v>0</v>
      </c>
      <c r="X199" s="95">
        <f>IFERROR(VLOOKUP(W199,S6M10!$B$1:$C$161,2,0),0)</f>
        <v>0</v>
      </c>
      <c r="Y199" s="94" t="str">
        <f>IFERROR(VLOOKUP($B199,S6M11!$A$1:$B$160,2,0),"0")</f>
        <v>0</v>
      </c>
      <c r="Z199" s="95">
        <f>IFERROR(VLOOKUP(Y199,S6M11!$B$1:$C$161,2,0),0)</f>
        <v>0</v>
      </c>
      <c r="AA199" s="97">
        <f>IFERROR(VLOOKUP(E199,S6M1!$B$1:$C$161,2,0),0)</f>
        <v>0</v>
      </c>
      <c r="AB199" s="97">
        <f>IFERROR(VLOOKUP(G199,S6M2!$B$1:$C$161,2,0),0)</f>
        <v>0</v>
      </c>
      <c r="AC199" s="97">
        <f>IFERROR(VLOOKUP(I199,S6M3!$B$1:$C$161,2,0),0)</f>
        <v>0</v>
      </c>
      <c r="AD199" s="97">
        <f>IFERROR(VLOOKUP(K199,S6M4!$B$1:$C$161,2,0),0)</f>
        <v>0</v>
      </c>
      <c r="AE199" s="97">
        <f>IFERROR(VLOOKUP(M199,S6M5!$B$1:$C$161,2,0),0)</f>
        <v>0</v>
      </c>
      <c r="AF199" s="97">
        <f>IFERROR(VLOOKUP(O199,S6M6!$B$1:$C$161,2,0),0)</f>
        <v>0</v>
      </c>
      <c r="AG199" s="97">
        <f>IFERROR(VLOOKUP(Q199,S6M7!$B$1:$C$161,2,0),0)</f>
        <v>0</v>
      </c>
      <c r="AH199" s="97">
        <f>IFERROR(VLOOKUP(S199,S6M8!$B$1:$C$161,2,0),0)</f>
        <v>0</v>
      </c>
      <c r="AI199" s="97">
        <f>IFERROR(VLOOKUP(U199,S6M9!$B$1:$C$161,2,0),0)</f>
        <v>0</v>
      </c>
      <c r="AJ199" s="97">
        <f>IFERROR(VLOOKUP(W199,S6M10!$B$1:$C$161,2,0),0)</f>
        <v>0</v>
      </c>
      <c r="AK199" s="97">
        <f>IFERROR(VLOOKUP(Y199,S6M11!$B$1:$C$161,2,0),0)</f>
        <v>0</v>
      </c>
    </row>
    <row r="200" ht="15.75" customHeight="1">
      <c r="A200" s="110">
        <v>199.0</v>
      </c>
      <c r="B200" s="103"/>
      <c r="C200" s="93">
        <f t="shared" si="2"/>
        <v>0</v>
      </c>
      <c r="D200" s="93"/>
      <c r="E200" s="94" t="str">
        <f>IFERROR(VLOOKUP($B200,S6M1!$A$1:$B$160,2,0),"0")</f>
        <v>0</v>
      </c>
      <c r="F200" s="95">
        <f>IFERROR(VLOOKUP(E200,S6M1!$B$1:$C$161,2,0),0)</f>
        <v>0</v>
      </c>
      <c r="G200" s="94" t="str">
        <f>IFERROR(VLOOKUP($B200,S6M2!$A$1:$B$160,2,0),"0")</f>
        <v>0</v>
      </c>
      <c r="H200" s="95">
        <f>IFERROR(VLOOKUP(G200,S6M2!$B$1:$C$161,2,0),0)</f>
        <v>0</v>
      </c>
      <c r="I200" s="94">
        <f>IFERROR(VLOOKUP($B200,S6M3!$A$1:$B$161,2,0),0)</f>
        <v>0</v>
      </c>
      <c r="J200" s="95">
        <f>IFERROR(VLOOKUP(I200,S6M3!$B$1:$C$161,2,0),0)</f>
        <v>0</v>
      </c>
      <c r="K200" s="94" t="str">
        <f>IFERROR(VLOOKUP($B200,S6M4!$A$1:$B$160,2,0),"0")</f>
        <v>0</v>
      </c>
      <c r="L200" s="95">
        <f>IFERROR(VLOOKUP(K200,S6M4!$B$1:$C$161,2,0),0)</f>
        <v>0</v>
      </c>
      <c r="M200" s="94" t="str">
        <f>IFERROR(VLOOKUP($B200,S6M5!$A$1:$B$160,2,0),"0")</f>
        <v>0</v>
      </c>
      <c r="N200" s="95">
        <f>IFERROR(VLOOKUP(M200,S6M5!$B$1:$C$161,2,0),0)</f>
        <v>0</v>
      </c>
      <c r="O200" s="94" t="str">
        <f>IFERROR(VLOOKUP($B200,S6M6!$A$1:$B$160,2,0),"0")</f>
        <v>0</v>
      </c>
      <c r="P200" s="95">
        <f>IFERROR(VLOOKUP(O200,S6M6!$B$1:$C$161,2,0),0)</f>
        <v>0</v>
      </c>
      <c r="Q200" s="94" t="str">
        <f>IFERROR(VLOOKUP($B200,S6M7!$A$1:$B$160,2,0),"0")</f>
        <v>0</v>
      </c>
      <c r="R200" s="95">
        <f>IFERROR(VLOOKUP(Q200,S6M7!$B$1:$C$161,2,0),0)</f>
        <v>0</v>
      </c>
      <c r="S200" s="94" t="str">
        <f>IFERROR(VLOOKUP($B200,S6M8!$A$1:$B$160,2,0),"0")</f>
        <v>0</v>
      </c>
      <c r="T200" s="95">
        <f>IFERROR(VLOOKUP(S200,S6M8!$B$1:$C$161,2,0),0)</f>
        <v>0</v>
      </c>
      <c r="U200" s="94" t="str">
        <f>IFERROR(VLOOKUP($B200,S6M9!$A$1:$B$160,2,0),"0")</f>
        <v>0</v>
      </c>
      <c r="V200" s="95">
        <f>IFERROR(VLOOKUP(U200,S6M9!$B$1:$C$161,2,0),0)</f>
        <v>0</v>
      </c>
      <c r="W200" s="94" t="str">
        <f>IFERROR(VLOOKUP($B200,S6M10!$A$1:$B$160,2,0),"0")</f>
        <v>0</v>
      </c>
      <c r="X200" s="95">
        <f>IFERROR(VLOOKUP(W200,S6M10!$B$1:$C$161,2,0),0)</f>
        <v>0</v>
      </c>
      <c r="Y200" s="94" t="str">
        <f>IFERROR(VLOOKUP($B200,S6M11!$A$1:$B$160,2,0),"0")</f>
        <v>0</v>
      </c>
      <c r="Z200" s="95">
        <f>IFERROR(VLOOKUP(Y200,S6M11!$B$1:$C$161,2,0),0)</f>
        <v>0</v>
      </c>
      <c r="AA200" s="97">
        <f>IFERROR(VLOOKUP(E200,S6M1!$B$1:$C$161,2,0),0)</f>
        <v>0</v>
      </c>
      <c r="AB200" s="97">
        <f>IFERROR(VLOOKUP(G200,S6M2!$B$1:$C$161,2,0),0)</f>
        <v>0</v>
      </c>
      <c r="AC200" s="97">
        <f>IFERROR(VLOOKUP(I200,S6M3!$B$1:$C$161,2,0),0)</f>
        <v>0</v>
      </c>
      <c r="AD200" s="97">
        <f>IFERROR(VLOOKUP(K200,S6M4!$B$1:$C$161,2,0),0)</f>
        <v>0</v>
      </c>
      <c r="AE200" s="97">
        <f>IFERROR(VLOOKUP(M200,S6M5!$B$1:$C$161,2,0),0)</f>
        <v>0</v>
      </c>
      <c r="AF200" s="97">
        <f>IFERROR(VLOOKUP(O200,S6M6!$B$1:$C$161,2,0),0)</f>
        <v>0</v>
      </c>
      <c r="AG200" s="97">
        <f>IFERROR(VLOOKUP(Q200,S6M7!$B$1:$C$161,2,0),0)</f>
        <v>0</v>
      </c>
      <c r="AH200" s="97">
        <f>IFERROR(VLOOKUP(S200,S6M8!$B$1:$C$161,2,0),0)</f>
        <v>0</v>
      </c>
      <c r="AI200" s="97">
        <f>IFERROR(VLOOKUP(U200,S6M9!$B$1:$C$161,2,0),0)</f>
        <v>0</v>
      </c>
      <c r="AJ200" s="97">
        <f>IFERROR(VLOOKUP(W200,S6M10!$B$1:$C$161,2,0),0)</f>
        <v>0</v>
      </c>
      <c r="AK200" s="97">
        <f>IFERROR(VLOOKUP(Y200,S6M11!$B$1:$C$161,2,0),0)</f>
        <v>0</v>
      </c>
    </row>
    <row r="201" ht="15.75" customHeight="1">
      <c r="A201" s="110">
        <v>200.0</v>
      </c>
      <c r="B201" s="103"/>
      <c r="C201" s="93">
        <f t="shared" si="2"/>
        <v>0</v>
      </c>
      <c r="D201" s="93"/>
      <c r="E201" s="94" t="str">
        <f>IFERROR(VLOOKUP($B201,S6M1!$A$1:$B$160,2,0),"0")</f>
        <v>0</v>
      </c>
      <c r="F201" s="95">
        <f>IFERROR(VLOOKUP(E201,S6M1!$B$1:$C$161,2,0),0)</f>
        <v>0</v>
      </c>
      <c r="G201" s="94" t="str">
        <f>IFERROR(VLOOKUP($B201,S6M2!$A$1:$B$160,2,0),"0")</f>
        <v>0</v>
      </c>
      <c r="H201" s="95">
        <f>IFERROR(VLOOKUP(G201,S6M2!$B$1:$C$161,2,0),0)</f>
        <v>0</v>
      </c>
      <c r="I201" s="94">
        <f>IFERROR(VLOOKUP($B201,S6M3!$A$1:$B$161,2,0),0)</f>
        <v>0</v>
      </c>
      <c r="J201" s="95">
        <f>IFERROR(VLOOKUP(I201,S6M3!$B$1:$C$161,2,0),0)</f>
        <v>0</v>
      </c>
      <c r="K201" s="94" t="str">
        <f>IFERROR(VLOOKUP($B201,S6M4!$A$1:$B$160,2,0),"0")</f>
        <v>0</v>
      </c>
      <c r="L201" s="95">
        <f>IFERROR(VLOOKUP(K201,S6M4!$B$1:$C$161,2,0),0)</f>
        <v>0</v>
      </c>
      <c r="M201" s="94" t="str">
        <f>IFERROR(VLOOKUP($B201,S6M5!$A$1:$B$160,2,0),"0")</f>
        <v>0</v>
      </c>
      <c r="N201" s="95">
        <f>IFERROR(VLOOKUP(M201,S6M5!$B$1:$C$161,2,0),0)</f>
        <v>0</v>
      </c>
      <c r="O201" s="94" t="str">
        <f>IFERROR(VLOOKUP($B201,S6M6!$A$1:$B$160,2,0),"0")</f>
        <v>0</v>
      </c>
      <c r="P201" s="95">
        <f>IFERROR(VLOOKUP(O201,S6M6!$B$1:$C$161,2,0),0)</f>
        <v>0</v>
      </c>
      <c r="Q201" s="94" t="str">
        <f>IFERROR(VLOOKUP($B201,S6M7!$A$1:$B$160,2,0),"0")</f>
        <v>0</v>
      </c>
      <c r="R201" s="95">
        <f>IFERROR(VLOOKUP(Q201,S6M7!$B$1:$C$161,2,0),0)</f>
        <v>0</v>
      </c>
      <c r="S201" s="94" t="str">
        <f>IFERROR(VLOOKUP($B201,S6M8!$A$1:$B$160,2,0),"0")</f>
        <v>0</v>
      </c>
      <c r="T201" s="95">
        <f>IFERROR(VLOOKUP(S201,S6M8!$B$1:$C$161,2,0),0)</f>
        <v>0</v>
      </c>
      <c r="U201" s="94" t="str">
        <f>IFERROR(VLOOKUP($B201,S6M9!$A$1:$B$160,2,0),"0")</f>
        <v>0</v>
      </c>
      <c r="V201" s="95">
        <f>IFERROR(VLOOKUP(U201,S6M9!$B$1:$C$161,2,0),0)</f>
        <v>0</v>
      </c>
      <c r="W201" s="94" t="str">
        <f>IFERROR(VLOOKUP($B201,S6M10!$A$1:$B$160,2,0),"0")</f>
        <v>0</v>
      </c>
      <c r="X201" s="95">
        <f>IFERROR(VLOOKUP(W201,S6M10!$B$1:$C$161,2,0),0)</f>
        <v>0</v>
      </c>
      <c r="Y201" s="94" t="str">
        <f>IFERROR(VLOOKUP($B201,S6M11!$A$1:$B$160,2,0),"0")</f>
        <v>0</v>
      </c>
      <c r="Z201" s="95">
        <f>IFERROR(VLOOKUP(Y201,S6M11!$B$1:$C$161,2,0),0)</f>
        <v>0</v>
      </c>
      <c r="AA201" s="97">
        <f>IFERROR(VLOOKUP(E201,S6M1!$B$1:$C$161,2,0),0)</f>
        <v>0</v>
      </c>
      <c r="AB201" s="97">
        <f>IFERROR(VLOOKUP(G201,S6M2!$B$1:$C$161,2,0),0)</f>
        <v>0</v>
      </c>
      <c r="AC201" s="97">
        <f>IFERROR(VLOOKUP(I201,S6M3!$B$1:$C$161,2,0),0)</f>
        <v>0</v>
      </c>
      <c r="AD201" s="97">
        <f>IFERROR(VLOOKUP(K201,S6M4!$B$1:$C$161,2,0),0)</f>
        <v>0</v>
      </c>
      <c r="AE201" s="97">
        <f>IFERROR(VLOOKUP(M201,S6M5!$B$1:$C$161,2,0),0)</f>
        <v>0</v>
      </c>
      <c r="AF201" s="97">
        <f>IFERROR(VLOOKUP(O201,S6M6!$B$1:$C$161,2,0),0)</f>
        <v>0</v>
      </c>
      <c r="AG201" s="97">
        <f>IFERROR(VLOOKUP(Q201,S6M7!$B$1:$C$161,2,0),0)</f>
        <v>0</v>
      </c>
      <c r="AH201" s="97">
        <f>IFERROR(VLOOKUP(S201,S6M8!$B$1:$C$161,2,0),0)</f>
        <v>0</v>
      </c>
      <c r="AI201" s="97">
        <f>IFERROR(VLOOKUP(U201,S6M9!$B$1:$C$161,2,0),0)</f>
        <v>0</v>
      </c>
      <c r="AJ201" s="97">
        <f>IFERROR(VLOOKUP(W201,S6M10!$B$1:$C$161,2,0),0)</f>
        <v>0</v>
      </c>
      <c r="AK201" s="97">
        <f>IFERROR(VLOOKUP(Y201,S6M11!$B$1:$C$161,2,0),0)</f>
        <v>0</v>
      </c>
    </row>
    <row r="202" ht="15.75" customHeight="1">
      <c r="A202" s="110">
        <v>201.0</v>
      </c>
      <c r="B202" s="103"/>
      <c r="C202" s="93">
        <f t="shared" si="2"/>
        <v>0</v>
      </c>
      <c r="D202" s="93"/>
      <c r="E202" s="94" t="str">
        <f>IFERROR(VLOOKUP($B202,S6M1!$A$1:$B$160,2,0),"0")</f>
        <v>0</v>
      </c>
      <c r="F202" s="95">
        <f>IFERROR(VLOOKUP(E202,S6M1!$B$1:$C$161,2,0),0)</f>
        <v>0</v>
      </c>
      <c r="G202" s="94" t="str">
        <f>IFERROR(VLOOKUP($B202,S6M2!$A$1:$B$160,2,0),"0")</f>
        <v>0</v>
      </c>
      <c r="H202" s="95">
        <f>IFERROR(VLOOKUP(G202,S6M2!$B$1:$C$161,2,0),0)</f>
        <v>0</v>
      </c>
      <c r="I202" s="94">
        <f>IFERROR(VLOOKUP($B202,S6M3!$A$1:$B$161,2,0),0)</f>
        <v>0</v>
      </c>
      <c r="J202" s="95">
        <f>IFERROR(VLOOKUP(I202,S6M3!$B$1:$C$161,2,0),0)</f>
        <v>0</v>
      </c>
      <c r="K202" s="94" t="str">
        <f>IFERROR(VLOOKUP($B202,S6M4!$A$1:$B$160,2,0),"0")</f>
        <v>0</v>
      </c>
      <c r="L202" s="95">
        <f>IFERROR(VLOOKUP(K202,S6M4!$B$1:$C$161,2,0),0)</f>
        <v>0</v>
      </c>
      <c r="M202" s="94" t="str">
        <f>IFERROR(VLOOKUP($B202,S6M5!$A$1:$B$160,2,0),"0")</f>
        <v>0</v>
      </c>
      <c r="N202" s="95">
        <f>IFERROR(VLOOKUP(M202,S6M5!$B$1:$C$161,2,0),0)</f>
        <v>0</v>
      </c>
      <c r="O202" s="94" t="str">
        <f>IFERROR(VLOOKUP($B202,S6M6!$A$1:$B$160,2,0),"0")</f>
        <v>0</v>
      </c>
      <c r="P202" s="95">
        <f>IFERROR(VLOOKUP(O202,S6M6!$B$1:$C$161,2,0),0)</f>
        <v>0</v>
      </c>
      <c r="Q202" s="94" t="str">
        <f>IFERROR(VLOOKUP($B202,S6M7!$A$1:$B$160,2,0),"0")</f>
        <v>0</v>
      </c>
      <c r="R202" s="95">
        <f>IFERROR(VLOOKUP(Q202,S6M7!$B$1:$C$161,2,0),0)</f>
        <v>0</v>
      </c>
      <c r="S202" s="94" t="str">
        <f>IFERROR(VLOOKUP($B202,S6M8!$A$1:$B$160,2,0),"0")</f>
        <v>0</v>
      </c>
      <c r="T202" s="95">
        <f>IFERROR(VLOOKUP(S202,S6M8!$B$1:$C$161,2,0),0)</f>
        <v>0</v>
      </c>
      <c r="U202" s="94" t="str">
        <f>IFERROR(VLOOKUP($B202,S6M9!$A$1:$B$160,2,0),"0")</f>
        <v>0</v>
      </c>
      <c r="V202" s="95">
        <f>IFERROR(VLOOKUP(U202,S6M9!$B$1:$C$161,2,0),0)</f>
        <v>0</v>
      </c>
      <c r="W202" s="94" t="str">
        <f>IFERROR(VLOOKUP($B202,S6M10!$A$1:$B$160,2,0),"0")</f>
        <v>0</v>
      </c>
      <c r="X202" s="95">
        <f>IFERROR(VLOOKUP(W202,S6M10!$B$1:$C$161,2,0),0)</f>
        <v>0</v>
      </c>
      <c r="Y202" s="94" t="str">
        <f>IFERROR(VLOOKUP($B202,S6M11!$A$1:$B$160,2,0),"0")</f>
        <v>0</v>
      </c>
      <c r="Z202" s="95">
        <f>IFERROR(VLOOKUP(Y202,S6M11!$B$1:$C$161,2,0),0)</f>
        <v>0</v>
      </c>
      <c r="AA202" s="97">
        <f>IFERROR(VLOOKUP(E202,S6M1!$B$1:$C$161,2,0),0)</f>
        <v>0</v>
      </c>
      <c r="AB202" s="97">
        <f>IFERROR(VLOOKUP(G202,S6M2!$B$1:$C$161,2,0),0)</f>
        <v>0</v>
      </c>
      <c r="AC202" s="97">
        <f>IFERROR(VLOOKUP(I202,S6M3!$B$1:$C$161,2,0),0)</f>
        <v>0</v>
      </c>
      <c r="AD202" s="97">
        <f>IFERROR(VLOOKUP(K202,S6M4!$B$1:$C$161,2,0),0)</f>
        <v>0</v>
      </c>
      <c r="AE202" s="97">
        <f>IFERROR(VLOOKUP(M202,S6M5!$B$1:$C$161,2,0),0)</f>
        <v>0</v>
      </c>
      <c r="AF202" s="97">
        <f>IFERROR(VLOOKUP(O202,S6M6!$B$1:$C$161,2,0),0)</f>
        <v>0</v>
      </c>
      <c r="AG202" s="97">
        <f>IFERROR(VLOOKUP(Q202,S6M7!$B$1:$C$161,2,0),0)</f>
        <v>0</v>
      </c>
      <c r="AH202" s="97">
        <f>IFERROR(VLOOKUP(S202,S6M8!$B$1:$C$161,2,0),0)</f>
        <v>0</v>
      </c>
      <c r="AI202" s="97">
        <f>IFERROR(VLOOKUP(U202,S6M9!$B$1:$C$161,2,0),0)</f>
        <v>0</v>
      </c>
      <c r="AJ202" s="97">
        <f>IFERROR(VLOOKUP(W202,S6M10!$B$1:$C$161,2,0),0)</f>
        <v>0</v>
      </c>
      <c r="AK202" s="97">
        <f>IFERROR(VLOOKUP(Y202,S6M11!$B$1:$C$161,2,0),0)</f>
        <v>0</v>
      </c>
    </row>
    <row r="203" ht="15.75" customHeight="1">
      <c r="A203" s="110">
        <v>202.0</v>
      </c>
      <c r="B203" s="103"/>
      <c r="C203" s="93">
        <f t="shared" si="2"/>
        <v>0</v>
      </c>
      <c r="D203" s="93"/>
      <c r="E203" s="94" t="str">
        <f>IFERROR(VLOOKUP($B203,S6M1!$A$1:$B$160,2,0),"0")</f>
        <v>0</v>
      </c>
      <c r="F203" s="95">
        <f>IFERROR(VLOOKUP(E203,S6M1!$B$1:$C$161,2,0),0)</f>
        <v>0</v>
      </c>
      <c r="G203" s="94" t="str">
        <f>IFERROR(VLOOKUP($B203,S6M2!$A$1:$B$160,2,0),"0")</f>
        <v>0</v>
      </c>
      <c r="H203" s="95">
        <f>IFERROR(VLOOKUP(G203,S6M2!$B$1:$C$161,2,0),0)</f>
        <v>0</v>
      </c>
      <c r="I203" s="94">
        <f>IFERROR(VLOOKUP($B203,S6M3!$A$1:$B$161,2,0),0)</f>
        <v>0</v>
      </c>
      <c r="J203" s="95">
        <f>IFERROR(VLOOKUP(I203,S6M3!$B$1:$C$161,2,0),0)</f>
        <v>0</v>
      </c>
      <c r="K203" s="94" t="str">
        <f>IFERROR(VLOOKUP($B203,S6M4!$A$1:$B$160,2,0),"0")</f>
        <v>0</v>
      </c>
      <c r="L203" s="95">
        <f>IFERROR(VLOOKUP(K203,S6M4!$B$1:$C$161,2,0),0)</f>
        <v>0</v>
      </c>
      <c r="M203" s="94" t="str">
        <f>IFERROR(VLOOKUP($B203,S6M5!$A$1:$B$160,2,0),"0")</f>
        <v>0</v>
      </c>
      <c r="N203" s="95">
        <f>IFERROR(VLOOKUP(M203,S6M5!$B$1:$C$161,2,0),0)</f>
        <v>0</v>
      </c>
      <c r="O203" s="94" t="str">
        <f>IFERROR(VLOOKUP($B203,S6M6!$A$1:$B$160,2,0),"0")</f>
        <v>0</v>
      </c>
      <c r="P203" s="95">
        <f>IFERROR(VLOOKUP(O203,S6M6!$B$1:$C$161,2,0),0)</f>
        <v>0</v>
      </c>
      <c r="Q203" s="94" t="str">
        <f>IFERROR(VLOOKUP($B203,S6M7!$A$1:$B$160,2,0),"0")</f>
        <v>0</v>
      </c>
      <c r="R203" s="95">
        <f>IFERROR(VLOOKUP(Q203,S6M7!$B$1:$C$161,2,0),0)</f>
        <v>0</v>
      </c>
      <c r="S203" s="94" t="str">
        <f>IFERROR(VLOOKUP($B203,S6M8!$A$1:$B$160,2,0),"0")</f>
        <v>0</v>
      </c>
      <c r="T203" s="95">
        <f>IFERROR(VLOOKUP(S203,S6M8!$B$1:$C$161,2,0),0)</f>
        <v>0</v>
      </c>
      <c r="U203" s="94" t="str">
        <f>IFERROR(VLOOKUP($B203,S6M9!$A$1:$B$160,2,0),"0")</f>
        <v>0</v>
      </c>
      <c r="V203" s="95">
        <f>IFERROR(VLOOKUP(U203,S6M9!$B$1:$C$161,2,0),0)</f>
        <v>0</v>
      </c>
      <c r="W203" s="94" t="str">
        <f>IFERROR(VLOOKUP($B203,S6M10!$A$1:$B$160,2,0),"0")</f>
        <v>0</v>
      </c>
      <c r="X203" s="95">
        <f>IFERROR(VLOOKUP(W203,S6M10!$B$1:$C$161,2,0),0)</f>
        <v>0</v>
      </c>
      <c r="Y203" s="94" t="str">
        <f>IFERROR(VLOOKUP($B203,S6M11!$A$1:$B$160,2,0),"0")</f>
        <v>0</v>
      </c>
      <c r="Z203" s="95">
        <f>IFERROR(VLOOKUP(Y203,S6M11!$B$1:$C$161,2,0),0)</f>
        <v>0</v>
      </c>
      <c r="AA203" s="97">
        <f>IFERROR(VLOOKUP(E203,S6M1!$B$1:$C$161,2,0),0)</f>
        <v>0</v>
      </c>
      <c r="AB203" s="97">
        <f>IFERROR(VLOOKUP(G203,S6M2!$B$1:$C$161,2,0),0)</f>
        <v>0</v>
      </c>
      <c r="AC203" s="97">
        <f>IFERROR(VLOOKUP(I203,S6M3!$B$1:$C$161,2,0),0)</f>
        <v>0</v>
      </c>
      <c r="AD203" s="97">
        <f>IFERROR(VLOOKUP(K203,S6M4!$B$1:$C$161,2,0),0)</f>
        <v>0</v>
      </c>
      <c r="AE203" s="97">
        <f>IFERROR(VLOOKUP(M203,S6M5!$B$1:$C$161,2,0),0)</f>
        <v>0</v>
      </c>
      <c r="AF203" s="97">
        <f>IFERROR(VLOOKUP(O203,S6M6!$B$1:$C$161,2,0),0)</f>
        <v>0</v>
      </c>
      <c r="AG203" s="97">
        <f>IFERROR(VLOOKUP(Q203,S6M7!$B$1:$C$161,2,0),0)</f>
        <v>0</v>
      </c>
      <c r="AH203" s="97">
        <f>IFERROR(VLOOKUP(S203,S6M8!$B$1:$C$161,2,0),0)</f>
        <v>0</v>
      </c>
      <c r="AI203" s="97">
        <f>IFERROR(VLOOKUP(U203,S6M9!$B$1:$C$161,2,0),0)</f>
        <v>0</v>
      </c>
      <c r="AJ203" s="97">
        <f>IFERROR(VLOOKUP(W203,S6M10!$B$1:$C$161,2,0),0)</f>
        <v>0</v>
      </c>
      <c r="AK203" s="97">
        <f>IFERROR(VLOOKUP(Y203,S6M11!$B$1:$C$161,2,0),0)</f>
        <v>0</v>
      </c>
    </row>
    <row r="204" ht="15.75" customHeight="1">
      <c r="A204" s="110">
        <v>203.0</v>
      </c>
      <c r="B204" s="103"/>
      <c r="C204" s="93">
        <f t="shared" si="2"/>
        <v>0</v>
      </c>
      <c r="D204" s="93"/>
      <c r="E204" s="94" t="str">
        <f>IFERROR(VLOOKUP($B204,S6M1!$A$1:$B$160,2,0),"0")</f>
        <v>0</v>
      </c>
      <c r="F204" s="95">
        <f>IFERROR(VLOOKUP(E204,S6M1!$B$1:$C$161,2,0),0)</f>
        <v>0</v>
      </c>
      <c r="G204" s="94" t="str">
        <f>IFERROR(VLOOKUP($B204,S6M2!$A$1:$B$160,2,0),"0")</f>
        <v>0</v>
      </c>
      <c r="H204" s="95">
        <f>IFERROR(VLOOKUP(G204,S6M2!$B$1:$C$161,2,0),0)</f>
        <v>0</v>
      </c>
      <c r="I204" s="94">
        <f>IFERROR(VLOOKUP($B204,S6M3!$A$1:$B$161,2,0),0)</f>
        <v>0</v>
      </c>
      <c r="J204" s="95">
        <f>IFERROR(VLOOKUP(I204,S6M3!$B$1:$C$161,2,0),0)</f>
        <v>0</v>
      </c>
      <c r="K204" s="94" t="str">
        <f>IFERROR(VLOOKUP($B204,S6M4!$A$1:$B$160,2,0),"0")</f>
        <v>0</v>
      </c>
      <c r="L204" s="95">
        <f>IFERROR(VLOOKUP(K204,S6M4!$B$1:$C$161,2,0),0)</f>
        <v>0</v>
      </c>
      <c r="M204" s="94" t="str">
        <f>IFERROR(VLOOKUP($B204,S6M5!$A$1:$B$160,2,0),"0")</f>
        <v>0</v>
      </c>
      <c r="N204" s="95">
        <f>IFERROR(VLOOKUP(M204,S6M5!$B$1:$C$161,2,0),0)</f>
        <v>0</v>
      </c>
      <c r="O204" s="94" t="str">
        <f>IFERROR(VLOOKUP($B204,S6M6!$A$1:$B$160,2,0),"0")</f>
        <v>0</v>
      </c>
      <c r="P204" s="95">
        <f>IFERROR(VLOOKUP(O204,S6M6!$B$1:$C$161,2,0),0)</f>
        <v>0</v>
      </c>
      <c r="Q204" s="94" t="str">
        <f>IFERROR(VLOOKUP($B204,S6M7!$A$1:$B$160,2,0),"0")</f>
        <v>0</v>
      </c>
      <c r="R204" s="95">
        <f>IFERROR(VLOOKUP(Q204,S6M7!$B$1:$C$161,2,0),0)</f>
        <v>0</v>
      </c>
      <c r="S204" s="94" t="str">
        <f>IFERROR(VLOOKUP($B204,S6M8!$A$1:$B$160,2,0),"0")</f>
        <v>0</v>
      </c>
      <c r="T204" s="95">
        <f>IFERROR(VLOOKUP(S204,S6M8!$B$1:$C$161,2,0),0)</f>
        <v>0</v>
      </c>
      <c r="U204" s="94" t="str">
        <f>IFERROR(VLOOKUP($B204,S6M9!$A$1:$B$160,2,0),"0")</f>
        <v>0</v>
      </c>
      <c r="V204" s="95">
        <f>IFERROR(VLOOKUP(U204,S6M9!$B$1:$C$161,2,0),0)</f>
        <v>0</v>
      </c>
      <c r="W204" s="94" t="str">
        <f>IFERROR(VLOOKUP($B204,S6M10!$A$1:$B$160,2,0),"0")</f>
        <v>0</v>
      </c>
      <c r="X204" s="95">
        <f>IFERROR(VLOOKUP(W204,S6M10!$B$1:$C$161,2,0),0)</f>
        <v>0</v>
      </c>
      <c r="Y204" s="94" t="str">
        <f>IFERROR(VLOOKUP($B204,S6M11!$A$1:$B$160,2,0),"0")</f>
        <v>0</v>
      </c>
      <c r="Z204" s="95">
        <f>IFERROR(VLOOKUP(Y204,S6M11!$B$1:$C$161,2,0),0)</f>
        <v>0</v>
      </c>
      <c r="AA204" s="97">
        <f>IFERROR(VLOOKUP(E204,S6M1!$B$1:$C$161,2,0),0)</f>
        <v>0</v>
      </c>
      <c r="AB204" s="97">
        <f>IFERROR(VLOOKUP(G204,S6M2!$B$1:$C$161,2,0),0)</f>
        <v>0</v>
      </c>
      <c r="AC204" s="97">
        <f>IFERROR(VLOOKUP(I204,S6M3!$B$1:$C$161,2,0),0)</f>
        <v>0</v>
      </c>
      <c r="AD204" s="97">
        <f>IFERROR(VLOOKUP(K204,S6M4!$B$1:$C$161,2,0),0)</f>
        <v>0</v>
      </c>
      <c r="AE204" s="97">
        <f>IFERROR(VLOOKUP(M204,S6M5!$B$1:$C$161,2,0),0)</f>
        <v>0</v>
      </c>
      <c r="AF204" s="97">
        <f>IFERROR(VLOOKUP(O204,S6M6!$B$1:$C$161,2,0),0)</f>
        <v>0</v>
      </c>
      <c r="AG204" s="97">
        <f>IFERROR(VLOOKUP(Q204,S6M7!$B$1:$C$161,2,0),0)</f>
        <v>0</v>
      </c>
      <c r="AH204" s="97">
        <f>IFERROR(VLOOKUP(S204,S6M8!$B$1:$C$161,2,0),0)</f>
        <v>0</v>
      </c>
      <c r="AI204" s="97">
        <f>IFERROR(VLOOKUP(U204,S6M9!$B$1:$C$161,2,0),0)</f>
        <v>0</v>
      </c>
      <c r="AJ204" s="97">
        <f>IFERROR(VLOOKUP(W204,S6M10!$B$1:$C$161,2,0),0)</f>
        <v>0</v>
      </c>
      <c r="AK204" s="97">
        <f>IFERROR(VLOOKUP(Y204,S6M11!$B$1:$C$161,2,0),0)</f>
        <v>0</v>
      </c>
    </row>
    <row r="205" ht="15.75" customHeight="1">
      <c r="A205" s="110">
        <v>204.0</v>
      </c>
      <c r="B205" s="103"/>
      <c r="C205" s="93">
        <f t="shared" si="2"/>
        <v>0</v>
      </c>
      <c r="D205" s="93"/>
      <c r="E205" s="94" t="str">
        <f>IFERROR(VLOOKUP($B205,S6M1!$A$1:$B$160,2,0),"0")</f>
        <v>0</v>
      </c>
      <c r="F205" s="95">
        <f>IFERROR(VLOOKUP(E205,S6M1!$B$1:$C$161,2,0),0)</f>
        <v>0</v>
      </c>
      <c r="G205" s="94" t="str">
        <f>IFERROR(VLOOKUP($B205,S6M2!$A$1:$B$160,2,0),"0")</f>
        <v>0</v>
      </c>
      <c r="H205" s="95">
        <f>IFERROR(VLOOKUP(G205,S6M2!$B$1:$C$161,2,0),0)</f>
        <v>0</v>
      </c>
      <c r="I205" s="94">
        <f>IFERROR(VLOOKUP($B205,S6M3!$A$1:$B$161,2,0),0)</f>
        <v>0</v>
      </c>
      <c r="J205" s="95">
        <f>IFERROR(VLOOKUP(I205,S6M3!$B$1:$C$161,2,0),0)</f>
        <v>0</v>
      </c>
      <c r="K205" s="94" t="str">
        <f>IFERROR(VLOOKUP($B205,S6M4!$A$1:$B$160,2,0),"0")</f>
        <v>0</v>
      </c>
      <c r="L205" s="95">
        <f>IFERROR(VLOOKUP(K205,S6M4!$B$1:$C$161,2,0),0)</f>
        <v>0</v>
      </c>
      <c r="M205" s="94" t="str">
        <f>IFERROR(VLOOKUP($B205,S6M5!$A$1:$B$160,2,0),"0")</f>
        <v>0</v>
      </c>
      <c r="N205" s="95">
        <f>IFERROR(VLOOKUP(M205,S6M5!$B$1:$C$161,2,0),0)</f>
        <v>0</v>
      </c>
      <c r="O205" s="94" t="str">
        <f>IFERROR(VLOOKUP($B205,S6M6!$A$1:$B$160,2,0),"0")</f>
        <v>0</v>
      </c>
      <c r="P205" s="95">
        <f>IFERROR(VLOOKUP(O205,S6M6!$B$1:$C$161,2,0),0)</f>
        <v>0</v>
      </c>
      <c r="Q205" s="94" t="str">
        <f>IFERROR(VLOOKUP($B205,S6M7!$A$1:$B$160,2,0),"0")</f>
        <v>0</v>
      </c>
      <c r="R205" s="95">
        <f>IFERROR(VLOOKUP(Q205,S6M7!$B$1:$C$161,2,0),0)</f>
        <v>0</v>
      </c>
      <c r="S205" s="94" t="str">
        <f>IFERROR(VLOOKUP($B205,S6M8!$A$1:$B$160,2,0),"0")</f>
        <v>0</v>
      </c>
      <c r="T205" s="95">
        <f>IFERROR(VLOOKUP(S205,S6M8!$B$1:$C$161,2,0),0)</f>
        <v>0</v>
      </c>
      <c r="U205" s="94" t="str">
        <f>IFERROR(VLOOKUP($B205,S6M9!$A$1:$B$160,2,0),"0")</f>
        <v>0</v>
      </c>
      <c r="V205" s="95">
        <f>IFERROR(VLOOKUP(U205,S6M9!$B$1:$C$161,2,0),0)</f>
        <v>0</v>
      </c>
      <c r="W205" s="94" t="str">
        <f>IFERROR(VLOOKUP($B205,S6M10!$A$1:$B$160,2,0),"0")</f>
        <v>0</v>
      </c>
      <c r="X205" s="95">
        <f>IFERROR(VLOOKUP(W205,S6M10!$B$1:$C$161,2,0),0)</f>
        <v>0</v>
      </c>
      <c r="Y205" s="94" t="str">
        <f>IFERROR(VLOOKUP($B205,S6M11!$A$1:$B$160,2,0),"0")</f>
        <v>0</v>
      </c>
      <c r="Z205" s="95">
        <f>IFERROR(VLOOKUP(Y205,S6M11!$B$1:$C$161,2,0),0)</f>
        <v>0</v>
      </c>
      <c r="AA205" s="97">
        <f>IFERROR(VLOOKUP(E205,S6M1!$B$1:$C$161,2,0),0)</f>
        <v>0</v>
      </c>
      <c r="AB205" s="97">
        <f>IFERROR(VLOOKUP(G205,S6M2!$B$1:$C$161,2,0),0)</f>
        <v>0</v>
      </c>
      <c r="AC205" s="97">
        <f>IFERROR(VLOOKUP(I205,S6M3!$B$1:$C$161,2,0),0)</f>
        <v>0</v>
      </c>
      <c r="AD205" s="97">
        <f>IFERROR(VLOOKUP(K205,S6M4!$B$1:$C$161,2,0),0)</f>
        <v>0</v>
      </c>
      <c r="AE205" s="97">
        <f>IFERROR(VLOOKUP(M205,S6M5!$B$1:$C$161,2,0),0)</f>
        <v>0</v>
      </c>
      <c r="AF205" s="97">
        <f>IFERROR(VLOOKUP(O205,S6M6!$B$1:$C$161,2,0),0)</f>
        <v>0</v>
      </c>
      <c r="AG205" s="97">
        <f>IFERROR(VLOOKUP(Q205,S6M7!$B$1:$C$161,2,0),0)</f>
        <v>0</v>
      </c>
      <c r="AH205" s="97">
        <f>IFERROR(VLOOKUP(S205,S6M8!$B$1:$C$161,2,0),0)</f>
        <v>0</v>
      </c>
      <c r="AI205" s="97">
        <f>IFERROR(VLOOKUP(U205,S6M9!$B$1:$C$161,2,0),0)</f>
        <v>0</v>
      </c>
      <c r="AJ205" s="97">
        <f>IFERROR(VLOOKUP(W205,S6M10!$B$1:$C$161,2,0),0)</f>
        <v>0</v>
      </c>
      <c r="AK205" s="97">
        <f>IFERROR(VLOOKUP(Y205,S6M11!$B$1:$C$161,2,0),0)</f>
        <v>0</v>
      </c>
    </row>
    <row r="206" ht="15.75" customHeight="1">
      <c r="A206" s="110">
        <v>205.0</v>
      </c>
      <c r="B206" s="103"/>
      <c r="C206" s="93">
        <f t="shared" si="2"/>
        <v>0</v>
      </c>
      <c r="D206" s="93"/>
      <c r="E206" s="94" t="str">
        <f>IFERROR(VLOOKUP($B206,S6M1!$A$1:$B$160,2,0),"0")</f>
        <v>0</v>
      </c>
      <c r="F206" s="95">
        <f>IFERROR(VLOOKUP(E206,S6M1!$B$1:$C$161,2,0),0)</f>
        <v>0</v>
      </c>
      <c r="G206" s="94" t="str">
        <f>IFERROR(VLOOKUP($B206,S6M2!$A$1:$B$160,2,0),"0")</f>
        <v>0</v>
      </c>
      <c r="H206" s="95">
        <f>IFERROR(VLOOKUP(G206,S6M2!$B$1:$C$161,2,0),0)</f>
        <v>0</v>
      </c>
      <c r="I206" s="94">
        <f>IFERROR(VLOOKUP($B206,S6M3!$A$1:$B$161,2,0),0)</f>
        <v>0</v>
      </c>
      <c r="J206" s="95">
        <f>IFERROR(VLOOKUP(I206,S6M3!$B$1:$C$161,2,0),0)</f>
        <v>0</v>
      </c>
      <c r="K206" s="94" t="str">
        <f>IFERROR(VLOOKUP($B206,S6M4!$A$1:$B$160,2,0),"0")</f>
        <v>0</v>
      </c>
      <c r="L206" s="95">
        <f>IFERROR(VLOOKUP(K206,S6M4!$B$1:$C$161,2,0),0)</f>
        <v>0</v>
      </c>
      <c r="M206" s="94" t="str">
        <f>IFERROR(VLOOKUP($B206,S6M5!$A$1:$B$160,2,0),"0")</f>
        <v>0</v>
      </c>
      <c r="N206" s="95">
        <f>IFERROR(VLOOKUP(M206,S6M5!$B$1:$C$161,2,0),0)</f>
        <v>0</v>
      </c>
      <c r="O206" s="94" t="str">
        <f>IFERROR(VLOOKUP($B206,S6M6!$A$1:$B$160,2,0),"0")</f>
        <v>0</v>
      </c>
      <c r="P206" s="95">
        <f>IFERROR(VLOOKUP(O206,S6M6!$B$1:$C$161,2,0),0)</f>
        <v>0</v>
      </c>
      <c r="Q206" s="94" t="str">
        <f>IFERROR(VLOOKUP($B206,S6M7!$A$1:$B$160,2,0),"0")</f>
        <v>0</v>
      </c>
      <c r="R206" s="95">
        <f>IFERROR(VLOOKUP(Q206,S6M7!$B$1:$C$161,2,0),0)</f>
        <v>0</v>
      </c>
      <c r="S206" s="94" t="str">
        <f>IFERROR(VLOOKUP($B206,S6M8!$A$1:$B$160,2,0),"0")</f>
        <v>0</v>
      </c>
      <c r="T206" s="95">
        <f>IFERROR(VLOOKUP(S206,S6M8!$B$1:$C$161,2,0),0)</f>
        <v>0</v>
      </c>
      <c r="U206" s="94" t="str">
        <f>IFERROR(VLOOKUP($B206,S6M9!$A$1:$B$160,2,0),"0")</f>
        <v>0</v>
      </c>
      <c r="V206" s="95">
        <f>IFERROR(VLOOKUP(U206,S6M9!$B$1:$C$161,2,0),0)</f>
        <v>0</v>
      </c>
      <c r="W206" s="94" t="str">
        <f>IFERROR(VLOOKUP($B206,S6M10!$A$1:$B$160,2,0),"0")</f>
        <v>0</v>
      </c>
      <c r="X206" s="95">
        <f>IFERROR(VLOOKUP(W206,S6M10!$B$1:$C$161,2,0),0)</f>
        <v>0</v>
      </c>
      <c r="Y206" s="94" t="str">
        <f>IFERROR(VLOOKUP($B206,S6M11!$A$1:$B$160,2,0),"0")</f>
        <v>0</v>
      </c>
      <c r="Z206" s="95">
        <f>IFERROR(VLOOKUP(Y206,S6M11!$B$1:$C$161,2,0),0)</f>
        <v>0</v>
      </c>
      <c r="AA206" s="97">
        <f>IFERROR(VLOOKUP(E206,S6M1!$B$1:$C$161,2,0),0)</f>
        <v>0</v>
      </c>
      <c r="AB206" s="97">
        <f>IFERROR(VLOOKUP(G206,S6M2!$B$1:$C$161,2,0),0)</f>
        <v>0</v>
      </c>
      <c r="AC206" s="97">
        <f>IFERROR(VLOOKUP(I206,S6M3!$B$1:$C$161,2,0),0)</f>
        <v>0</v>
      </c>
      <c r="AD206" s="97">
        <f>IFERROR(VLOOKUP(K206,S6M4!$B$1:$C$161,2,0),0)</f>
        <v>0</v>
      </c>
      <c r="AE206" s="97">
        <f>IFERROR(VLOOKUP(M206,S6M5!$B$1:$C$161,2,0),0)</f>
        <v>0</v>
      </c>
      <c r="AF206" s="97">
        <f>IFERROR(VLOOKUP(O206,S6M6!$B$1:$C$161,2,0),0)</f>
        <v>0</v>
      </c>
      <c r="AG206" s="97">
        <f>IFERROR(VLOOKUP(Q206,S6M7!$B$1:$C$161,2,0),0)</f>
        <v>0</v>
      </c>
      <c r="AH206" s="97">
        <f>IFERROR(VLOOKUP(S206,S6M8!$B$1:$C$161,2,0),0)</f>
        <v>0</v>
      </c>
      <c r="AI206" s="97">
        <f>IFERROR(VLOOKUP(U206,S6M9!$B$1:$C$161,2,0),0)</f>
        <v>0</v>
      </c>
      <c r="AJ206" s="97">
        <f>IFERROR(VLOOKUP(W206,S6M10!$B$1:$C$161,2,0),0)</f>
        <v>0</v>
      </c>
      <c r="AK206" s="97">
        <f>IFERROR(VLOOKUP(Y206,S6M11!$B$1:$C$161,2,0),0)</f>
        <v>0</v>
      </c>
    </row>
    <row r="207" ht="15.75" customHeight="1">
      <c r="A207" s="110">
        <v>206.0</v>
      </c>
      <c r="B207" s="103"/>
      <c r="C207" s="93">
        <f t="shared" si="2"/>
        <v>0</v>
      </c>
      <c r="D207" s="93"/>
      <c r="E207" s="94" t="str">
        <f>IFERROR(VLOOKUP($B207,S6M1!$A$1:$B$160,2,0),"0")</f>
        <v>0</v>
      </c>
      <c r="F207" s="95">
        <f>IFERROR(VLOOKUP(E207,S6M1!$B$1:$C$161,2,0),0)</f>
        <v>0</v>
      </c>
      <c r="G207" s="94" t="str">
        <f>IFERROR(VLOOKUP($B207,S6M2!$A$1:$B$160,2,0),"0")</f>
        <v>0</v>
      </c>
      <c r="H207" s="95">
        <f>IFERROR(VLOOKUP(G207,S6M2!$B$1:$C$161,2,0),0)</f>
        <v>0</v>
      </c>
      <c r="I207" s="94">
        <f>IFERROR(VLOOKUP($B207,S6M3!$A$1:$B$161,2,0),0)</f>
        <v>0</v>
      </c>
      <c r="J207" s="95">
        <f>IFERROR(VLOOKUP(I207,S6M3!$B$1:$C$161,2,0),0)</f>
        <v>0</v>
      </c>
      <c r="K207" s="94" t="str">
        <f>IFERROR(VLOOKUP($B207,S6M4!$A$1:$B$160,2,0),"0")</f>
        <v>0</v>
      </c>
      <c r="L207" s="95">
        <f>IFERROR(VLOOKUP(K207,S6M4!$B$1:$C$161,2,0),0)</f>
        <v>0</v>
      </c>
      <c r="M207" s="94" t="str">
        <f>IFERROR(VLOOKUP($B207,S6M5!$A$1:$B$160,2,0),"0")</f>
        <v>0</v>
      </c>
      <c r="N207" s="95">
        <f>IFERROR(VLOOKUP(M207,S6M5!$B$1:$C$161,2,0),0)</f>
        <v>0</v>
      </c>
      <c r="O207" s="94" t="str">
        <f>IFERROR(VLOOKUP($B207,S6M6!$A$1:$B$160,2,0),"0")</f>
        <v>0</v>
      </c>
      <c r="P207" s="95">
        <f>IFERROR(VLOOKUP(O207,S6M6!$B$1:$C$161,2,0),0)</f>
        <v>0</v>
      </c>
      <c r="Q207" s="94" t="str">
        <f>IFERROR(VLOOKUP($B207,S6M7!$A$1:$B$160,2,0),"0")</f>
        <v>0</v>
      </c>
      <c r="R207" s="95">
        <f>IFERROR(VLOOKUP(Q207,S6M7!$B$1:$C$161,2,0),0)</f>
        <v>0</v>
      </c>
      <c r="S207" s="94" t="str">
        <f>IFERROR(VLOOKUP($B207,S6M8!$A$1:$B$160,2,0),"0")</f>
        <v>0</v>
      </c>
      <c r="T207" s="95">
        <f>IFERROR(VLOOKUP(S207,S6M8!$B$1:$C$161,2,0),0)</f>
        <v>0</v>
      </c>
      <c r="U207" s="94" t="str">
        <f>IFERROR(VLOOKUP($B207,S6M9!$A$1:$B$160,2,0),"0")</f>
        <v>0</v>
      </c>
      <c r="V207" s="95">
        <f>IFERROR(VLOOKUP(U207,S6M9!$B$1:$C$161,2,0),0)</f>
        <v>0</v>
      </c>
      <c r="W207" s="94" t="str">
        <f>IFERROR(VLOOKUP($B207,S6M10!$A$1:$B$160,2,0),"0")</f>
        <v>0</v>
      </c>
      <c r="X207" s="95">
        <f>IFERROR(VLOOKUP(W207,S6M10!$B$1:$C$161,2,0),0)</f>
        <v>0</v>
      </c>
      <c r="Y207" s="94" t="str">
        <f>IFERROR(VLOOKUP($B207,S6M11!$A$1:$B$160,2,0),"0")</f>
        <v>0</v>
      </c>
      <c r="Z207" s="95">
        <f>IFERROR(VLOOKUP(Y207,S6M11!$B$1:$C$161,2,0),0)</f>
        <v>0</v>
      </c>
      <c r="AA207" s="97">
        <f>IFERROR(VLOOKUP(E207,S6M1!$B$1:$C$161,2,0),0)</f>
        <v>0</v>
      </c>
      <c r="AB207" s="97">
        <f>IFERROR(VLOOKUP(G207,S6M2!$B$1:$C$161,2,0),0)</f>
        <v>0</v>
      </c>
      <c r="AC207" s="97">
        <f>IFERROR(VLOOKUP(I207,S6M3!$B$1:$C$161,2,0),0)</f>
        <v>0</v>
      </c>
      <c r="AD207" s="97">
        <f>IFERROR(VLOOKUP(K207,S6M4!$B$1:$C$161,2,0),0)</f>
        <v>0</v>
      </c>
      <c r="AE207" s="97">
        <f>IFERROR(VLOOKUP(M207,S6M5!$B$1:$C$161,2,0),0)</f>
        <v>0</v>
      </c>
      <c r="AF207" s="97">
        <f>IFERROR(VLOOKUP(O207,S6M6!$B$1:$C$161,2,0),0)</f>
        <v>0</v>
      </c>
      <c r="AG207" s="97">
        <f>IFERROR(VLOOKUP(Q207,S6M7!$B$1:$C$161,2,0),0)</f>
        <v>0</v>
      </c>
      <c r="AH207" s="97">
        <f>IFERROR(VLOOKUP(S207,S6M8!$B$1:$C$161,2,0),0)</f>
        <v>0</v>
      </c>
      <c r="AI207" s="97">
        <f>IFERROR(VLOOKUP(U207,S6M9!$B$1:$C$161,2,0),0)</f>
        <v>0</v>
      </c>
      <c r="AJ207" s="97">
        <f>IFERROR(VLOOKUP(W207,S6M10!$B$1:$C$161,2,0),0)</f>
        <v>0</v>
      </c>
      <c r="AK207" s="97">
        <f>IFERROR(VLOOKUP(Y207,S6M11!$B$1:$C$161,2,0),0)</f>
        <v>0</v>
      </c>
    </row>
    <row r="208" ht="15.75" customHeight="1">
      <c r="A208" s="110">
        <v>207.0</v>
      </c>
      <c r="B208" s="103"/>
      <c r="C208" s="93">
        <f t="shared" si="2"/>
        <v>0</v>
      </c>
      <c r="D208" s="93"/>
      <c r="E208" s="94" t="str">
        <f>IFERROR(VLOOKUP($B208,S6M1!$A$1:$B$160,2,0),"0")</f>
        <v>0</v>
      </c>
      <c r="F208" s="95">
        <f>IFERROR(VLOOKUP(E208,S6M1!$B$1:$C$161,2,0),0)</f>
        <v>0</v>
      </c>
      <c r="G208" s="94" t="str">
        <f>IFERROR(VLOOKUP($B208,S6M2!$A$1:$B$160,2,0),"0")</f>
        <v>0</v>
      </c>
      <c r="H208" s="95">
        <f>IFERROR(VLOOKUP(G208,S6M2!$B$1:$C$161,2,0),0)</f>
        <v>0</v>
      </c>
      <c r="I208" s="94">
        <f>IFERROR(VLOOKUP($B208,S6M3!$A$1:$B$161,2,0),0)</f>
        <v>0</v>
      </c>
      <c r="J208" s="95">
        <f>IFERROR(VLOOKUP(I208,S6M3!$B$1:$C$161,2,0),0)</f>
        <v>0</v>
      </c>
      <c r="K208" s="94" t="str">
        <f>IFERROR(VLOOKUP($B208,S6M4!$A$1:$B$160,2,0),"0")</f>
        <v>0</v>
      </c>
      <c r="L208" s="95">
        <f>IFERROR(VLOOKUP(K208,S6M4!$B$1:$C$161,2,0),0)</f>
        <v>0</v>
      </c>
      <c r="M208" s="94" t="str">
        <f>IFERROR(VLOOKUP($B208,S6M5!$A$1:$B$160,2,0),"0")</f>
        <v>0</v>
      </c>
      <c r="N208" s="95">
        <f>IFERROR(VLOOKUP(M208,S6M5!$B$1:$C$161,2,0),0)</f>
        <v>0</v>
      </c>
      <c r="O208" s="94" t="str">
        <f>IFERROR(VLOOKUP($B208,S6M6!$A$1:$B$160,2,0),"0")</f>
        <v>0</v>
      </c>
      <c r="P208" s="95">
        <f>IFERROR(VLOOKUP(O208,S6M6!$B$1:$C$161,2,0),0)</f>
        <v>0</v>
      </c>
      <c r="Q208" s="94" t="str">
        <f>IFERROR(VLOOKUP($B208,S6M7!$A$1:$B$160,2,0),"0")</f>
        <v>0</v>
      </c>
      <c r="R208" s="95">
        <f>IFERROR(VLOOKUP(Q208,S6M7!$B$1:$C$161,2,0),0)</f>
        <v>0</v>
      </c>
      <c r="S208" s="94" t="str">
        <f>IFERROR(VLOOKUP($B208,S6M8!$A$1:$B$160,2,0),"0")</f>
        <v>0</v>
      </c>
      <c r="T208" s="95">
        <f>IFERROR(VLOOKUP(S208,S6M8!$B$1:$C$161,2,0),0)</f>
        <v>0</v>
      </c>
      <c r="U208" s="94" t="str">
        <f>IFERROR(VLOOKUP($B208,S6M9!$A$1:$B$160,2,0),"0")</f>
        <v>0</v>
      </c>
      <c r="V208" s="95">
        <f>IFERROR(VLOOKUP(U208,S6M9!$B$1:$C$161,2,0),0)</f>
        <v>0</v>
      </c>
      <c r="W208" s="94" t="str">
        <f>IFERROR(VLOOKUP($B208,S6M10!$A$1:$B$160,2,0),"0")</f>
        <v>0</v>
      </c>
      <c r="X208" s="95">
        <f>IFERROR(VLOOKUP(W208,S6M10!$B$1:$C$161,2,0),0)</f>
        <v>0</v>
      </c>
      <c r="Y208" s="94" t="str">
        <f>IFERROR(VLOOKUP($B208,S6M11!$A$1:$B$160,2,0),"0")</f>
        <v>0</v>
      </c>
      <c r="Z208" s="95">
        <f>IFERROR(VLOOKUP(Y208,S6M11!$B$1:$C$161,2,0),0)</f>
        <v>0</v>
      </c>
      <c r="AA208" s="97">
        <f>IFERROR(VLOOKUP(E208,S6M1!$B$1:$C$161,2,0),0)</f>
        <v>0</v>
      </c>
      <c r="AB208" s="97">
        <f>IFERROR(VLOOKUP(G208,S6M2!$B$1:$C$161,2,0),0)</f>
        <v>0</v>
      </c>
      <c r="AC208" s="97">
        <f>IFERROR(VLOOKUP(I208,S6M3!$B$1:$C$161,2,0),0)</f>
        <v>0</v>
      </c>
      <c r="AD208" s="97">
        <f>IFERROR(VLOOKUP(K208,S6M4!$B$1:$C$161,2,0),0)</f>
        <v>0</v>
      </c>
      <c r="AE208" s="97">
        <f>IFERROR(VLOOKUP(M208,S6M5!$B$1:$C$161,2,0),0)</f>
        <v>0</v>
      </c>
      <c r="AF208" s="97">
        <f>IFERROR(VLOOKUP(O208,S6M6!$B$1:$C$161,2,0),0)</f>
        <v>0</v>
      </c>
      <c r="AG208" s="97">
        <f>IFERROR(VLOOKUP(Q208,S6M7!$B$1:$C$161,2,0),0)</f>
        <v>0</v>
      </c>
      <c r="AH208" s="97">
        <f>IFERROR(VLOOKUP(S208,S6M8!$B$1:$C$161,2,0),0)</f>
        <v>0</v>
      </c>
      <c r="AI208" s="97">
        <f>IFERROR(VLOOKUP(U208,S6M9!$B$1:$C$161,2,0),0)</f>
        <v>0</v>
      </c>
      <c r="AJ208" s="97">
        <f>IFERROR(VLOOKUP(W208,S6M10!$B$1:$C$161,2,0),0)</f>
        <v>0</v>
      </c>
      <c r="AK208" s="97">
        <f>IFERROR(VLOOKUP(Y208,S6M11!$B$1:$C$161,2,0),0)</f>
        <v>0</v>
      </c>
    </row>
    <row r="209" ht="15.75" customHeight="1">
      <c r="A209" s="110">
        <v>208.0</v>
      </c>
      <c r="B209" s="103"/>
      <c r="C209" s="93">
        <f t="shared" si="2"/>
        <v>0</v>
      </c>
      <c r="D209" s="93"/>
      <c r="E209" s="94" t="str">
        <f>IFERROR(VLOOKUP($B209,S6M1!$A$1:$B$160,2,0),"0")</f>
        <v>0</v>
      </c>
      <c r="F209" s="95">
        <f>IFERROR(VLOOKUP(E209,S6M1!$B$1:$C$161,2,0),0)</f>
        <v>0</v>
      </c>
      <c r="G209" s="94" t="str">
        <f>IFERROR(VLOOKUP($B209,S6M2!$A$1:$B$160,2,0),"0")</f>
        <v>0</v>
      </c>
      <c r="H209" s="95">
        <f>IFERROR(VLOOKUP(G209,S6M2!$B$1:$C$161,2,0),0)</f>
        <v>0</v>
      </c>
      <c r="I209" s="94">
        <f>IFERROR(VLOOKUP($B209,S6M3!$A$1:$B$161,2,0),0)</f>
        <v>0</v>
      </c>
      <c r="J209" s="95">
        <f>IFERROR(VLOOKUP(I209,S6M3!$B$1:$C$161,2,0),0)</f>
        <v>0</v>
      </c>
      <c r="K209" s="94" t="str">
        <f>IFERROR(VLOOKUP($B209,S6M4!$A$1:$B$160,2,0),"0")</f>
        <v>0</v>
      </c>
      <c r="L209" s="95">
        <f>IFERROR(VLOOKUP(K209,S6M4!$B$1:$C$161,2,0),0)</f>
        <v>0</v>
      </c>
      <c r="M209" s="94" t="str">
        <f>IFERROR(VLOOKUP($B209,S6M5!$A$1:$B$160,2,0),"0")</f>
        <v>0</v>
      </c>
      <c r="N209" s="95">
        <f>IFERROR(VLOOKUP(M209,S6M5!$B$1:$C$161,2,0),0)</f>
        <v>0</v>
      </c>
      <c r="O209" s="94" t="str">
        <f>IFERROR(VLOOKUP($B209,S6M6!$A$1:$B$160,2,0),"0")</f>
        <v>0</v>
      </c>
      <c r="P209" s="95">
        <f>IFERROR(VLOOKUP(O209,S6M6!$B$1:$C$161,2,0),0)</f>
        <v>0</v>
      </c>
      <c r="Q209" s="94" t="str">
        <f>IFERROR(VLOOKUP($B209,S6M7!$A$1:$B$160,2,0),"0")</f>
        <v>0</v>
      </c>
      <c r="R209" s="95">
        <f>IFERROR(VLOOKUP(Q209,S6M7!$B$1:$C$161,2,0),0)</f>
        <v>0</v>
      </c>
      <c r="S209" s="94" t="str">
        <f>IFERROR(VLOOKUP($B209,S6M8!$A$1:$B$160,2,0),"0")</f>
        <v>0</v>
      </c>
      <c r="T209" s="95">
        <f>IFERROR(VLOOKUP(S209,S6M8!$B$1:$C$161,2,0),0)</f>
        <v>0</v>
      </c>
      <c r="U209" s="94" t="str">
        <f>IFERROR(VLOOKUP($B209,S6M9!$A$1:$B$160,2,0),"0")</f>
        <v>0</v>
      </c>
      <c r="V209" s="95">
        <f>IFERROR(VLOOKUP(U209,S6M9!$B$1:$C$161,2,0),0)</f>
        <v>0</v>
      </c>
      <c r="W209" s="94" t="str">
        <f>IFERROR(VLOOKUP($B209,S6M10!$A$1:$B$160,2,0),"0")</f>
        <v>0</v>
      </c>
      <c r="X209" s="95">
        <f>IFERROR(VLOOKUP(W209,S6M10!$B$1:$C$161,2,0),0)</f>
        <v>0</v>
      </c>
      <c r="Y209" s="94" t="str">
        <f>IFERROR(VLOOKUP($B209,S6M11!$A$1:$B$160,2,0),"0")</f>
        <v>0</v>
      </c>
      <c r="Z209" s="95">
        <f>IFERROR(VLOOKUP(Y209,S6M11!$B$1:$C$161,2,0),0)</f>
        <v>0</v>
      </c>
      <c r="AA209" s="97">
        <f>IFERROR(VLOOKUP(E209,S6M1!$B$1:$C$161,2,0),0)</f>
        <v>0</v>
      </c>
      <c r="AB209" s="97">
        <f>IFERROR(VLOOKUP(G209,S6M2!$B$1:$C$161,2,0),0)</f>
        <v>0</v>
      </c>
      <c r="AC209" s="97">
        <f>IFERROR(VLOOKUP(I209,S6M3!$B$1:$C$161,2,0),0)</f>
        <v>0</v>
      </c>
      <c r="AD209" s="97">
        <f>IFERROR(VLOOKUP(K209,S6M4!$B$1:$C$161,2,0),0)</f>
        <v>0</v>
      </c>
      <c r="AE209" s="97">
        <f>IFERROR(VLOOKUP(M209,S6M5!$B$1:$C$161,2,0),0)</f>
        <v>0</v>
      </c>
      <c r="AF209" s="97">
        <f>IFERROR(VLOOKUP(O209,S6M6!$B$1:$C$161,2,0),0)</f>
        <v>0</v>
      </c>
      <c r="AG209" s="97">
        <f>IFERROR(VLOOKUP(Q209,S6M7!$B$1:$C$161,2,0),0)</f>
        <v>0</v>
      </c>
      <c r="AH209" s="97">
        <f>IFERROR(VLOOKUP(S209,S6M8!$B$1:$C$161,2,0),0)</f>
        <v>0</v>
      </c>
      <c r="AI209" s="97">
        <f>IFERROR(VLOOKUP(U209,S6M9!$B$1:$C$161,2,0),0)</f>
        <v>0</v>
      </c>
      <c r="AJ209" s="97">
        <f>IFERROR(VLOOKUP(W209,S6M10!$B$1:$C$161,2,0),0)</f>
        <v>0</v>
      </c>
      <c r="AK209" s="97">
        <f>IFERROR(VLOOKUP(Y209,S6M11!$B$1:$C$161,2,0),0)</f>
        <v>0</v>
      </c>
    </row>
    <row r="210" ht="15.75" customHeight="1">
      <c r="A210" s="110">
        <v>209.0</v>
      </c>
      <c r="B210" s="103"/>
      <c r="C210" s="93">
        <f t="shared" si="2"/>
        <v>0</v>
      </c>
      <c r="D210" s="93"/>
      <c r="E210" s="94" t="str">
        <f>IFERROR(VLOOKUP($B210,S6M1!$A$1:$B$160,2,0),"0")</f>
        <v>0</v>
      </c>
      <c r="F210" s="95">
        <f>IFERROR(VLOOKUP(E210,S6M1!$B$1:$C$161,2,0),0)</f>
        <v>0</v>
      </c>
      <c r="G210" s="94" t="str">
        <f>IFERROR(VLOOKUP($B210,S6M2!$A$1:$B$160,2,0),"0")</f>
        <v>0</v>
      </c>
      <c r="H210" s="95">
        <f>IFERROR(VLOOKUP(G210,S6M2!$B$1:$C$161,2,0),0)</f>
        <v>0</v>
      </c>
      <c r="I210" s="94">
        <f>IFERROR(VLOOKUP($B210,S6M3!$A$1:$B$161,2,0),0)</f>
        <v>0</v>
      </c>
      <c r="J210" s="95">
        <f>IFERROR(VLOOKUP(I210,S6M3!$B$1:$C$161,2,0),0)</f>
        <v>0</v>
      </c>
      <c r="K210" s="94" t="str">
        <f>IFERROR(VLOOKUP($B210,S6M4!$A$1:$B$160,2,0),"0")</f>
        <v>0</v>
      </c>
      <c r="L210" s="95">
        <f>IFERROR(VLOOKUP(K210,S6M4!$B$1:$C$161,2,0),0)</f>
        <v>0</v>
      </c>
      <c r="M210" s="94" t="str">
        <f>IFERROR(VLOOKUP($B210,S6M5!$A$1:$B$160,2,0),"0")</f>
        <v>0</v>
      </c>
      <c r="N210" s="95">
        <f>IFERROR(VLOOKUP(M210,S6M5!$B$1:$C$161,2,0),0)</f>
        <v>0</v>
      </c>
      <c r="O210" s="94" t="str">
        <f>IFERROR(VLOOKUP($B210,S6M6!$A$1:$B$160,2,0),"0")</f>
        <v>0</v>
      </c>
      <c r="P210" s="95">
        <f>IFERROR(VLOOKUP(O210,S6M6!$B$1:$C$161,2,0),0)</f>
        <v>0</v>
      </c>
      <c r="Q210" s="94" t="str">
        <f>IFERROR(VLOOKUP($B210,S6M7!$A$1:$B$160,2,0),"0")</f>
        <v>0</v>
      </c>
      <c r="R210" s="95">
        <f>IFERROR(VLOOKUP(Q210,S6M7!$B$1:$C$161,2,0),0)</f>
        <v>0</v>
      </c>
      <c r="S210" s="94" t="str">
        <f>IFERROR(VLOOKUP($B210,S6M8!$A$1:$B$160,2,0),"0")</f>
        <v>0</v>
      </c>
      <c r="T210" s="95">
        <f>IFERROR(VLOOKUP(S210,S6M8!$B$1:$C$161,2,0),0)</f>
        <v>0</v>
      </c>
      <c r="U210" s="94" t="str">
        <f>IFERROR(VLOOKUP($B210,S6M9!$A$1:$B$160,2,0),"0")</f>
        <v>0</v>
      </c>
      <c r="V210" s="95">
        <f>IFERROR(VLOOKUP(U210,S6M9!$B$1:$C$161,2,0),0)</f>
        <v>0</v>
      </c>
      <c r="W210" s="94" t="str">
        <f>IFERROR(VLOOKUP($B210,S6M10!$A$1:$B$160,2,0),"0")</f>
        <v>0</v>
      </c>
      <c r="X210" s="95">
        <f>IFERROR(VLOOKUP(W210,S6M10!$B$1:$C$161,2,0),0)</f>
        <v>0</v>
      </c>
      <c r="Y210" s="94" t="str">
        <f>IFERROR(VLOOKUP($B210,S6M11!$A$1:$B$160,2,0),"0")</f>
        <v>0</v>
      </c>
      <c r="Z210" s="95">
        <f>IFERROR(VLOOKUP(Y210,S6M11!$B$1:$C$161,2,0),0)</f>
        <v>0</v>
      </c>
      <c r="AA210" s="97">
        <f>IFERROR(VLOOKUP(E210,S6M1!$B$1:$C$161,2,0),0)</f>
        <v>0</v>
      </c>
      <c r="AB210" s="97">
        <f>IFERROR(VLOOKUP(G210,S6M2!$B$1:$C$161,2,0),0)</f>
        <v>0</v>
      </c>
      <c r="AC210" s="97">
        <f>IFERROR(VLOOKUP(I210,S6M3!$B$1:$C$161,2,0),0)</f>
        <v>0</v>
      </c>
      <c r="AD210" s="97">
        <f>IFERROR(VLOOKUP(K210,S6M4!$B$1:$C$161,2,0),0)</f>
        <v>0</v>
      </c>
      <c r="AE210" s="97">
        <f>IFERROR(VLOOKUP(M210,S6M5!$B$1:$C$161,2,0),0)</f>
        <v>0</v>
      </c>
      <c r="AF210" s="97">
        <f>IFERROR(VLOOKUP(O210,S6M6!$B$1:$C$161,2,0),0)</f>
        <v>0</v>
      </c>
      <c r="AG210" s="97">
        <f>IFERROR(VLOOKUP(Q210,S6M7!$B$1:$C$161,2,0),0)</f>
        <v>0</v>
      </c>
      <c r="AH210" s="97">
        <f>IFERROR(VLOOKUP(S210,S6M8!$B$1:$C$161,2,0),0)</f>
        <v>0</v>
      </c>
      <c r="AI210" s="97">
        <f>IFERROR(VLOOKUP(U210,S6M9!$B$1:$C$161,2,0),0)</f>
        <v>0</v>
      </c>
      <c r="AJ210" s="97">
        <f>IFERROR(VLOOKUP(W210,S6M10!$B$1:$C$161,2,0),0)</f>
        <v>0</v>
      </c>
      <c r="AK210" s="97">
        <f>IFERROR(VLOOKUP(Y210,S6M11!$B$1:$C$161,2,0),0)</f>
        <v>0</v>
      </c>
    </row>
    <row r="211" ht="15.75" customHeight="1">
      <c r="A211" s="110">
        <v>210.0</v>
      </c>
      <c r="B211" s="103"/>
      <c r="C211" s="93">
        <f t="shared" si="2"/>
        <v>0</v>
      </c>
      <c r="D211" s="93"/>
      <c r="E211" s="94" t="str">
        <f>IFERROR(VLOOKUP($B211,S6M1!$A$1:$B$160,2,0),"0")</f>
        <v>0</v>
      </c>
      <c r="F211" s="95">
        <f>IFERROR(VLOOKUP(E211,S6M1!$B$1:$C$161,2,0),0)</f>
        <v>0</v>
      </c>
      <c r="G211" s="94" t="str">
        <f>IFERROR(VLOOKUP($B211,S6M2!$A$1:$B$160,2,0),"0")</f>
        <v>0</v>
      </c>
      <c r="H211" s="95">
        <f>IFERROR(VLOOKUP(G211,S6M2!$B$1:$C$161,2,0),0)</f>
        <v>0</v>
      </c>
      <c r="I211" s="94">
        <f>IFERROR(VLOOKUP($B211,S6M3!$A$1:$B$161,2,0),0)</f>
        <v>0</v>
      </c>
      <c r="J211" s="95">
        <f>IFERROR(VLOOKUP(I211,S6M3!$B$1:$C$161,2,0),0)</f>
        <v>0</v>
      </c>
      <c r="K211" s="94" t="str">
        <f>IFERROR(VLOOKUP($B211,S6M4!$A$1:$B$160,2,0),"0")</f>
        <v>0</v>
      </c>
      <c r="L211" s="95">
        <f>IFERROR(VLOOKUP(K211,S6M4!$B$1:$C$161,2,0),0)</f>
        <v>0</v>
      </c>
      <c r="M211" s="94" t="str">
        <f>IFERROR(VLOOKUP($B211,S6M5!$A$1:$B$160,2,0),"0")</f>
        <v>0</v>
      </c>
      <c r="N211" s="95">
        <f>IFERROR(VLOOKUP(M211,S6M5!$B$1:$C$161,2,0),0)</f>
        <v>0</v>
      </c>
      <c r="O211" s="94" t="str">
        <f>IFERROR(VLOOKUP($B211,S6M6!$A$1:$B$160,2,0),"0")</f>
        <v>0</v>
      </c>
      <c r="P211" s="95">
        <f>IFERROR(VLOOKUP(O211,S6M6!$B$1:$C$161,2,0),0)</f>
        <v>0</v>
      </c>
      <c r="Q211" s="94" t="str">
        <f>IFERROR(VLOOKUP($B211,S6M7!$A$1:$B$160,2,0),"0")</f>
        <v>0</v>
      </c>
      <c r="R211" s="95">
        <f>IFERROR(VLOOKUP(Q211,S6M7!$B$1:$C$161,2,0),0)</f>
        <v>0</v>
      </c>
      <c r="S211" s="94" t="str">
        <f>IFERROR(VLOOKUP($B211,S6M8!$A$1:$B$160,2,0),"0")</f>
        <v>0</v>
      </c>
      <c r="T211" s="95">
        <f>IFERROR(VLOOKUP(S211,S6M8!$B$1:$C$161,2,0),0)</f>
        <v>0</v>
      </c>
      <c r="U211" s="94" t="str">
        <f>IFERROR(VLOOKUP($B211,S6M9!$A$1:$B$160,2,0),"0")</f>
        <v>0</v>
      </c>
      <c r="V211" s="95">
        <f>IFERROR(VLOOKUP(U211,S6M9!$B$1:$C$161,2,0),0)</f>
        <v>0</v>
      </c>
      <c r="W211" s="94" t="str">
        <f>IFERROR(VLOOKUP($B211,S6M10!$A$1:$B$160,2,0),"0")</f>
        <v>0</v>
      </c>
      <c r="X211" s="95">
        <f>IFERROR(VLOOKUP(W211,S6M10!$B$1:$C$161,2,0),0)</f>
        <v>0</v>
      </c>
      <c r="Y211" s="94" t="str">
        <f>IFERROR(VLOOKUP($B211,S6M11!$A$1:$B$160,2,0),"0")</f>
        <v>0</v>
      </c>
      <c r="Z211" s="95">
        <f>IFERROR(VLOOKUP(Y211,S6M11!$B$1:$C$161,2,0),0)</f>
        <v>0</v>
      </c>
      <c r="AA211" s="97">
        <f>IFERROR(VLOOKUP(E211,S6M1!$B$1:$C$161,2,0),0)</f>
        <v>0</v>
      </c>
      <c r="AB211" s="97">
        <f>IFERROR(VLOOKUP(G211,S6M2!$B$1:$C$161,2,0),0)</f>
        <v>0</v>
      </c>
      <c r="AC211" s="97">
        <f>IFERROR(VLOOKUP(I211,S6M3!$B$1:$C$161,2,0),0)</f>
        <v>0</v>
      </c>
      <c r="AD211" s="97">
        <f>IFERROR(VLOOKUP(K211,S6M4!$B$1:$C$161,2,0),0)</f>
        <v>0</v>
      </c>
      <c r="AE211" s="97">
        <f>IFERROR(VLOOKUP(M211,S6M5!$B$1:$C$161,2,0),0)</f>
        <v>0</v>
      </c>
      <c r="AF211" s="97">
        <f>IFERROR(VLOOKUP(O211,S6M6!$B$1:$C$161,2,0),0)</f>
        <v>0</v>
      </c>
      <c r="AG211" s="97">
        <f>IFERROR(VLOOKUP(Q211,S6M7!$B$1:$C$161,2,0),0)</f>
        <v>0</v>
      </c>
      <c r="AH211" s="97">
        <f>IFERROR(VLOOKUP(S211,S6M8!$B$1:$C$161,2,0),0)</f>
        <v>0</v>
      </c>
      <c r="AI211" s="97">
        <f>IFERROR(VLOOKUP(U211,S6M9!$B$1:$C$161,2,0),0)</f>
        <v>0</v>
      </c>
      <c r="AJ211" s="97">
        <f>IFERROR(VLOOKUP(W211,S6M10!$B$1:$C$161,2,0),0)</f>
        <v>0</v>
      </c>
      <c r="AK211" s="97">
        <f>IFERROR(VLOOKUP(Y211,S6M11!$B$1:$C$161,2,0),0)</f>
        <v>0</v>
      </c>
    </row>
    <row r="212" ht="15.75" customHeight="1">
      <c r="A212" s="110">
        <v>211.0</v>
      </c>
      <c r="B212" s="103"/>
      <c r="C212" s="93">
        <f t="shared" si="2"/>
        <v>0</v>
      </c>
      <c r="D212" s="93"/>
      <c r="E212" s="94" t="str">
        <f>IFERROR(VLOOKUP($B212,S6M1!$A$1:$B$160,2,0),"0")</f>
        <v>0</v>
      </c>
      <c r="F212" s="95">
        <f>IFERROR(VLOOKUP(E212,S6M1!$B$1:$C$161,2,0),0)</f>
        <v>0</v>
      </c>
      <c r="G212" s="94" t="str">
        <f>IFERROR(VLOOKUP($B212,S6M2!$A$1:$B$160,2,0),"0")</f>
        <v>0</v>
      </c>
      <c r="H212" s="95">
        <f>IFERROR(VLOOKUP(G212,S6M2!$B$1:$C$161,2,0),0)</f>
        <v>0</v>
      </c>
      <c r="I212" s="94">
        <f>IFERROR(VLOOKUP($B212,S6M3!$A$1:$B$161,2,0),0)</f>
        <v>0</v>
      </c>
      <c r="J212" s="95">
        <f>IFERROR(VLOOKUP(I212,S6M3!$B$1:$C$161,2,0),0)</f>
        <v>0</v>
      </c>
      <c r="K212" s="94" t="str">
        <f>IFERROR(VLOOKUP($B212,S6M4!$A$1:$B$160,2,0),"0")</f>
        <v>0</v>
      </c>
      <c r="L212" s="95">
        <f>IFERROR(VLOOKUP(K212,S6M4!$B$1:$C$161,2,0),0)</f>
        <v>0</v>
      </c>
      <c r="M212" s="94" t="str">
        <f>IFERROR(VLOOKUP($B212,S6M5!$A$1:$B$160,2,0),"0")</f>
        <v>0</v>
      </c>
      <c r="N212" s="95">
        <f>IFERROR(VLOOKUP(M212,S6M5!$B$1:$C$161,2,0),0)</f>
        <v>0</v>
      </c>
      <c r="O212" s="94" t="str">
        <f>IFERROR(VLOOKUP($B212,S6M6!$A$1:$B$160,2,0),"0")</f>
        <v>0</v>
      </c>
      <c r="P212" s="95">
        <f>IFERROR(VLOOKUP(O212,S6M6!$B$1:$C$161,2,0),0)</f>
        <v>0</v>
      </c>
      <c r="Q212" s="94" t="str">
        <f>IFERROR(VLOOKUP($B212,S6M7!$A$1:$B$160,2,0),"0")</f>
        <v>0</v>
      </c>
      <c r="R212" s="95">
        <f>IFERROR(VLOOKUP(Q212,S6M7!$B$1:$C$161,2,0),0)</f>
        <v>0</v>
      </c>
      <c r="S212" s="94" t="str">
        <f>IFERROR(VLOOKUP($B212,S6M8!$A$1:$B$160,2,0),"0")</f>
        <v>0</v>
      </c>
      <c r="T212" s="95">
        <f>IFERROR(VLOOKUP(S212,S6M8!$B$1:$C$161,2,0),0)</f>
        <v>0</v>
      </c>
      <c r="U212" s="94" t="str">
        <f>IFERROR(VLOOKUP($B212,S6M9!$A$1:$B$160,2,0),"0")</f>
        <v>0</v>
      </c>
      <c r="V212" s="95">
        <f>IFERROR(VLOOKUP(U212,S6M9!$B$1:$C$161,2,0),0)</f>
        <v>0</v>
      </c>
      <c r="W212" s="94" t="str">
        <f>IFERROR(VLOOKUP($B212,S6M10!$A$1:$B$160,2,0),"0")</f>
        <v>0</v>
      </c>
      <c r="X212" s="95">
        <f>IFERROR(VLOOKUP(W212,S6M10!$B$1:$C$161,2,0),0)</f>
        <v>0</v>
      </c>
      <c r="Y212" s="94" t="str">
        <f>IFERROR(VLOOKUP($B212,S6M11!$A$1:$B$160,2,0),"0")</f>
        <v>0</v>
      </c>
      <c r="Z212" s="95">
        <f>IFERROR(VLOOKUP(Y212,S6M11!$B$1:$C$161,2,0),0)</f>
        <v>0</v>
      </c>
      <c r="AA212" s="97">
        <f>IFERROR(VLOOKUP(E212,S6M1!$B$1:$C$161,2,0),0)</f>
        <v>0</v>
      </c>
      <c r="AB212" s="97">
        <f>IFERROR(VLOOKUP(G212,S6M2!$B$1:$C$161,2,0),0)</f>
        <v>0</v>
      </c>
      <c r="AC212" s="97">
        <f>IFERROR(VLOOKUP(I212,S6M3!$B$1:$C$161,2,0),0)</f>
        <v>0</v>
      </c>
      <c r="AD212" s="97">
        <f>IFERROR(VLOOKUP(K212,S6M4!$B$1:$C$161,2,0),0)</f>
        <v>0</v>
      </c>
      <c r="AE212" s="97">
        <f>IFERROR(VLOOKUP(M212,S6M5!$B$1:$C$161,2,0),0)</f>
        <v>0</v>
      </c>
      <c r="AF212" s="97">
        <f>IFERROR(VLOOKUP(O212,S6M6!$B$1:$C$161,2,0),0)</f>
        <v>0</v>
      </c>
      <c r="AG212" s="97">
        <f>IFERROR(VLOOKUP(Q212,S6M7!$B$1:$C$161,2,0),0)</f>
        <v>0</v>
      </c>
      <c r="AH212" s="97">
        <f>IFERROR(VLOOKUP(S212,S6M8!$B$1:$C$161,2,0),0)</f>
        <v>0</v>
      </c>
      <c r="AI212" s="97">
        <f>IFERROR(VLOOKUP(U212,S6M9!$B$1:$C$161,2,0),0)</f>
        <v>0</v>
      </c>
      <c r="AJ212" s="97">
        <f>IFERROR(VLOOKUP(W212,S6M10!$B$1:$C$161,2,0),0)</f>
        <v>0</v>
      </c>
      <c r="AK212" s="97">
        <f>IFERROR(VLOOKUP(Y212,S6M11!$B$1:$C$161,2,0),0)</f>
        <v>0</v>
      </c>
    </row>
    <row r="213" ht="15.75" customHeight="1">
      <c r="A213" s="110">
        <v>212.0</v>
      </c>
      <c r="B213" s="103"/>
      <c r="C213" s="93">
        <f t="shared" si="2"/>
        <v>0</v>
      </c>
      <c r="D213" s="93"/>
      <c r="E213" s="94" t="str">
        <f>IFERROR(VLOOKUP($B213,S6M1!$A$1:$B$160,2,0),"0")</f>
        <v>0</v>
      </c>
      <c r="F213" s="95">
        <f>IFERROR(VLOOKUP(E213,S6M1!$B$1:$C$161,2,0),0)</f>
        <v>0</v>
      </c>
      <c r="G213" s="94" t="str">
        <f>IFERROR(VLOOKUP($B213,S6M2!$A$1:$B$160,2,0),"0")</f>
        <v>0</v>
      </c>
      <c r="H213" s="95">
        <f>IFERROR(VLOOKUP(G213,S6M2!$B$1:$C$161,2,0),0)</f>
        <v>0</v>
      </c>
      <c r="I213" s="94">
        <f>IFERROR(VLOOKUP($B213,S6M3!$A$1:$B$161,2,0),0)</f>
        <v>0</v>
      </c>
      <c r="J213" s="95">
        <f>IFERROR(VLOOKUP(I213,S6M3!$B$1:$C$161,2,0),0)</f>
        <v>0</v>
      </c>
      <c r="K213" s="94" t="str">
        <f>IFERROR(VLOOKUP($B213,S6M4!$A$1:$B$160,2,0),"0")</f>
        <v>0</v>
      </c>
      <c r="L213" s="95">
        <f>IFERROR(VLOOKUP(K213,S6M4!$B$1:$C$161,2,0),0)</f>
        <v>0</v>
      </c>
      <c r="M213" s="94" t="str">
        <f>IFERROR(VLOOKUP($B213,S6M5!$A$1:$B$160,2,0),"0")</f>
        <v>0</v>
      </c>
      <c r="N213" s="95">
        <f>IFERROR(VLOOKUP(M213,S6M5!$B$1:$C$161,2,0),0)</f>
        <v>0</v>
      </c>
      <c r="O213" s="94" t="str">
        <f>IFERROR(VLOOKUP($B213,S6M6!$A$1:$B$160,2,0),"0")</f>
        <v>0</v>
      </c>
      <c r="P213" s="95">
        <f>IFERROR(VLOOKUP(O213,S6M6!$B$1:$C$161,2,0),0)</f>
        <v>0</v>
      </c>
      <c r="Q213" s="94" t="str">
        <f>IFERROR(VLOOKUP($B213,S6M7!$A$1:$B$160,2,0),"0")</f>
        <v>0</v>
      </c>
      <c r="R213" s="95">
        <f>IFERROR(VLOOKUP(Q213,S6M7!$B$1:$C$161,2,0),0)</f>
        <v>0</v>
      </c>
      <c r="S213" s="94" t="str">
        <f>IFERROR(VLOOKUP($B213,S6M8!$A$1:$B$160,2,0),"0")</f>
        <v>0</v>
      </c>
      <c r="T213" s="95">
        <f>IFERROR(VLOOKUP(S213,S6M8!$B$1:$C$161,2,0),0)</f>
        <v>0</v>
      </c>
      <c r="U213" s="94" t="str">
        <f>IFERROR(VLOOKUP($B213,S6M9!$A$1:$B$160,2,0),"0")</f>
        <v>0</v>
      </c>
      <c r="V213" s="95">
        <f>IFERROR(VLOOKUP(U213,S6M9!$B$1:$C$161,2,0),0)</f>
        <v>0</v>
      </c>
      <c r="W213" s="94" t="str">
        <f>IFERROR(VLOOKUP($B213,S6M10!$A$1:$B$160,2,0),"0")</f>
        <v>0</v>
      </c>
      <c r="X213" s="95">
        <f>IFERROR(VLOOKUP(W213,S6M10!$B$1:$C$161,2,0),0)</f>
        <v>0</v>
      </c>
      <c r="Y213" s="94" t="str">
        <f>IFERROR(VLOOKUP($B213,S6M11!$A$1:$B$160,2,0),"0")</f>
        <v>0</v>
      </c>
      <c r="Z213" s="95">
        <f>IFERROR(VLOOKUP(Y213,S6M11!$B$1:$C$161,2,0),0)</f>
        <v>0</v>
      </c>
      <c r="AA213" s="97">
        <f>IFERROR(VLOOKUP(E213,S6M1!$B$1:$C$161,2,0),0)</f>
        <v>0</v>
      </c>
      <c r="AB213" s="97">
        <f>IFERROR(VLOOKUP(G213,S6M2!$B$1:$C$161,2,0),0)</f>
        <v>0</v>
      </c>
      <c r="AC213" s="97">
        <f>IFERROR(VLOOKUP(I213,S6M3!$B$1:$C$161,2,0),0)</f>
        <v>0</v>
      </c>
      <c r="AD213" s="97">
        <f>IFERROR(VLOOKUP(K213,S6M4!$B$1:$C$161,2,0),0)</f>
        <v>0</v>
      </c>
      <c r="AE213" s="97">
        <f>IFERROR(VLOOKUP(M213,S6M5!$B$1:$C$161,2,0),0)</f>
        <v>0</v>
      </c>
      <c r="AF213" s="97">
        <f>IFERROR(VLOOKUP(O213,S6M6!$B$1:$C$161,2,0),0)</f>
        <v>0</v>
      </c>
      <c r="AG213" s="97">
        <f>IFERROR(VLOOKUP(Q213,S6M7!$B$1:$C$161,2,0),0)</f>
        <v>0</v>
      </c>
      <c r="AH213" s="97">
        <f>IFERROR(VLOOKUP(S213,S6M8!$B$1:$C$161,2,0),0)</f>
        <v>0</v>
      </c>
      <c r="AI213" s="97">
        <f>IFERROR(VLOOKUP(U213,S6M9!$B$1:$C$161,2,0),0)</f>
        <v>0</v>
      </c>
      <c r="AJ213" s="97">
        <f>IFERROR(VLOOKUP(W213,S6M10!$B$1:$C$161,2,0),0)</f>
        <v>0</v>
      </c>
      <c r="AK213" s="97">
        <f>IFERROR(VLOOKUP(Y213,S6M11!$B$1:$C$161,2,0),0)</f>
        <v>0</v>
      </c>
    </row>
    <row r="214" ht="15.75" customHeight="1">
      <c r="A214" s="110">
        <v>213.0</v>
      </c>
      <c r="B214" s="103"/>
      <c r="C214" s="93">
        <f t="shared" si="2"/>
        <v>0</v>
      </c>
      <c r="D214" s="93"/>
      <c r="E214" s="94" t="str">
        <f>IFERROR(VLOOKUP($B214,S6M1!$A$1:$B$160,2,0),"0")</f>
        <v>0</v>
      </c>
      <c r="F214" s="95">
        <f>IFERROR(VLOOKUP(E214,S6M1!$B$1:$C$161,2,0),0)</f>
        <v>0</v>
      </c>
      <c r="G214" s="94" t="str">
        <f>IFERROR(VLOOKUP($B214,S6M2!$A$1:$B$160,2,0),"0")</f>
        <v>0</v>
      </c>
      <c r="H214" s="95">
        <f>IFERROR(VLOOKUP(G214,S6M2!$B$1:$C$161,2,0),0)</f>
        <v>0</v>
      </c>
      <c r="I214" s="94">
        <f>IFERROR(VLOOKUP($B214,S6M3!$A$1:$B$161,2,0),0)</f>
        <v>0</v>
      </c>
      <c r="J214" s="95">
        <f>IFERROR(VLOOKUP(I214,S6M3!$B$1:$C$161,2,0),0)</f>
        <v>0</v>
      </c>
      <c r="K214" s="94" t="str">
        <f>IFERROR(VLOOKUP($B214,S6M4!$A$1:$B$160,2,0),"0")</f>
        <v>0</v>
      </c>
      <c r="L214" s="95">
        <f>IFERROR(VLOOKUP(K214,S6M4!$B$1:$C$161,2,0),0)</f>
        <v>0</v>
      </c>
      <c r="M214" s="94" t="str">
        <f>IFERROR(VLOOKUP($B214,S6M5!$A$1:$B$160,2,0),"0")</f>
        <v>0</v>
      </c>
      <c r="N214" s="95">
        <f>IFERROR(VLOOKUP(M214,S6M5!$B$1:$C$161,2,0),0)</f>
        <v>0</v>
      </c>
      <c r="O214" s="94" t="str">
        <f>IFERROR(VLOOKUP($B214,S6M6!$A$1:$B$160,2,0),"0")</f>
        <v>0</v>
      </c>
      <c r="P214" s="95">
        <f>IFERROR(VLOOKUP(O214,S6M6!$B$1:$C$161,2,0),0)</f>
        <v>0</v>
      </c>
      <c r="Q214" s="94" t="str">
        <f>IFERROR(VLOOKUP($B214,S6M7!$A$1:$B$160,2,0),"0")</f>
        <v>0</v>
      </c>
      <c r="R214" s="95">
        <f>IFERROR(VLOOKUP(Q214,S6M7!$B$1:$C$161,2,0),0)</f>
        <v>0</v>
      </c>
      <c r="S214" s="94" t="str">
        <f>IFERROR(VLOOKUP($B214,S6M8!$A$1:$B$160,2,0),"0")</f>
        <v>0</v>
      </c>
      <c r="T214" s="95">
        <f>IFERROR(VLOOKUP(S214,S6M8!$B$1:$C$161,2,0),0)</f>
        <v>0</v>
      </c>
      <c r="U214" s="94" t="str">
        <f>IFERROR(VLOOKUP($B214,S6M9!$A$1:$B$160,2,0),"0")</f>
        <v>0</v>
      </c>
      <c r="V214" s="95">
        <f>IFERROR(VLOOKUP(U214,S6M9!$B$1:$C$161,2,0),0)</f>
        <v>0</v>
      </c>
      <c r="W214" s="94" t="str">
        <f>IFERROR(VLOOKUP($B214,S6M10!$A$1:$B$160,2,0),"0")</f>
        <v>0</v>
      </c>
      <c r="X214" s="95">
        <f>IFERROR(VLOOKUP(W214,S6M10!$B$1:$C$161,2,0),0)</f>
        <v>0</v>
      </c>
      <c r="Y214" s="94" t="str">
        <f>IFERROR(VLOOKUP($B214,S6M11!$A$1:$B$160,2,0),"0")</f>
        <v>0</v>
      </c>
      <c r="Z214" s="95">
        <f>IFERROR(VLOOKUP(Y214,S6M11!$B$1:$C$161,2,0),0)</f>
        <v>0</v>
      </c>
      <c r="AA214" s="97">
        <f>IFERROR(VLOOKUP(E214,S6M1!$B$1:$C$161,2,0),0)</f>
        <v>0</v>
      </c>
      <c r="AB214" s="97">
        <f>IFERROR(VLOOKUP(G214,S6M2!$B$1:$C$161,2,0),0)</f>
        <v>0</v>
      </c>
      <c r="AC214" s="97">
        <f>IFERROR(VLOOKUP(I214,S6M3!$B$1:$C$161,2,0),0)</f>
        <v>0</v>
      </c>
      <c r="AD214" s="97">
        <f>IFERROR(VLOOKUP(K214,S6M4!$B$1:$C$161,2,0),0)</f>
        <v>0</v>
      </c>
      <c r="AE214" s="97">
        <f>IFERROR(VLOOKUP(M214,S6M5!$B$1:$C$161,2,0),0)</f>
        <v>0</v>
      </c>
      <c r="AF214" s="97">
        <f>IFERROR(VLOOKUP(O214,S6M6!$B$1:$C$161,2,0),0)</f>
        <v>0</v>
      </c>
      <c r="AG214" s="97">
        <f>IFERROR(VLOOKUP(Q214,S6M7!$B$1:$C$161,2,0),0)</f>
        <v>0</v>
      </c>
      <c r="AH214" s="97">
        <f>IFERROR(VLOOKUP(S214,S6M8!$B$1:$C$161,2,0),0)</f>
        <v>0</v>
      </c>
      <c r="AI214" s="97">
        <f>IFERROR(VLOOKUP(U214,S6M9!$B$1:$C$161,2,0),0)</f>
        <v>0</v>
      </c>
      <c r="AJ214" s="97">
        <f>IFERROR(VLOOKUP(W214,S6M10!$B$1:$C$161,2,0),0)</f>
        <v>0</v>
      </c>
      <c r="AK214" s="97">
        <f>IFERROR(VLOOKUP(Y214,S6M11!$B$1:$C$161,2,0),0)</f>
        <v>0</v>
      </c>
    </row>
    <row r="215" ht="15.75" customHeight="1">
      <c r="A215" s="110">
        <v>214.0</v>
      </c>
      <c r="B215" s="103"/>
      <c r="C215" s="93">
        <f t="shared" si="2"/>
        <v>0</v>
      </c>
      <c r="D215" s="93"/>
      <c r="E215" s="94" t="str">
        <f>IFERROR(VLOOKUP($B215,S6M1!$A$1:$B$160,2,0),"0")</f>
        <v>0</v>
      </c>
      <c r="F215" s="95">
        <f>IFERROR(VLOOKUP(E215,S6M1!$B$1:$C$161,2,0),0)</f>
        <v>0</v>
      </c>
      <c r="G215" s="94" t="str">
        <f>IFERROR(VLOOKUP($B215,S6M2!$A$1:$B$160,2,0),"0")</f>
        <v>0</v>
      </c>
      <c r="H215" s="95">
        <f>IFERROR(VLOOKUP(G215,S6M2!$B$1:$C$161,2,0),0)</f>
        <v>0</v>
      </c>
      <c r="I215" s="94">
        <f>IFERROR(VLOOKUP($B215,S6M3!$A$1:$B$161,2,0),0)</f>
        <v>0</v>
      </c>
      <c r="J215" s="95">
        <f>IFERROR(VLOOKUP(I215,S6M3!$B$1:$C$161,2,0),0)</f>
        <v>0</v>
      </c>
      <c r="K215" s="94" t="str">
        <f>IFERROR(VLOOKUP($B215,S6M4!$A$1:$B$160,2,0),"0")</f>
        <v>0</v>
      </c>
      <c r="L215" s="95">
        <f>IFERROR(VLOOKUP(K215,S6M4!$B$1:$C$161,2,0),0)</f>
        <v>0</v>
      </c>
      <c r="M215" s="94" t="str">
        <f>IFERROR(VLOOKUP($B215,S6M5!$A$1:$B$160,2,0),"0")</f>
        <v>0</v>
      </c>
      <c r="N215" s="95">
        <f>IFERROR(VLOOKUP(M215,S6M5!$B$1:$C$161,2,0),0)</f>
        <v>0</v>
      </c>
      <c r="O215" s="94" t="str">
        <f>IFERROR(VLOOKUP($B215,S6M6!$A$1:$B$160,2,0),"0")</f>
        <v>0</v>
      </c>
      <c r="P215" s="95">
        <f>IFERROR(VLOOKUP(O215,S6M6!$B$1:$C$161,2,0),0)</f>
        <v>0</v>
      </c>
      <c r="Q215" s="94" t="str">
        <f>IFERROR(VLOOKUP($B215,S6M7!$A$1:$B$160,2,0),"0")</f>
        <v>0</v>
      </c>
      <c r="R215" s="95">
        <f>IFERROR(VLOOKUP(Q215,S6M7!$B$1:$C$161,2,0),0)</f>
        <v>0</v>
      </c>
      <c r="S215" s="94" t="str">
        <f>IFERROR(VLOOKUP($B215,S6M8!$A$1:$B$160,2,0),"0")</f>
        <v>0</v>
      </c>
      <c r="T215" s="95">
        <f>IFERROR(VLOOKUP(S215,S6M8!$B$1:$C$161,2,0),0)</f>
        <v>0</v>
      </c>
      <c r="U215" s="94" t="str">
        <f>IFERROR(VLOOKUP($B215,S6M9!$A$1:$B$160,2,0),"0")</f>
        <v>0</v>
      </c>
      <c r="V215" s="95">
        <f>IFERROR(VLOOKUP(U215,S6M9!$B$1:$C$161,2,0),0)</f>
        <v>0</v>
      </c>
      <c r="W215" s="94" t="str">
        <f>IFERROR(VLOOKUP($B215,S6M10!$A$1:$B$160,2,0),"0")</f>
        <v>0</v>
      </c>
      <c r="X215" s="95">
        <f>IFERROR(VLOOKUP(W215,S6M10!$B$1:$C$161,2,0),0)</f>
        <v>0</v>
      </c>
      <c r="Y215" s="94" t="str">
        <f>IFERROR(VLOOKUP($B215,S6M11!$A$1:$B$160,2,0),"0")</f>
        <v>0</v>
      </c>
      <c r="Z215" s="95">
        <f>IFERROR(VLOOKUP(Y215,S6M11!$B$1:$C$161,2,0),0)</f>
        <v>0</v>
      </c>
      <c r="AA215" s="97">
        <f>IFERROR(VLOOKUP(E215,S6M1!$B$1:$C$161,2,0),0)</f>
        <v>0</v>
      </c>
      <c r="AB215" s="97">
        <f>IFERROR(VLOOKUP(G215,S6M2!$B$1:$C$161,2,0),0)</f>
        <v>0</v>
      </c>
      <c r="AC215" s="97">
        <f>IFERROR(VLOOKUP(I215,S6M3!$B$1:$C$161,2,0),0)</f>
        <v>0</v>
      </c>
      <c r="AD215" s="97">
        <f>IFERROR(VLOOKUP(K215,S6M4!$B$1:$C$161,2,0),0)</f>
        <v>0</v>
      </c>
      <c r="AE215" s="97">
        <f>IFERROR(VLOOKUP(M215,S6M5!$B$1:$C$161,2,0),0)</f>
        <v>0</v>
      </c>
      <c r="AF215" s="97">
        <f>IFERROR(VLOOKUP(O215,S6M6!$B$1:$C$161,2,0),0)</f>
        <v>0</v>
      </c>
      <c r="AG215" s="97">
        <f>IFERROR(VLOOKUP(Q215,S6M7!$B$1:$C$161,2,0),0)</f>
        <v>0</v>
      </c>
      <c r="AH215" s="97">
        <f>IFERROR(VLOOKUP(S215,S6M8!$B$1:$C$161,2,0),0)</f>
        <v>0</v>
      </c>
      <c r="AI215" s="97">
        <f>IFERROR(VLOOKUP(U215,S6M9!$B$1:$C$161,2,0),0)</f>
        <v>0</v>
      </c>
      <c r="AJ215" s="97">
        <f>IFERROR(VLOOKUP(W215,S6M10!$B$1:$C$161,2,0),0)</f>
        <v>0</v>
      </c>
      <c r="AK215" s="97">
        <f>IFERROR(VLOOKUP(Y215,S6M11!$B$1:$C$161,2,0),0)</f>
        <v>0</v>
      </c>
    </row>
    <row r="216" ht="15.75" customHeight="1">
      <c r="A216" s="110">
        <v>215.0</v>
      </c>
      <c r="B216" s="103"/>
      <c r="C216" s="93">
        <f t="shared" si="2"/>
        <v>0</v>
      </c>
      <c r="D216" s="93"/>
      <c r="E216" s="94" t="str">
        <f>IFERROR(VLOOKUP($B216,S6M1!$A$1:$B$160,2,0),"0")</f>
        <v>0</v>
      </c>
      <c r="F216" s="95">
        <f>IFERROR(VLOOKUP(E216,S6M1!$B$1:$C$161,2,0),0)</f>
        <v>0</v>
      </c>
      <c r="G216" s="94" t="str">
        <f>IFERROR(VLOOKUP($B216,S6M2!$A$1:$B$160,2,0),"0")</f>
        <v>0</v>
      </c>
      <c r="H216" s="95">
        <f>IFERROR(VLOOKUP(G216,S6M2!$B$1:$C$161,2,0),0)</f>
        <v>0</v>
      </c>
      <c r="I216" s="94">
        <f>IFERROR(VLOOKUP($B216,S6M3!$A$1:$B$161,2,0),0)</f>
        <v>0</v>
      </c>
      <c r="J216" s="95">
        <f>IFERROR(VLOOKUP(I216,S6M3!$B$1:$C$161,2,0),0)</f>
        <v>0</v>
      </c>
      <c r="K216" s="94" t="str">
        <f>IFERROR(VLOOKUP($B216,S6M4!$A$1:$B$160,2,0),"0")</f>
        <v>0</v>
      </c>
      <c r="L216" s="95">
        <f>IFERROR(VLOOKUP(K216,S6M4!$B$1:$C$161,2,0),0)</f>
        <v>0</v>
      </c>
      <c r="M216" s="94" t="str">
        <f>IFERROR(VLOOKUP($B216,S6M5!$A$1:$B$160,2,0),"0")</f>
        <v>0</v>
      </c>
      <c r="N216" s="95">
        <f>IFERROR(VLOOKUP(M216,S6M5!$B$1:$C$161,2,0),0)</f>
        <v>0</v>
      </c>
      <c r="O216" s="94" t="str">
        <f>IFERROR(VLOOKUP($B216,S6M6!$A$1:$B$160,2,0),"0")</f>
        <v>0</v>
      </c>
      <c r="P216" s="95">
        <f>IFERROR(VLOOKUP(O216,S6M6!$B$1:$C$161,2,0),0)</f>
        <v>0</v>
      </c>
      <c r="Q216" s="94" t="str">
        <f>IFERROR(VLOOKUP($B216,S6M7!$A$1:$B$160,2,0),"0")</f>
        <v>0</v>
      </c>
      <c r="R216" s="95">
        <f>IFERROR(VLOOKUP(Q216,S6M7!$B$1:$C$161,2,0),0)</f>
        <v>0</v>
      </c>
      <c r="S216" s="94" t="str">
        <f>IFERROR(VLOOKUP($B216,S6M8!$A$1:$B$160,2,0),"0")</f>
        <v>0</v>
      </c>
      <c r="T216" s="95">
        <f>IFERROR(VLOOKUP(S216,S6M8!$B$1:$C$161,2,0),0)</f>
        <v>0</v>
      </c>
      <c r="U216" s="94" t="str">
        <f>IFERROR(VLOOKUP($B216,S6M9!$A$1:$B$160,2,0),"0")</f>
        <v>0</v>
      </c>
      <c r="V216" s="95">
        <f>IFERROR(VLOOKUP(U216,S6M9!$B$1:$C$161,2,0),0)</f>
        <v>0</v>
      </c>
      <c r="W216" s="94" t="str">
        <f>IFERROR(VLOOKUP($B216,S6M10!$A$1:$B$160,2,0),"0")</f>
        <v>0</v>
      </c>
      <c r="X216" s="95">
        <f>IFERROR(VLOOKUP(W216,S6M10!$B$1:$C$161,2,0),0)</f>
        <v>0</v>
      </c>
      <c r="Y216" s="94" t="str">
        <f>IFERROR(VLOOKUP($B216,S6M11!$A$1:$B$160,2,0),"0")</f>
        <v>0</v>
      </c>
      <c r="Z216" s="95">
        <f>IFERROR(VLOOKUP(Y216,S6M11!$B$1:$C$161,2,0),0)</f>
        <v>0</v>
      </c>
      <c r="AA216" s="97">
        <f>IFERROR(VLOOKUP(E216,S6M1!$B$1:$C$161,2,0),0)</f>
        <v>0</v>
      </c>
      <c r="AB216" s="97">
        <f>IFERROR(VLOOKUP(G216,S6M2!$B$1:$C$161,2,0),0)</f>
        <v>0</v>
      </c>
      <c r="AC216" s="97">
        <f>IFERROR(VLOOKUP(I216,S6M3!$B$1:$C$161,2,0),0)</f>
        <v>0</v>
      </c>
      <c r="AD216" s="97">
        <f>IFERROR(VLOOKUP(K216,S6M4!$B$1:$C$161,2,0),0)</f>
        <v>0</v>
      </c>
      <c r="AE216" s="97">
        <f>IFERROR(VLOOKUP(M216,S6M5!$B$1:$C$161,2,0),0)</f>
        <v>0</v>
      </c>
      <c r="AF216" s="97">
        <f>IFERROR(VLOOKUP(O216,S6M6!$B$1:$C$161,2,0),0)</f>
        <v>0</v>
      </c>
      <c r="AG216" s="97">
        <f>IFERROR(VLOOKUP(Q216,S6M7!$B$1:$C$161,2,0),0)</f>
        <v>0</v>
      </c>
      <c r="AH216" s="97">
        <f>IFERROR(VLOOKUP(S216,S6M8!$B$1:$C$161,2,0),0)</f>
        <v>0</v>
      </c>
      <c r="AI216" s="97">
        <f>IFERROR(VLOOKUP(U216,S6M9!$B$1:$C$161,2,0),0)</f>
        <v>0</v>
      </c>
      <c r="AJ216" s="97">
        <f>IFERROR(VLOOKUP(W216,S6M10!$B$1:$C$161,2,0),0)</f>
        <v>0</v>
      </c>
      <c r="AK216" s="97">
        <f>IFERROR(VLOOKUP(Y216,S6M11!$B$1:$C$161,2,0),0)</f>
        <v>0</v>
      </c>
    </row>
    <row r="217" ht="15.75" customHeight="1">
      <c r="A217" s="110">
        <v>216.0</v>
      </c>
      <c r="B217" s="103"/>
      <c r="C217" s="93">
        <f t="shared" si="2"/>
        <v>0</v>
      </c>
      <c r="D217" s="93"/>
      <c r="E217" s="94" t="str">
        <f>IFERROR(VLOOKUP($B217,S6M1!$A$1:$B$160,2,0),"0")</f>
        <v>0</v>
      </c>
      <c r="F217" s="95">
        <f>IFERROR(VLOOKUP(E217,S6M1!$B$1:$C$161,2,0),0)</f>
        <v>0</v>
      </c>
      <c r="G217" s="94" t="str">
        <f>IFERROR(VLOOKUP($B217,S6M2!$A$1:$B$160,2,0),"0")</f>
        <v>0</v>
      </c>
      <c r="H217" s="95">
        <f>IFERROR(VLOOKUP(G217,S6M2!$B$1:$C$161,2,0),0)</f>
        <v>0</v>
      </c>
      <c r="I217" s="94">
        <f>IFERROR(VLOOKUP($B217,S6M3!$A$1:$B$161,2,0),0)</f>
        <v>0</v>
      </c>
      <c r="J217" s="95">
        <f>IFERROR(VLOOKUP(I217,S6M3!$B$1:$C$161,2,0),0)</f>
        <v>0</v>
      </c>
      <c r="K217" s="94" t="str">
        <f>IFERROR(VLOOKUP($B217,S6M4!$A$1:$B$160,2,0),"0")</f>
        <v>0</v>
      </c>
      <c r="L217" s="95">
        <f>IFERROR(VLOOKUP(K217,S6M4!$B$1:$C$161,2,0),0)</f>
        <v>0</v>
      </c>
      <c r="M217" s="94" t="str">
        <f>IFERROR(VLOOKUP($B217,S6M5!$A$1:$B$160,2,0),"0")</f>
        <v>0</v>
      </c>
      <c r="N217" s="95">
        <f>IFERROR(VLOOKUP(M217,S6M5!$B$1:$C$161,2,0),0)</f>
        <v>0</v>
      </c>
      <c r="O217" s="94" t="str">
        <f>IFERROR(VLOOKUP($B217,S6M6!$A$1:$B$160,2,0),"0")</f>
        <v>0</v>
      </c>
      <c r="P217" s="95">
        <f>IFERROR(VLOOKUP(O217,S6M6!$B$1:$C$161,2,0),0)</f>
        <v>0</v>
      </c>
      <c r="Q217" s="94" t="str">
        <f>IFERROR(VLOOKUP($B217,S6M7!$A$1:$B$160,2,0),"0")</f>
        <v>0</v>
      </c>
      <c r="R217" s="95">
        <f>IFERROR(VLOOKUP(Q217,S6M7!$B$1:$C$161,2,0),0)</f>
        <v>0</v>
      </c>
      <c r="S217" s="94" t="str">
        <f>IFERROR(VLOOKUP($B217,S6M8!$A$1:$B$160,2,0),"0")</f>
        <v>0</v>
      </c>
      <c r="T217" s="95">
        <f>IFERROR(VLOOKUP(S217,S6M8!$B$1:$C$161,2,0),0)</f>
        <v>0</v>
      </c>
      <c r="U217" s="94" t="str">
        <f>IFERROR(VLOOKUP($B217,S6M9!$A$1:$B$160,2,0),"0")</f>
        <v>0</v>
      </c>
      <c r="V217" s="95">
        <f>IFERROR(VLOOKUP(U217,S6M9!$B$1:$C$161,2,0),0)</f>
        <v>0</v>
      </c>
      <c r="W217" s="94" t="str">
        <f>IFERROR(VLOOKUP($B217,S6M10!$A$1:$B$160,2,0),"0")</f>
        <v>0</v>
      </c>
      <c r="X217" s="95">
        <f>IFERROR(VLOOKUP(W217,S6M10!$B$1:$C$161,2,0),0)</f>
        <v>0</v>
      </c>
      <c r="Y217" s="94" t="str">
        <f>IFERROR(VLOOKUP($B217,S6M11!$A$1:$B$160,2,0),"0")</f>
        <v>0</v>
      </c>
      <c r="Z217" s="95">
        <f>IFERROR(VLOOKUP(Y217,S6M11!$B$1:$C$161,2,0),0)</f>
        <v>0</v>
      </c>
      <c r="AA217" s="97">
        <f>IFERROR(VLOOKUP(E217,S6M1!$B$1:$C$161,2,0),0)</f>
        <v>0</v>
      </c>
      <c r="AB217" s="97">
        <f>IFERROR(VLOOKUP(G217,S6M2!$B$1:$C$161,2,0),0)</f>
        <v>0</v>
      </c>
      <c r="AC217" s="97">
        <f>IFERROR(VLOOKUP(I217,S6M3!$B$1:$C$161,2,0),0)</f>
        <v>0</v>
      </c>
      <c r="AD217" s="97">
        <f>IFERROR(VLOOKUP(K217,S6M4!$B$1:$C$161,2,0),0)</f>
        <v>0</v>
      </c>
      <c r="AE217" s="97">
        <f>IFERROR(VLOOKUP(M217,S6M5!$B$1:$C$161,2,0),0)</f>
        <v>0</v>
      </c>
      <c r="AF217" s="97">
        <f>IFERROR(VLOOKUP(O217,S6M6!$B$1:$C$161,2,0),0)</f>
        <v>0</v>
      </c>
      <c r="AG217" s="97">
        <f>IFERROR(VLOOKUP(Q217,S6M7!$B$1:$C$161,2,0),0)</f>
        <v>0</v>
      </c>
      <c r="AH217" s="97">
        <f>IFERROR(VLOOKUP(S217,S6M8!$B$1:$C$161,2,0),0)</f>
        <v>0</v>
      </c>
      <c r="AI217" s="97">
        <f>IFERROR(VLOOKUP(U217,S6M9!$B$1:$C$161,2,0),0)</f>
        <v>0</v>
      </c>
      <c r="AJ217" s="97">
        <f>IFERROR(VLOOKUP(W217,S6M10!$B$1:$C$161,2,0),0)</f>
        <v>0</v>
      </c>
      <c r="AK217" s="97">
        <f>IFERROR(VLOOKUP(Y217,S6M11!$B$1:$C$161,2,0),0)</f>
        <v>0</v>
      </c>
    </row>
    <row r="218" ht="15.75" customHeight="1">
      <c r="A218" s="110">
        <v>217.0</v>
      </c>
      <c r="B218" s="103"/>
      <c r="C218" s="93">
        <f t="shared" si="2"/>
        <v>0</v>
      </c>
      <c r="D218" s="93"/>
      <c r="E218" s="94" t="str">
        <f>IFERROR(VLOOKUP($B218,S6M1!$A$1:$B$160,2,0),"0")</f>
        <v>0</v>
      </c>
      <c r="F218" s="95">
        <f>IFERROR(VLOOKUP(E218,S6M1!$B$1:$C$161,2,0),0)</f>
        <v>0</v>
      </c>
      <c r="G218" s="94" t="str">
        <f>IFERROR(VLOOKUP($B218,S6M2!$A$1:$B$160,2,0),"0")</f>
        <v>0</v>
      </c>
      <c r="H218" s="95">
        <f>IFERROR(VLOOKUP(G218,S6M2!$B$1:$C$161,2,0),0)</f>
        <v>0</v>
      </c>
      <c r="I218" s="94">
        <f>IFERROR(VLOOKUP($B218,S6M3!$A$1:$B$161,2,0),0)</f>
        <v>0</v>
      </c>
      <c r="J218" s="95">
        <f>IFERROR(VLOOKUP(I218,S6M3!$B$1:$C$161,2,0),0)</f>
        <v>0</v>
      </c>
      <c r="K218" s="94" t="str">
        <f>IFERROR(VLOOKUP($B218,S6M4!$A$1:$B$160,2,0),"0")</f>
        <v>0</v>
      </c>
      <c r="L218" s="95">
        <f>IFERROR(VLOOKUP(K218,S6M4!$B$1:$C$161,2,0),0)</f>
        <v>0</v>
      </c>
      <c r="M218" s="94" t="str">
        <f>IFERROR(VLOOKUP($B218,S6M5!$A$1:$B$160,2,0),"0")</f>
        <v>0</v>
      </c>
      <c r="N218" s="95">
        <f>IFERROR(VLOOKUP(M218,S6M5!$B$1:$C$161,2,0),0)</f>
        <v>0</v>
      </c>
      <c r="O218" s="94" t="str">
        <f>IFERROR(VLOOKUP($B218,S6M6!$A$1:$B$160,2,0),"0")</f>
        <v>0</v>
      </c>
      <c r="P218" s="95">
        <f>IFERROR(VLOOKUP(O218,S6M6!$B$1:$C$161,2,0),0)</f>
        <v>0</v>
      </c>
      <c r="Q218" s="94" t="str">
        <f>IFERROR(VLOOKUP($B218,S6M7!$A$1:$B$160,2,0),"0")</f>
        <v>0</v>
      </c>
      <c r="R218" s="95">
        <f>IFERROR(VLOOKUP(Q218,S6M7!$B$1:$C$161,2,0),0)</f>
        <v>0</v>
      </c>
      <c r="S218" s="94" t="str">
        <f>IFERROR(VLOOKUP($B218,S6M8!$A$1:$B$160,2,0),"0")</f>
        <v>0</v>
      </c>
      <c r="T218" s="95">
        <f>IFERROR(VLOOKUP(S218,S6M8!$B$1:$C$161,2,0),0)</f>
        <v>0</v>
      </c>
      <c r="U218" s="94" t="str">
        <f>IFERROR(VLOOKUP($B218,S6M9!$A$1:$B$160,2,0),"0")</f>
        <v>0</v>
      </c>
      <c r="V218" s="95">
        <f>IFERROR(VLOOKUP(U218,S6M9!$B$1:$C$161,2,0),0)</f>
        <v>0</v>
      </c>
      <c r="W218" s="94" t="str">
        <f>IFERROR(VLOOKUP($B218,S6M10!$A$1:$B$160,2,0),"0")</f>
        <v>0</v>
      </c>
      <c r="X218" s="95">
        <f>IFERROR(VLOOKUP(W218,S6M10!$B$1:$C$161,2,0),0)</f>
        <v>0</v>
      </c>
      <c r="Y218" s="94" t="str">
        <f>IFERROR(VLOOKUP($B218,S6M11!$A$1:$B$160,2,0),"0")</f>
        <v>0</v>
      </c>
      <c r="Z218" s="95">
        <f>IFERROR(VLOOKUP(Y218,S6M11!$B$1:$C$161,2,0),0)</f>
        <v>0</v>
      </c>
      <c r="AA218" s="97">
        <f>IFERROR(VLOOKUP(E218,S6M1!$B$1:$C$161,2,0),0)</f>
        <v>0</v>
      </c>
      <c r="AB218" s="97">
        <f>IFERROR(VLOOKUP(G218,S6M2!$B$1:$C$161,2,0),0)</f>
        <v>0</v>
      </c>
      <c r="AC218" s="97">
        <f>IFERROR(VLOOKUP(I218,S6M3!$B$1:$C$161,2,0),0)</f>
        <v>0</v>
      </c>
      <c r="AD218" s="97">
        <f>IFERROR(VLOOKUP(K218,S6M4!$B$1:$C$161,2,0),0)</f>
        <v>0</v>
      </c>
      <c r="AE218" s="97">
        <f>IFERROR(VLOOKUP(M218,S6M5!$B$1:$C$161,2,0),0)</f>
        <v>0</v>
      </c>
      <c r="AF218" s="97">
        <f>IFERROR(VLOOKUP(O218,S6M6!$B$1:$C$161,2,0),0)</f>
        <v>0</v>
      </c>
      <c r="AG218" s="97">
        <f>IFERROR(VLOOKUP(Q218,S6M7!$B$1:$C$161,2,0),0)</f>
        <v>0</v>
      </c>
      <c r="AH218" s="97">
        <f>IFERROR(VLOOKUP(S218,S6M8!$B$1:$C$161,2,0),0)</f>
        <v>0</v>
      </c>
      <c r="AI218" s="97">
        <f>IFERROR(VLOOKUP(U218,S6M9!$B$1:$C$161,2,0),0)</f>
        <v>0</v>
      </c>
      <c r="AJ218" s="97">
        <f>IFERROR(VLOOKUP(W218,S6M10!$B$1:$C$161,2,0),0)</f>
        <v>0</v>
      </c>
      <c r="AK218" s="97">
        <f>IFERROR(VLOOKUP(Y218,S6M11!$B$1:$C$161,2,0),0)</f>
        <v>0</v>
      </c>
    </row>
    <row r="219" ht="15.75" customHeight="1">
      <c r="A219" s="110">
        <v>218.0</v>
      </c>
      <c r="B219" s="103"/>
      <c r="C219" s="93">
        <f t="shared" si="2"/>
        <v>0</v>
      </c>
      <c r="D219" s="93"/>
      <c r="E219" s="94" t="str">
        <f>IFERROR(VLOOKUP($B219,S6M1!$A$1:$B$160,2,0),"0")</f>
        <v>0</v>
      </c>
      <c r="F219" s="95">
        <f>IFERROR(VLOOKUP(E219,S6M1!$B$1:$C$161,2,0),0)</f>
        <v>0</v>
      </c>
      <c r="G219" s="94" t="str">
        <f>IFERROR(VLOOKUP($B219,S6M2!$A$1:$B$160,2,0),"0")</f>
        <v>0</v>
      </c>
      <c r="H219" s="95">
        <f>IFERROR(VLOOKUP(G219,S6M2!$B$1:$C$161,2,0),0)</f>
        <v>0</v>
      </c>
      <c r="I219" s="94">
        <f>IFERROR(VLOOKUP($B219,S6M3!$A$1:$B$161,2,0),0)</f>
        <v>0</v>
      </c>
      <c r="J219" s="95">
        <f>IFERROR(VLOOKUP(I219,S6M3!$B$1:$C$161,2,0),0)</f>
        <v>0</v>
      </c>
      <c r="K219" s="94" t="str">
        <f>IFERROR(VLOOKUP($B219,S6M4!$A$1:$B$160,2,0),"0")</f>
        <v>0</v>
      </c>
      <c r="L219" s="95">
        <f>IFERROR(VLOOKUP(K219,S6M4!$B$1:$C$161,2,0),0)</f>
        <v>0</v>
      </c>
      <c r="M219" s="94" t="str">
        <f>IFERROR(VLOOKUP($B219,S6M5!$A$1:$B$160,2,0),"0")</f>
        <v>0</v>
      </c>
      <c r="N219" s="95">
        <f>IFERROR(VLOOKUP(M219,S6M5!$B$1:$C$161,2,0),0)</f>
        <v>0</v>
      </c>
      <c r="O219" s="94" t="str">
        <f>IFERROR(VLOOKUP($B219,S6M6!$A$1:$B$160,2,0),"0")</f>
        <v>0</v>
      </c>
      <c r="P219" s="95">
        <f>IFERROR(VLOOKUP(O219,S6M6!$B$1:$C$161,2,0),0)</f>
        <v>0</v>
      </c>
      <c r="Q219" s="94" t="str">
        <f>IFERROR(VLOOKUP($B219,S6M7!$A$1:$B$160,2,0),"0")</f>
        <v>0</v>
      </c>
      <c r="R219" s="95">
        <f>IFERROR(VLOOKUP(Q219,S6M7!$B$1:$C$161,2,0),0)</f>
        <v>0</v>
      </c>
      <c r="S219" s="94" t="str">
        <f>IFERROR(VLOOKUP($B219,S6M8!$A$1:$B$160,2,0),"0")</f>
        <v>0</v>
      </c>
      <c r="T219" s="95">
        <f>IFERROR(VLOOKUP(S219,S6M8!$B$1:$C$161,2,0),0)</f>
        <v>0</v>
      </c>
      <c r="U219" s="94" t="str">
        <f>IFERROR(VLOOKUP($B219,S6M9!$A$1:$B$160,2,0),"0")</f>
        <v>0</v>
      </c>
      <c r="V219" s="95">
        <f>IFERROR(VLOOKUP(U219,S6M9!$B$1:$C$161,2,0),0)</f>
        <v>0</v>
      </c>
      <c r="W219" s="94" t="str">
        <f>IFERROR(VLOOKUP($B219,S6M10!$A$1:$B$160,2,0),"0")</f>
        <v>0</v>
      </c>
      <c r="X219" s="95">
        <f>IFERROR(VLOOKUP(W219,S6M10!$B$1:$C$161,2,0),0)</f>
        <v>0</v>
      </c>
      <c r="Y219" s="94" t="str">
        <f>IFERROR(VLOOKUP($B219,S6M11!$A$1:$B$160,2,0),"0")</f>
        <v>0</v>
      </c>
      <c r="Z219" s="95">
        <f>IFERROR(VLOOKUP(Y219,S6M11!$B$1:$C$161,2,0),0)</f>
        <v>0</v>
      </c>
      <c r="AA219" s="97">
        <f>IFERROR(VLOOKUP(E219,S6M1!$B$1:$C$161,2,0),0)</f>
        <v>0</v>
      </c>
      <c r="AB219" s="97">
        <f>IFERROR(VLOOKUP(G219,S6M2!$B$1:$C$161,2,0),0)</f>
        <v>0</v>
      </c>
      <c r="AC219" s="97">
        <f>IFERROR(VLOOKUP(I219,S6M3!$B$1:$C$161,2,0),0)</f>
        <v>0</v>
      </c>
      <c r="AD219" s="97">
        <f>IFERROR(VLOOKUP(K219,S6M4!$B$1:$C$161,2,0),0)</f>
        <v>0</v>
      </c>
      <c r="AE219" s="97">
        <f>IFERROR(VLOOKUP(M219,S6M5!$B$1:$C$161,2,0),0)</f>
        <v>0</v>
      </c>
      <c r="AF219" s="97">
        <f>IFERROR(VLOOKUP(O219,S6M6!$B$1:$C$161,2,0),0)</f>
        <v>0</v>
      </c>
      <c r="AG219" s="97">
        <f>IFERROR(VLOOKUP(Q219,S6M7!$B$1:$C$161,2,0),0)</f>
        <v>0</v>
      </c>
      <c r="AH219" s="97">
        <f>IFERROR(VLOOKUP(S219,S6M8!$B$1:$C$161,2,0),0)</f>
        <v>0</v>
      </c>
      <c r="AI219" s="97">
        <f>IFERROR(VLOOKUP(U219,S6M9!$B$1:$C$161,2,0),0)</f>
        <v>0</v>
      </c>
      <c r="AJ219" s="97">
        <f>IFERROR(VLOOKUP(W219,S6M10!$B$1:$C$161,2,0),0)</f>
        <v>0</v>
      </c>
      <c r="AK219" s="97">
        <f>IFERROR(VLOOKUP(Y219,S6M11!$B$1:$C$161,2,0),0)</f>
        <v>0</v>
      </c>
    </row>
    <row r="220" ht="15.75" customHeight="1">
      <c r="A220" s="110">
        <v>219.0</v>
      </c>
      <c r="B220" s="103"/>
      <c r="C220" s="93">
        <f t="shared" si="2"/>
        <v>0</v>
      </c>
      <c r="D220" s="93"/>
      <c r="E220" s="94" t="str">
        <f>IFERROR(VLOOKUP($B220,S6M1!$A$1:$B$160,2,0),"0")</f>
        <v>0</v>
      </c>
      <c r="F220" s="95">
        <f>IFERROR(VLOOKUP(E220,S6M1!$B$1:$C$161,2,0),0)</f>
        <v>0</v>
      </c>
      <c r="G220" s="94" t="str">
        <f>IFERROR(VLOOKUP($B220,S6M2!$A$1:$B$160,2,0),"0")</f>
        <v>0</v>
      </c>
      <c r="H220" s="95">
        <f>IFERROR(VLOOKUP(G220,S6M2!$B$1:$C$161,2,0),0)</f>
        <v>0</v>
      </c>
      <c r="I220" s="94">
        <f>IFERROR(VLOOKUP($B220,S6M3!$A$1:$B$161,2,0),0)</f>
        <v>0</v>
      </c>
      <c r="J220" s="95">
        <f>IFERROR(VLOOKUP(I220,S6M3!$B$1:$C$161,2,0),0)</f>
        <v>0</v>
      </c>
      <c r="K220" s="94" t="str">
        <f>IFERROR(VLOOKUP($B220,S6M4!$A$1:$B$160,2,0),"0")</f>
        <v>0</v>
      </c>
      <c r="L220" s="95">
        <f>IFERROR(VLOOKUP(K220,S6M4!$B$1:$C$161,2,0),0)</f>
        <v>0</v>
      </c>
      <c r="M220" s="94" t="str">
        <f>IFERROR(VLOOKUP($B220,S6M5!$A$1:$B$160,2,0),"0")</f>
        <v>0</v>
      </c>
      <c r="N220" s="95">
        <f>IFERROR(VLOOKUP(M220,S6M5!$B$1:$C$161,2,0),0)</f>
        <v>0</v>
      </c>
      <c r="O220" s="94" t="str">
        <f>IFERROR(VLOOKUP($B220,S6M6!$A$1:$B$160,2,0),"0")</f>
        <v>0</v>
      </c>
      <c r="P220" s="95">
        <f>IFERROR(VLOOKUP(O220,S6M6!$B$1:$C$161,2,0),0)</f>
        <v>0</v>
      </c>
      <c r="Q220" s="94" t="str">
        <f>IFERROR(VLOOKUP($B220,S6M7!$A$1:$B$160,2,0),"0")</f>
        <v>0</v>
      </c>
      <c r="R220" s="95">
        <f>IFERROR(VLOOKUP(Q220,S6M7!$B$1:$C$161,2,0),0)</f>
        <v>0</v>
      </c>
      <c r="S220" s="94" t="str">
        <f>IFERROR(VLOOKUP($B220,S6M8!$A$1:$B$160,2,0),"0")</f>
        <v>0</v>
      </c>
      <c r="T220" s="95">
        <f>IFERROR(VLOOKUP(S220,S6M8!$B$1:$C$161,2,0),0)</f>
        <v>0</v>
      </c>
      <c r="U220" s="94" t="str">
        <f>IFERROR(VLOOKUP($B220,S6M9!$A$1:$B$160,2,0),"0")</f>
        <v>0</v>
      </c>
      <c r="V220" s="95">
        <f>IFERROR(VLOOKUP(U220,S6M9!$B$1:$C$161,2,0),0)</f>
        <v>0</v>
      </c>
      <c r="W220" s="94" t="str">
        <f>IFERROR(VLOOKUP($B220,S6M10!$A$1:$B$160,2,0),"0")</f>
        <v>0</v>
      </c>
      <c r="X220" s="95">
        <f>IFERROR(VLOOKUP(W220,S6M10!$B$1:$C$161,2,0),0)</f>
        <v>0</v>
      </c>
      <c r="Y220" s="94" t="str">
        <f>IFERROR(VLOOKUP($B220,S6M11!$A$1:$B$160,2,0),"0")</f>
        <v>0</v>
      </c>
      <c r="Z220" s="95">
        <f>IFERROR(VLOOKUP(Y220,S6M11!$B$1:$C$161,2,0),0)</f>
        <v>0</v>
      </c>
      <c r="AA220" s="97">
        <f>IFERROR(VLOOKUP(E220,S6M1!$B$1:$C$161,2,0),0)</f>
        <v>0</v>
      </c>
      <c r="AB220" s="97">
        <f>IFERROR(VLOOKUP(G220,S6M2!$B$1:$C$161,2,0),0)</f>
        <v>0</v>
      </c>
      <c r="AC220" s="97">
        <f>IFERROR(VLOOKUP(I220,S6M3!$B$1:$C$161,2,0),0)</f>
        <v>0</v>
      </c>
      <c r="AD220" s="97">
        <f>IFERROR(VLOOKUP(K220,S6M4!$B$1:$C$161,2,0),0)</f>
        <v>0</v>
      </c>
      <c r="AE220" s="97">
        <f>IFERROR(VLOOKUP(M220,S6M5!$B$1:$C$161,2,0),0)</f>
        <v>0</v>
      </c>
      <c r="AF220" s="97">
        <f>IFERROR(VLOOKUP(O220,S6M6!$B$1:$C$161,2,0),0)</f>
        <v>0</v>
      </c>
      <c r="AG220" s="97">
        <f>IFERROR(VLOOKUP(Q220,S6M7!$B$1:$C$161,2,0),0)</f>
        <v>0</v>
      </c>
      <c r="AH220" s="97">
        <f>IFERROR(VLOOKUP(S220,S6M8!$B$1:$C$161,2,0),0)</f>
        <v>0</v>
      </c>
      <c r="AI220" s="97">
        <f>IFERROR(VLOOKUP(U220,S6M9!$B$1:$C$161,2,0),0)</f>
        <v>0</v>
      </c>
      <c r="AJ220" s="97">
        <f>IFERROR(VLOOKUP(W220,S6M10!$B$1:$C$161,2,0),0)</f>
        <v>0</v>
      </c>
      <c r="AK220" s="97">
        <f>IFERROR(VLOOKUP(Y220,S6M11!$B$1:$C$161,2,0),0)</f>
        <v>0</v>
      </c>
    </row>
    <row r="221" ht="15.75" customHeight="1">
      <c r="A221" s="110">
        <v>220.0</v>
      </c>
      <c r="B221" s="103"/>
      <c r="C221" s="93">
        <f t="shared" si="2"/>
        <v>0</v>
      </c>
      <c r="D221" s="93"/>
      <c r="E221" s="94" t="str">
        <f>IFERROR(VLOOKUP($B221,S6M1!$A$1:$B$160,2,0),"0")</f>
        <v>0</v>
      </c>
      <c r="F221" s="95">
        <f>IFERROR(VLOOKUP(E221,S6M1!$B$1:$C$161,2,0),0)</f>
        <v>0</v>
      </c>
      <c r="G221" s="94" t="str">
        <f>IFERROR(VLOOKUP($B221,S6M2!$A$1:$B$160,2,0),"0")</f>
        <v>0</v>
      </c>
      <c r="H221" s="95">
        <f>IFERROR(VLOOKUP(G221,S6M2!$B$1:$C$161,2,0),0)</f>
        <v>0</v>
      </c>
      <c r="I221" s="94">
        <f>IFERROR(VLOOKUP($B221,S6M3!$A$1:$B$161,2,0),0)</f>
        <v>0</v>
      </c>
      <c r="J221" s="95">
        <f>IFERROR(VLOOKUP(I221,S6M3!$B$1:$C$161,2,0),0)</f>
        <v>0</v>
      </c>
      <c r="K221" s="94" t="str">
        <f>IFERROR(VLOOKUP($B221,S6M4!$A$1:$B$160,2,0),"0")</f>
        <v>0</v>
      </c>
      <c r="L221" s="95">
        <f>IFERROR(VLOOKUP(K221,S6M4!$B$1:$C$161,2,0),0)</f>
        <v>0</v>
      </c>
      <c r="M221" s="94" t="str">
        <f>IFERROR(VLOOKUP($B221,S6M5!$A$1:$B$160,2,0),"0")</f>
        <v>0</v>
      </c>
      <c r="N221" s="95">
        <f>IFERROR(VLOOKUP(M221,S6M5!$B$1:$C$161,2,0),0)</f>
        <v>0</v>
      </c>
      <c r="O221" s="94" t="str">
        <f>IFERROR(VLOOKUP($B221,S6M6!$A$1:$B$160,2,0),"0")</f>
        <v>0</v>
      </c>
      <c r="P221" s="95">
        <f>IFERROR(VLOOKUP(O221,S6M6!$B$1:$C$161,2,0),0)</f>
        <v>0</v>
      </c>
      <c r="Q221" s="94" t="str">
        <f>IFERROR(VLOOKUP($B221,S6M7!$A$1:$B$160,2,0),"0")</f>
        <v>0</v>
      </c>
      <c r="R221" s="95">
        <f>IFERROR(VLOOKUP(Q221,S6M7!$B$1:$C$161,2,0),0)</f>
        <v>0</v>
      </c>
      <c r="S221" s="94" t="str">
        <f>IFERROR(VLOOKUP($B221,S6M8!$A$1:$B$160,2,0),"0")</f>
        <v>0</v>
      </c>
      <c r="T221" s="95">
        <f>IFERROR(VLOOKUP(S221,S6M8!$B$1:$C$161,2,0),0)</f>
        <v>0</v>
      </c>
      <c r="U221" s="94" t="str">
        <f>IFERROR(VLOOKUP($B221,S6M9!$A$1:$B$160,2,0),"0")</f>
        <v>0</v>
      </c>
      <c r="V221" s="95">
        <f>IFERROR(VLOOKUP(U221,S6M9!$B$1:$C$161,2,0),0)</f>
        <v>0</v>
      </c>
      <c r="W221" s="94" t="str">
        <f>IFERROR(VLOOKUP($B221,S6M10!$A$1:$B$160,2,0),"0")</f>
        <v>0</v>
      </c>
      <c r="X221" s="95">
        <f>IFERROR(VLOOKUP(W221,S6M10!$B$1:$C$161,2,0),0)</f>
        <v>0</v>
      </c>
      <c r="Y221" s="94" t="str">
        <f>IFERROR(VLOOKUP($B221,S6M11!$A$1:$B$160,2,0),"0")</f>
        <v>0</v>
      </c>
      <c r="Z221" s="95">
        <f>IFERROR(VLOOKUP(Y221,S6M11!$B$1:$C$161,2,0),0)</f>
        <v>0</v>
      </c>
      <c r="AA221" s="97">
        <f>IFERROR(VLOOKUP(E221,S6M1!$B$1:$C$161,2,0),0)</f>
        <v>0</v>
      </c>
      <c r="AB221" s="97">
        <f>IFERROR(VLOOKUP(G221,S6M2!$B$1:$C$161,2,0),0)</f>
        <v>0</v>
      </c>
      <c r="AC221" s="97">
        <f>IFERROR(VLOOKUP(I221,S6M3!$B$1:$C$161,2,0),0)</f>
        <v>0</v>
      </c>
      <c r="AD221" s="97">
        <f>IFERROR(VLOOKUP(K221,S6M4!$B$1:$C$161,2,0),0)</f>
        <v>0</v>
      </c>
      <c r="AE221" s="97">
        <f>IFERROR(VLOOKUP(M221,S6M5!$B$1:$C$161,2,0),0)</f>
        <v>0</v>
      </c>
      <c r="AF221" s="97">
        <f>IFERROR(VLOOKUP(O221,S6M6!$B$1:$C$161,2,0),0)</f>
        <v>0</v>
      </c>
      <c r="AG221" s="97">
        <f>IFERROR(VLOOKUP(Q221,S6M7!$B$1:$C$161,2,0),0)</f>
        <v>0</v>
      </c>
      <c r="AH221" s="97">
        <f>IFERROR(VLOOKUP(S221,S6M8!$B$1:$C$161,2,0),0)</f>
        <v>0</v>
      </c>
      <c r="AI221" s="97">
        <f>IFERROR(VLOOKUP(U221,S6M9!$B$1:$C$161,2,0),0)</f>
        <v>0</v>
      </c>
      <c r="AJ221" s="97">
        <f>IFERROR(VLOOKUP(W221,S6M10!$B$1:$C$161,2,0),0)</f>
        <v>0</v>
      </c>
      <c r="AK221" s="97">
        <f>IFERROR(VLOOKUP(Y221,S6M11!$B$1:$C$161,2,0),0)</f>
        <v>0</v>
      </c>
    </row>
    <row r="222" ht="15.75" customHeight="1">
      <c r="A222" s="110">
        <v>221.0</v>
      </c>
      <c r="B222" s="103"/>
      <c r="C222" s="93">
        <f t="shared" si="2"/>
        <v>0</v>
      </c>
      <c r="D222" s="93"/>
      <c r="E222" s="94" t="str">
        <f>IFERROR(VLOOKUP($B222,S6M1!$A$1:$B$160,2,0),"0")</f>
        <v>0</v>
      </c>
      <c r="F222" s="95">
        <f>IFERROR(VLOOKUP(E222,S6M1!$B$1:$C$161,2,0),0)</f>
        <v>0</v>
      </c>
      <c r="G222" s="94" t="str">
        <f>IFERROR(VLOOKUP($B222,S6M2!$A$1:$B$160,2,0),"0")</f>
        <v>0</v>
      </c>
      <c r="H222" s="95">
        <f>IFERROR(VLOOKUP(G222,S6M2!$B$1:$C$161,2,0),0)</f>
        <v>0</v>
      </c>
      <c r="I222" s="94">
        <f>IFERROR(VLOOKUP($B222,S6M3!$A$1:$B$161,2,0),0)</f>
        <v>0</v>
      </c>
      <c r="J222" s="95">
        <f>IFERROR(VLOOKUP(I222,S6M3!$B$1:$C$161,2,0),0)</f>
        <v>0</v>
      </c>
      <c r="K222" s="94" t="str">
        <f>IFERROR(VLOOKUP($B222,S6M4!$A$1:$B$160,2,0),"0")</f>
        <v>0</v>
      </c>
      <c r="L222" s="95">
        <f>IFERROR(VLOOKUP(K222,S6M4!$B$1:$C$161,2,0),0)</f>
        <v>0</v>
      </c>
      <c r="M222" s="94" t="str">
        <f>IFERROR(VLOOKUP($B222,S6M5!$A$1:$B$160,2,0),"0")</f>
        <v>0</v>
      </c>
      <c r="N222" s="95">
        <f>IFERROR(VLOOKUP(M222,S6M5!$B$1:$C$161,2,0),0)</f>
        <v>0</v>
      </c>
      <c r="O222" s="94" t="str">
        <f>IFERROR(VLOOKUP($B222,S6M6!$A$1:$B$160,2,0),"0")</f>
        <v>0</v>
      </c>
      <c r="P222" s="95">
        <f>IFERROR(VLOOKUP(O222,S6M6!$B$1:$C$161,2,0),0)</f>
        <v>0</v>
      </c>
      <c r="Q222" s="94" t="str">
        <f>IFERROR(VLOOKUP($B222,S6M7!$A$1:$B$160,2,0),"0")</f>
        <v>0</v>
      </c>
      <c r="R222" s="95">
        <f>IFERROR(VLOOKUP(Q222,S6M7!$B$1:$C$161,2,0),0)</f>
        <v>0</v>
      </c>
      <c r="S222" s="94" t="str">
        <f>IFERROR(VLOOKUP($B222,S6M8!$A$1:$B$160,2,0),"0")</f>
        <v>0</v>
      </c>
      <c r="T222" s="95">
        <f>IFERROR(VLOOKUP(S222,S6M8!$B$1:$C$161,2,0),0)</f>
        <v>0</v>
      </c>
      <c r="U222" s="94" t="str">
        <f>IFERROR(VLOOKUP($B222,S6M9!$A$1:$B$160,2,0),"0")</f>
        <v>0</v>
      </c>
      <c r="V222" s="95">
        <f>IFERROR(VLOOKUP(U222,S6M9!$B$1:$C$161,2,0),0)</f>
        <v>0</v>
      </c>
      <c r="W222" s="94" t="str">
        <f>IFERROR(VLOOKUP($B222,S6M10!$A$1:$B$160,2,0),"0")</f>
        <v>0</v>
      </c>
      <c r="X222" s="95">
        <f>IFERROR(VLOOKUP(W222,S6M10!$B$1:$C$161,2,0),0)</f>
        <v>0</v>
      </c>
      <c r="Y222" s="94" t="str">
        <f>IFERROR(VLOOKUP($B222,S6M11!$A$1:$B$160,2,0),"0")</f>
        <v>0</v>
      </c>
      <c r="Z222" s="95">
        <f>IFERROR(VLOOKUP(Y222,S6M11!$B$1:$C$161,2,0),0)</f>
        <v>0</v>
      </c>
      <c r="AA222" s="97">
        <f>IFERROR(VLOOKUP(E222,S6M1!$B$1:$C$161,2,0),0)</f>
        <v>0</v>
      </c>
      <c r="AB222" s="97">
        <f>IFERROR(VLOOKUP(G222,S6M2!$B$1:$C$161,2,0),0)</f>
        <v>0</v>
      </c>
      <c r="AC222" s="97">
        <f>IFERROR(VLOOKUP(I222,S6M3!$B$1:$C$161,2,0),0)</f>
        <v>0</v>
      </c>
      <c r="AD222" s="97">
        <f>IFERROR(VLOOKUP(K222,S6M4!$B$1:$C$161,2,0),0)</f>
        <v>0</v>
      </c>
      <c r="AE222" s="97">
        <f>IFERROR(VLOOKUP(M222,S6M5!$B$1:$C$161,2,0),0)</f>
        <v>0</v>
      </c>
      <c r="AF222" s="97">
        <f>IFERROR(VLOOKUP(O222,S6M6!$B$1:$C$161,2,0),0)</f>
        <v>0</v>
      </c>
      <c r="AG222" s="97">
        <f>IFERROR(VLOOKUP(Q222,S6M7!$B$1:$C$161,2,0),0)</f>
        <v>0</v>
      </c>
      <c r="AH222" s="97">
        <f>IFERROR(VLOOKUP(S222,S6M8!$B$1:$C$161,2,0),0)</f>
        <v>0</v>
      </c>
      <c r="AI222" s="97">
        <f>IFERROR(VLOOKUP(U222,S6M9!$B$1:$C$161,2,0),0)</f>
        <v>0</v>
      </c>
      <c r="AJ222" s="97">
        <f>IFERROR(VLOOKUP(W222,S6M10!$B$1:$C$161,2,0),0)</f>
        <v>0</v>
      </c>
      <c r="AK222" s="97">
        <f>IFERROR(VLOOKUP(Y222,S6M11!$B$1:$C$161,2,0),0)</f>
        <v>0</v>
      </c>
    </row>
    <row r="223" ht="15.75" customHeight="1">
      <c r="A223" s="110">
        <v>222.0</v>
      </c>
      <c r="B223" s="103"/>
      <c r="C223" s="93">
        <f t="shared" si="2"/>
        <v>0</v>
      </c>
      <c r="D223" s="93"/>
      <c r="E223" s="94" t="str">
        <f>IFERROR(VLOOKUP($B223,S6M1!$A$1:$B$160,2,0),"0")</f>
        <v>0</v>
      </c>
      <c r="F223" s="95">
        <f>IFERROR(VLOOKUP(E223,S6M1!$B$1:$C$161,2,0),0)</f>
        <v>0</v>
      </c>
      <c r="G223" s="94" t="str">
        <f>IFERROR(VLOOKUP($B223,S6M2!$A$1:$B$160,2,0),"0")</f>
        <v>0</v>
      </c>
      <c r="H223" s="95">
        <f>IFERROR(VLOOKUP(G223,S6M2!$B$1:$C$161,2,0),0)</f>
        <v>0</v>
      </c>
      <c r="I223" s="94">
        <f>IFERROR(VLOOKUP($B223,S6M3!$A$1:$B$161,2,0),0)</f>
        <v>0</v>
      </c>
      <c r="J223" s="95">
        <f>IFERROR(VLOOKUP(I223,S6M3!$B$1:$C$161,2,0),0)</f>
        <v>0</v>
      </c>
      <c r="K223" s="94" t="str">
        <f>IFERROR(VLOOKUP($B223,S6M4!$A$1:$B$160,2,0),"0")</f>
        <v>0</v>
      </c>
      <c r="L223" s="95">
        <f>IFERROR(VLOOKUP(K223,S6M4!$B$1:$C$161,2,0),0)</f>
        <v>0</v>
      </c>
      <c r="M223" s="94" t="str">
        <f>IFERROR(VLOOKUP($B223,S6M5!$A$1:$B$160,2,0),"0")</f>
        <v>0</v>
      </c>
      <c r="N223" s="95">
        <f>IFERROR(VLOOKUP(M223,S6M5!$B$1:$C$161,2,0),0)</f>
        <v>0</v>
      </c>
      <c r="O223" s="94" t="str">
        <f>IFERROR(VLOOKUP($B223,S6M6!$A$1:$B$160,2,0),"0")</f>
        <v>0</v>
      </c>
      <c r="P223" s="95">
        <f>IFERROR(VLOOKUP(O223,S6M6!$B$1:$C$161,2,0),0)</f>
        <v>0</v>
      </c>
      <c r="Q223" s="94" t="str">
        <f>IFERROR(VLOOKUP($B223,S6M7!$A$1:$B$160,2,0),"0")</f>
        <v>0</v>
      </c>
      <c r="R223" s="95">
        <f>IFERROR(VLOOKUP(Q223,S6M7!$B$1:$C$161,2,0),0)</f>
        <v>0</v>
      </c>
      <c r="S223" s="94" t="str">
        <f>IFERROR(VLOOKUP($B223,S6M8!$A$1:$B$160,2,0),"0")</f>
        <v>0</v>
      </c>
      <c r="T223" s="95">
        <f>IFERROR(VLOOKUP(S223,S6M8!$B$1:$C$161,2,0),0)</f>
        <v>0</v>
      </c>
      <c r="U223" s="94" t="str">
        <f>IFERROR(VLOOKUP($B223,S6M9!$A$1:$B$160,2,0),"0")</f>
        <v>0</v>
      </c>
      <c r="V223" s="95">
        <f>IFERROR(VLOOKUP(U223,S6M9!$B$1:$C$161,2,0),0)</f>
        <v>0</v>
      </c>
      <c r="W223" s="94" t="str">
        <f>IFERROR(VLOOKUP($B223,S6M10!$A$1:$B$160,2,0),"0")</f>
        <v>0</v>
      </c>
      <c r="X223" s="95">
        <f>IFERROR(VLOOKUP(W223,S6M10!$B$1:$C$161,2,0),0)</f>
        <v>0</v>
      </c>
      <c r="Y223" s="94" t="str">
        <f>IFERROR(VLOOKUP($B223,S6M11!$A$1:$B$160,2,0),"0")</f>
        <v>0</v>
      </c>
      <c r="Z223" s="95">
        <f>IFERROR(VLOOKUP(Y223,S6M11!$B$1:$C$161,2,0),0)</f>
        <v>0</v>
      </c>
      <c r="AA223" s="97">
        <f>IFERROR(VLOOKUP(E223,S6M1!$B$1:$C$161,2,0),0)</f>
        <v>0</v>
      </c>
      <c r="AB223" s="97">
        <f>IFERROR(VLOOKUP(G223,S6M2!$B$1:$C$161,2,0),0)</f>
        <v>0</v>
      </c>
      <c r="AC223" s="97">
        <f>IFERROR(VLOOKUP(I223,S6M3!$B$1:$C$161,2,0),0)</f>
        <v>0</v>
      </c>
      <c r="AD223" s="97">
        <f>IFERROR(VLOOKUP(K223,S6M4!$B$1:$C$161,2,0),0)</f>
        <v>0</v>
      </c>
      <c r="AE223" s="97">
        <f>IFERROR(VLOOKUP(M223,S6M5!$B$1:$C$161,2,0),0)</f>
        <v>0</v>
      </c>
      <c r="AF223" s="97">
        <f>IFERROR(VLOOKUP(O223,S6M6!$B$1:$C$161,2,0),0)</f>
        <v>0</v>
      </c>
      <c r="AG223" s="97">
        <f>IFERROR(VLOOKUP(Q223,S6M7!$B$1:$C$161,2,0),0)</f>
        <v>0</v>
      </c>
      <c r="AH223" s="97">
        <f>IFERROR(VLOOKUP(S223,S6M8!$B$1:$C$161,2,0),0)</f>
        <v>0</v>
      </c>
      <c r="AI223" s="97">
        <f>IFERROR(VLOOKUP(U223,S6M9!$B$1:$C$161,2,0),0)</f>
        <v>0</v>
      </c>
      <c r="AJ223" s="97">
        <f>IFERROR(VLOOKUP(W223,S6M10!$B$1:$C$161,2,0),0)</f>
        <v>0</v>
      </c>
      <c r="AK223" s="97">
        <f>IFERROR(VLOOKUP(Y223,S6M11!$B$1:$C$161,2,0),0)</f>
        <v>0</v>
      </c>
    </row>
    <row r="224" ht="15.75" customHeight="1">
      <c r="A224" s="110">
        <v>223.0</v>
      </c>
      <c r="B224" s="103"/>
      <c r="C224" s="93">
        <f t="shared" si="2"/>
        <v>0</v>
      </c>
      <c r="D224" s="93"/>
      <c r="E224" s="94" t="str">
        <f>IFERROR(VLOOKUP($B224,S6M1!$A$1:$B$160,2,0),"0")</f>
        <v>0</v>
      </c>
      <c r="F224" s="95">
        <f>IFERROR(VLOOKUP(E224,S6M1!$B$1:$C$161,2,0),0)</f>
        <v>0</v>
      </c>
      <c r="G224" s="94" t="str">
        <f>IFERROR(VLOOKUP($B224,S6M2!$A$1:$B$160,2,0),"0")</f>
        <v>0</v>
      </c>
      <c r="H224" s="95">
        <f>IFERROR(VLOOKUP(G224,S6M2!$B$1:$C$161,2,0),0)</f>
        <v>0</v>
      </c>
      <c r="I224" s="94">
        <f>IFERROR(VLOOKUP($B224,S6M3!$A$1:$B$161,2,0),0)</f>
        <v>0</v>
      </c>
      <c r="J224" s="95">
        <f>IFERROR(VLOOKUP(I224,S6M3!$B$1:$C$161,2,0),0)</f>
        <v>0</v>
      </c>
      <c r="K224" s="94" t="str">
        <f>IFERROR(VLOOKUP($B224,S6M4!$A$1:$B$160,2,0),"0")</f>
        <v>0</v>
      </c>
      <c r="L224" s="95">
        <f>IFERROR(VLOOKUP(K224,S6M4!$B$1:$C$161,2,0),0)</f>
        <v>0</v>
      </c>
      <c r="M224" s="94" t="str">
        <f>IFERROR(VLOOKUP($B224,S6M5!$A$1:$B$160,2,0),"0")</f>
        <v>0</v>
      </c>
      <c r="N224" s="95">
        <f>IFERROR(VLOOKUP(M224,S6M5!$B$1:$C$161,2,0),0)</f>
        <v>0</v>
      </c>
      <c r="O224" s="94" t="str">
        <f>IFERROR(VLOOKUP($B224,S6M6!$A$1:$B$160,2,0),"0")</f>
        <v>0</v>
      </c>
      <c r="P224" s="95">
        <f>IFERROR(VLOOKUP(O224,S6M6!$B$1:$C$161,2,0),0)</f>
        <v>0</v>
      </c>
      <c r="Q224" s="94" t="str">
        <f>IFERROR(VLOOKUP($B224,S6M7!$A$1:$B$160,2,0),"0")</f>
        <v>0</v>
      </c>
      <c r="R224" s="95">
        <f>IFERROR(VLOOKUP(Q224,S6M7!$B$1:$C$161,2,0),0)</f>
        <v>0</v>
      </c>
      <c r="S224" s="94" t="str">
        <f>IFERROR(VLOOKUP($B224,S6M8!$A$1:$B$160,2,0),"0")</f>
        <v>0</v>
      </c>
      <c r="T224" s="95">
        <f>IFERROR(VLOOKUP(S224,S6M8!$B$1:$C$161,2,0),0)</f>
        <v>0</v>
      </c>
      <c r="U224" s="94" t="str">
        <f>IFERROR(VLOOKUP($B224,S6M9!$A$1:$B$160,2,0),"0")</f>
        <v>0</v>
      </c>
      <c r="V224" s="95">
        <f>IFERROR(VLOOKUP(U224,S6M9!$B$1:$C$161,2,0),0)</f>
        <v>0</v>
      </c>
      <c r="W224" s="94" t="str">
        <f>IFERROR(VLOOKUP($B224,S6M10!$A$1:$B$160,2,0),"0")</f>
        <v>0</v>
      </c>
      <c r="X224" s="95">
        <f>IFERROR(VLOOKUP(W224,S6M10!$B$1:$C$161,2,0),0)</f>
        <v>0</v>
      </c>
      <c r="Y224" s="94" t="str">
        <f>IFERROR(VLOOKUP($B224,S6M11!$A$1:$B$160,2,0),"0")</f>
        <v>0</v>
      </c>
      <c r="Z224" s="95">
        <f>IFERROR(VLOOKUP(Y224,S6M11!$B$1:$C$161,2,0),0)</f>
        <v>0</v>
      </c>
      <c r="AA224" s="97">
        <f>IFERROR(VLOOKUP(E224,S6M1!$B$1:$C$161,2,0),0)</f>
        <v>0</v>
      </c>
      <c r="AB224" s="97">
        <f>IFERROR(VLOOKUP(G224,S6M2!$B$1:$C$161,2,0),0)</f>
        <v>0</v>
      </c>
      <c r="AC224" s="97">
        <f>IFERROR(VLOOKUP(I224,S6M3!$B$1:$C$161,2,0),0)</f>
        <v>0</v>
      </c>
      <c r="AD224" s="97">
        <f>IFERROR(VLOOKUP(K224,S6M4!$B$1:$C$161,2,0),0)</f>
        <v>0</v>
      </c>
      <c r="AE224" s="97">
        <f>IFERROR(VLOOKUP(M224,S6M5!$B$1:$C$161,2,0),0)</f>
        <v>0</v>
      </c>
      <c r="AF224" s="97">
        <f>IFERROR(VLOOKUP(O224,S6M6!$B$1:$C$161,2,0),0)</f>
        <v>0</v>
      </c>
      <c r="AG224" s="97">
        <f>IFERROR(VLOOKUP(Q224,S6M7!$B$1:$C$161,2,0),0)</f>
        <v>0</v>
      </c>
      <c r="AH224" s="97">
        <f>IFERROR(VLOOKUP(S224,S6M8!$B$1:$C$161,2,0),0)</f>
        <v>0</v>
      </c>
      <c r="AI224" s="97">
        <f>IFERROR(VLOOKUP(U224,S6M9!$B$1:$C$161,2,0),0)</f>
        <v>0</v>
      </c>
      <c r="AJ224" s="97">
        <f>IFERROR(VLOOKUP(W224,S6M10!$B$1:$C$161,2,0),0)</f>
        <v>0</v>
      </c>
      <c r="AK224" s="97">
        <f>IFERROR(VLOOKUP(Y224,S6M11!$B$1:$C$161,2,0),0)</f>
        <v>0</v>
      </c>
    </row>
    <row r="225" ht="15.75" customHeight="1">
      <c r="A225" s="110">
        <v>224.0</v>
      </c>
      <c r="B225" s="103"/>
      <c r="C225" s="93">
        <f t="shared" si="2"/>
        <v>0</v>
      </c>
      <c r="D225" s="93"/>
      <c r="E225" s="94" t="str">
        <f>IFERROR(VLOOKUP($B225,S6M1!$A$1:$B$160,2,0),"0")</f>
        <v>0</v>
      </c>
      <c r="F225" s="95">
        <f>IFERROR(VLOOKUP(E225,S6M1!$B$1:$C$161,2,0),0)</f>
        <v>0</v>
      </c>
      <c r="G225" s="94" t="str">
        <f>IFERROR(VLOOKUP($B225,S6M2!$A$1:$B$160,2,0),"0")</f>
        <v>0</v>
      </c>
      <c r="H225" s="95">
        <f>IFERROR(VLOOKUP(G225,S6M2!$B$1:$C$161,2,0),0)</f>
        <v>0</v>
      </c>
      <c r="I225" s="94">
        <f>IFERROR(VLOOKUP($B225,S6M3!$A$1:$B$161,2,0),0)</f>
        <v>0</v>
      </c>
      <c r="J225" s="95">
        <f>IFERROR(VLOOKUP(I225,S6M3!$B$1:$C$161,2,0),0)</f>
        <v>0</v>
      </c>
      <c r="K225" s="94" t="str">
        <f>IFERROR(VLOOKUP($B225,S6M4!$A$1:$B$160,2,0),"0")</f>
        <v>0</v>
      </c>
      <c r="L225" s="95">
        <f>IFERROR(VLOOKUP(K225,S6M4!$B$1:$C$161,2,0),0)</f>
        <v>0</v>
      </c>
      <c r="M225" s="94" t="str">
        <f>IFERROR(VLOOKUP($B225,S6M5!$A$1:$B$160,2,0),"0")</f>
        <v>0</v>
      </c>
      <c r="N225" s="95">
        <f>IFERROR(VLOOKUP(M225,S6M5!$B$1:$C$161,2,0),0)</f>
        <v>0</v>
      </c>
      <c r="O225" s="94" t="str">
        <f>IFERROR(VLOOKUP($B225,S6M6!$A$1:$B$160,2,0),"0")</f>
        <v>0</v>
      </c>
      <c r="P225" s="95">
        <f>IFERROR(VLOOKUP(O225,S6M6!$B$1:$C$161,2,0),0)</f>
        <v>0</v>
      </c>
      <c r="Q225" s="94" t="str">
        <f>IFERROR(VLOOKUP($B225,S6M7!$A$1:$B$160,2,0),"0")</f>
        <v>0</v>
      </c>
      <c r="R225" s="95">
        <f>IFERROR(VLOOKUP(Q225,S6M7!$B$1:$C$161,2,0),0)</f>
        <v>0</v>
      </c>
      <c r="S225" s="94" t="str">
        <f>IFERROR(VLOOKUP($B225,S6M8!$A$1:$B$160,2,0),"0")</f>
        <v>0</v>
      </c>
      <c r="T225" s="95">
        <f>IFERROR(VLOOKUP(S225,S6M8!$B$1:$C$161,2,0),0)</f>
        <v>0</v>
      </c>
      <c r="U225" s="94" t="str">
        <f>IFERROR(VLOOKUP($B225,S6M9!$A$1:$B$160,2,0),"0")</f>
        <v>0</v>
      </c>
      <c r="V225" s="95">
        <f>IFERROR(VLOOKUP(U225,S6M9!$B$1:$C$161,2,0),0)</f>
        <v>0</v>
      </c>
      <c r="W225" s="94" t="str">
        <f>IFERROR(VLOOKUP($B225,S6M10!$A$1:$B$160,2,0),"0")</f>
        <v>0</v>
      </c>
      <c r="X225" s="95">
        <f>IFERROR(VLOOKUP(W225,S6M10!$B$1:$C$161,2,0),0)</f>
        <v>0</v>
      </c>
      <c r="Y225" s="94" t="str">
        <f>IFERROR(VLOOKUP($B225,S6M11!$A$1:$B$160,2,0),"0")</f>
        <v>0</v>
      </c>
      <c r="Z225" s="95">
        <f>IFERROR(VLOOKUP(Y225,S6M11!$B$1:$C$161,2,0),0)</f>
        <v>0</v>
      </c>
      <c r="AA225" s="97">
        <f>IFERROR(VLOOKUP(E225,S6M1!$B$1:$C$161,2,0),0)</f>
        <v>0</v>
      </c>
      <c r="AB225" s="97">
        <f>IFERROR(VLOOKUP(G225,S6M2!$B$1:$C$161,2,0),0)</f>
        <v>0</v>
      </c>
      <c r="AC225" s="97">
        <f>IFERROR(VLOOKUP(I225,S6M3!$B$1:$C$161,2,0),0)</f>
        <v>0</v>
      </c>
      <c r="AD225" s="97">
        <f>IFERROR(VLOOKUP(K225,S6M4!$B$1:$C$161,2,0),0)</f>
        <v>0</v>
      </c>
      <c r="AE225" s="97">
        <f>IFERROR(VLOOKUP(M225,S6M5!$B$1:$C$161,2,0),0)</f>
        <v>0</v>
      </c>
      <c r="AF225" s="97">
        <f>IFERROR(VLOOKUP(O225,S6M6!$B$1:$C$161,2,0),0)</f>
        <v>0</v>
      </c>
      <c r="AG225" s="97">
        <f>IFERROR(VLOOKUP(Q225,S6M7!$B$1:$C$161,2,0),0)</f>
        <v>0</v>
      </c>
      <c r="AH225" s="97">
        <f>IFERROR(VLOOKUP(S225,S6M8!$B$1:$C$161,2,0),0)</f>
        <v>0</v>
      </c>
      <c r="AI225" s="97">
        <f>IFERROR(VLOOKUP(U225,S6M9!$B$1:$C$161,2,0),0)</f>
        <v>0</v>
      </c>
      <c r="AJ225" s="97">
        <f>IFERROR(VLOOKUP(W225,S6M10!$B$1:$C$161,2,0),0)</f>
        <v>0</v>
      </c>
      <c r="AK225" s="97">
        <f>IFERROR(VLOOKUP(Y225,S6M11!$B$1:$C$161,2,0),0)</f>
        <v>0</v>
      </c>
    </row>
    <row r="226" ht="15.75" customHeight="1">
      <c r="A226" s="110">
        <v>225.0</v>
      </c>
      <c r="B226" s="103"/>
      <c r="C226" s="93">
        <f t="shared" si="2"/>
        <v>0</v>
      </c>
      <c r="D226" s="93"/>
      <c r="E226" s="94" t="str">
        <f>IFERROR(VLOOKUP($B226,S6M1!$A$1:$B$160,2,0),"0")</f>
        <v>0</v>
      </c>
      <c r="F226" s="95">
        <f>IFERROR(VLOOKUP(E226,S6M1!$B$1:$C$161,2,0),0)</f>
        <v>0</v>
      </c>
      <c r="G226" s="94" t="str">
        <f>IFERROR(VLOOKUP($B226,S6M2!$A$1:$B$160,2,0),"0")</f>
        <v>0</v>
      </c>
      <c r="H226" s="95">
        <f>IFERROR(VLOOKUP(G226,S6M2!$B$1:$C$161,2,0),0)</f>
        <v>0</v>
      </c>
      <c r="I226" s="94">
        <f>IFERROR(VLOOKUP($B226,S6M3!$A$1:$B$161,2,0),0)</f>
        <v>0</v>
      </c>
      <c r="J226" s="95">
        <f>IFERROR(VLOOKUP(I226,S6M3!$B$1:$C$161,2,0),0)</f>
        <v>0</v>
      </c>
      <c r="K226" s="94" t="str">
        <f>IFERROR(VLOOKUP($B226,S6M4!$A$1:$B$160,2,0),"0")</f>
        <v>0</v>
      </c>
      <c r="L226" s="95">
        <f>IFERROR(VLOOKUP(K226,S6M4!$B$1:$C$161,2,0),0)</f>
        <v>0</v>
      </c>
      <c r="M226" s="94" t="str">
        <f>IFERROR(VLOOKUP($B226,S6M5!$A$1:$B$160,2,0),"0")</f>
        <v>0</v>
      </c>
      <c r="N226" s="95">
        <f>IFERROR(VLOOKUP(M226,S6M5!$B$1:$C$161,2,0),0)</f>
        <v>0</v>
      </c>
      <c r="O226" s="94" t="str">
        <f>IFERROR(VLOOKUP($B226,S6M6!$A$1:$B$160,2,0),"0")</f>
        <v>0</v>
      </c>
      <c r="P226" s="95">
        <f>IFERROR(VLOOKUP(O226,S6M6!$B$1:$C$161,2,0),0)</f>
        <v>0</v>
      </c>
      <c r="Q226" s="94" t="str">
        <f>IFERROR(VLOOKUP($B226,S6M7!$A$1:$B$160,2,0),"0")</f>
        <v>0</v>
      </c>
      <c r="R226" s="95">
        <f>IFERROR(VLOOKUP(Q226,S6M7!$B$1:$C$161,2,0),0)</f>
        <v>0</v>
      </c>
      <c r="S226" s="94" t="str">
        <f>IFERROR(VLOOKUP($B226,S6M8!$A$1:$B$160,2,0),"0")</f>
        <v>0</v>
      </c>
      <c r="T226" s="95">
        <f>IFERROR(VLOOKUP(S226,S6M8!$B$1:$C$161,2,0),0)</f>
        <v>0</v>
      </c>
      <c r="U226" s="94" t="str">
        <f>IFERROR(VLOOKUP($B226,S6M9!$A$1:$B$160,2,0),"0")</f>
        <v>0</v>
      </c>
      <c r="V226" s="95">
        <f>IFERROR(VLOOKUP(U226,S6M9!$B$1:$C$161,2,0),0)</f>
        <v>0</v>
      </c>
      <c r="W226" s="94" t="str">
        <f>IFERROR(VLOOKUP($B226,S6M10!$A$1:$B$160,2,0),"0")</f>
        <v>0</v>
      </c>
      <c r="X226" s="95">
        <f>IFERROR(VLOOKUP(W226,S6M10!$B$1:$C$161,2,0),0)</f>
        <v>0</v>
      </c>
      <c r="Y226" s="94" t="str">
        <f>IFERROR(VLOOKUP($B226,S6M11!$A$1:$B$160,2,0),"0")</f>
        <v>0</v>
      </c>
      <c r="Z226" s="95">
        <f>IFERROR(VLOOKUP(Y226,S6M11!$B$1:$C$161,2,0),0)</f>
        <v>0</v>
      </c>
      <c r="AA226" s="97">
        <f>IFERROR(VLOOKUP(E226,S6M1!$B$1:$C$161,2,0),0)</f>
        <v>0</v>
      </c>
      <c r="AB226" s="97">
        <f>IFERROR(VLOOKUP(G226,S6M2!$B$1:$C$161,2,0),0)</f>
        <v>0</v>
      </c>
      <c r="AC226" s="97">
        <f>IFERROR(VLOOKUP(I226,S6M3!$B$1:$C$161,2,0),0)</f>
        <v>0</v>
      </c>
      <c r="AD226" s="97">
        <f>IFERROR(VLOOKUP(K226,S6M4!$B$1:$C$161,2,0),0)</f>
        <v>0</v>
      </c>
      <c r="AE226" s="97">
        <f>IFERROR(VLOOKUP(M226,S6M5!$B$1:$C$161,2,0),0)</f>
        <v>0</v>
      </c>
      <c r="AF226" s="97">
        <f>IFERROR(VLOOKUP(O226,S6M6!$B$1:$C$161,2,0),0)</f>
        <v>0</v>
      </c>
      <c r="AG226" s="97">
        <f>IFERROR(VLOOKUP(Q226,S6M7!$B$1:$C$161,2,0),0)</f>
        <v>0</v>
      </c>
      <c r="AH226" s="97">
        <f>IFERROR(VLOOKUP(S226,S6M8!$B$1:$C$161,2,0),0)</f>
        <v>0</v>
      </c>
      <c r="AI226" s="97">
        <f>IFERROR(VLOOKUP(U226,S6M9!$B$1:$C$161,2,0),0)</f>
        <v>0</v>
      </c>
      <c r="AJ226" s="97">
        <f>IFERROR(VLOOKUP(W226,S6M10!$B$1:$C$161,2,0),0)</f>
        <v>0</v>
      </c>
      <c r="AK226" s="97">
        <f>IFERROR(VLOOKUP(Y226,S6M11!$B$1:$C$161,2,0),0)</f>
        <v>0</v>
      </c>
    </row>
    <row r="227" ht="15.75" customHeight="1">
      <c r="A227" s="110">
        <v>226.0</v>
      </c>
      <c r="B227" s="103"/>
      <c r="C227" s="93">
        <f t="shared" si="2"/>
        <v>0</v>
      </c>
      <c r="D227" s="93"/>
      <c r="E227" s="94" t="str">
        <f>IFERROR(VLOOKUP($B227,S6M1!$A$1:$B$160,2,0),"0")</f>
        <v>0</v>
      </c>
      <c r="F227" s="95">
        <f>IFERROR(VLOOKUP(E227,S6M1!$B$1:$C$161,2,0),0)</f>
        <v>0</v>
      </c>
      <c r="G227" s="94" t="str">
        <f>IFERROR(VLOOKUP($B227,S6M2!$A$1:$B$160,2,0),"0")</f>
        <v>0</v>
      </c>
      <c r="H227" s="95">
        <f>IFERROR(VLOOKUP(G227,S6M2!$B$1:$C$161,2,0),0)</f>
        <v>0</v>
      </c>
      <c r="I227" s="94">
        <f>IFERROR(VLOOKUP($B227,S6M3!$A$1:$B$161,2,0),0)</f>
        <v>0</v>
      </c>
      <c r="J227" s="95">
        <f>IFERROR(VLOOKUP(I227,S6M3!$B$1:$C$161,2,0),0)</f>
        <v>0</v>
      </c>
      <c r="K227" s="94" t="str">
        <f>IFERROR(VLOOKUP($B227,S6M4!$A$1:$B$160,2,0),"0")</f>
        <v>0</v>
      </c>
      <c r="L227" s="95">
        <f>IFERROR(VLOOKUP(K227,S6M4!$B$1:$C$161,2,0),0)</f>
        <v>0</v>
      </c>
      <c r="M227" s="94" t="str">
        <f>IFERROR(VLOOKUP($B227,S6M5!$A$1:$B$160,2,0),"0")</f>
        <v>0</v>
      </c>
      <c r="N227" s="95">
        <f>IFERROR(VLOOKUP(M227,S6M5!$B$1:$C$161,2,0),0)</f>
        <v>0</v>
      </c>
      <c r="O227" s="94" t="str">
        <f>IFERROR(VLOOKUP($B227,S6M6!$A$1:$B$160,2,0),"0")</f>
        <v>0</v>
      </c>
      <c r="P227" s="95">
        <f>IFERROR(VLOOKUP(O227,S6M6!$B$1:$C$161,2,0),0)</f>
        <v>0</v>
      </c>
      <c r="Q227" s="94" t="str">
        <f>IFERROR(VLOOKUP($B227,S6M7!$A$1:$B$160,2,0),"0")</f>
        <v>0</v>
      </c>
      <c r="R227" s="95">
        <f>IFERROR(VLOOKUP(Q227,S6M7!$B$1:$C$161,2,0),0)</f>
        <v>0</v>
      </c>
      <c r="S227" s="94" t="str">
        <f>IFERROR(VLOOKUP($B227,S6M8!$A$1:$B$160,2,0),"0")</f>
        <v>0</v>
      </c>
      <c r="T227" s="95">
        <f>IFERROR(VLOOKUP(S227,S6M8!$B$1:$C$161,2,0),0)</f>
        <v>0</v>
      </c>
      <c r="U227" s="94" t="str">
        <f>IFERROR(VLOOKUP($B227,S6M9!$A$1:$B$160,2,0),"0")</f>
        <v>0</v>
      </c>
      <c r="V227" s="95">
        <f>IFERROR(VLOOKUP(U227,S6M9!$B$1:$C$161,2,0),0)</f>
        <v>0</v>
      </c>
      <c r="W227" s="94" t="str">
        <f>IFERROR(VLOOKUP($B227,S6M10!$A$1:$B$160,2,0),"0")</f>
        <v>0</v>
      </c>
      <c r="X227" s="95">
        <f>IFERROR(VLOOKUP(W227,S6M10!$B$1:$C$161,2,0),0)</f>
        <v>0</v>
      </c>
      <c r="Y227" s="94" t="str">
        <f>IFERROR(VLOOKUP($B227,S6M11!$A$1:$B$160,2,0),"0")</f>
        <v>0</v>
      </c>
      <c r="Z227" s="95">
        <f>IFERROR(VLOOKUP(Y227,S6M11!$B$1:$C$161,2,0),0)</f>
        <v>0</v>
      </c>
      <c r="AA227" s="97">
        <f>IFERROR(VLOOKUP(E227,S6M1!$B$1:$C$161,2,0),0)</f>
        <v>0</v>
      </c>
      <c r="AB227" s="97">
        <f>IFERROR(VLOOKUP(G227,S6M2!$B$1:$C$161,2,0),0)</f>
        <v>0</v>
      </c>
      <c r="AC227" s="97">
        <f>IFERROR(VLOOKUP(I227,S6M3!$B$1:$C$161,2,0),0)</f>
        <v>0</v>
      </c>
      <c r="AD227" s="97">
        <f>IFERROR(VLOOKUP(K227,S6M4!$B$1:$C$161,2,0),0)</f>
        <v>0</v>
      </c>
      <c r="AE227" s="97">
        <f>IFERROR(VLOOKUP(M227,S6M5!$B$1:$C$161,2,0),0)</f>
        <v>0</v>
      </c>
      <c r="AF227" s="97">
        <f>IFERROR(VLOOKUP(O227,S6M6!$B$1:$C$161,2,0),0)</f>
        <v>0</v>
      </c>
      <c r="AG227" s="97">
        <f>IFERROR(VLOOKUP(Q227,S6M7!$B$1:$C$161,2,0),0)</f>
        <v>0</v>
      </c>
      <c r="AH227" s="97">
        <f>IFERROR(VLOOKUP(S227,S6M8!$B$1:$C$161,2,0),0)</f>
        <v>0</v>
      </c>
      <c r="AI227" s="97">
        <f>IFERROR(VLOOKUP(U227,S6M9!$B$1:$C$161,2,0),0)</f>
        <v>0</v>
      </c>
      <c r="AJ227" s="97">
        <f>IFERROR(VLOOKUP(W227,S6M10!$B$1:$C$161,2,0),0)</f>
        <v>0</v>
      </c>
      <c r="AK227" s="97">
        <f>IFERROR(VLOOKUP(Y227,S6M11!$B$1:$C$161,2,0),0)</f>
        <v>0</v>
      </c>
    </row>
    <row r="228" ht="15.75" customHeight="1">
      <c r="A228" s="110">
        <v>227.0</v>
      </c>
      <c r="B228" s="103"/>
      <c r="C228" s="93">
        <f t="shared" si="2"/>
        <v>0</v>
      </c>
      <c r="D228" s="93"/>
      <c r="E228" s="94" t="str">
        <f>IFERROR(VLOOKUP($B228,S6M1!$A$1:$B$160,2,0),"0")</f>
        <v>0</v>
      </c>
      <c r="F228" s="95">
        <f>IFERROR(VLOOKUP(E228,S6M1!$B$1:$C$161,2,0),0)</f>
        <v>0</v>
      </c>
      <c r="G228" s="94" t="str">
        <f>IFERROR(VLOOKUP($B228,S6M2!$A$1:$B$160,2,0),"0")</f>
        <v>0</v>
      </c>
      <c r="H228" s="95">
        <f>IFERROR(VLOOKUP(G228,S6M2!$B$1:$C$161,2,0),0)</f>
        <v>0</v>
      </c>
      <c r="I228" s="94">
        <f>IFERROR(VLOOKUP($B228,S6M3!$A$1:$B$161,2,0),0)</f>
        <v>0</v>
      </c>
      <c r="J228" s="95">
        <f>IFERROR(VLOOKUP(I228,S6M3!$B$1:$C$161,2,0),0)</f>
        <v>0</v>
      </c>
      <c r="K228" s="94" t="str">
        <f>IFERROR(VLOOKUP($B228,S6M4!$A$1:$B$160,2,0),"0")</f>
        <v>0</v>
      </c>
      <c r="L228" s="95">
        <f>IFERROR(VLOOKUP(K228,S6M4!$B$1:$C$161,2,0),0)</f>
        <v>0</v>
      </c>
      <c r="M228" s="94" t="str">
        <f>IFERROR(VLOOKUP($B228,S6M5!$A$1:$B$160,2,0),"0")</f>
        <v>0</v>
      </c>
      <c r="N228" s="95">
        <f>IFERROR(VLOOKUP(M228,S6M5!$B$1:$C$161,2,0),0)</f>
        <v>0</v>
      </c>
      <c r="O228" s="94" t="str">
        <f>IFERROR(VLOOKUP($B228,S6M6!$A$1:$B$160,2,0),"0")</f>
        <v>0</v>
      </c>
      <c r="P228" s="95">
        <f>IFERROR(VLOOKUP(O228,S6M6!$B$1:$C$161,2,0),0)</f>
        <v>0</v>
      </c>
      <c r="Q228" s="94" t="str">
        <f>IFERROR(VLOOKUP($B228,S6M7!$A$1:$B$160,2,0),"0")</f>
        <v>0</v>
      </c>
      <c r="R228" s="95">
        <f>IFERROR(VLOOKUP(Q228,S6M7!$B$1:$C$161,2,0),0)</f>
        <v>0</v>
      </c>
      <c r="S228" s="94" t="str">
        <f>IFERROR(VLOOKUP($B228,S6M8!$A$1:$B$160,2,0),"0")</f>
        <v>0</v>
      </c>
      <c r="T228" s="95">
        <f>IFERROR(VLOOKUP(S228,S6M8!$B$1:$C$161,2,0),0)</f>
        <v>0</v>
      </c>
      <c r="U228" s="94" t="str">
        <f>IFERROR(VLOOKUP($B228,S6M9!$A$1:$B$160,2,0),"0")</f>
        <v>0</v>
      </c>
      <c r="V228" s="95">
        <f>IFERROR(VLOOKUP(U228,S6M9!$B$1:$C$161,2,0),0)</f>
        <v>0</v>
      </c>
      <c r="W228" s="94" t="str">
        <f>IFERROR(VLOOKUP($B228,S6M10!$A$1:$B$160,2,0),"0")</f>
        <v>0</v>
      </c>
      <c r="X228" s="95">
        <f>IFERROR(VLOOKUP(W228,S6M10!$B$1:$C$161,2,0),0)</f>
        <v>0</v>
      </c>
      <c r="Y228" s="94" t="str">
        <f>IFERROR(VLOOKUP($B228,S6M11!$A$1:$B$160,2,0),"0")</f>
        <v>0</v>
      </c>
      <c r="Z228" s="95">
        <f>IFERROR(VLOOKUP(Y228,S6M11!$B$1:$C$161,2,0),0)</f>
        <v>0</v>
      </c>
      <c r="AA228" s="97">
        <f>IFERROR(VLOOKUP(E228,S6M1!$B$1:$C$161,2,0),0)</f>
        <v>0</v>
      </c>
      <c r="AB228" s="97">
        <f>IFERROR(VLOOKUP(G228,S6M2!$B$1:$C$161,2,0),0)</f>
        <v>0</v>
      </c>
      <c r="AC228" s="97">
        <f>IFERROR(VLOOKUP(I228,S6M3!$B$1:$C$161,2,0),0)</f>
        <v>0</v>
      </c>
      <c r="AD228" s="97">
        <f>IFERROR(VLOOKUP(K228,S6M4!$B$1:$C$161,2,0),0)</f>
        <v>0</v>
      </c>
      <c r="AE228" s="97">
        <f>IFERROR(VLOOKUP(M228,S6M5!$B$1:$C$161,2,0),0)</f>
        <v>0</v>
      </c>
      <c r="AF228" s="97">
        <f>IFERROR(VLOOKUP(O228,S6M6!$B$1:$C$161,2,0),0)</f>
        <v>0</v>
      </c>
      <c r="AG228" s="97">
        <f>IFERROR(VLOOKUP(Q228,S6M7!$B$1:$C$161,2,0),0)</f>
        <v>0</v>
      </c>
      <c r="AH228" s="97">
        <f>IFERROR(VLOOKUP(S228,S6M8!$B$1:$C$161,2,0),0)</f>
        <v>0</v>
      </c>
      <c r="AI228" s="97">
        <f>IFERROR(VLOOKUP(U228,S6M9!$B$1:$C$161,2,0),0)</f>
        <v>0</v>
      </c>
      <c r="AJ228" s="97">
        <f>IFERROR(VLOOKUP(W228,S6M10!$B$1:$C$161,2,0),0)</f>
        <v>0</v>
      </c>
      <c r="AK228" s="97">
        <f>IFERROR(VLOOKUP(Y228,S6M11!$B$1:$C$161,2,0),0)</f>
        <v>0</v>
      </c>
    </row>
    <row r="229" ht="15.75" customHeight="1">
      <c r="A229" s="110">
        <v>228.0</v>
      </c>
      <c r="B229" s="103"/>
      <c r="C229" s="93">
        <f t="shared" si="2"/>
        <v>0</v>
      </c>
      <c r="D229" s="93"/>
      <c r="E229" s="94" t="str">
        <f>IFERROR(VLOOKUP($B229,S6M1!$A$1:$B$160,2,0),"0")</f>
        <v>0</v>
      </c>
      <c r="F229" s="95">
        <f>IFERROR(VLOOKUP(E229,S6M1!$B$1:$C$161,2,0),0)</f>
        <v>0</v>
      </c>
      <c r="G229" s="94" t="str">
        <f>IFERROR(VLOOKUP($B229,S6M2!$A$1:$B$160,2,0),"0")</f>
        <v>0</v>
      </c>
      <c r="H229" s="95">
        <f>IFERROR(VLOOKUP(G229,S6M2!$B$1:$C$161,2,0),0)</f>
        <v>0</v>
      </c>
      <c r="I229" s="94">
        <f>IFERROR(VLOOKUP($B229,S6M3!$A$1:$B$161,2,0),0)</f>
        <v>0</v>
      </c>
      <c r="J229" s="95">
        <f>IFERROR(VLOOKUP(I229,S6M3!$B$1:$C$161,2,0),0)</f>
        <v>0</v>
      </c>
      <c r="K229" s="94" t="str">
        <f>IFERROR(VLOOKUP($B229,S6M4!$A$1:$B$160,2,0),"0")</f>
        <v>0</v>
      </c>
      <c r="L229" s="95">
        <f>IFERROR(VLOOKUP(K229,S6M4!$B$1:$C$161,2,0),0)</f>
        <v>0</v>
      </c>
      <c r="M229" s="94" t="str">
        <f>IFERROR(VLOOKUP($B229,S6M5!$A$1:$B$160,2,0),"0")</f>
        <v>0</v>
      </c>
      <c r="N229" s="95">
        <f>IFERROR(VLOOKUP(M229,S6M5!$B$1:$C$161,2,0),0)</f>
        <v>0</v>
      </c>
      <c r="O229" s="94" t="str">
        <f>IFERROR(VLOOKUP($B229,S6M6!$A$1:$B$160,2,0),"0")</f>
        <v>0</v>
      </c>
      <c r="P229" s="95">
        <f>IFERROR(VLOOKUP(O229,S6M6!$B$1:$C$161,2,0),0)</f>
        <v>0</v>
      </c>
      <c r="Q229" s="94" t="str">
        <f>IFERROR(VLOOKUP($B229,S6M7!$A$1:$B$160,2,0),"0")</f>
        <v>0</v>
      </c>
      <c r="R229" s="95">
        <f>IFERROR(VLOOKUP(Q229,S6M7!$B$1:$C$161,2,0),0)</f>
        <v>0</v>
      </c>
      <c r="S229" s="94" t="str">
        <f>IFERROR(VLOOKUP($B229,S6M8!$A$1:$B$160,2,0),"0")</f>
        <v>0</v>
      </c>
      <c r="T229" s="95">
        <f>IFERROR(VLOOKUP(S229,S6M8!$B$1:$C$161,2,0),0)</f>
        <v>0</v>
      </c>
      <c r="U229" s="94" t="str">
        <f>IFERROR(VLOOKUP($B229,S6M9!$A$1:$B$160,2,0),"0")</f>
        <v>0</v>
      </c>
      <c r="V229" s="95">
        <f>IFERROR(VLOOKUP(U229,S6M9!$B$1:$C$161,2,0),0)</f>
        <v>0</v>
      </c>
      <c r="W229" s="94" t="str">
        <f>IFERROR(VLOOKUP($B229,S6M10!$A$1:$B$160,2,0),"0")</f>
        <v>0</v>
      </c>
      <c r="X229" s="95">
        <f>IFERROR(VLOOKUP(W229,S6M10!$B$1:$C$161,2,0),0)</f>
        <v>0</v>
      </c>
      <c r="Y229" s="94" t="str">
        <f>IFERROR(VLOOKUP($B229,S6M11!$A$1:$B$160,2,0),"0")</f>
        <v>0</v>
      </c>
      <c r="Z229" s="95">
        <f>IFERROR(VLOOKUP(Y229,S6M11!$B$1:$C$161,2,0),0)</f>
        <v>0</v>
      </c>
      <c r="AA229" s="97">
        <f>IFERROR(VLOOKUP(E229,S6M1!$B$1:$C$161,2,0),0)</f>
        <v>0</v>
      </c>
      <c r="AB229" s="97">
        <f>IFERROR(VLOOKUP(G229,S6M2!$B$1:$C$161,2,0),0)</f>
        <v>0</v>
      </c>
      <c r="AC229" s="97">
        <f>IFERROR(VLOOKUP(I229,S6M3!$B$1:$C$161,2,0),0)</f>
        <v>0</v>
      </c>
      <c r="AD229" s="97">
        <f>IFERROR(VLOOKUP(K229,S6M4!$B$1:$C$161,2,0),0)</f>
        <v>0</v>
      </c>
      <c r="AE229" s="97">
        <f>IFERROR(VLOOKUP(M229,S6M5!$B$1:$C$161,2,0),0)</f>
        <v>0</v>
      </c>
      <c r="AF229" s="97">
        <f>IFERROR(VLOOKUP(O229,S6M6!$B$1:$C$161,2,0),0)</f>
        <v>0</v>
      </c>
      <c r="AG229" s="97">
        <f>IFERROR(VLOOKUP(Q229,S6M7!$B$1:$C$161,2,0),0)</f>
        <v>0</v>
      </c>
      <c r="AH229" s="97">
        <f>IFERROR(VLOOKUP(S229,S6M8!$B$1:$C$161,2,0),0)</f>
        <v>0</v>
      </c>
      <c r="AI229" s="97">
        <f>IFERROR(VLOOKUP(U229,S6M9!$B$1:$C$161,2,0),0)</f>
        <v>0</v>
      </c>
      <c r="AJ229" s="97">
        <f>IFERROR(VLOOKUP(W229,S6M10!$B$1:$C$161,2,0),0)</f>
        <v>0</v>
      </c>
      <c r="AK229" s="97">
        <f>IFERROR(VLOOKUP(Y229,S6M11!$B$1:$C$161,2,0),0)</f>
        <v>0</v>
      </c>
    </row>
    <row r="230" ht="15.75" customHeight="1">
      <c r="A230" s="110">
        <v>229.0</v>
      </c>
      <c r="B230" s="103"/>
      <c r="C230" s="93">
        <f t="shared" si="2"/>
        <v>0</v>
      </c>
      <c r="D230" s="93"/>
      <c r="E230" s="94" t="str">
        <f>IFERROR(VLOOKUP($B230,S6M1!$A$1:$B$160,2,0),"0")</f>
        <v>0</v>
      </c>
      <c r="F230" s="95">
        <f>IFERROR(VLOOKUP(E230,S6M1!$B$1:$C$161,2,0),0)</f>
        <v>0</v>
      </c>
      <c r="G230" s="94" t="str">
        <f>IFERROR(VLOOKUP($B230,S6M2!$A$1:$B$160,2,0),"0")</f>
        <v>0</v>
      </c>
      <c r="H230" s="95">
        <f>IFERROR(VLOOKUP(G230,S6M2!$B$1:$C$161,2,0),0)</f>
        <v>0</v>
      </c>
      <c r="I230" s="94">
        <f>IFERROR(VLOOKUP($B230,S6M3!$A$1:$B$161,2,0),0)</f>
        <v>0</v>
      </c>
      <c r="J230" s="95">
        <f>IFERROR(VLOOKUP(I230,S6M3!$B$1:$C$161,2,0),0)</f>
        <v>0</v>
      </c>
      <c r="K230" s="94" t="str">
        <f>IFERROR(VLOOKUP($B230,S6M4!$A$1:$B$160,2,0),"0")</f>
        <v>0</v>
      </c>
      <c r="L230" s="95">
        <f>IFERROR(VLOOKUP(K230,S6M4!$B$1:$C$161,2,0),0)</f>
        <v>0</v>
      </c>
      <c r="M230" s="94" t="str">
        <f>IFERROR(VLOOKUP($B230,S6M5!$A$1:$B$160,2,0),"0")</f>
        <v>0</v>
      </c>
      <c r="N230" s="95">
        <f>IFERROR(VLOOKUP(M230,S6M5!$B$1:$C$161,2,0),0)</f>
        <v>0</v>
      </c>
      <c r="O230" s="94" t="str">
        <f>IFERROR(VLOOKUP($B230,S6M6!$A$1:$B$160,2,0),"0")</f>
        <v>0</v>
      </c>
      <c r="P230" s="95">
        <f>IFERROR(VLOOKUP(O230,S6M6!$B$1:$C$161,2,0),0)</f>
        <v>0</v>
      </c>
      <c r="Q230" s="94" t="str">
        <f>IFERROR(VLOOKUP($B230,S6M7!$A$1:$B$160,2,0),"0")</f>
        <v>0</v>
      </c>
      <c r="R230" s="95">
        <f>IFERROR(VLOOKUP(Q230,S6M7!$B$1:$C$161,2,0),0)</f>
        <v>0</v>
      </c>
      <c r="S230" s="94" t="str">
        <f>IFERROR(VLOOKUP($B230,S6M8!$A$1:$B$160,2,0),"0")</f>
        <v>0</v>
      </c>
      <c r="T230" s="95">
        <f>IFERROR(VLOOKUP(S230,S6M8!$B$1:$C$161,2,0),0)</f>
        <v>0</v>
      </c>
      <c r="U230" s="94" t="str">
        <f>IFERROR(VLOOKUP($B230,S6M9!$A$1:$B$160,2,0),"0")</f>
        <v>0</v>
      </c>
      <c r="V230" s="95">
        <f>IFERROR(VLOOKUP(U230,S6M9!$B$1:$C$161,2,0),0)</f>
        <v>0</v>
      </c>
      <c r="W230" s="94" t="str">
        <f>IFERROR(VLOOKUP($B230,S6M10!$A$1:$B$160,2,0),"0")</f>
        <v>0</v>
      </c>
      <c r="X230" s="95">
        <f>IFERROR(VLOOKUP(W230,S6M10!$B$1:$C$161,2,0),0)</f>
        <v>0</v>
      </c>
      <c r="Y230" s="94" t="str">
        <f>IFERROR(VLOOKUP($B230,S6M11!$A$1:$B$160,2,0),"0")</f>
        <v>0</v>
      </c>
      <c r="Z230" s="95">
        <f>IFERROR(VLOOKUP(Y230,S6M11!$B$1:$C$161,2,0),0)</f>
        <v>0</v>
      </c>
      <c r="AA230" s="97">
        <f>IFERROR(VLOOKUP(E230,S6M1!$B$1:$C$161,2,0),0)</f>
        <v>0</v>
      </c>
      <c r="AB230" s="97">
        <f>IFERROR(VLOOKUP(G230,S6M2!$B$1:$C$161,2,0),0)</f>
        <v>0</v>
      </c>
      <c r="AC230" s="97">
        <f>IFERROR(VLOOKUP(I230,S6M3!$B$1:$C$161,2,0),0)</f>
        <v>0</v>
      </c>
      <c r="AD230" s="97">
        <f>IFERROR(VLOOKUP(K230,S6M4!$B$1:$C$161,2,0),0)</f>
        <v>0</v>
      </c>
      <c r="AE230" s="97">
        <f>IFERROR(VLOOKUP(M230,S6M5!$B$1:$C$161,2,0),0)</f>
        <v>0</v>
      </c>
      <c r="AF230" s="97">
        <f>IFERROR(VLOOKUP(O230,S6M6!$B$1:$C$161,2,0),0)</f>
        <v>0</v>
      </c>
      <c r="AG230" s="97">
        <f>IFERROR(VLOOKUP(Q230,S6M7!$B$1:$C$161,2,0),0)</f>
        <v>0</v>
      </c>
      <c r="AH230" s="97">
        <f>IFERROR(VLOOKUP(S230,S6M8!$B$1:$C$161,2,0),0)</f>
        <v>0</v>
      </c>
      <c r="AI230" s="97">
        <f>IFERROR(VLOOKUP(U230,S6M9!$B$1:$C$161,2,0),0)</f>
        <v>0</v>
      </c>
      <c r="AJ230" s="97">
        <f>IFERROR(VLOOKUP(W230,S6M10!$B$1:$C$161,2,0),0)</f>
        <v>0</v>
      </c>
      <c r="AK230" s="97">
        <f>IFERROR(VLOOKUP(Y230,S6M11!$B$1:$C$161,2,0),0)</f>
        <v>0</v>
      </c>
    </row>
    <row r="231" ht="15.75" customHeight="1">
      <c r="A231" s="110">
        <v>230.0</v>
      </c>
      <c r="B231" s="103"/>
      <c r="C231" s="93">
        <f t="shared" si="2"/>
        <v>0</v>
      </c>
      <c r="D231" s="93"/>
      <c r="E231" s="94" t="str">
        <f>IFERROR(VLOOKUP($B231,S6M1!$A$1:$B$160,2,0),"0")</f>
        <v>0</v>
      </c>
      <c r="F231" s="95">
        <f>IFERROR(VLOOKUP(E231,S6M1!$B$1:$C$161,2,0),0)</f>
        <v>0</v>
      </c>
      <c r="G231" s="94" t="str">
        <f>IFERROR(VLOOKUP($B231,S6M2!$A$1:$B$160,2,0),"0")</f>
        <v>0</v>
      </c>
      <c r="H231" s="95">
        <f>IFERROR(VLOOKUP(G231,S6M2!$B$1:$C$161,2,0),0)</f>
        <v>0</v>
      </c>
      <c r="I231" s="94">
        <f>IFERROR(VLOOKUP($B231,S6M3!$A$1:$B$161,2,0),0)</f>
        <v>0</v>
      </c>
      <c r="J231" s="95">
        <f>IFERROR(VLOOKUP(I231,S6M3!$B$1:$C$161,2,0),0)</f>
        <v>0</v>
      </c>
      <c r="K231" s="94" t="str">
        <f>IFERROR(VLOOKUP($B231,S6M4!$A$1:$B$160,2,0),"0")</f>
        <v>0</v>
      </c>
      <c r="L231" s="95">
        <f>IFERROR(VLOOKUP(K231,S6M4!$B$1:$C$161,2,0),0)</f>
        <v>0</v>
      </c>
      <c r="M231" s="94" t="str">
        <f>IFERROR(VLOOKUP($B231,S6M5!$A$1:$B$160,2,0),"0")</f>
        <v>0</v>
      </c>
      <c r="N231" s="95">
        <f>IFERROR(VLOOKUP(M231,S6M5!$B$1:$C$161,2,0),0)</f>
        <v>0</v>
      </c>
      <c r="O231" s="94" t="str">
        <f>IFERROR(VLOOKUP($B231,S6M6!$A$1:$B$160,2,0),"0")</f>
        <v>0</v>
      </c>
      <c r="P231" s="95">
        <f>IFERROR(VLOOKUP(O231,S6M6!$B$1:$C$161,2,0),0)</f>
        <v>0</v>
      </c>
      <c r="Q231" s="94" t="str">
        <f>IFERROR(VLOOKUP($B231,S6M7!$A$1:$B$160,2,0),"0")</f>
        <v>0</v>
      </c>
      <c r="R231" s="95">
        <f>IFERROR(VLOOKUP(Q231,S6M7!$B$1:$C$161,2,0),0)</f>
        <v>0</v>
      </c>
      <c r="S231" s="94" t="str">
        <f>IFERROR(VLOOKUP($B231,S6M8!$A$1:$B$160,2,0),"0")</f>
        <v>0</v>
      </c>
      <c r="T231" s="95">
        <f>IFERROR(VLOOKUP(S231,S6M8!$B$1:$C$161,2,0),0)</f>
        <v>0</v>
      </c>
      <c r="U231" s="94" t="str">
        <f>IFERROR(VLOOKUP($B231,S6M9!$A$1:$B$160,2,0),"0")</f>
        <v>0</v>
      </c>
      <c r="V231" s="95">
        <f>IFERROR(VLOOKUP(U231,S6M9!$B$1:$C$161,2,0),0)</f>
        <v>0</v>
      </c>
      <c r="W231" s="94" t="str">
        <f>IFERROR(VLOOKUP($B231,S6M10!$A$1:$B$160,2,0),"0")</f>
        <v>0</v>
      </c>
      <c r="X231" s="95">
        <f>IFERROR(VLOOKUP(W231,S6M10!$B$1:$C$161,2,0),0)</f>
        <v>0</v>
      </c>
      <c r="Y231" s="94" t="str">
        <f>IFERROR(VLOOKUP($B231,S6M11!$A$1:$B$160,2,0),"0")</f>
        <v>0</v>
      </c>
      <c r="Z231" s="95">
        <f>IFERROR(VLOOKUP(Y231,S6M11!$B$1:$C$161,2,0),0)</f>
        <v>0</v>
      </c>
      <c r="AA231" s="97">
        <f>IFERROR(VLOOKUP(E231,S6M1!$B$1:$C$161,2,0),0)</f>
        <v>0</v>
      </c>
      <c r="AB231" s="97">
        <f>IFERROR(VLOOKUP(G231,S6M2!$B$1:$C$161,2,0),0)</f>
        <v>0</v>
      </c>
      <c r="AC231" s="97">
        <f>IFERROR(VLOOKUP(I231,S6M3!$B$1:$C$161,2,0),0)</f>
        <v>0</v>
      </c>
      <c r="AD231" s="97">
        <f>IFERROR(VLOOKUP(K231,S6M4!$B$1:$C$161,2,0),0)</f>
        <v>0</v>
      </c>
      <c r="AE231" s="97">
        <f>IFERROR(VLOOKUP(M231,S6M5!$B$1:$C$161,2,0),0)</f>
        <v>0</v>
      </c>
      <c r="AF231" s="97">
        <f>IFERROR(VLOOKUP(O231,S6M6!$B$1:$C$161,2,0),0)</f>
        <v>0</v>
      </c>
      <c r="AG231" s="97">
        <f>IFERROR(VLOOKUP(Q231,S6M7!$B$1:$C$161,2,0),0)</f>
        <v>0</v>
      </c>
      <c r="AH231" s="97">
        <f>IFERROR(VLOOKUP(S231,S6M8!$B$1:$C$161,2,0),0)</f>
        <v>0</v>
      </c>
      <c r="AI231" s="97">
        <f>IFERROR(VLOOKUP(U231,S6M9!$B$1:$C$161,2,0),0)</f>
        <v>0</v>
      </c>
      <c r="AJ231" s="97">
        <f>IFERROR(VLOOKUP(W231,S6M10!$B$1:$C$161,2,0),0)</f>
        <v>0</v>
      </c>
      <c r="AK231" s="97">
        <f>IFERROR(VLOOKUP(Y231,S6M11!$B$1:$C$161,2,0),0)</f>
        <v>0</v>
      </c>
    </row>
    <row r="232" ht="15.75" customHeight="1">
      <c r="A232" s="110">
        <v>231.0</v>
      </c>
      <c r="B232" s="103"/>
      <c r="C232" s="93">
        <f t="shared" si="2"/>
        <v>0</v>
      </c>
      <c r="D232" s="93"/>
      <c r="E232" s="94" t="str">
        <f>IFERROR(VLOOKUP($B232,S6M1!$A$1:$B$160,2,0),"0")</f>
        <v>0</v>
      </c>
      <c r="F232" s="95">
        <f>IFERROR(VLOOKUP(E232,S6M1!$B$1:$C$161,2,0),0)</f>
        <v>0</v>
      </c>
      <c r="G232" s="94" t="str">
        <f>IFERROR(VLOOKUP($B232,S6M2!$A$1:$B$160,2,0),"0")</f>
        <v>0</v>
      </c>
      <c r="H232" s="95">
        <f>IFERROR(VLOOKUP(G232,S6M2!$B$1:$C$161,2,0),0)</f>
        <v>0</v>
      </c>
      <c r="I232" s="94">
        <f>IFERROR(VLOOKUP($B232,S6M3!$A$1:$B$161,2,0),0)</f>
        <v>0</v>
      </c>
      <c r="J232" s="95">
        <f>IFERROR(VLOOKUP(I232,S6M3!$B$1:$C$161,2,0),0)</f>
        <v>0</v>
      </c>
      <c r="K232" s="94" t="str">
        <f>IFERROR(VLOOKUP($B232,S6M4!$A$1:$B$160,2,0),"0")</f>
        <v>0</v>
      </c>
      <c r="L232" s="95">
        <f>IFERROR(VLOOKUP(K232,S6M4!$B$1:$C$161,2,0),0)</f>
        <v>0</v>
      </c>
      <c r="M232" s="94" t="str">
        <f>IFERROR(VLOOKUP($B232,S6M5!$A$1:$B$160,2,0),"0")</f>
        <v>0</v>
      </c>
      <c r="N232" s="95">
        <f>IFERROR(VLOOKUP(M232,S6M5!$B$1:$C$161,2,0),0)</f>
        <v>0</v>
      </c>
      <c r="O232" s="94" t="str">
        <f>IFERROR(VLOOKUP($B232,S6M6!$A$1:$B$160,2,0),"0")</f>
        <v>0</v>
      </c>
      <c r="P232" s="95">
        <f>IFERROR(VLOOKUP(O232,S6M6!$B$1:$C$161,2,0),0)</f>
        <v>0</v>
      </c>
      <c r="Q232" s="94" t="str">
        <f>IFERROR(VLOOKUP($B232,S6M7!$A$1:$B$160,2,0),"0")</f>
        <v>0</v>
      </c>
      <c r="R232" s="95">
        <f>IFERROR(VLOOKUP(Q232,S6M7!$B$1:$C$161,2,0),0)</f>
        <v>0</v>
      </c>
      <c r="S232" s="94" t="str">
        <f>IFERROR(VLOOKUP($B232,S6M8!$A$1:$B$160,2,0),"0")</f>
        <v>0</v>
      </c>
      <c r="T232" s="95">
        <f>IFERROR(VLOOKUP(S232,S6M8!$B$1:$C$161,2,0),0)</f>
        <v>0</v>
      </c>
      <c r="U232" s="94" t="str">
        <f>IFERROR(VLOOKUP($B232,S6M9!$A$1:$B$160,2,0),"0")</f>
        <v>0</v>
      </c>
      <c r="V232" s="95">
        <f>IFERROR(VLOOKUP(U232,S6M9!$B$1:$C$161,2,0),0)</f>
        <v>0</v>
      </c>
      <c r="W232" s="94" t="str">
        <f>IFERROR(VLOOKUP($B232,S6M10!$A$1:$B$160,2,0),"0")</f>
        <v>0</v>
      </c>
      <c r="X232" s="95">
        <f>IFERROR(VLOOKUP(W232,S6M10!$B$1:$C$161,2,0),0)</f>
        <v>0</v>
      </c>
      <c r="Y232" s="94" t="str">
        <f>IFERROR(VLOOKUP($B232,S6M11!$A$1:$B$160,2,0),"0")</f>
        <v>0</v>
      </c>
      <c r="Z232" s="95">
        <f>IFERROR(VLOOKUP(Y232,S6M11!$B$1:$C$161,2,0),0)</f>
        <v>0</v>
      </c>
      <c r="AA232" s="97">
        <f>IFERROR(VLOOKUP(E232,S6M1!$B$1:$C$161,2,0),0)</f>
        <v>0</v>
      </c>
      <c r="AB232" s="97">
        <f>IFERROR(VLOOKUP(G232,S6M2!$B$1:$C$161,2,0),0)</f>
        <v>0</v>
      </c>
      <c r="AC232" s="97">
        <f>IFERROR(VLOOKUP(I232,S6M3!$B$1:$C$161,2,0),0)</f>
        <v>0</v>
      </c>
      <c r="AD232" s="97">
        <f>IFERROR(VLOOKUP(K232,S6M4!$B$1:$C$161,2,0),0)</f>
        <v>0</v>
      </c>
      <c r="AE232" s="97">
        <f>IFERROR(VLOOKUP(M232,S6M5!$B$1:$C$161,2,0),0)</f>
        <v>0</v>
      </c>
      <c r="AF232" s="97">
        <f>IFERROR(VLOOKUP(O232,S6M6!$B$1:$C$161,2,0),0)</f>
        <v>0</v>
      </c>
      <c r="AG232" s="97">
        <f>IFERROR(VLOOKUP(Q232,S6M7!$B$1:$C$161,2,0),0)</f>
        <v>0</v>
      </c>
      <c r="AH232" s="97">
        <f>IFERROR(VLOOKUP(S232,S6M8!$B$1:$C$161,2,0),0)</f>
        <v>0</v>
      </c>
      <c r="AI232" s="97">
        <f>IFERROR(VLOOKUP(U232,S6M9!$B$1:$C$161,2,0),0)</f>
        <v>0</v>
      </c>
      <c r="AJ232" s="97">
        <f>IFERROR(VLOOKUP(W232,S6M10!$B$1:$C$161,2,0),0)</f>
        <v>0</v>
      </c>
      <c r="AK232" s="97">
        <f>IFERROR(VLOOKUP(Y232,S6M11!$B$1:$C$161,2,0),0)</f>
        <v>0</v>
      </c>
    </row>
    <row r="233" ht="15.75" customHeight="1">
      <c r="A233" s="110">
        <v>232.0</v>
      </c>
      <c r="B233" s="103"/>
      <c r="C233" s="93">
        <f t="shared" si="2"/>
        <v>0</v>
      </c>
      <c r="D233" s="93"/>
      <c r="E233" s="94" t="str">
        <f>IFERROR(VLOOKUP($B233,S6M1!$A$1:$B$160,2,0),"0")</f>
        <v>0</v>
      </c>
      <c r="F233" s="95">
        <f>IFERROR(VLOOKUP(E233,S6M1!$B$1:$C$161,2,0),0)</f>
        <v>0</v>
      </c>
      <c r="G233" s="94" t="str">
        <f>IFERROR(VLOOKUP($B233,S6M2!$A$1:$B$160,2,0),"0")</f>
        <v>0</v>
      </c>
      <c r="H233" s="95">
        <f>IFERROR(VLOOKUP(G233,S6M2!$B$1:$C$161,2,0),0)</f>
        <v>0</v>
      </c>
      <c r="I233" s="94">
        <f>IFERROR(VLOOKUP($B233,S6M3!$A$1:$B$161,2,0),0)</f>
        <v>0</v>
      </c>
      <c r="J233" s="95">
        <f>IFERROR(VLOOKUP(I233,S6M3!$B$1:$C$161,2,0),0)</f>
        <v>0</v>
      </c>
      <c r="K233" s="94" t="str">
        <f>IFERROR(VLOOKUP($B233,S6M4!$A$1:$B$160,2,0),"0")</f>
        <v>0</v>
      </c>
      <c r="L233" s="95">
        <f>IFERROR(VLOOKUP(K233,S6M4!$B$1:$C$161,2,0),0)</f>
        <v>0</v>
      </c>
      <c r="M233" s="94" t="str">
        <f>IFERROR(VLOOKUP($B233,S6M5!$A$1:$B$160,2,0),"0")</f>
        <v>0</v>
      </c>
      <c r="N233" s="95">
        <f>IFERROR(VLOOKUP(M233,S6M5!$B$1:$C$161,2,0),0)</f>
        <v>0</v>
      </c>
      <c r="O233" s="94" t="str">
        <f>IFERROR(VLOOKUP($B233,S6M6!$A$1:$B$160,2,0),"0")</f>
        <v>0</v>
      </c>
      <c r="P233" s="95">
        <f>IFERROR(VLOOKUP(O233,S6M6!$B$1:$C$161,2,0),0)</f>
        <v>0</v>
      </c>
      <c r="Q233" s="94" t="str">
        <f>IFERROR(VLOOKUP($B233,S6M7!$A$1:$B$160,2,0),"0")</f>
        <v>0</v>
      </c>
      <c r="R233" s="95">
        <f>IFERROR(VLOOKUP(Q233,S6M7!$B$1:$C$161,2,0),0)</f>
        <v>0</v>
      </c>
      <c r="S233" s="94" t="str">
        <f>IFERROR(VLOOKUP($B233,S6M8!$A$1:$B$160,2,0),"0")</f>
        <v>0</v>
      </c>
      <c r="T233" s="95">
        <f>IFERROR(VLOOKUP(S233,S6M8!$B$1:$C$161,2,0),0)</f>
        <v>0</v>
      </c>
      <c r="U233" s="94" t="str">
        <f>IFERROR(VLOOKUP($B233,S6M9!$A$1:$B$160,2,0),"0")</f>
        <v>0</v>
      </c>
      <c r="V233" s="95">
        <f>IFERROR(VLOOKUP(U233,S6M9!$B$1:$C$161,2,0),0)</f>
        <v>0</v>
      </c>
      <c r="W233" s="94" t="str">
        <f>IFERROR(VLOOKUP($B233,S6M10!$A$1:$B$160,2,0),"0")</f>
        <v>0</v>
      </c>
      <c r="X233" s="95">
        <f>IFERROR(VLOOKUP(W233,S6M10!$B$1:$C$161,2,0),0)</f>
        <v>0</v>
      </c>
      <c r="Y233" s="94" t="str">
        <f>IFERROR(VLOOKUP($B233,S6M11!$A$1:$B$160,2,0),"0")</f>
        <v>0</v>
      </c>
      <c r="Z233" s="95">
        <f>IFERROR(VLOOKUP(Y233,S6M11!$B$1:$C$161,2,0),0)</f>
        <v>0</v>
      </c>
      <c r="AA233" s="97">
        <f>IFERROR(VLOOKUP(E233,S6M1!$B$1:$C$161,2,0),0)</f>
        <v>0</v>
      </c>
      <c r="AB233" s="97">
        <f>IFERROR(VLOOKUP(G233,S6M2!$B$1:$C$161,2,0),0)</f>
        <v>0</v>
      </c>
      <c r="AC233" s="97">
        <f>IFERROR(VLOOKUP(I233,S6M3!$B$1:$C$161,2,0),0)</f>
        <v>0</v>
      </c>
      <c r="AD233" s="97">
        <f>IFERROR(VLOOKUP(K233,S6M4!$B$1:$C$161,2,0),0)</f>
        <v>0</v>
      </c>
      <c r="AE233" s="97">
        <f>IFERROR(VLOOKUP(M233,S6M5!$B$1:$C$161,2,0),0)</f>
        <v>0</v>
      </c>
      <c r="AF233" s="97">
        <f>IFERROR(VLOOKUP(O233,S6M6!$B$1:$C$161,2,0),0)</f>
        <v>0</v>
      </c>
      <c r="AG233" s="97">
        <f>IFERROR(VLOOKUP(Q233,S6M7!$B$1:$C$161,2,0),0)</f>
        <v>0</v>
      </c>
      <c r="AH233" s="97">
        <f>IFERROR(VLOOKUP(S233,S6M8!$B$1:$C$161,2,0),0)</f>
        <v>0</v>
      </c>
      <c r="AI233" s="97">
        <f>IFERROR(VLOOKUP(U233,S6M9!$B$1:$C$161,2,0),0)</f>
        <v>0</v>
      </c>
      <c r="AJ233" s="97">
        <f>IFERROR(VLOOKUP(W233,S6M10!$B$1:$C$161,2,0),0)</f>
        <v>0</v>
      </c>
      <c r="AK233" s="97">
        <f>IFERROR(VLOOKUP(Y233,S6M11!$B$1:$C$161,2,0),0)</f>
        <v>0</v>
      </c>
    </row>
    <row r="234" ht="15.75" customHeight="1">
      <c r="A234" s="110">
        <v>233.0</v>
      </c>
      <c r="B234" s="103"/>
      <c r="C234" s="93">
        <f t="shared" si="2"/>
        <v>0</v>
      </c>
      <c r="D234" s="93"/>
      <c r="E234" s="94" t="str">
        <f>IFERROR(VLOOKUP($B234,S6M1!$A$1:$B$160,2,0),"0")</f>
        <v>0</v>
      </c>
      <c r="F234" s="95">
        <f>IFERROR(VLOOKUP(E234,S6M1!$B$1:$C$161,2,0),0)</f>
        <v>0</v>
      </c>
      <c r="G234" s="94" t="str">
        <f>IFERROR(VLOOKUP($B234,S6M2!$A$1:$B$160,2,0),"0")</f>
        <v>0</v>
      </c>
      <c r="H234" s="95">
        <f>IFERROR(VLOOKUP(G234,S6M2!$B$1:$C$161,2,0),0)</f>
        <v>0</v>
      </c>
      <c r="I234" s="94">
        <f>IFERROR(VLOOKUP($B234,S6M3!$A$1:$B$161,2,0),0)</f>
        <v>0</v>
      </c>
      <c r="J234" s="95">
        <f>IFERROR(VLOOKUP(I234,S6M3!$B$1:$C$161,2,0),0)</f>
        <v>0</v>
      </c>
      <c r="K234" s="94" t="str">
        <f>IFERROR(VLOOKUP($B234,S6M4!$A$1:$B$160,2,0),"0")</f>
        <v>0</v>
      </c>
      <c r="L234" s="95">
        <f>IFERROR(VLOOKUP(K234,S6M4!$B$1:$C$161,2,0),0)</f>
        <v>0</v>
      </c>
      <c r="M234" s="94" t="str">
        <f>IFERROR(VLOOKUP($B234,S6M5!$A$1:$B$160,2,0),"0")</f>
        <v>0</v>
      </c>
      <c r="N234" s="95">
        <f>IFERROR(VLOOKUP(M234,S6M5!$B$1:$C$161,2,0),0)</f>
        <v>0</v>
      </c>
      <c r="O234" s="94" t="str">
        <f>IFERROR(VLOOKUP($B234,S6M6!$A$1:$B$160,2,0),"0")</f>
        <v>0</v>
      </c>
      <c r="P234" s="95">
        <f>IFERROR(VLOOKUP(O234,S6M6!$B$1:$C$161,2,0),0)</f>
        <v>0</v>
      </c>
      <c r="Q234" s="94" t="str">
        <f>IFERROR(VLOOKUP($B234,S6M7!$A$1:$B$160,2,0),"0")</f>
        <v>0</v>
      </c>
      <c r="R234" s="95">
        <f>IFERROR(VLOOKUP(Q234,S6M7!$B$1:$C$161,2,0),0)</f>
        <v>0</v>
      </c>
      <c r="S234" s="94" t="str">
        <f>IFERROR(VLOOKUP($B234,S6M8!$A$1:$B$160,2,0),"0")</f>
        <v>0</v>
      </c>
      <c r="T234" s="95">
        <f>IFERROR(VLOOKUP(S234,S6M8!$B$1:$C$161,2,0),0)</f>
        <v>0</v>
      </c>
      <c r="U234" s="94" t="str">
        <f>IFERROR(VLOOKUP($B234,S6M9!$A$1:$B$160,2,0),"0")</f>
        <v>0</v>
      </c>
      <c r="V234" s="95">
        <f>IFERROR(VLOOKUP(U234,S6M9!$B$1:$C$161,2,0),0)</f>
        <v>0</v>
      </c>
      <c r="W234" s="94" t="str">
        <f>IFERROR(VLOOKUP($B234,S6M10!$A$1:$B$160,2,0),"0")</f>
        <v>0</v>
      </c>
      <c r="X234" s="95">
        <f>IFERROR(VLOOKUP(W234,S6M10!$B$1:$C$161,2,0),0)</f>
        <v>0</v>
      </c>
      <c r="Y234" s="94" t="str">
        <f>IFERROR(VLOOKUP($B234,S6M11!$A$1:$B$160,2,0),"0")</f>
        <v>0</v>
      </c>
      <c r="Z234" s="95">
        <f>IFERROR(VLOOKUP(Y234,S6M11!$B$1:$C$161,2,0),0)</f>
        <v>0</v>
      </c>
      <c r="AA234" s="97">
        <f>IFERROR(VLOOKUP(E234,S6M1!$B$1:$C$161,2,0),0)</f>
        <v>0</v>
      </c>
      <c r="AB234" s="97">
        <f>IFERROR(VLOOKUP(G234,S6M2!$B$1:$C$161,2,0),0)</f>
        <v>0</v>
      </c>
      <c r="AC234" s="97">
        <f>IFERROR(VLOOKUP(I234,S6M3!$B$1:$C$161,2,0),0)</f>
        <v>0</v>
      </c>
      <c r="AD234" s="97">
        <f>IFERROR(VLOOKUP(K234,S6M4!$B$1:$C$161,2,0),0)</f>
        <v>0</v>
      </c>
      <c r="AE234" s="97">
        <f>IFERROR(VLOOKUP(M234,S6M5!$B$1:$C$161,2,0),0)</f>
        <v>0</v>
      </c>
      <c r="AF234" s="97">
        <f>IFERROR(VLOOKUP(O234,S6M6!$B$1:$C$161,2,0),0)</f>
        <v>0</v>
      </c>
      <c r="AG234" s="97">
        <f>IFERROR(VLOOKUP(Q234,S6M7!$B$1:$C$161,2,0),0)</f>
        <v>0</v>
      </c>
      <c r="AH234" s="97">
        <f>IFERROR(VLOOKUP(S234,S6M8!$B$1:$C$161,2,0),0)</f>
        <v>0</v>
      </c>
      <c r="AI234" s="97">
        <f>IFERROR(VLOOKUP(U234,S6M9!$B$1:$C$161,2,0),0)</f>
        <v>0</v>
      </c>
      <c r="AJ234" s="97">
        <f>IFERROR(VLOOKUP(W234,S6M10!$B$1:$C$161,2,0),0)</f>
        <v>0</v>
      </c>
      <c r="AK234" s="97">
        <f>IFERROR(VLOOKUP(Y234,S6M11!$B$1:$C$161,2,0),0)</f>
        <v>0</v>
      </c>
    </row>
    <row r="235" ht="15.75" customHeight="1">
      <c r="A235" s="110">
        <v>234.0</v>
      </c>
      <c r="B235" s="103"/>
      <c r="C235" s="93">
        <f t="shared" si="2"/>
        <v>0</v>
      </c>
      <c r="D235" s="93"/>
      <c r="E235" s="94" t="str">
        <f>IFERROR(VLOOKUP($B235,S6M1!$A$1:$B$160,2,0),"0")</f>
        <v>0</v>
      </c>
      <c r="F235" s="95">
        <f>IFERROR(VLOOKUP(E235,S6M1!$B$1:$C$161,2,0),0)</f>
        <v>0</v>
      </c>
      <c r="G235" s="94" t="str">
        <f>IFERROR(VLOOKUP($B235,S6M2!$A$1:$B$160,2,0),"0")</f>
        <v>0</v>
      </c>
      <c r="H235" s="95">
        <f>IFERROR(VLOOKUP(G235,S6M2!$B$1:$C$161,2,0),0)</f>
        <v>0</v>
      </c>
      <c r="I235" s="94">
        <f>IFERROR(VLOOKUP($B235,S6M3!$A$1:$B$161,2,0),0)</f>
        <v>0</v>
      </c>
      <c r="J235" s="95">
        <f>IFERROR(VLOOKUP(I235,S6M3!$B$1:$C$161,2,0),0)</f>
        <v>0</v>
      </c>
      <c r="K235" s="94" t="str">
        <f>IFERROR(VLOOKUP($B235,S6M4!$A$1:$B$160,2,0),"0")</f>
        <v>0</v>
      </c>
      <c r="L235" s="95">
        <f>IFERROR(VLOOKUP(K235,S6M4!$B$1:$C$161,2,0),0)</f>
        <v>0</v>
      </c>
      <c r="M235" s="94" t="str">
        <f>IFERROR(VLOOKUP($B235,S6M5!$A$1:$B$160,2,0),"0")</f>
        <v>0</v>
      </c>
      <c r="N235" s="95">
        <f>IFERROR(VLOOKUP(M235,S6M5!$B$1:$C$161,2,0),0)</f>
        <v>0</v>
      </c>
      <c r="O235" s="94" t="str">
        <f>IFERROR(VLOOKUP($B235,S6M6!$A$1:$B$160,2,0),"0")</f>
        <v>0</v>
      </c>
      <c r="P235" s="95">
        <f>IFERROR(VLOOKUP(O235,S6M6!$B$1:$C$161,2,0),0)</f>
        <v>0</v>
      </c>
      <c r="Q235" s="94" t="str">
        <f>IFERROR(VLOOKUP($B235,S6M7!$A$1:$B$160,2,0),"0")</f>
        <v>0</v>
      </c>
      <c r="R235" s="95">
        <f>IFERROR(VLOOKUP(Q235,S6M7!$B$1:$C$161,2,0),0)</f>
        <v>0</v>
      </c>
      <c r="S235" s="94" t="str">
        <f>IFERROR(VLOOKUP($B235,S6M8!$A$1:$B$160,2,0),"0")</f>
        <v>0</v>
      </c>
      <c r="T235" s="95">
        <f>IFERROR(VLOOKUP(S235,S6M8!$B$1:$C$161,2,0),0)</f>
        <v>0</v>
      </c>
      <c r="U235" s="94" t="str">
        <f>IFERROR(VLOOKUP($B235,S6M9!$A$1:$B$160,2,0),"0")</f>
        <v>0</v>
      </c>
      <c r="V235" s="95">
        <f>IFERROR(VLOOKUP(U235,S6M9!$B$1:$C$161,2,0),0)</f>
        <v>0</v>
      </c>
      <c r="W235" s="94" t="str">
        <f>IFERROR(VLOOKUP($B235,S6M10!$A$1:$B$160,2,0),"0")</f>
        <v>0</v>
      </c>
      <c r="X235" s="95">
        <f>IFERROR(VLOOKUP(W235,S6M10!$B$1:$C$161,2,0),0)</f>
        <v>0</v>
      </c>
      <c r="Y235" s="94" t="str">
        <f>IFERROR(VLOOKUP($B235,S6M11!$A$1:$B$160,2,0),"0")</f>
        <v>0</v>
      </c>
      <c r="Z235" s="95">
        <f>IFERROR(VLOOKUP(Y235,S6M11!$B$1:$C$161,2,0),0)</f>
        <v>0</v>
      </c>
      <c r="AA235" s="97">
        <f>IFERROR(VLOOKUP(E235,S6M1!$B$1:$C$161,2,0),0)</f>
        <v>0</v>
      </c>
      <c r="AB235" s="97">
        <f>IFERROR(VLOOKUP(G235,S6M2!$B$1:$C$161,2,0),0)</f>
        <v>0</v>
      </c>
      <c r="AC235" s="97">
        <f>IFERROR(VLOOKUP(I235,S6M3!$B$1:$C$161,2,0),0)</f>
        <v>0</v>
      </c>
      <c r="AD235" s="97">
        <f>IFERROR(VLOOKUP(K235,S6M4!$B$1:$C$161,2,0),0)</f>
        <v>0</v>
      </c>
      <c r="AE235" s="97">
        <f>IFERROR(VLOOKUP(M235,S6M5!$B$1:$C$161,2,0),0)</f>
        <v>0</v>
      </c>
      <c r="AF235" s="97">
        <f>IFERROR(VLOOKUP(O235,S6M6!$B$1:$C$161,2,0),0)</f>
        <v>0</v>
      </c>
      <c r="AG235" s="97">
        <f>IFERROR(VLOOKUP(Q235,S6M7!$B$1:$C$161,2,0),0)</f>
        <v>0</v>
      </c>
      <c r="AH235" s="97">
        <f>IFERROR(VLOOKUP(S235,S6M8!$B$1:$C$161,2,0),0)</f>
        <v>0</v>
      </c>
      <c r="AI235" s="97">
        <f>IFERROR(VLOOKUP(U235,S6M9!$B$1:$C$161,2,0),0)</f>
        <v>0</v>
      </c>
      <c r="AJ235" s="97">
        <f>IFERROR(VLOOKUP(W235,S6M10!$B$1:$C$161,2,0),0)</f>
        <v>0</v>
      </c>
      <c r="AK235" s="97">
        <f>IFERROR(VLOOKUP(Y235,S6M11!$B$1:$C$161,2,0),0)</f>
        <v>0</v>
      </c>
    </row>
    <row r="236" ht="15.75" customHeight="1">
      <c r="A236" s="110">
        <v>235.0</v>
      </c>
      <c r="B236" s="103"/>
      <c r="C236" s="93">
        <f t="shared" si="2"/>
        <v>0</v>
      </c>
      <c r="D236" s="93"/>
      <c r="E236" s="94" t="str">
        <f>IFERROR(VLOOKUP($B236,S6M1!$A$1:$B$160,2,0),"0")</f>
        <v>0</v>
      </c>
      <c r="F236" s="95">
        <f>IFERROR(VLOOKUP(E236,S6M1!$B$1:$C$161,2,0),0)</f>
        <v>0</v>
      </c>
      <c r="G236" s="94" t="str">
        <f>IFERROR(VLOOKUP($B236,S6M2!$A$1:$B$160,2,0),"0")</f>
        <v>0</v>
      </c>
      <c r="H236" s="95">
        <f>IFERROR(VLOOKUP(G236,S6M2!$B$1:$C$161,2,0),0)</f>
        <v>0</v>
      </c>
      <c r="I236" s="94">
        <f>IFERROR(VLOOKUP($B236,S6M3!$A$1:$B$161,2,0),0)</f>
        <v>0</v>
      </c>
      <c r="J236" s="95">
        <f>IFERROR(VLOOKUP(I236,S6M3!$B$1:$C$161,2,0),0)</f>
        <v>0</v>
      </c>
      <c r="K236" s="94" t="str">
        <f>IFERROR(VLOOKUP($B236,S6M4!$A$1:$B$160,2,0),"0")</f>
        <v>0</v>
      </c>
      <c r="L236" s="95">
        <f>IFERROR(VLOOKUP(K236,S6M4!$B$1:$C$161,2,0),0)</f>
        <v>0</v>
      </c>
      <c r="M236" s="94" t="str">
        <f>IFERROR(VLOOKUP($B236,S6M5!$A$1:$B$160,2,0),"0")</f>
        <v>0</v>
      </c>
      <c r="N236" s="95">
        <f>IFERROR(VLOOKUP(M236,S6M5!$B$1:$C$161,2,0),0)</f>
        <v>0</v>
      </c>
      <c r="O236" s="94" t="str">
        <f>IFERROR(VLOOKUP($B236,S6M6!$A$1:$B$160,2,0),"0")</f>
        <v>0</v>
      </c>
      <c r="P236" s="95">
        <f>IFERROR(VLOOKUP(O236,S6M6!$B$1:$C$161,2,0),0)</f>
        <v>0</v>
      </c>
      <c r="Q236" s="94" t="str">
        <f>IFERROR(VLOOKUP($B236,S6M7!$A$1:$B$160,2,0),"0")</f>
        <v>0</v>
      </c>
      <c r="R236" s="95">
        <f>IFERROR(VLOOKUP(Q236,S6M7!$B$1:$C$161,2,0),0)</f>
        <v>0</v>
      </c>
      <c r="S236" s="94" t="str">
        <f>IFERROR(VLOOKUP($B236,S6M8!$A$1:$B$160,2,0),"0")</f>
        <v>0</v>
      </c>
      <c r="T236" s="95">
        <f>IFERROR(VLOOKUP(S236,S6M8!$B$1:$C$161,2,0),0)</f>
        <v>0</v>
      </c>
      <c r="U236" s="94" t="str">
        <f>IFERROR(VLOOKUP($B236,S6M9!$A$1:$B$160,2,0),"0")</f>
        <v>0</v>
      </c>
      <c r="V236" s="95">
        <f>IFERROR(VLOOKUP(U236,S6M9!$B$1:$C$161,2,0),0)</f>
        <v>0</v>
      </c>
      <c r="W236" s="94" t="str">
        <f>IFERROR(VLOOKUP($B236,S6M10!$A$1:$B$160,2,0),"0")</f>
        <v>0</v>
      </c>
      <c r="X236" s="95">
        <f>IFERROR(VLOOKUP(W236,S6M10!$B$1:$C$161,2,0),0)</f>
        <v>0</v>
      </c>
      <c r="Y236" s="94" t="str">
        <f>IFERROR(VLOOKUP($B236,S6M11!$A$1:$B$160,2,0),"0")</f>
        <v>0</v>
      </c>
      <c r="Z236" s="95">
        <f>IFERROR(VLOOKUP(Y236,S6M11!$B$1:$C$161,2,0),0)</f>
        <v>0</v>
      </c>
      <c r="AA236" s="97">
        <f>IFERROR(VLOOKUP(E236,S6M1!$B$1:$C$161,2,0),0)</f>
        <v>0</v>
      </c>
      <c r="AB236" s="97">
        <f>IFERROR(VLOOKUP(G236,S6M2!$B$1:$C$161,2,0),0)</f>
        <v>0</v>
      </c>
      <c r="AC236" s="97">
        <f>IFERROR(VLOOKUP(I236,S6M3!$B$1:$C$161,2,0),0)</f>
        <v>0</v>
      </c>
      <c r="AD236" s="97">
        <f>IFERROR(VLOOKUP(K236,S6M4!$B$1:$C$161,2,0),0)</f>
        <v>0</v>
      </c>
      <c r="AE236" s="97">
        <f>IFERROR(VLOOKUP(M236,S6M5!$B$1:$C$161,2,0),0)</f>
        <v>0</v>
      </c>
      <c r="AF236" s="97">
        <f>IFERROR(VLOOKUP(O236,S6M6!$B$1:$C$161,2,0),0)</f>
        <v>0</v>
      </c>
      <c r="AG236" s="97">
        <f>IFERROR(VLOOKUP(Q236,S6M7!$B$1:$C$161,2,0),0)</f>
        <v>0</v>
      </c>
      <c r="AH236" s="97">
        <f>IFERROR(VLOOKUP(S236,S6M8!$B$1:$C$161,2,0),0)</f>
        <v>0</v>
      </c>
      <c r="AI236" s="97">
        <f>IFERROR(VLOOKUP(U236,S6M9!$B$1:$C$161,2,0),0)</f>
        <v>0</v>
      </c>
      <c r="AJ236" s="97">
        <f>IFERROR(VLOOKUP(W236,S6M10!$B$1:$C$161,2,0),0)</f>
        <v>0</v>
      </c>
      <c r="AK236" s="97">
        <f>IFERROR(VLOOKUP(Y236,S6M11!$B$1:$C$161,2,0),0)</f>
        <v>0</v>
      </c>
    </row>
    <row r="237" ht="15.75" customHeight="1">
      <c r="A237" s="110">
        <v>236.0</v>
      </c>
      <c r="B237" s="103"/>
      <c r="C237" s="93">
        <f t="shared" si="2"/>
        <v>0</v>
      </c>
      <c r="D237" s="93"/>
      <c r="E237" s="94" t="str">
        <f>IFERROR(VLOOKUP($B237,S6M1!$A$1:$B$160,2,0),"0")</f>
        <v>0</v>
      </c>
      <c r="F237" s="95">
        <f>IFERROR(VLOOKUP(E237,S6M1!$B$1:$C$161,2,0),0)</f>
        <v>0</v>
      </c>
      <c r="G237" s="94" t="str">
        <f>IFERROR(VLOOKUP($B237,S6M2!$A$1:$B$160,2,0),"0")</f>
        <v>0</v>
      </c>
      <c r="H237" s="95">
        <f>IFERROR(VLOOKUP(G237,S6M2!$B$1:$C$161,2,0),0)</f>
        <v>0</v>
      </c>
      <c r="I237" s="94">
        <f>IFERROR(VLOOKUP($B237,S6M3!$A$1:$B$161,2,0),0)</f>
        <v>0</v>
      </c>
      <c r="J237" s="95">
        <f>IFERROR(VLOOKUP(I237,S6M3!$B$1:$C$161,2,0),0)</f>
        <v>0</v>
      </c>
      <c r="K237" s="94" t="str">
        <f>IFERROR(VLOOKUP($B237,S6M4!$A$1:$B$160,2,0),"0")</f>
        <v>0</v>
      </c>
      <c r="L237" s="95">
        <f>IFERROR(VLOOKUP(K237,S6M4!$B$1:$C$161,2,0),0)</f>
        <v>0</v>
      </c>
      <c r="M237" s="94" t="str">
        <f>IFERROR(VLOOKUP($B237,S6M5!$A$1:$B$160,2,0),"0")</f>
        <v>0</v>
      </c>
      <c r="N237" s="95">
        <f>IFERROR(VLOOKUP(M237,S6M5!$B$1:$C$161,2,0),0)</f>
        <v>0</v>
      </c>
      <c r="O237" s="94" t="str">
        <f>IFERROR(VLOOKUP($B237,S6M6!$A$1:$B$160,2,0),"0")</f>
        <v>0</v>
      </c>
      <c r="P237" s="95">
        <f>IFERROR(VLOOKUP(O237,S6M6!$B$1:$C$161,2,0),0)</f>
        <v>0</v>
      </c>
      <c r="Q237" s="94" t="str">
        <f>IFERROR(VLOOKUP($B237,S6M7!$A$1:$B$160,2,0),"0")</f>
        <v>0</v>
      </c>
      <c r="R237" s="95">
        <f>IFERROR(VLOOKUP(Q237,S6M7!$B$1:$C$161,2,0),0)</f>
        <v>0</v>
      </c>
      <c r="S237" s="94" t="str">
        <f>IFERROR(VLOOKUP($B237,S6M8!$A$1:$B$160,2,0),"0")</f>
        <v>0</v>
      </c>
      <c r="T237" s="95">
        <f>IFERROR(VLOOKUP(S237,S6M8!$B$1:$C$161,2,0),0)</f>
        <v>0</v>
      </c>
      <c r="U237" s="94" t="str">
        <f>IFERROR(VLOOKUP($B237,S6M9!$A$1:$B$160,2,0),"0")</f>
        <v>0</v>
      </c>
      <c r="V237" s="95">
        <f>IFERROR(VLOOKUP(U237,S6M9!$B$1:$C$161,2,0),0)</f>
        <v>0</v>
      </c>
      <c r="W237" s="94" t="str">
        <f>IFERROR(VLOOKUP($B237,S6M10!$A$1:$B$160,2,0),"0")</f>
        <v>0</v>
      </c>
      <c r="X237" s="95">
        <f>IFERROR(VLOOKUP(W237,S6M10!$B$1:$C$161,2,0),0)</f>
        <v>0</v>
      </c>
      <c r="Y237" s="94" t="str">
        <f>IFERROR(VLOOKUP($B237,S6M11!$A$1:$B$160,2,0),"0")</f>
        <v>0</v>
      </c>
      <c r="Z237" s="95">
        <f>IFERROR(VLOOKUP(Y237,S6M11!$B$1:$C$161,2,0),0)</f>
        <v>0</v>
      </c>
      <c r="AA237" s="97">
        <f>IFERROR(VLOOKUP(E237,S6M1!$B$1:$C$161,2,0),0)</f>
        <v>0</v>
      </c>
      <c r="AB237" s="97">
        <f>IFERROR(VLOOKUP(G237,S6M2!$B$1:$C$161,2,0),0)</f>
        <v>0</v>
      </c>
      <c r="AC237" s="97">
        <f>IFERROR(VLOOKUP(I237,S6M3!$B$1:$C$161,2,0),0)</f>
        <v>0</v>
      </c>
      <c r="AD237" s="97">
        <f>IFERROR(VLOOKUP(K237,S6M4!$B$1:$C$161,2,0),0)</f>
        <v>0</v>
      </c>
      <c r="AE237" s="97">
        <f>IFERROR(VLOOKUP(M237,S6M5!$B$1:$C$161,2,0),0)</f>
        <v>0</v>
      </c>
      <c r="AF237" s="97">
        <f>IFERROR(VLOOKUP(O237,S6M6!$B$1:$C$161,2,0),0)</f>
        <v>0</v>
      </c>
      <c r="AG237" s="97">
        <f>IFERROR(VLOOKUP(Q237,S6M7!$B$1:$C$161,2,0),0)</f>
        <v>0</v>
      </c>
      <c r="AH237" s="97">
        <f>IFERROR(VLOOKUP(S237,S6M8!$B$1:$C$161,2,0),0)</f>
        <v>0</v>
      </c>
      <c r="AI237" s="97">
        <f>IFERROR(VLOOKUP(U237,S6M9!$B$1:$C$161,2,0),0)</f>
        <v>0</v>
      </c>
      <c r="AJ237" s="97">
        <f>IFERROR(VLOOKUP(W237,S6M10!$B$1:$C$161,2,0),0)</f>
        <v>0</v>
      </c>
      <c r="AK237" s="97">
        <f>IFERROR(VLOOKUP(Y237,S6M11!$B$1:$C$161,2,0),0)</f>
        <v>0</v>
      </c>
    </row>
    <row r="238" ht="15.75" customHeight="1">
      <c r="A238" s="110">
        <v>237.0</v>
      </c>
      <c r="B238" s="103"/>
      <c r="C238" s="93">
        <f t="shared" si="2"/>
        <v>0</v>
      </c>
      <c r="D238" s="93"/>
      <c r="E238" s="94" t="str">
        <f>IFERROR(VLOOKUP($B238,S6M1!$A$1:$B$160,2,0),"0")</f>
        <v>0</v>
      </c>
      <c r="F238" s="95">
        <f>IFERROR(VLOOKUP(E238,S6M1!$B$1:$C$161,2,0),0)</f>
        <v>0</v>
      </c>
      <c r="G238" s="94" t="str">
        <f>IFERROR(VLOOKUP($B238,S6M2!$A$1:$B$160,2,0),"0")</f>
        <v>0</v>
      </c>
      <c r="H238" s="95">
        <f>IFERROR(VLOOKUP(G238,S6M2!$B$1:$C$161,2,0),0)</f>
        <v>0</v>
      </c>
      <c r="I238" s="94">
        <f>IFERROR(VLOOKUP($B238,S6M3!$A$1:$B$161,2,0),0)</f>
        <v>0</v>
      </c>
      <c r="J238" s="95">
        <f>IFERROR(VLOOKUP(I238,S6M3!$B$1:$C$161,2,0),0)</f>
        <v>0</v>
      </c>
      <c r="K238" s="94" t="str">
        <f>IFERROR(VLOOKUP($B238,S6M4!$A$1:$B$160,2,0),"0")</f>
        <v>0</v>
      </c>
      <c r="L238" s="95">
        <f>IFERROR(VLOOKUP(K238,S6M4!$B$1:$C$161,2,0),0)</f>
        <v>0</v>
      </c>
      <c r="M238" s="94" t="str">
        <f>IFERROR(VLOOKUP($B238,S6M5!$A$1:$B$160,2,0),"0")</f>
        <v>0</v>
      </c>
      <c r="N238" s="95">
        <f>IFERROR(VLOOKUP(M238,S6M5!$B$1:$C$161,2,0),0)</f>
        <v>0</v>
      </c>
      <c r="O238" s="94" t="str">
        <f>IFERROR(VLOOKUP($B238,S6M6!$A$1:$B$160,2,0),"0")</f>
        <v>0</v>
      </c>
      <c r="P238" s="95">
        <f>IFERROR(VLOOKUP(O238,S6M6!$B$1:$C$161,2,0),0)</f>
        <v>0</v>
      </c>
      <c r="Q238" s="94" t="str">
        <f>IFERROR(VLOOKUP($B238,S6M7!$A$1:$B$160,2,0),"0")</f>
        <v>0</v>
      </c>
      <c r="R238" s="95">
        <f>IFERROR(VLOOKUP(Q238,S6M7!$B$1:$C$161,2,0),0)</f>
        <v>0</v>
      </c>
      <c r="S238" s="94" t="str">
        <f>IFERROR(VLOOKUP($B238,S6M8!$A$1:$B$160,2,0),"0")</f>
        <v>0</v>
      </c>
      <c r="T238" s="95">
        <f>IFERROR(VLOOKUP(S238,S6M8!$B$1:$C$161,2,0),0)</f>
        <v>0</v>
      </c>
      <c r="U238" s="94" t="str">
        <f>IFERROR(VLOOKUP($B238,S6M9!$A$1:$B$160,2,0),"0")</f>
        <v>0</v>
      </c>
      <c r="V238" s="95">
        <f>IFERROR(VLOOKUP(U238,S6M9!$B$1:$C$161,2,0),0)</f>
        <v>0</v>
      </c>
      <c r="W238" s="94" t="str">
        <f>IFERROR(VLOOKUP($B238,S6M10!$A$1:$B$160,2,0),"0")</f>
        <v>0</v>
      </c>
      <c r="X238" s="95">
        <f>IFERROR(VLOOKUP(W238,S6M10!$B$1:$C$161,2,0),0)</f>
        <v>0</v>
      </c>
      <c r="Y238" s="94" t="str">
        <f>IFERROR(VLOOKUP($B238,S6M11!$A$1:$B$160,2,0),"0")</f>
        <v>0</v>
      </c>
      <c r="Z238" s="95">
        <f>IFERROR(VLOOKUP(Y238,S6M11!$B$1:$C$161,2,0),0)</f>
        <v>0</v>
      </c>
      <c r="AA238" s="97">
        <f>IFERROR(VLOOKUP(E238,S6M1!$B$1:$C$161,2,0),0)</f>
        <v>0</v>
      </c>
      <c r="AB238" s="97">
        <f>IFERROR(VLOOKUP(G238,S6M2!$B$1:$C$161,2,0),0)</f>
        <v>0</v>
      </c>
      <c r="AC238" s="97">
        <f>IFERROR(VLOOKUP(I238,S6M3!$B$1:$C$161,2,0),0)</f>
        <v>0</v>
      </c>
      <c r="AD238" s="97">
        <f>IFERROR(VLOOKUP(K238,S6M4!$B$1:$C$161,2,0),0)</f>
        <v>0</v>
      </c>
      <c r="AE238" s="97">
        <f>IFERROR(VLOOKUP(M238,S6M5!$B$1:$C$161,2,0),0)</f>
        <v>0</v>
      </c>
      <c r="AF238" s="97">
        <f>IFERROR(VLOOKUP(O238,S6M6!$B$1:$C$161,2,0),0)</f>
        <v>0</v>
      </c>
      <c r="AG238" s="97">
        <f>IFERROR(VLOOKUP(Q238,S6M7!$B$1:$C$161,2,0),0)</f>
        <v>0</v>
      </c>
      <c r="AH238" s="97">
        <f>IFERROR(VLOOKUP(S238,S6M8!$B$1:$C$161,2,0),0)</f>
        <v>0</v>
      </c>
      <c r="AI238" s="97">
        <f>IFERROR(VLOOKUP(U238,S6M9!$B$1:$C$161,2,0),0)</f>
        <v>0</v>
      </c>
      <c r="AJ238" s="97">
        <f>IFERROR(VLOOKUP(W238,S6M10!$B$1:$C$161,2,0),0)</f>
        <v>0</v>
      </c>
      <c r="AK238" s="97">
        <f>IFERROR(VLOOKUP(Y238,S6M11!$B$1:$C$161,2,0),0)</f>
        <v>0</v>
      </c>
    </row>
    <row r="239" ht="15.75" customHeight="1">
      <c r="A239" s="110">
        <v>238.0</v>
      </c>
      <c r="B239" s="103"/>
      <c r="C239" s="93">
        <f t="shared" si="2"/>
        <v>0</v>
      </c>
      <c r="D239" s="93"/>
      <c r="E239" s="94" t="str">
        <f>IFERROR(VLOOKUP($B239,S6M1!$A$1:$B$160,2,0),"0")</f>
        <v>0</v>
      </c>
      <c r="F239" s="95">
        <f>IFERROR(VLOOKUP(E239,S6M1!$B$1:$C$161,2,0),0)</f>
        <v>0</v>
      </c>
      <c r="G239" s="94" t="str">
        <f>IFERROR(VLOOKUP($B239,S6M2!$A$1:$B$160,2,0),"0")</f>
        <v>0</v>
      </c>
      <c r="H239" s="95">
        <f>IFERROR(VLOOKUP(G239,S6M2!$B$1:$C$161,2,0),0)</f>
        <v>0</v>
      </c>
      <c r="I239" s="94">
        <f>IFERROR(VLOOKUP($B239,S6M3!$A$1:$B$161,2,0),0)</f>
        <v>0</v>
      </c>
      <c r="J239" s="95">
        <f>IFERROR(VLOOKUP(I239,S6M3!$B$1:$C$161,2,0),0)</f>
        <v>0</v>
      </c>
      <c r="K239" s="94" t="str">
        <f>IFERROR(VLOOKUP($B239,S6M4!$A$1:$B$160,2,0),"0")</f>
        <v>0</v>
      </c>
      <c r="L239" s="95">
        <f>IFERROR(VLOOKUP(K239,S6M4!$B$1:$C$161,2,0),0)</f>
        <v>0</v>
      </c>
      <c r="M239" s="94" t="str">
        <f>IFERROR(VLOOKUP($B239,S6M5!$A$1:$B$160,2,0),"0")</f>
        <v>0</v>
      </c>
      <c r="N239" s="95">
        <f>IFERROR(VLOOKUP(M239,S6M5!$B$1:$C$161,2,0),0)</f>
        <v>0</v>
      </c>
      <c r="O239" s="94" t="str">
        <f>IFERROR(VLOOKUP($B239,S6M6!$A$1:$B$160,2,0),"0")</f>
        <v>0</v>
      </c>
      <c r="P239" s="95">
        <f>IFERROR(VLOOKUP(O239,S6M6!$B$1:$C$161,2,0),0)</f>
        <v>0</v>
      </c>
      <c r="Q239" s="94" t="str">
        <f>IFERROR(VLOOKUP($B239,S6M7!$A$1:$B$160,2,0),"0")</f>
        <v>0</v>
      </c>
      <c r="R239" s="95">
        <f>IFERROR(VLOOKUP(Q239,S6M7!$B$1:$C$161,2,0),0)</f>
        <v>0</v>
      </c>
      <c r="S239" s="94" t="str">
        <f>IFERROR(VLOOKUP($B239,S6M8!$A$1:$B$160,2,0),"0")</f>
        <v>0</v>
      </c>
      <c r="T239" s="95">
        <f>IFERROR(VLOOKUP(S239,S6M8!$B$1:$C$161,2,0),0)</f>
        <v>0</v>
      </c>
      <c r="U239" s="94" t="str">
        <f>IFERROR(VLOOKUP($B239,S6M9!$A$1:$B$160,2,0),"0")</f>
        <v>0</v>
      </c>
      <c r="V239" s="95">
        <f>IFERROR(VLOOKUP(U239,S6M9!$B$1:$C$161,2,0),0)</f>
        <v>0</v>
      </c>
      <c r="W239" s="94" t="str">
        <f>IFERROR(VLOOKUP($B239,S6M10!$A$1:$B$160,2,0),"0")</f>
        <v>0</v>
      </c>
      <c r="X239" s="95">
        <f>IFERROR(VLOOKUP(W239,S6M10!$B$1:$C$161,2,0),0)</f>
        <v>0</v>
      </c>
      <c r="Y239" s="94" t="str">
        <f>IFERROR(VLOOKUP($B239,S6M11!$A$1:$B$160,2,0),"0")</f>
        <v>0</v>
      </c>
      <c r="Z239" s="95">
        <f>IFERROR(VLOOKUP(Y239,S6M11!$B$1:$C$161,2,0),0)</f>
        <v>0</v>
      </c>
      <c r="AA239" s="97">
        <f>IFERROR(VLOOKUP(E239,S6M1!$B$1:$C$161,2,0),0)</f>
        <v>0</v>
      </c>
      <c r="AB239" s="97">
        <f>IFERROR(VLOOKUP(G239,S6M2!$B$1:$C$161,2,0),0)</f>
        <v>0</v>
      </c>
      <c r="AC239" s="97">
        <f>IFERROR(VLOOKUP(I239,S6M3!$B$1:$C$161,2,0),0)</f>
        <v>0</v>
      </c>
      <c r="AD239" s="97">
        <f>IFERROR(VLOOKUP(K239,S6M4!$B$1:$C$161,2,0),0)</f>
        <v>0</v>
      </c>
      <c r="AE239" s="97">
        <f>IFERROR(VLOOKUP(M239,S6M5!$B$1:$C$161,2,0),0)</f>
        <v>0</v>
      </c>
      <c r="AF239" s="97">
        <f>IFERROR(VLOOKUP(O239,S6M6!$B$1:$C$161,2,0),0)</f>
        <v>0</v>
      </c>
      <c r="AG239" s="97">
        <f>IFERROR(VLOOKUP(Q239,S6M7!$B$1:$C$161,2,0),0)</f>
        <v>0</v>
      </c>
      <c r="AH239" s="97">
        <f>IFERROR(VLOOKUP(S239,S6M8!$B$1:$C$161,2,0),0)</f>
        <v>0</v>
      </c>
      <c r="AI239" s="97">
        <f>IFERROR(VLOOKUP(U239,S6M9!$B$1:$C$161,2,0),0)</f>
        <v>0</v>
      </c>
      <c r="AJ239" s="97">
        <f>IFERROR(VLOOKUP(W239,S6M10!$B$1:$C$161,2,0),0)</f>
        <v>0</v>
      </c>
      <c r="AK239" s="97">
        <f>IFERROR(VLOOKUP(Y239,S6M11!$B$1:$C$161,2,0),0)</f>
        <v>0</v>
      </c>
    </row>
    <row r="240" ht="15.75" customHeight="1">
      <c r="A240" s="110">
        <v>239.0</v>
      </c>
      <c r="B240" s="103"/>
      <c r="C240" s="93">
        <f t="shared" si="2"/>
        <v>0</v>
      </c>
      <c r="D240" s="93"/>
      <c r="E240" s="94" t="str">
        <f>IFERROR(VLOOKUP($B240,S6M1!$A$1:$B$160,2,0),"0")</f>
        <v>0</v>
      </c>
      <c r="F240" s="95">
        <f>IFERROR(VLOOKUP(E240,S6M1!$B$1:$C$161,2,0),0)</f>
        <v>0</v>
      </c>
      <c r="G240" s="94" t="str">
        <f>IFERROR(VLOOKUP($B240,S6M2!$A$1:$B$160,2,0),"0")</f>
        <v>0</v>
      </c>
      <c r="H240" s="95">
        <f>IFERROR(VLOOKUP(G240,S6M2!$B$1:$C$161,2,0),0)</f>
        <v>0</v>
      </c>
      <c r="I240" s="94">
        <f>IFERROR(VLOOKUP($B240,S6M3!$A$1:$B$161,2,0),0)</f>
        <v>0</v>
      </c>
      <c r="J240" s="95">
        <f>IFERROR(VLOOKUP(I240,S6M3!$B$1:$C$161,2,0),0)</f>
        <v>0</v>
      </c>
      <c r="K240" s="94" t="str">
        <f>IFERROR(VLOOKUP($B240,S6M4!$A$1:$B$160,2,0),"0")</f>
        <v>0</v>
      </c>
      <c r="L240" s="95">
        <f>IFERROR(VLOOKUP(K240,S6M4!$B$1:$C$161,2,0),0)</f>
        <v>0</v>
      </c>
      <c r="M240" s="94" t="str">
        <f>IFERROR(VLOOKUP($B240,S6M5!$A$1:$B$160,2,0),"0")</f>
        <v>0</v>
      </c>
      <c r="N240" s="95">
        <f>IFERROR(VLOOKUP(M240,S6M5!$B$1:$C$161,2,0),0)</f>
        <v>0</v>
      </c>
      <c r="O240" s="94" t="str">
        <f>IFERROR(VLOOKUP($B240,S6M6!$A$1:$B$160,2,0),"0")</f>
        <v>0</v>
      </c>
      <c r="P240" s="95">
        <f>IFERROR(VLOOKUP(O240,S6M6!$B$1:$C$161,2,0),0)</f>
        <v>0</v>
      </c>
      <c r="Q240" s="94" t="str">
        <f>IFERROR(VLOOKUP($B240,S6M7!$A$1:$B$160,2,0),"0")</f>
        <v>0</v>
      </c>
      <c r="R240" s="95">
        <f>IFERROR(VLOOKUP(Q240,S6M7!$B$1:$C$161,2,0),0)</f>
        <v>0</v>
      </c>
      <c r="S240" s="94" t="str">
        <f>IFERROR(VLOOKUP($B240,S6M8!$A$1:$B$160,2,0),"0")</f>
        <v>0</v>
      </c>
      <c r="T240" s="95">
        <f>IFERROR(VLOOKUP(S240,S6M8!$B$1:$C$161,2,0),0)</f>
        <v>0</v>
      </c>
      <c r="U240" s="94" t="str">
        <f>IFERROR(VLOOKUP($B240,S6M9!$A$1:$B$160,2,0),"0")</f>
        <v>0</v>
      </c>
      <c r="V240" s="95">
        <f>IFERROR(VLOOKUP(U240,S6M9!$B$1:$C$161,2,0),0)</f>
        <v>0</v>
      </c>
      <c r="W240" s="94" t="str">
        <f>IFERROR(VLOOKUP($B240,S6M10!$A$1:$B$160,2,0),"0")</f>
        <v>0</v>
      </c>
      <c r="X240" s="95">
        <f>IFERROR(VLOOKUP(W240,S6M10!$B$1:$C$161,2,0),0)</f>
        <v>0</v>
      </c>
      <c r="Y240" s="94" t="str">
        <f>IFERROR(VLOOKUP($B240,S6M11!$A$1:$B$160,2,0),"0")</f>
        <v>0</v>
      </c>
      <c r="Z240" s="95">
        <f>IFERROR(VLOOKUP(Y240,S6M11!$B$1:$C$161,2,0),0)</f>
        <v>0</v>
      </c>
      <c r="AA240" s="97">
        <f>IFERROR(VLOOKUP(E240,S6M1!$B$1:$C$161,2,0),0)</f>
        <v>0</v>
      </c>
      <c r="AB240" s="97">
        <f>IFERROR(VLOOKUP(G240,S6M2!$B$1:$C$161,2,0),0)</f>
        <v>0</v>
      </c>
      <c r="AC240" s="97">
        <f>IFERROR(VLOOKUP(I240,S6M3!$B$1:$C$161,2,0),0)</f>
        <v>0</v>
      </c>
      <c r="AD240" s="97">
        <f>IFERROR(VLOOKUP(K240,S6M4!$B$1:$C$161,2,0),0)</f>
        <v>0</v>
      </c>
      <c r="AE240" s="97">
        <f>IFERROR(VLOOKUP(M240,S6M5!$B$1:$C$161,2,0),0)</f>
        <v>0</v>
      </c>
      <c r="AF240" s="97">
        <f>IFERROR(VLOOKUP(O240,S6M6!$B$1:$C$161,2,0),0)</f>
        <v>0</v>
      </c>
      <c r="AG240" s="97">
        <f>IFERROR(VLOOKUP(Q240,S6M7!$B$1:$C$161,2,0),0)</f>
        <v>0</v>
      </c>
      <c r="AH240" s="97">
        <f>IFERROR(VLOOKUP(S240,S6M8!$B$1:$C$161,2,0),0)</f>
        <v>0</v>
      </c>
      <c r="AI240" s="97">
        <f>IFERROR(VLOOKUP(U240,S6M9!$B$1:$C$161,2,0),0)</f>
        <v>0</v>
      </c>
      <c r="AJ240" s="97">
        <f>IFERROR(VLOOKUP(W240,S6M10!$B$1:$C$161,2,0),0)</f>
        <v>0</v>
      </c>
      <c r="AK240" s="97">
        <f>IFERROR(VLOOKUP(Y240,S6M11!$B$1:$C$161,2,0),0)</f>
        <v>0</v>
      </c>
    </row>
    <row r="241" ht="15.75" customHeight="1">
      <c r="A241" s="110">
        <v>240.0</v>
      </c>
      <c r="B241" s="103"/>
      <c r="C241" s="93">
        <f t="shared" si="2"/>
        <v>0</v>
      </c>
      <c r="D241" s="93"/>
      <c r="E241" s="94" t="str">
        <f>IFERROR(VLOOKUP($B241,S6M1!$A$1:$B$160,2,0),"0")</f>
        <v>0</v>
      </c>
      <c r="F241" s="95">
        <f>IFERROR(VLOOKUP(E241,S6M1!$B$1:$C$161,2,0),0)</f>
        <v>0</v>
      </c>
      <c r="G241" s="94" t="str">
        <f>IFERROR(VLOOKUP($B241,S6M2!$A$1:$B$160,2,0),"0")</f>
        <v>0</v>
      </c>
      <c r="H241" s="95">
        <f>IFERROR(VLOOKUP(G241,S6M2!$B$1:$C$161,2,0),0)</f>
        <v>0</v>
      </c>
      <c r="I241" s="94">
        <f>IFERROR(VLOOKUP($B241,S6M3!$A$1:$B$161,2,0),0)</f>
        <v>0</v>
      </c>
      <c r="J241" s="95">
        <f>IFERROR(VLOOKUP(I241,S6M3!$B$1:$C$161,2,0),0)</f>
        <v>0</v>
      </c>
      <c r="K241" s="94" t="str">
        <f>IFERROR(VLOOKUP($B241,S6M4!$A$1:$B$160,2,0),"0")</f>
        <v>0</v>
      </c>
      <c r="L241" s="95">
        <f>IFERROR(VLOOKUP(K241,S6M4!$B$1:$C$161,2,0),0)</f>
        <v>0</v>
      </c>
      <c r="M241" s="94" t="str">
        <f>IFERROR(VLOOKUP($B241,S6M5!$A$1:$B$160,2,0),"0")</f>
        <v>0</v>
      </c>
      <c r="N241" s="95">
        <f>IFERROR(VLOOKUP(M241,S6M5!$B$1:$C$161,2,0),0)</f>
        <v>0</v>
      </c>
      <c r="O241" s="94" t="str">
        <f>IFERROR(VLOOKUP($B241,S6M6!$A$1:$B$160,2,0),"0")</f>
        <v>0</v>
      </c>
      <c r="P241" s="95">
        <f>IFERROR(VLOOKUP(O241,S6M6!$B$1:$C$161,2,0),0)</f>
        <v>0</v>
      </c>
      <c r="Q241" s="94" t="str">
        <f>IFERROR(VLOOKUP($B241,S6M7!$A$1:$B$160,2,0),"0")</f>
        <v>0</v>
      </c>
      <c r="R241" s="95">
        <f>IFERROR(VLOOKUP(Q241,S6M7!$B$1:$C$161,2,0),0)</f>
        <v>0</v>
      </c>
      <c r="S241" s="94" t="str">
        <f>IFERROR(VLOOKUP($B241,S6M8!$A$1:$B$160,2,0),"0")</f>
        <v>0</v>
      </c>
      <c r="T241" s="95">
        <f>IFERROR(VLOOKUP(S241,S6M8!$B$1:$C$161,2,0),0)</f>
        <v>0</v>
      </c>
      <c r="U241" s="94" t="str">
        <f>IFERROR(VLOOKUP($B241,S6M9!$A$1:$B$160,2,0),"0")</f>
        <v>0</v>
      </c>
      <c r="V241" s="95">
        <f>IFERROR(VLOOKUP(U241,S6M9!$B$1:$C$161,2,0),0)</f>
        <v>0</v>
      </c>
      <c r="W241" s="94" t="str">
        <f>IFERROR(VLOOKUP($B241,S6M10!$A$1:$B$160,2,0),"0")</f>
        <v>0</v>
      </c>
      <c r="X241" s="95">
        <f>IFERROR(VLOOKUP(W241,S6M10!$B$1:$C$161,2,0),0)</f>
        <v>0</v>
      </c>
      <c r="Y241" s="94" t="str">
        <f>IFERROR(VLOOKUP($B241,S6M11!$A$1:$B$160,2,0),"0")</f>
        <v>0</v>
      </c>
      <c r="Z241" s="95">
        <f>IFERROR(VLOOKUP(Y241,S6M11!$B$1:$C$161,2,0),0)</f>
        <v>0</v>
      </c>
      <c r="AA241" s="97">
        <f>IFERROR(VLOOKUP(E241,S6M1!$B$1:$C$161,2,0),0)</f>
        <v>0</v>
      </c>
      <c r="AB241" s="97">
        <f>IFERROR(VLOOKUP(G241,S6M2!$B$1:$C$161,2,0),0)</f>
        <v>0</v>
      </c>
      <c r="AC241" s="97">
        <f>IFERROR(VLOOKUP(I241,S6M3!$B$1:$C$161,2,0),0)</f>
        <v>0</v>
      </c>
      <c r="AD241" s="97">
        <f>IFERROR(VLOOKUP(K241,S6M4!$B$1:$C$161,2,0),0)</f>
        <v>0</v>
      </c>
      <c r="AE241" s="97">
        <f>IFERROR(VLOOKUP(M241,S6M5!$B$1:$C$161,2,0),0)</f>
        <v>0</v>
      </c>
      <c r="AF241" s="97">
        <f>IFERROR(VLOOKUP(O241,S6M6!$B$1:$C$161,2,0),0)</f>
        <v>0</v>
      </c>
      <c r="AG241" s="97">
        <f>IFERROR(VLOOKUP(Q241,S6M7!$B$1:$C$161,2,0),0)</f>
        <v>0</v>
      </c>
      <c r="AH241" s="97">
        <f>IFERROR(VLOOKUP(S241,S6M8!$B$1:$C$161,2,0),0)</f>
        <v>0</v>
      </c>
      <c r="AI241" s="97">
        <f>IFERROR(VLOOKUP(U241,S6M9!$B$1:$C$161,2,0),0)</f>
        <v>0</v>
      </c>
      <c r="AJ241" s="97">
        <f>IFERROR(VLOOKUP(W241,S6M10!$B$1:$C$161,2,0),0)</f>
        <v>0</v>
      </c>
      <c r="AK241" s="97">
        <f>IFERROR(VLOOKUP(Y241,S6M11!$B$1:$C$161,2,0),0)</f>
        <v>0</v>
      </c>
    </row>
    <row r="242" ht="15.75" customHeight="1">
      <c r="A242" s="110">
        <v>241.0</v>
      </c>
      <c r="B242" s="103"/>
      <c r="C242" s="93">
        <f t="shared" si="2"/>
        <v>0</v>
      </c>
      <c r="D242" s="93"/>
      <c r="E242" s="94" t="str">
        <f>IFERROR(VLOOKUP($B242,S6M1!$A$1:$B$160,2,0),"0")</f>
        <v>0</v>
      </c>
      <c r="F242" s="95">
        <f>IFERROR(VLOOKUP(E242,S6M1!$B$1:$C$161,2,0),0)</f>
        <v>0</v>
      </c>
      <c r="G242" s="94" t="str">
        <f>IFERROR(VLOOKUP($B242,S6M2!$A$1:$B$160,2,0),"0")</f>
        <v>0</v>
      </c>
      <c r="H242" s="95">
        <f>IFERROR(VLOOKUP(G242,S6M2!$B$1:$C$161,2,0),0)</f>
        <v>0</v>
      </c>
      <c r="I242" s="94">
        <f>IFERROR(VLOOKUP($B242,S6M3!$A$1:$B$161,2,0),0)</f>
        <v>0</v>
      </c>
      <c r="J242" s="95">
        <f>IFERROR(VLOOKUP(I242,S6M3!$B$1:$C$161,2,0),0)</f>
        <v>0</v>
      </c>
      <c r="K242" s="94" t="str">
        <f>IFERROR(VLOOKUP($B242,S6M4!$A$1:$B$160,2,0),"0")</f>
        <v>0</v>
      </c>
      <c r="L242" s="95">
        <f>IFERROR(VLOOKUP(K242,S6M4!$B$1:$C$161,2,0),0)</f>
        <v>0</v>
      </c>
      <c r="M242" s="94" t="str">
        <f>IFERROR(VLOOKUP($B242,S6M5!$A$1:$B$160,2,0),"0")</f>
        <v>0</v>
      </c>
      <c r="N242" s="95">
        <f>IFERROR(VLOOKUP(M242,S6M5!$B$1:$C$161,2,0),0)</f>
        <v>0</v>
      </c>
      <c r="O242" s="94" t="str">
        <f>IFERROR(VLOOKUP($B242,S6M6!$A$1:$B$160,2,0),"0")</f>
        <v>0</v>
      </c>
      <c r="P242" s="95">
        <f>IFERROR(VLOOKUP(O242,S6M6!$B$1:$C$161,2,0),0)</f>
        <v>0</v>
      </c>
      <c r="Q242" s="94" t="str">
        <f>IFERROR(VLOOKUP($B242,S6M7!$A$1:$B$160,2,0),"0")</f>
        <v>0</v>
      </c>
      <c r="R242" s="95">
        <f>IFERROR(VLOOKUP(Q242,S6M7!$B$1:$C$161,2,0),0)</f>
        <v>0</v>
      </c>
      <c r="S242" s="94" t="str">
        <f>IFERROR(VLOOKUP($B242,S6M8!$A$1:$B$160,2,0),"0")</f>
        <v>0</v>
      </c>
      <c r="T242" s="95">
        <f>IFERROR(VLOOKUP(S242,S6M8!$B$1:$C$161,2,0),0)</f>
        <v>0</v>
      </c>
      <c r="U242" s="94" t="str">
        <f>IFERROR(VLOOKUP($B242,S6M9!$A$1:$B$160,2,0),"0")</f>
        <v>0</v>
      </c>
      <c r="V242" s="95">
        <f>IFERROR(VLOOKUP(U242,S6M9!$B$1:$C$161,2,0),0)</f>
        <v>0</v>
      </c>
      <c r="W242" s="94" t="str">
        <f>IFERROR(VLOOKUP($B242,S6M10!$A$1:$B$160,2,0),"0")</f>
        <v>0</v>
      </c>
      <c r="X242" s="95">
        <f>IFERROR(VLOOKUP(W242,S6M10!$B$1:$C$161,2,0),0)</f>
        <v>0</v>
      </c>
      <c r="Y242" s="94" t="str">
        <f>IFERROR(VLOOKUP($B242,S6M11!$A$1:$B$160,2,0),"0")</f>
        <v>0</v>
      </c>
      <c r="Z242" s="95">
        <f>IFERROR(VLOOKUP(Y242,S6M11!$B$1:$C$161,2,0),0)</f>
        <v>0</v>
      </c>
      <c r="AA242" s="97">
        <f>IFERROR(VLOOKUP(E242,S6M1!$B$1:$C$161,2,0),0)</f>
        <v>0</v>
      </c>
      <c r="AB242" s="97">
        <f>IFERROR(VLOOKUP(G242,S6M2!$B$1:$C$161,2,0),0)</f>
        <v>0</v>
      </c>
      <c r="AC242" s="97">
        <f>IFERROR(VLOOKUP(I242,S6M3!$B$1:$C$161,2,0),0)</f>
        <v>0</v>
      </c>
      <c r="AD242" s="97">
        <f>IFERROR(VLOOKUP(K242,S6M4!$B$1:$C$161,2,0),0)</f>
        <v>0</v>
      </c>
      <c r="AE242" s="97">
        <f>IFERROR(VLOOKUP(M242,S6M5!$B$1:$C$161,2,0),0)</f>
        <v>0</v>
      </c>
      <c r="AF242" s="97">
        <f>IFERROR(VLOOKUP(O242,S6M6!$B$1:$C$161,2,0),0)</f>
        <v>0</v>
      </c>
      <c r="AG242" s="97">
        <f>IFERROR(VLOOKUP(Q242,S6M7!$B$1:$C$161,2,0),0)</f>
        <v>0</v>
      </c>
      <c r="AH242" s="97">
        <f>IFERROR(VLOOKUP(S242,S6M8!$B$1:$C$161,2,0),0)</f>
        <v>0</v>
      </c>
      <c r="AI242" s="97">
        <f>IFERROR(VLOOKUP(U242,S6M9!$B$1:$C$161,2,0),0)</f>
        <v>0</v>
      </c>
      <c r="AJ242" s="97">
        <f>IFERROR(VLOOKUP(W242,S6M10!$B$1:$C$161,2,0),0)</f>
        <v>0</v>
      </c>
      <c r="AK242" s="97">
        <f>IFERROR(VLOOKUP(Y242,S6M11!$B$1:$C$161,2,0),0)</f>
        <v>0</v>
      </c>
    </row>
    <row r="243" ht="15.75" customHeight="1">
      <c r="A243" s="110">
        <v>242.0</v>
      </c>
      <c r="B243" s="103"/>
      <c r="C243" s="93">
        <f t="shared" si="2"/>
        <v>0</v>
      </c>
      <c r="D243" s="93"/>
      <c r="E243" s="94" t="str">
        <f>IFERROR(VLOOKUP($B243,S6M1!$A$1:$B$160,2,0),"0")</f>
        <v>0</v>
      </c>
      <c r="F243" s="95">
        <f>IFERROR(VLOOKUP(E243,S6M1!$B$1:$C$161,2,0),0)</f>
        <v>0</v>
      </c>
      <c r="G243" s="94" t="str">
        <f>IFERROR(VLOOKUP($B243,S6M2!$A$1:$B$160,2,0),"0")</f>
        <v>0</v>
      </c>
      <c r="H243" s="95">
        <f>IFERROR(VLOOKUP(G243,S6M2!$B$1:$C$161,2,0),0)</f>
        <v>0</v>
      </c>
      <c r="I243" s="94">
        <f>IFERROR(VLOOKUP($B243,S6M3!$A$1:$B$161,2,0),0)</f>
        <v>0</v>
      </c>
      <c r="J243" s="95">
        <f>IFERROR(VLOOKUP(I243,S6M3!$B$1:$C$161,2,0),0)</f>
        <v>0</v>
      </c>
      <c r="K243" s="94" t="str">
        <f>IFERROR(VLOOKUP($B243,S6M4!$A$1:$B$160,2,0),"0")</f>
        <v>0</v>
      </c>
      <c r="L243" s="95">
        <f>IFERROR(VLOOKUP(K243,S6M4!$B$1:$C$161,2,0),0)</f>
        <v>0</v>
      </c>
      <c r="M243" s="94" t="str">
        <f>IFERROR(VLOOKUP($B243,S6M5!$A$1:$B$160,2,0),"0")</f>
        <v>0</v>
      </c>
      <c r="N243" s="95">
        <f>IFERROR(VLOOKUP(M243,S6M5!$B$1:$C$161,2,0),0)</f>
        <v>0</v>
      </c>
      <c r="O243" s="94" t="str">
        <f>IFERROR(VLOOKUP($B243,S6M6!$A$1:$B$160,2,0),"0")</f>
        <v>0</v>
      </c>
      <c r="P243" s="95">
        <f>IFERROR(VLOOKUP(O243,S6M6!$B$1:$C$161,2,0),0)</f>
        <v>0</v>
      </c>
      <c r="Q243" s="94" t="str">
        <f>IFERROR(VLOOKUP($B243,S6M7!$A$1:$B$160,2,0),"0")</f>
        <v>0</v>
      </c>
      <c r="R243" s="95">
        <f>IFERROR(VLOOKUP(Q243,S6M7!$B$1:$C$161,2,0),0)</f>
        <v>0</v>
      </c>
      <c r="S243" s="94" t="str">
        <f>IFERROR(VLOOKUP($B243,S6M8!$A$1:$B$160,2,0),"0")</f>
        <v>0</v>
      </c>
      <c r="T243" s="95">
        <f>IFERROR(VLOOKUP(S243,S6M8!$B$1:$C$161,2,0),0)</f>
        <v>0</v>
      </c>
      <c r="U243" s="94" t="str">
        <f>IFERROR(VLOOKUP($B243,S6M9!$A$1:$B$160,2,0),"0")</f>
        <v>0</v>
      </c>
      <c r="V243" s="95">
        <f>IFERROR(VLOOKUP(U243,S6M9!$B$1:$C$161,2,0),0)</f>
        <v>0</v>
      </c>
      <c r="W243" s="94" t="str">
        <f>IFERROR(VLOOKUP($B243,S6M10!$A$1:$B$160,2,0),"0")</f>
        <v>0</v>
      </c>
      <c r="X243" s="95">
        <f>IFERROR(VLOOKUP(W243,S6M10!$B$1:$C$161,2,0),0)</f>
        <v>0</v>
      </c>
      <c r="Y243" s="94" t="str">
        <f>IFERROR(VLOOKUP($B243,S6M11!$A$1:$B$160,2,0),"0")</f>
        <v>0</v>
      </c>
      <c r="Z243" s="95">
        <f>IFERROR(VLOOKUP(Y243,S6M11!$B$1:$C$161,2,0),0)</f>
        <v>0</v>
      </c>
      <c r="AA243" s="97">
        <f>IFERROR(VLOOKUP(E243,S6M1!$B$1:$C$161,2,0),0)</f>
        <v>0</v>
      </c>
      <c r="AB243" s="97">
        <f>IFERROR(VLOOKUP(G243,S6M2!$B$1:$C$161,2,0),0)</f>
        <v>0</v>
      </c>
      <c r="AC243" s="97">
        <f>IFERROR(VLOOKUP(I243,S6M3!$B$1:$C$161,2,0),0)</f>
        <v>0</v>
      </c>
      <c r="AD243" s="97">
        <f>IFERROR(VLOOKUP(K243,S6M4!$B$1:$C$161,2,0),0)</f>
        <v>0</v>
      </c>
      <c r="AE243" s="97">
        <f>IFERROR(VLOOKUP(M243,S6M5!$B$1:$C$161,2,0),0)</f>
        <v>0</v>
      </c>
      <c r="AF243" s="97">
        <f>IFERROR(VLOOKUP(O243,S6M6!$B$1:$C$161,2,0),0)</f>
        <v>0</v>
      </c>
      <c r="AG243" s="97">
        <f>IFERROR(VLOOKUP(Q243,S6M7!$B$1:$C$161,2,0),0)</f>
        <v>0</v>
      </c>
      <c r="AH243" s="97">
        <f>IFERROR(VLOOKUP(S243,S6M8!$B$1:$C$161,2,0),0)</f>
        <v>0</v>
      </c>
      <c r="AI243" s="97">
        <f>IFERROR(VLOOKUP(U243,S6M9!$B$1:$C$161,2,0),0)</f>
        <v>0</v>
      </c>
      <c r="AJ243" s="97">
        <f>IFERROR(VLOOKUP(W243,S6M10!$B$1:$C$161,2,0),0)</f>
        <v>0</v>
      </c>
      <c r="AK243" s="97">
        <f>IFERROR(VLOOKUP(Y243,S6M11!$B$1:$C$161,2,0),0)</f>
        <v>0</v>
      </c>
    </row>
    <row r="244" ht="15.75" customHeight="1">
      <c r="A244" s="110">
        <v>243.0</v>
      </c>
      <c r="B244" s="103"/>
      <c r="C244" s="93">
        <f t="shared" si="2"/>
        <v>0</v>
      </c>
      <c r="D244" s="93"/>
      <c r="E244" s="94" t="str">
        <f>IFERROR(VLOOKUP($B244,S6M1!$A$1:$B$160,2,0),"0")</f>
        <v>0</v>
      </c>
      <c r="F244" s="95">
        <f>IFERROR(VLOOKUP(E244,S6M1!$B$1:$C$161,2,0),0)</f>
        <v>0</v>
      </c>
      <c r="G244" s="94" t="str">
        <f>IFERROR(VLOOKUP($B244,S6M2!$A$1:$B$160,2,0),"0")</f>
        <v>0</v>
      </c>
      <c r="H244" s="95">
        <f>IFERROR(VLOOKUP(G244,S6M2!$B$1:$C$161,2,0),0)</f>
        <v>0</v>
      </c>
      <c r="I244" s="94">
        <f>IFERROR(VLOOKUP($B244,S6M3!$A$1:$B$161,2,0),0)</f>
        <v>0</v>
      </c>
      <c r="J244" s="95">
        <f>IFERROR(VLOOKUP(I244,S6M3!$B$1:$C$161,2,0),0)</f>
        <v>0</v>
      </c>
      <c r="K244" s="94" t="str">
        <f>IFERROR(VLOOKUP($B244,S6M4!$A$1:$B$160,2,0),"0")</f>
        <v>0</v>
      </c>
      <c r="L244" s="95">
        <f>IFERROR(VLOOKUP(K244,S6M4!$B$1:$C$161,2,0),0)</f>
        <v>0</v>
      </c>
      <c r="M244" s="94" t="str">
        <f>IFERROR(VLOOKUP($B244,S6M5!$A$1:$B$160,2,0),"0")</f>
        <v>0</v>
      </c>
      <c r="N244" s="95">
        <f>IFERROR(VLOOKUP(M244,S6M5!$B$1:$C$161,2,0),0)</f>
        <v>0</v>
      </c>
      <c r="O244" s="94" t="str">
        <f>IFERROR(VLOOKUP($B244,S6M6!$A$1:$B$160,2,0),"0")</f>
        <v>0</v>
      </c>
      <c r="P244" s="95">
        <f>IFERROR(VLOOKUP(O244,S6M6!$B$1:$C$161,2,0),0)</f>
        <v>0</v>
      </c>
      <c r="Q244" s="94" t="str">
        <f>IFERROR(VLOOKUP($B244,S6M7!$A$1:$B$160,2,0),"0")</f>
        <v>0</v>
      </c>
      <c r="R244" s="95">
        <f>IFERROR(VLOOKUP(Q244,S6M7!$B$1:$C$161,2,0),0)</f>
        <v>0</v>
      </c>
      <c r="S244" s="94" t="str">
        <f>IFERROR(VLOOKUP($B244,S6M8!$A$1:$B$160,2,0),"0")</f>
        <v>0</v>
      </c>
      <c r="T244" s="95">
        <f>IFERROR(VLOOKUP(S244,S6M8!$B$1:$C$161,2,0),0)</f>
        <v>0</v>
      </c>
      <c r="U244" s="94" t="str">
        <f>IFERROR(VLOOKUP($B244,S6M9!$A$1:$B$160,2,0),"0")</f>
        <v>0</v>
      </c>
      <c r="V244" s="95">
        <f>IFERROR(VLOOKUP(U244,S6M9!$B$1:$C$161,2,0),0)</f>
        <v>0</v>
      </c>
      <c r="W244" s="94" t="str">
        <f>IFERROR(VLOOKUP($B244,S6M10!$A$1:$B$160,2,0),"0")</f>
        <v>0</v>
      </c>
      <c r="X244" s="95">
        <f>IFERROR(VLOOKUP(W244,S6M10!$B$1:$C$161,2,0),0)</f>
        <v>0</v>
      </c>
      <c r="Y244" s="94" t="str">
        <f>IFERROR(VLOOKUP($B244,S6M11!$A$1:$B$160,2,0),"0")</f>
        <v>0</v>
      </c>
      <c r="Z244" s="95">
        <f>IFERROR(VLOOKUP(Y244,S6M11!$B$1:$C$161,2,0),0)</f>
        <v>0</v>
      </c>
      <c r="AA244" s="97">
        <f>IFERROR(VLOOKUP(E244,S6M1!$B$1:$C$161,2,0),0)</f>
        <v>0</v>
      </c>
      <c r="AB244" s="97">
        <f>IFERROR(VLOOKUP(G244,S6M2!$B$1:$C$161,2,0),0)</f>
        <v>0</v>
      </c>
      <c r="AC244" s="97">
        <f>IFERROR(VLOOKUP(I244,S6M3!$B$1:$C$161,2,0),0)</f>
        <v>0</v>
      </c>
      <c r="AD244" s="97">
        <f>IFERROR(VLOOKUP(K244,S6M4!$B$1:$C$161,2,0),0)</f>
        <v>0</v>
      </c>
      <c r="AE244" s="97">
        <f>IFERROR(VLOOKUP(M244,S6M5!$B$1:$C$161,2,0),0)</f>
        <v>0</v>
      </c>
      <c r="AF244" s="97">
        <f>IFERROR(VLOOKUP(O244,S6M6!$B$1:$C$161,2,0),0)</f>
        <v>0</v>
      </c>
      <c r="AG244" s="97">
        <f>IFERROR(VLOOKUP(Q244,S6M7!$B$1:$C$161,2,0),0)</f>
        <v>0</v>
      </c>
      <c r="AH244" s="97">
        <f>IFERROR(VLOOKUP(S244,S6M8!$B$1:$C$161,2,0),0)</f>
        <v>0</v>
      </c>
      <c r="AI244" s="97">
        <f>IFERROR(VLOOKUP(U244,S6M9!$B$1:$C$161,2,0),0)</f>
        <v>0</v>
      </c>
      <c r="AJ244" s="97">
        <f>IFERROR(VLOOKUP(W244,S6M10!$B$1:$C$161,2,0),0)</f>
        <v>0</v>
      </c>
      <c r="AK244" s="97">
        <f>IFERROR(VLOOKUP(Y244,S6M11!$B$1:$C$161,2,0),0)</f>
        <v>0</v>
      </c>
    </row>
    <row r="245" ht="15.75" customHeight="1">
      <c r="A245" s="110">
        <v>244.0</v>
      </c>
      <c r="B245" s="103"/>
      <c r="C245" s="93">
        <f t="shared" si="2"/>
        <v>0</v>
      </c>
      <c r="D245" s="93"/>
      <c r="E245" s="94" t="str">
        <f>IFERROR(VLOOKUP($B245,S6M1!$A$1:$B$160,2,0),"0")</f>
        <v>0</v>
      </c>
      <c r="F245" s="95">
        <f>IFERROR(VLOOKUP(E245,S6M1!$B$1:$C$161,2,0),0)</f>
        <v>0</v>
      </c>
      <c r="G245" s="94" t="str">
        <f>IFERROR(VLOOKUP($B245,S6M2!$A$1:$B$160,2,0),"0")</f>
        <v>0</v>
      </c>
      <c r="H245" s="95">
        <f>IFERROR(VLOOKUP(G245,S6M2!$B$1:$C$161,2,0),0)</f>
        <v>0</v>
      </c>
      <c r="I245" s="94">
        <f>IFERROR(VLOOKUP($B245,S6M3!$A$1:$B$161,2,0),0)</f>
        <v>0</v>
      </c>
      <c r="J245" s="95">
        <f>IFERROR(VLOOKUP(I245,S6M3!$B$1:$C$161,2,0),0)</f>
        <v>0</v>
      </c>
      <c r="K245" s="94" t="str">
        <f>IFERROR(VLOOKUP($B245,S6M4!$A$1:$B$160,2,0),"0")</f>
        <v>0</v>
      </c>
      <c r="L245" s="95">
        <f>IFERROR(VLOOKUP(K245,S6M4!$B$1:$C$161,2,0),0)</f>
        <v>0</v>
      </c>
      <c r="M245" s="94" t="str">
        <f>IFERROR(VLOOKUP($B245,S6M5!$A$1:$B$160,2,0),"0")</f>
        <v>0</v>
      </c>
      <c r="N245" s="95">
        <f>IFERROR(VLOOKUP(M245,S6M5!$B$1:$C$161,2,0),0)</f>
        <v>0</v>
      </c>
      <c r="O245" s="94" t="str">
        <f>IFERROR(VLOOKUP($B245,S6M6!$A$1:$B$160,2,0),"0")</f>
        <v>0</v>
      </c>
      <c r="P245" s="95">
        <f>IFERROR(VLOOKUP(O245,S6M6!$B$1:$C$161,2,0),0)</f>
        <v>0</v>
      </c>
      <c r="Q245" s="94" t="str">
        <f>IFERROR(VLOOKUP($B245,S6M7!$A$1:$B$160,2,0),"0")</f>
        <v>0</v>
      </c>
      <c r="R245" s="95">
        <f>IFERROR(VLOOKUP(Q245,S6M7!$B$1:$C$161,2,0),0)</f>
        <v>0</v>
      </c>
      <c r="S245" s="94" t="str">
        <f>IFERROR(VLOOKUP($B245,S6M8!$A$1:$B$160,2,0),"0")</f>
        <v>0</v>
      </c>
      <c r="T245" s="95">
        <f>IFERROR(VLOOKUP(S245,S6M8!$B$1:$C$161,2,0),0)</f>
        <v>0</v>
      </c>
      <c r="U245" s="94" t="str">
        <f>IFERROR(VLOOKUP($B245,S6M9!$A$1:$B$160,2,0),"0")</f>
        <v>0</v>
      </c>
      <c r="V245" s="95">
        <f>IFERROR(VLOOKUP(U245,S6M9!$B$1:$C$161,2,0),0)</f>
        <v>0</v>
      </c>
      <c r="W245" s="94" t="str">
        <f>IFERROR(VLOOKUP($B245,S6M10!$A$1:$B$160,2,0),"0")</f>
        <v>0</v>
      </c>
      <c r="X245" s="95">
        <f>IFERROR(VLOOKUP(W245,S6M10!$B$1:$C$161,2,0),0)</f>
        <v>0</v>
      </c>
      <c r="Y245" s="94" t="str">
        <f>IFERROR(VLOOKUP($B245,S6M11!$A$1:$B$160,2,0),"0")</f>
        <v>0</v>
      </c>
      <c r="Z245" s="95">
        <f>IFERROR(VLOOKUP(Y245,S6M11!$B$1:$C$161,2,0),0)</f>
        <v>0</v>
      </c>
      <c r="AA245" s="97">
        <f>IFERROR(VLOOKUP(E245,S6M1!$B$1:$C$161,2,0),0)</f>
        <v>0</v>
      </c>
      <c r="AB245" s="97">
        <f>IFERROR(VLOOKUP(G245,S6M2!$B$1:$C$161,2,0),0)</f>
        <v>0</v>
      </c>
      <c r="AC245" s="97">
        <f>IFERROR(VLOOKUP(I245,S6M3!$B$1:$C$161,2,0),0)</f>
        <v>0</v>
      </c>
      <c r="AD245" s="97">
        <f>IFERROR(VLOOKUP(K245,S6M4!$B$1:$C$161,2,0),0)</f>
        <v>0</v>
      </c>
      <c r="AE245" s="97">
        <f>IFERROR(VLOOKUP(M245,S6M5!$B$1:$C$161,2,0),0)</f>
        <v>0</v>
      </c>
      <c r="AF245" s="97">
        <f>IFERROR(VLOOKUP(O245,S6M6!$B$1:$C$161,2,0),0)</f>
        <v>0</v>
      </c>
      <c r="AG245" s="97">
        <f>IFERROR(VLOOKUP(Q245,S6M7!$B$1:$C$161,2,0),0)</f>
        <v>0</v>
      </c>
      <c r="AH245" s="97">
        <f>IFERROR(VLOOKUP(S245,S6M8!$B$1:$C$161,2,0),0)</f>
        <v>0</v>
      </c>
      <c r="AI245" s="97">
        <f>IFERROR(VLOOKUP(U245,S6M9!$B$1:$C$161,2,0),0)</f>
        <v>0</v>
      </c>
      <c r="AJ245" s="97">
        <f>IFERROR(VLOOKUP(W245,S6M10!$B$1:$C$161,2,0),0)</f>
        <v>0</v>
      </c>
      <c r="AK245" s="97">
        <f>IFERROR(VLOOKUP(Y245,S6M11!$B$1:$C$161,2,0),0)</f>
        <v>0</v>
      </c>
    </row>
    <row r="246" ht="15.75" customHeight="1">
      <c r="A246" s="110">
        <v>245.0</v>
      </c>
      <c r="B246" s="103"/>
      <c r="C246" s="93">
        <f t="shared" si="2"/>
        <v>0</v>
      </c>
      <c r="D246" s="93"/>
      <c r="E246" s="94" t="str">
        <f>IFERROR(VLOOKUP($B246,S6M1!$A$1:$B$160,2,0),"0")</f>
        <v>0</v>
      </c>
      <c r="F246" s="95">
        <f>IFERROR(VLOOKUP(E246,S6M1!$B$1:$C$161,2,0),0)</f>
        <v>0</v>
      </c>
      <c r="G246" s="94" t="str">
        <f>IFERROR(VLOOKUP($B246,S6M2!$A$1:$B$160,2,0),"0")</f>
        <v>0</v>
      </c>
      <c r="H246" s="95">
        <f>IFERROR(VLOOKUP(G246,S6M2!$B$1:$C$161,2,0),0)</f>
        <v>0</v>
      </c>
      <c r="I246" s="94">
        <f>IFERROR(VLOOKUP($B246,S6M3!$A$1:$B$161,2,0),0)</f>
        <v>0</v>
      </c>
      <c r="J246" s="95">
        <f>IFERROR(VLOOKUP(I246,S6M3!$B$1:$C$161,2,0),0)</f>
        <v>0</v>
      </c>
      <c r="K246" s="94" t="str">
        <f>IFERROR(VLOOKUP($B246,S6M4!$A$1:$B$160,2,0),"0")</f>
        <v>0</v>
      </c>
      <c r="L246" s="95">
        <f>IFERROR(VLOOKUP(K246,S6M4!$B$1:$C$161,2,0),0)</f>
        <v>0</v>
      </c>
      <c r="M246" s="94" t="str">
        <f>IFERROR(VLOOKUP($B246,S6M5!$A$1:$B$160,2,0),"0")</f>
        <v>0</v>
      </c>
      <c r="N246" s="95">
        <f>IFERROR(VLOOKUP(M246,S6M5!$B$1:$C$161,2,0),0)</f>
        <v>0</v>
      </c>
      <c r="O246" s="94" t="str">
        <f>IFERROR(VLOOKUP($B246,S6M6!$A$1:$B$160,2,0),"0")</f>
        <v>0</v>
      </c>
      <c r="P246" s="95">
        <f>IFERROR(VLOOKUP(O246,S6M6!$B$1:$C$161,2,0),0)</f>
        <v>0</v>
      </c>
      <c r="Q246" s="94" t="str">
        <f>IFERROR(VLOOKUP($B246,S6M7!$A$1:$B$160,2,0),"0")</f>
        <v>0</v>
      </c>
      <c r="R246" s="95">
        <f>IFERROR(VLOOKUP(Q246,S6M7!$B$1:$C$161,2,0),0)</f>
        <v>0</v>
      </c>
      <c r="S246" s="94" t="str">
        <f>IFERROR(VLOOKUP($B246,S6M8!$A$1:$B$160,2,0),"0")</f>
        <v>0</v>
      </c>
      <c r="T246" s="95">
        <f>IFERROR(VLOOKUP(S246,S6M8!$B$1:$C$161,2,0),0)</f>
        <v>0</v>
      </c>
      <c r="U246" s="94" t="str">
        <f>IFERROR(VLOOKUP($B246,S6M9!$A$1:$B$160,2,0),"0")</f>
        <v>0</v>
      </c>
      <c r="V246" s="95">
        <f>IFERROR(VLOOKUP(U246,S6M9!$B$1:$C$161,2,0),0)</f>
        <v>0</v>
      </c>
      <c r="W246" s="94" t="str">
        <f>IFERROR(VLOOKUP($B246,S6M10!$A$1:$B$160,2,0),"0")</f>
        <v>0</v>
      </c>
      <c r="X246" s="95">
        <f>IFERROR(VLOOKUP(W246,S6M10!$B$1:$C$161,2,0),0)</f>
        <v>0</v>
      </c>
      <c r="Y246" s="94" t="str">
        <f>IFERROR(VLOOKUP($B246,S6M11!$A$1:$B$160,2,0),"0")</f>
        <v>0</v>
      </c>
      <c r="Z246" s="95">
        <f>IFERROR(VLOOKUP(Y246,S6M11!$B$1:$C$161,2,0),0)</f>
        <v>0</v>
      </c>
      <c r="AA246" s="97">
        <f>IFERROR(VLOOKUP(E246,S6M1!$B$1:$C$161,2,0),0)</f>
        <v>0</v>
      </c>
      <c r="AB246" s="97">
        <f>IFERROR(VLOOKUP(G246,S6M2!$B$1:$C$161,2,0),0)</f>
        <v>0</v>
      </c>
      <c r="AC246" s="97">
        <f>IFERROR(VLOOKUP(I246,S6M3!$B$1:$C$161,2,0),0)</f>
        <v>0</v>
      </c>
      <c r="AD246" s="97">
        <f>IFERROR(VLOOKUP(K246,S6M4!$B$1:$C$161,2,0),0)</f>
        <v>0</v>
      </c>
      <c r="AE246" s="97">
        <f>IFERROR(VLOOKUP(M246,S6M5!$B$1:$C$161,2,0),0)</f>
        <v>0</v>
      </c>
      <c r="AF246" s="97">
        <f>IFERROR(VLOOKUP(O246,S6M6!$B$1:$C$161,2,0),0)</f>
        <v>0</v>
      </c>
      <c r="AG246" s="97">
        <f>IFERROR(VLOOKUP(Q246,S6M7!$B$1:$C$161,2,0),0)</f>
        <v>0</v>
      </c>
      <c r="AH246" s="97">
        <f>IFERROR(VLOOKUP(S246,S6M8!$B$1:$C$161,2,0),0)</f>
        <v>0</v>
      </c>
      <c r="AI246" s="97">
        <f>IFERROR(VLOOKUP(U246,S6M9!$B$1:$C$161,2,0),0)</f>
        <v>0</v>
      </c>
      <c r="AJ246" s="97">
        <f>IFERROR(VLOOKUP(W246,S6M10!$B$1:$C$161,2,0),0)</f>
        <v>0</v>
      </c>
      <c r="AK246" s="97">
        <f>IFERROR(VLOOKUP(Y246,S6M11!$B$1:$C$161,2,0),0)</f>
        <v>0</v>
      </c>
    </row>
    <row r="247" ht="15.75" customHeight="1">
      <c r="A247" s="110">
        <v>246.0</v>
      </c>
      <c r="B247" s="103"/>
      <c r="C247" s="93">
        <f t="shared" si="2"/>
        <v>0</v>
      </c>
      <c r="D247" s="93"/>
      <c r="E247" s="94" t="str">
        <f>IFERROR(VLOOKUP($B247,S6M1!$A$1:$B$160,2,0),"0")</f>
        <v>0</v>
      </c>
      <c r="F247" s="95">
        <f>IFERROR(VLOOKUP(E247,S6M1!$B$1:$C$161,2,0),0)</f>
        <v>0</v>
      </c>
      <c r="G247" s="94" t="str">
        <f>IFERROR(VLOOKUP($B247,S6M2!$A$1:$B$160,2,0),"0")</f>
        <v>0</v>
      </c>
      <c r="H247" s="95">
        <f>IFERROR(VLOOKUP(G247,S6M2!$B$1:$C$161,2,0),0)</f>
        <v>0</v>
      </c>
      <c r="I247" s="94">
        <f>IFERROR(VLOOKUP($B247,S6M3!$A$1:$B$161,2,0),0)</f>
        <v>0</v>
      </c>
      <c r="J247" s="95">
        <f>IFERROR(VLOOKUP(I247,S6M3!$B$1:$C$161,2,0),0)</f>
        <v>0</v>
      </c>
      <c r="K247" s="94" t="str">
        <f>IFERROR(VLOOKUP($B247,S6M4!$A$1:$B$160,2,0),"0")</f>
        <v>0</v>
      </c>
      <c r="L247" s="95">
        <f>IFERROR(VLOOKUP(K247,S6M4!$B$1:$C$161,2,0),0)</f>
        <v>0</v>
      </c>
      <c r="M247" s="94" t="str">
        <f>IFERROR(VLOOKUP($B247,S6M5!$A$1:$B$160,2,0),"0")</f>
        <v>0</v>
      </c>
      <c r="N247" s="95">
        <f>IFERROR(VLOOKUP(M247,S6M5!$B$1:$C$161,2,0),0)</f>
        <v>0</v>
      </c>
      <c r="O247" s="94" t="str">
        <f>IFERROR(VLOOKUP($B247,S6M6!$A$1:$B$160,2,0),"0")</f>
        <v>0</v>
      </c>
      <c r="P247" s="95">
        <f>IFERROR(VLOOKUP(O247,S6M6!$B$1:$C$161,2,0),0)</f>
        <v>0</v>
      </c>
      <c r="Q247" s="94" t="str">
        <f>IFERROR(VLOOKUP($B247,S6M7!$A$1:$B$160,2,0),"0")</f>
        <v>0</v>
      </c>
      <c r="R247" s="95">
        <f>IFERROR(VLOOKUP(Q247,S6M7!$B$1:$C$161,2,0),0)</f>
        <v>0</v>
      </c>
      <c r="S247" s="94" t="str">
        <f>IFERROR(VLOOKUP($B247,S6M8!$A$1:$B$160,2,0),"0")</f>
        <v>0</v>
      </c>
      <c r="T247" s="95">
        <f>IFERROR(VLOOKUP(S247,S6M8!$B$1:$C$161,2,0),0)</f>
        <v>0</v>
      </c>
      <c r="U247" s="94" t="str">
        <f>IFERROR(VLOOKUP($B247,S6M9!$A$1:$B$160,2,0),"0")</f>
        <v>0</v>
      </c>
      <c r="V247" s="95">
        <f>IFERROR(VLOOKUP(U247,S6M9!$B$1:$C$161,2,0),0)</f>
        <v>0</v>
      </c>
      <c r="W247" s="94" t="str">
        <f>IFERROR(VLOOKUP($B247,S6M10!$A$1:$B$160,2,0),"0")</f>
        <v>0</v>
      </c>
      <c r="X247" s="95">
        <f>IFERROR(VLOOKUP(W247,S6M10!$B$1:$C$161,2,0),0)</f>
        <v>0</v>
      </c>
      <c r="Y247" s="94" t="str">
        <f>IFERROR(VLOOKUP($B247,S6M11!$A$1:$B$160,2,0),"0")</f>
        <v>0</v>
      </c>
      <c r="Z247" s="95">
        <f>IFERROR(VLOOKUP(Y247,S6M11!$B$1:$C$161,2,0),0)</f>
        <v>0</v>
      </c>
      <c r="AA247" s="97">
        <f>IFERROR(VLOOKUP(E247,S6M1!$B$1:$C$161,2,0),0)</f>
        <v>0</v>
      </c>
      <c r="AB247" s="97">
        <f>IFERROR(VLOOKUP(G247,S6M2!$B$1:$C$161,2,0),0)</f>
        <v>0</v>
      </c>
      <c r="AC247" s="97">
        <f>IFERROR(VLOOKUP(I247,S6M3!$B$1:$C$161,2,0),0)</f>
        <v>0</v>
      </c>
      <c r="AD247" s="97">
        <f>IFERROR(VLOOKUP(K247,S6M4!$B$1:$C$161,2,0),0)</f>
        <v>0</v>
      </c>
      <c r="AE247" s="97">
        <f>IFERROR(VLOOKUP(M247,S6M5!$B$1:$C$161,2,0),0)</f>
        <v>0</v>
      </c>
      <c r="AF247" s="97">
        <f>IFERROR(VLOOKUP(O247,S6M6!$B$1:$C$161,2,0),0)</f>
        <v>0</v>
      </c>
      <c r="AG247" s="97">
        <f>IFERROR(VLOOKUP(Q247,S6M7!$B$1:$C$161,2,0),0)</f>
        <v>0</v>
      </c>
      <c r="AH247" s="97">
        <f>IFERROR(VLOOKUP(S247,S6M8!$B$1:$C$161,2,0),0)</f>
        <v>0</v>
      </c>
      <c r="AI247" s="97">
        <f>IFERROR(VLOOKUP(U247,S6M9!$B$1:$C$161,2,0),0)</f>
        <v>0</v>
      </c>
      <c r="AJ247" s="97">
        <f>IFERROR(VLOOKUP(W247,S6M10!$B$1:$C$161,2,0),0)</f>
        <v>0</v>
      </c>
      <c r="AK247" s="97">
        <f>IFERROR(VLOOKUP(Y247,S6M11!$B$1:$C$161,2,0),0)</f>
        <v>0</v>
      </c>
    </row>
    <row r="248" ht="15.75" customHeight="1">
      <c r="A248" s="110">
        <v>247.0</v>
      </c>
      <c r="B248" s="103"/>
      <c r="C248" s="93">
        <f t="shared" si="2"/>
        <v>0</v>
      </c>
      <c r="D248" s="93"/>
      <c r="E248" s="94" t="str">
        <f>IFERROR(VLOOKUP($B248,S6M1!$A$1:$B$160,2,0),"0")</f>
        <v>0</v>
      </c>
      <c r="F248" s="95">
        <f>IFERROR(VLOOKUP(E248,S6M1!$B$1:$C$161,2,0),0)</f>
        <v>0</v>
      </c>
      <c r="G248" s="94" t="str">
        <f>IFERROR(VLOOKUP($B248,S6M2!$A$1:$B$160,2,0),"0")</f>
        <v>0</v>
      </c>
      <c r="H248" s="95">
        <f>IFERROR(VLOOKUP(G248,S6M2!$B$1:$C$161,2,0),0)</f>
        <v>0</v>
      </c>
      <c r="I248" s="94">
        <f>IFERROR(VLOOKUP($B248,S6M3!$A$1:$B$161,2,0),0)</f>
        <v>0</v>
      </c>
      <c r="J248" s="95">
        <f>IFERROR(VLOOKUP(I248,S6M3!$B$1:$C$161,2,0),0)</f>
        <v>0</v>
      </c>
      <c r="K248" s="94" t="str">
        <f>IFERROR(VLOOKUP($B248,S6M4!$A$1:$B$160,2,0),"0")</f>
        <v>0</v>
      </c>
      <c r="L248" s="95">
        <f>IFERROR(VLOOKUP(K248,S6M4!$B$1:$C$161,2,0),0)</f>
        <v>0</v>
      </c>
      <c r="M248" s="94" t="str">
        <f>IFERROR(VLOOKUP($B248,S6M5!$A$1:$B$160,2,0),"0")</f>
        <v>0</v>
      </c>
      <c r="N248" s="95">
        <f>IFERROR(VLOOKUP(M248,S6M5!$B$1:$C$161,2,0),0)</f>
        <v>0</v>
      </c>
      <c r="O248" s="94" t="str">
        <f>IFERROR(VLOOKUP($B248,S6M6!$A$1:$B$160,2,0),"0")</f>
        <v>0</v>
      </c>
      <c r="P248" s="95">
        <f>IFERROR(VLOOKUP(O248,S6M6!$B$1:$C$161,2,0),0)</f>
        <v>0</v>
      </c>
      <c r="Q248" s="94" t="str">
        <f>IFERROR(VLOOKUP($B248,S6M7!$A$1:$B$160,2,0),"0")</f>
        <v>0</v>
      </c>
      <c r="R248" s="95">
        <f>IFERROR(VLOOKUP(Q248,S6M7!$B$1:$C$161,2,0),0)</f>
        <v>0</v>
      </c>
      <c r="S248" s="94" t="str">
        <f>IFERROR(VLOOKUP($B248,S6M8!$A$1:$B$160,2,0),"0")</f>
        <v>0</v>
      </c>
      <c r="T248" s="95">
        <f>IFERROR(VLOOKUP(S248,S6M8!$B$1:$C$161,2,0),0)</f>
        <v>0</v>
      </c>
      <c r="U248" s="94" t="str">
        <f>IFERROR(VLOOKUP($B248,S6M9!$A$1:$B$160,2,0),"0")</f>
        <v>0</v>
      </c>
      <c r="V248" s="95">
        <f>IFERROR(VLOOKUP(U248,S6M9!$B$1:$C$161,2,0),0)</f>
        <v>0</v>
      </c>
      <c r="W248" s="94" t="str">
        <f>IFERROR(VLOOKUP($B248,S6M10!$A$1:$B$160,2,0),"0")</f>
        <v>0</v>
      </c>
      <c r="X248" s="95">
        <f>IFERROR(VLOOKUP(W248,S6M10!$B$1:$C$161,2,0),0)</f>
        <v>0</v>
      </c>
      <c r="Y248" s="94" t="str">
        <f>IFERROR(VLOOKUP($B248,S6M11!$A$1:$B$160,2,0),"0")</f>
        <v>0</v>
      </c>
      <c r="Z248" s="95">
        <f>IFERROR(VLOOKUP(Y248,S6M11!$B$1:$C$161,2,0),0)</f>
        <v>0</v>
      </c>
      <c r="AA248" s="97">
        <f>IFERROR(VLOOKUP(E248,S6M1!$B$1:$C$161,2,0),0)</f>
        <v>0</v>
      </c>
      <c r="AB248" s="97">
        <f>IFERROR(VLOOKUP(G248,S6M2!$B$1:$C$161,2,0),0)</f>
        <v>0</v>
      </c>
      <c r="AC248" s="97">
        <f>IFERROR(VLOOKUP(I248,S6M3!$B$1:$C$161,2,0),0)</f>
        <v>0</v>
      </c>
      <c r="AD248" s="97">
        <f>IFERROR(VLOOKUP(K248,S6M4!$B$1:$C$161,2,0),0)</f>
        <v>0</v>
      </c>
      <c r="AE248" s="97">
        <f>IFERROR(VLOOKUP(M248,S6M5!$B$1:$C$161,2,0),0)</f>
        <v>0</v>
      </c>
      <c r="AF248" s="97">
        <f>IFERROR(VLOOKUP(O248,S6M6!$B$1:$C$161,2,0),0)</f>
        <v>0</v>
      </c>
      <c r="AG248" s="97">
        <f>IFERROR(VLOOKUP(Q248,S6M7!$B$1:$C$161,2,0),0)</f>
        <v>0</v>
      </c>
      <c r="AH248" s="97">
        <f>IFERROR(VLOOKUP(S248,S6M8!$B$1:$C$161,2,0),0)</f>
        <v>0</v>
      </c>
      <c r="AI248" s="97">
        <f>IFERROR(VLOOKUP(U248,S6M9!$B$1:$C$161,2,0),0)</f>
        <v>0</v>
      </c>
      <c r="AJ248" s="97">
        <f>IFERROR(VLOOKUP(W248,S6M10!$B$1:$C$161,2,0),0)</f>
        <v>0</v>
      </c>
      <c r="AK248" s="97">
        <f>IFERROR(VLOOKUP(Y248,S6M11!$B$1:$C$161,2,0),0)</f>
        <v>0</v>
      </c>
    </row>
    <row r="249" ht="15.75" customHeight="1">
      <c r="A249" s="110">
        <v>248.0</v>
      </c>
      <c r="B249" s="103"/>
      <c r="C249" s="93">
        <f t="shared" si="2"/>
        <v>0</v>
      </c>
      <c r="D249" s="93"/>
      <c r="E249" s="94" t="str">
        <f>IFERROR(VLOOKUP($B249,S6M1!$A$1:$B$160,2,0),"0")</f>
        <v>0</v>
      </c>
      <c r="F249" s="95">
        <f>IFERROR(VLOOKUP(E249,S6M1!$B$1:$C$161,2,0),0)</f>
        <v>0</v>
      </c>
      <c r="G249" s="94" t="str">
        <f>IFERROR(VLOOKUP($B249,S6M2!$A$1:$B$160,2,0),"0")</f>
        <v>0</v>
      </c>
      <c r="H249" s="95">
        <f>IFERROR(VLOOKUP(G249,S6M2!$B$1:$C$161,2,0),0)</f>
        <v>0</v>
      </c>
      <c r="I249" s="94">
        <f>IFERROR(VLOOKUP($B249,S6M3!$A$1:$B$161,2,0),0)</f>
        <v>0</v>
      </c>
      <c r="J249" s="95">
        <f>IFERROR(VLOOKUP(I249,S6M3!$B$1:$C$161,2,0),0)</f>
        <v>0</v>
      </c>
      <c r="K249" s="94" t="str">
        <f>IFERROR(VLOOKUP($B249,S6M4!$A$1:$B$160,2,0),"0")</f>
        <v>0</v>
      </c>
      <c r="L249" s="95">
        <f>IFERROR(VLOOKUP(K249,S6M4!$B$1:$C$161,2,0),0)</f>
        <v>0</v>
      </c>
      <c r="M249" s="94" t="str">
        <f>IFERROR(VLOOKUP($B249,S6M5!$A$1:$B$160,2,0),"0")</f>
        <v>0</v>
      </c>
      <c r="N249" s="95">
        <f>IFERROR(VLOOKUP(M249,S6M5!$B$1:$C$161,2,0),0)</f>
        <v>0</v>
      </c>
      <c r="O249" s="94" t="str">
        <f>IFERROR(VLOOKUP($B249,S6M6!$A$1:$B$160,2,0),"0")</f>
        <v>0</v>
      </c>
      <c r="P249" s="95">
        <f>IFERROR(VLOOKUP(O249,S6M6!$B$1:$C$161,2,0),0)</f>
        <v>0</v>
      </c>
      <c r="Q249" s="94" t="str">
        <f>IFERROR(VLOOKUP($B249,S6M7!$A$1:$B$160,2,0),"0")</f>
        <v>0</v>
      </c>
      <c r="R249" s="95">
        <f>IFERROR(VLOOKUP(Q249,S6M7!$B$1:$C$161,2,0),0)</f>
        <v>0</v>
      </c>
      <c r="S249" s="94" t="str">
        <f>IFERROR(VLOOKUP($B249,S6M8!$A$1:$B$160,2,0),"0")</f>
        <v>0</v>
      </c>
      <c r="T249" s="95">
        <f>IFERROR(VLOOKUP(S249,S6M8!$B$1:$C$161,2,0),0)</f>
        <v>0</v>
      </c>
      <c r="U249" s="94" t="str">
        <f>IFERROR(VLOOKUP($B249,S6M9!$A$1:$B$160,2,0),"0")</f>
        <v>0</v>
      </c>
      <c r="V249" s="95">
        <f>IFERROR(VLOOKUP(U249,S6M9!$B$1:$C$161,2,0),0)</f>
        <v>0</v>
      </c>
      <c r="W249" s="94" t="str">
        <f>IFERROR(VLOOKUP($B249,S6M10!$A$1:$B$160,2,0),"0")</f>
        <v>0</v>
      </c>
      <c r="X249" s="95">
        <f>IFERROR(VLOOKUP(W249,S6M10!$B$1:$C$161,2,0),0)</f>
        <v>0</v>
      </c>
      <c r="Y249" s="94" t="str">
        <f>IFERROR(VLOOKUP($B249,S6M11!$A$1:$B$160,2,0),"0")</f>
        <v>0</v>
      </c>
      <c r="Z249" s="95">
        <f>IFERROR(VLOOKUP(Y249,S6M11!$B$1:$C$161,2,0),0)</f>
        <v>0</v>
      </c>
      <c r="AA249" s="97">
        <f>IFERROR(VLOOKUP(E249,S6M1!$B$1:$C$161,2,0),0)</f>
        <v>0</v>
      </c>
      <c r="AB249" s="97">
        <f>IFERROR(VLOOKUP(G249,S6M2!$B$1:$C$161,2,0),0)</f>
        <v>0</v>
      </c>
      <c r="AC249" s="97">
        <f>IFERROR(VLOOKUP(I249,S6M3!$B$1:$C$161,2,0),0)</f>
        <v>0</v>
      </c>
      <c r="AD249" s="97">
        <f>IFERROR(VLOOKUP(K249,S6M4!$B$1:$C$161,2,0),0)</f>
        <v>0</v>
      </c>
      <c r="AE249" s="97">
        <f>IFERROR(VLOOKUP(M249,S6M5!$B$1:$C$161,2,0),0)</f>
        <v>0</v>
      </c>
      <c r="AF249" s="97">
        <f>IFERROR(VLOOKUP(O249,S6M6!$B$1:$C$161,2,0),0)</f>
        <v>0</v>
      </c>
      <c r="AG249" s="97">
        <f>IFERROR(VLOOKUP(Q249,S6M7!$B$1:$C$161,2,0),0)</f>
        <v>0</v>
      </c>
      <c r="AH249" s="97">
        <f>IFERROR(VLOOKUP(S249,S6M8!$B$1:$C$161,2,0),0)</f>
        <v>0</v>
      </c>
      <c r="AI249" s="97">
        <f>IFERROR(VLOOKUP(U249,S6M9!$B$1:$C$161,2,0),0)</f>
        <v>0</v>
      </c>
      <c r="AJ249" s="97">
        <f>IFERROR(VLOOKUP(W249,S6M10!$B$1:$C$161,2,0),0)</f>
        <v>0</v>
      </c>
      <c r="AK249" s="97">
        <f>IFERROR(VLOOKUP(Y249,S6M11!$B$1:$C$161,2,0),0)</f>
        <v>0</v>
      </c>
    </row>
    <row r="250" ht="15.75" customHeight="1">
      <c r="A250" s="110">
        <v>249.0</v>
      </c>
      <c r="B250" s="103"/>
      <c r="C250" s="93">
        <f t="shared" si="2"/>
        <v>0</v>
      </c>
      <c r="D250" s="93"/>
      <c r="E250" s="94" t="str">
        <f>IFERROR(VLOOKUP($B250,S6M1!$A$1:$B$160,2,0),"0")</f>
        <v>0</v>
      </c>
      <c r="F250" s="95">
        <f>IFERROR(VLOOKUP(E250,S6M1!$B$1:$C$161,2,0),0)</f>
        <v>0</v>
      </c>
      <c r="G250" s="94" t="str">
        <f>IFERROR(VLOOKUP($B250,S6M2!$A$1:$B$160,2,0),"0")</f>
        <v>0</v>
      </c>
      <c r="H250" s="95">
        <f>IFERROR(VLOOKUP(G250,S6M2!$B$1:$C$161,2,0),0)</f>
        <v>0</v>
      </c>
      <c r="I250" s="94">
        <f>IFERROR(VLOOKUP($B250,S6M3!$A$1:$B$161,2,0),0)</f>
        <v>0</v>
      </c>
      <c r="J250" s="95">
        <f>IFERROR(VLOOKUP(I250,S6M3!$B$1:$C$161,2,0),0)</f>
        <v>0</v>
      </c>
      <c r="K250" s="94" t="str">
        <f>IFERROR(VLOOKUP($B250,S6M4!$A$1:$B$160,2,0),"0")</f>
        <v>0</v>
      </c>
      <c r="L250" s="95">
        <f>IFERROR(VLOOKUP(K250,S6M4!$B$1:$C$161,2,0),0)</f>
        <v>0</v>
      </c>
      <c r="M250" s="94" t="str">
        <f>IFERROR(VLOOKUP($B250,S6M5!$A$1:$B$160,2,0),"0")</f>
        <v>0</v>
      </c>
      <c r="N250" s="95">
        <f>IFERROR(VLOOKUP(M250,S6M5!$B$1:$C$161,2,0),0)</f>
        <v>0</v>
      </c>
      <c r="O250" s="94" t="str">
        <f>IFERROR(VLOOKUP($B250,S6M6!$A$1:$B$160,2,0),"0")</f>
        <v>0</v>
      </c>
      <c r="P250" s="95">
        <f>IFERROR(VLOOKUP(O250,S6M6!$B$1:$C$161,2,0),0)</f>
        <v>0</v>
      </c>
      <c r="Q250" s="94" t="str">
        <f>IFERROR(VLOOKUP($B250,S6M7!$A$1:$B$160,2,0),"0")</f>
        <v>0</v>
      </c>
      <c r="R250" s="95">
        <f>IFERROR(VLOOKUP(Q250,S6M7!$B$1:$C$161,2,0),0)</f>
        <v>0</v>
      </c>
      <c r="S250" s="94" t="str">
        <f>IFERROR(VLOOKUP($B250,S6M8!$A$1:$B$160,2,0),"0")</f>
        <v>0</v>
      </c>
      <c r="T250" s="95">
        <f>IFERROR(VLOOKUP(S250,S6M8!$B$1:$C$161,2,0),0)</f>
        <v>0</v>
      </c>
      <c r="U250" s="94" t="str">
        <f>IFERROR(VLOOKUP($B250,S6M9!$A$1:$B$160,2,0),"0")</f>
        <v>0</v>
      </c>
      <c r="V250" s="95">
        <f>IFERROR(VLOOKUP(U250,S6M9!$B$1:$C$161,2,0),0)</f>
        <v>0</v>
      </c>
      <c r="W250" s="94" t="str">
        <f>IFERROR(VLOOKUP($B250,S6M10!$A$1:$B$160,2,0),"0")</f>
        <v>0</v>
      </c>
      <c r="X250" s="95">
        <f>IFERROR(VLOOKUP(W250,S6M10!$B$1:$C$161,2,0),0)</f>
        <v>0</v>
      </c>
      <c r="Y250" s="94" t="str">
        <f>IFERROR(VLOOKUP($B250,S6M11!$A$1:$B$160,2,0),"0")</f>
        <v>0</v>
      </c>
      <c r="Z250" s="95">
        <f>IFERROR(VLOOKUP(Y250,S6M11!$B$1:$C$161,2,0),0)</f>
        <v>0</v>
      </c>
      <c r="AA250" s="97">
        <f>IFERROR(VLOOKUP(E250,S6M1!$B$1:$C$161,2,0),0)</f>
        <v>0</v>
      </c>
      <c r="AB250" s="97">
        <f>IFERROR(VLOOKUP(G250,S6M2!$B$1:$C$161,2,0),0)</f>
        <v>0</v>
      </c>
      <c r="AC250" s="97">
        <f>IFERROR(VLOOKUP(I250,S6M3!$B$1:$C$161,2,0),0)</f>
        <v>0</v>
      </c>
      <c r="AD250" s="97">
        <f>IFERROR(VLOOKUP(K250,S6M4!$B$1:$C$161,2,0),0)</f>
        <v>0</v>
      </c>
      <c r="AE250" s="97">
        <f>IFERROR(VLOOKUP(M250,S6M5!$B$1:$C$161,2,0),0)</f>
        <v>0</v>
      </c>
      <c r="AF250" s="97">
        <f>IFERROR(VLOOKUP(O250,S6M6!$B$1:$C$161,2,0),0)</f>
        <v>0</v>
      </c>
      <c r="AG250" s="97">
        <f>IFERROR(VLOOKUP(Q250,S6M7!$B$1:$C$161,2,0),0)</f>
        <v>0</v>
      </c>
      <c r="AH250" s="97">
        <f>IFERROR(VLOOKUP(S250,S6M8!$B$1:$C$161,2,0),0)</f>
        <v>0</v>
      </c>
      <c r="AI250" s="97">
        <f>IFERROR(VLOOKUP(U250,S6M9!$B$1:$C$161,2,0),0)</f>
        <v>0</v>
      </c>
      <c r="AJ250" s="97">
        <f>IFERROR(VLOOKUP(W250,S6M10!$B$1:$C$161,2,0),0)</f>
        <v>0</v>
      </c>
      <c r="AK250" s="97">
        <f>IFERROR(VLOOKUP(Y250,S6M11!$B$1:$C$161,2,0),0)</f>
        <v>0</v>
      </c>
    </row>
    <row r="251" ht="15.75" customHeight="1">
      <c r="A251" s="110">
        <v>250.0</v>
      </c>
      <c r="B251" s="103"/>
      <c r="C251" s="93">
        <f t="shared" si="2"/>
        <v>0</v>
      </c>
      <c r="D251" s="93"/>
      <c r="E251" s="94" t="str">
        <f>IFERROR(VLOOKUP($B251,S6M1!$A$1:$B$160,2,0),"0")</f>
        <v>0</v>
      </c>
      <c r="F251" s="95">
        <f>IFERROR(VLOOKUP(E251,S6M1!$B$1:$C$161,2,0),0)</f>
        <v>0</v>
      </c>
      <c r="G251" s="94" t="str">
        <f>IFERROR(VLOOKUP($B251,S6M2!$A$1:$B$160,2,0),"0")</f>
        <v>0</v>
      </c>
      <c r="H251" s="95">
        <f>IFERROR(VLOOKUP(G251,S6M2!$B$1:$C$161,2,0),0)</f>
        <v>0</v>
      </c>
      <c r="I251" s="94">
        <f>IFERROR(VLOOKUP($B251,S6M3!$A$1:$B$161,2,0),0)</f>
        <v>0</v>
      </c>
      <c r="J251" s="95">
        <f>IFERROR(VLOOKUP(I251,S6M3!$B$1:$C$161,2,0),0)</f>
        <v>0</v>
      </c>
      <c r="K251" s="94" t="str">
        <f>IFERROR(VLOOKUP($B251,S6M4!$A$1:$B$160,2,0),"0")</f>
        <v>0</v>
      </c>
      <c r="L251" s="95">
        <f>IFERROR(VLOOKUP(K251,S6M4!$B$1:$C$161,2,0),0)</f>
        <v>0</v>
      </c>
      <c r="M251" s="94" t="str">
        <f>IFERROR(VLOOKUP($B251,S6M5!$A$1:$B$160,2,0),"0")</f>
        <v>0</v>
      </c>
      <c r="N251" s="95">
        <f>IFERROR(VLOOKUP(M251,S6M5!$B$1:$C$161,2,0),0)</f>
        <v>0</v>
      </c>
      <c r="O251" s="94" t="str">
        <f>IFERROR(VLOOKUP($B251,S6M6!$A$1:$B$160,2,0),"0")</f>
        <v>0</v>
      </c>
      <c r="P251" s="95">
        <f>IFERROR(VLOOKUP(O251,S6M6!$B$1:$C$161,2,0),0)</f>
        <v>0</v>
      </c>
      <c r="Q251" s="94" t="str">
        <f>IFERROR(VLOOKUP($B251,S6M7!$A$1:$B$160,2,0),"0")</f>
        <v>0</v>
      </c>
      <c r="R251" s="95">
        <f>IFERROR(VLOOKUP(Q251,S6M7!$B$1:$C$161,2,0),0)</f>
        <v>0</v>
      </c>
      <c r="S251" s="94" t="str">
        <f>IFERROR(VLOOKUP($B251,S6M8!$A$1:$B$160,2,0),"0")</f>
        <v>0</v>
      </c>
      <c r="T251" s="95">
        <f>IFERROR(VLOOKUP(S251,S6M8!$B$1:$C$161,2,0),0)</f>
        <v>0</v>
      </c>
      <c r="U251" s="94" t="str">
        <f>IFERROR(VLOOKUP($B251,S6M9!$A$1:$B$160,2,0),"0")</f>
        <v>0</v>
      </c>
      <c r="V251" s="95">
        <f>IFERROR(VLOOKUP(U251,S6M9!$B$1:$C$161,2,0),0)</f>
        <v>0</v>
      </c>
      <c r="W251" s="94" t="str">
        <f>IFERROR(VLOOKUP($B251,S6M10!$A$1:$B$160,2,0),"0")</f>
        <v>0</v>
      </c>
      <c r="X251" s="95">
        <f>IFERROR(VLOOKUP(W251,S6M10!$B$1:$C$161,2,0),0)</f>
        <v>0</v>
      </c>
      <c r="Y251" s="94" t="str">
        <f>IFERROR(VLOOKUP($B251,S6M11!$A$1:$B$160,2,0),"0")</f>
        <v>0</v>
      </c>
      <c r="Z251" s="95">
        <f>IFERROR(VLOOKUP(Y251,S6M11!$B$1:$C$161,2,0),0)</f>
        <v>0</v>
      </c>
      <c r="AA251" s="97">
        <f>IFERROR(VLOOKUP(E251,S6M1!$B$1:$C$161,2,0),0)</f>
        <v>0</v>
      </c>
      <c r="AB251" s="97">
        <f>IFERROR(VLOOKUP(G251,S6M2!$B$1:$C$161,2,0),0)</f>
        <v>0</v>
      </c>
      <c r="AC251" s="97">
        <f>IFERROR(VLOOKUP(I251,S6M3!$B$1:$C$161,2,0),0)</f>
        <v>0</v>
      </c>
      <c r="AD251" s="97">
        <f>IFERROR(VLOOKUP(K251,S6M4!$B$1:$C$161,2,0),0)</f>
        <v>0</v>
      </c>
      <c r="AE251" s="97">
        <f>IFERROR(VLOOKUP(M251,S6M5!$B$1:$C$161,2,0),0)</f>
        <v>0</v>
      </c>
      <c r="AF251" s="97">
        <f>IFERROR(VLOOKUP(O251,S6M6!$B$1:$C$161,2,0),0)</f>
        <v>0</v>
      </c>
      <c r="AG251" s="97">
        <f>IFERROR(VLOOKUP(Q251,S6M7!$B$1:$C$161,2,0),0)</f>
        <v>0</v>
      </c>
      <c r="AH251" s="97">
        <f>IFERROR(VLOOKUP(S251,S6M8!$B$1:$C$161,2,0),0)</f>
        <v>0</v>
      </c>
      <c r="AI251" s="97">
        <f>IFERROR(VLOOKUP(U251,S6M9!$B$1:$C$161,2,0),0)</f>
        <v>0</v>
      </c>
      <c r="AJ251" s="97">
        <f>IFERROR(VLOOKUP(W251,S6M10!$B$1:$C$161,2,0),0)</f>
        <v>0</v>
      </c>
      <c r="AK251" s="97">
        <f>IFERROR(VLOOKUP(Y251,S6M11!$B$1:$C$161,2,0),0)</f>
        <v>0</v>
      </c>
    </row>
    <row r="252" ht="15.75" customHeight="1">
      <c r="A252" s="111"/>
      <c r="B252" s="112"/>
      <c r="C252" s="9"/>
      <c r="D252" s="9"/>
      <c r="E252" s="9"/>
      <c r="F252" s="113"/>
      <c r="G252" s="9"/>
      <c r="H252" s="113"/>
      <c r="I252" s="9"/>
      <c r="J252" s="113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ht="15.75" customHeight="1">
      <c r="A253" s="111"/>
      <c r="B253" s="112"/>
      <c r="C253" s="9"/>
      <c r="D253" s="9"/>
      <c r="E253" s="9"/>
      <c r="F253" s="113"/>
      <c r="G253" s="9"/>
      <c r="H253" s="113"/>
      <c r="I253" s="9"/>
      <c r="J253" s="113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ht="15.75" customHeight="1">
      <c r="A254" s="111"/>
      <c r="B254" s="112"/>
      <c r="C254" s="9"/>
      <c r="D254" s="9"/>
      <c r="E254" s="9"/>
      <c r="F254" s="113"/>
      <c r="G254" s="9"/>
      <c r="H254" s="113"/>
      <c r="I254" s="9"/>
      <c r="J254" s="113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ht="15.75" customHeight="1">
      <c r="A255" s="111"/>
      <c r="B255" s="112"/>
      <c r="C255" s="9"/>
      <c r="D255" s="9"/>
      <c r="E255" s="9"/>
      <c r="F255" s="113"/>
      <c r="G255" s="9"/>
      <c r="H255" s="113"/>
      <c r="I255" s="9"/>
      <c r="J255" s="113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ht="15.75" customHeight="1">
      <c r="A256" s="111"/>
      <c r="B256" s="112"/>
      <c r="C256" s="9"/>
      <c r="D256" s="9"/>
      <c r="E256" s="9"/>
      <c r="F256" s="113"/>
      <c r="G256" s="9"/>
      <c r="H256" s="113"/>
      <c r="I256" s="9"/>
      <c r="J256" s="113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ht="15.75" customHeight="1">
      <c r="A257" s="111"/>
      <c r="B257" s="112"/>
      <c r="C257" s="9"/>
      <c r="D257" s="9"/>
      <c r="E257" s="9"/>
      <c r="F257" s="113"/>
      <c r="G257" s="9"/>
      <c r="H257" s="113"/>
      <c r="I257" s="9"/>
      <c r="J257" s="113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ht="15.75" customHeight="1">
      <c r="A258" s="111"/>
      <c r="B258" s="112"/>
      <c r="C258" s="9"/>
      <c r="D258" s="9"/>
      <c r="E258" s="9"/>
      <c r="F258" s="113"/>
      <c r="G258" s="9"/>
      <c r="H258" s="113"/>
      <c r="I258" s="9"/>
      <c r="J258" s="113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ht="15.75" customHeight="1">
      <c r="A259" s="111"/>
      <c r="B259" s="112"/>
      <c r="C259" s="9"/>
      <c r="D259" s="9"/>
      <c r="E259" s="9"/>
      <c r="F259" s="113"/>
      <c r="G259" s="9"/>
      <c r="H259" s="113"/>
      <c r="I259" s="9"/>
      <c r="J259" s="113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ht="15.75" customHeight="1">
      <c r="A260" s="111"/>
      <c r="B260" s="112"/>
      <c r="C260" s="9"/>
      <c r="D260" s="9"/>
      <c r="E260" s="9"/>
      <c r="F260" s="113"/>
      <c r="G260" s="9"/>
      <c r="H260" s="113"/>
      <c r="I260" s="9"/>
      <c r="J260" s="113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ht="15.75" customHeight="1">
      <c r="A261" s="111"/>
      <c r="B261" s="112"/>
      <c r="C261" s="9"/>
      <c r="D261" s="9"/>
      <c r="E261" s="9"/>
      <c r="F261" s="113"/>
      <c r="G261" s="9"/>
      <c r="H261" s="113"/>
      <c r="I261" s="9"/>
      <c r="J261" s="113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ht="15.75" customHeight="1">
      <c r="A262" s="111"/>
      <c r="B262" s="112"/>
      <c r="C262" s="9"/>
      <c r="D262" s="9"/>
      <c r="E262" s="9"/>
      <c r="F262" s="113"/>
      <c r="G262" s="9"/>
      <c r="H262" s="113"/>
      <c r="I262" s="9"/>
      <c r="J262" s="113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ht="15.75" customHeight="1">
      <c r="A263" s="111"/>
      <c r="B263" s="112"/>
      <c r="C263" s="9"/>
      <c r="D263" s="9"/>
      <c r="E263" s="9"/>
      <c r="F263" s="113"/>
      <c r="G263" s="9"/>
      <c r="H263" s="113"/>
      <c r="I263" s="9"/>
      <c r="J263" s="113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ht="15.75" customHeight="1">
      <c r="A264" s="111"/>
      <c r="B264" s="112"/>
      <c r="C264" s="9"/>
      <c r="D264" s="9"/>
      <c r="E264" s="9"/>
      <c r="F264" s="113"/>
      <c r="G264" s="9"/>
      <c r="H264" s="113"/>
      <c r="I264" s="9"/>
      <c r="J264" s="113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ht="15.75" customHeight="1">
      <c r="A265" s="111"/>
      <c r="B265" s="112"/>
      <c r="C265" s="9"/>
      <c r="D265" s="9"/>
      <c r="E265" s="9"/>
      <c r="F265" s="113"/>
      <c r="G265" s="9"/>
      <c r="H265" s="113"/>
      <c r="I265" s="9"/>
      <c r="J265" s="113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ht="15.75" customHeight="1">
      <c r="A266" s="111"/>
      <c r="B266" s="112"/>
      <c r="C266" s="9"/>
      <c r="D266" s="9"/>
      <c r="E266" s="9"/>
      <c r="F266" s="113"/>
      <c r="G266" s="9"/>
      <c r="H266" s="113"/>
      <c r="I266" s="9"/>
      <c r="J266" s="113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ht="15.75" customHeight="1">
      <c r="A267" s="111"/>
      <c r="B267" s="112"/>
      <c r="C267" s="9"/>
      <c r="D267" s="9"/>
      <c r="E267" s="9"/>
      <c r="F267" s="113"/>
      <c r="G267" s="9"/>
      <c r="H267" s="113"/>
      <c r="I267" s="9"/>
      <c r="J267" s="113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ht="15.75" customHeight="1">
      <c r="A268" s="111"/>
      <c r="B268" s="112"/>
      <c r="C268" s="9"/>
      <c r="D268" s="9"/>
      <c r="E268" s="9"/>
      <c r="F268" s="113"/>
      <c r="G268" s="9"/>
      <c r="H268" s="113"/>
      <c r="I268" s="9"/>
      <c r="J268" s="113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ht="15.75" customHeight="1">
      <c r="A269" s="111"/>
      <c r="B269" s="112"/>
      <c r="C269" s="9"/>
      <c r="D269" s="9"/>
      <c r="E269" s="9"/>
      <c r="F269" s="113"/>
      <c r="G269" s="9"/>
      <c r="H269" s="113"/>
      <c r="I269" s="9"/>
      <c r="J269" s="113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ht="15.75" customHeight="1">
      <c r="A270" s="111"/>
      <c r="B270" s="112"/>
      <c r="C270" s="9"/>
      <c r="D270" s="9"/>
      <c r="E270" s="9"/>
      <c r="F270" s="113"/>
      <c r="G270" s="9"/>
      <c r="H270" s="113"/>
      <c r="I270" s="9"/>
      <c r="J270" s="113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ht="15.75" customHeight="1">
      <c r="A271" s="111"/>
      <c r="B271" s="112"/>
      <c r="C271" s="9"/>
      <c r="D271" s="9"/>
      <c r="E271" s="9"/>
      <c r="F271" s="113"/>
      <c r="G271" s="9"/>
      <c r="H271" s="113"/>
      <c r="I271" s="9"/>
      <c r="J271" s="113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ht="15.75" customHeight="1">
      <c r="A272" s="111"/>
      <c r="B272" s="112"/>
      <c r="C272" s="9"/>
      <c r="D272" s="9"/>
      <c r="E272" s="9"/>
      <c r="F272" s="113"/>
      <c r="G272" s="9"/>
      <c r="H272" s="113"/>
      <c r="I272" s="9"/>
      <c r="J272" s="113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ht="15.75" customHeight="1">
      <c r="A273" s="111"/>
      <c r="B273" s="112"/>
      <c r="C273" s="9"/>
      <c r="D273" s="9"/>
      <c r="E273" s="9"/>
      <c r="F273" s="113"/>
      <c r="G273" s="9"/>
      <c r="H273" s="113"/>
      <c r="I273" s="9"/>
      <c r="J273" s="113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ht="15.75" customHeight="1">
      <c r="A274" s="111"/>
      <c r="B274" s="112"/>
      <c r="C274" s="9"/>
      <c r="D274" s="9"/>
      <c r="E274" s="9"/>
      <c r="F274" s="113"/>
      <c r="G274" s="9"/>
      <c r="H274" s="113"/>
      <c r="I274" s="9"/>
      <c r="J274" s="113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ht="15.75" customHeight="1">
      <c r="A275" s="111"/>
      <c r="B275" s="112"/>
      <c r="C275" s="9"/>
      <c r="D275" s="9"/>
      <c r="E275" s="9"/>
      <c r="F275" s="113"/>
      <c r="G275" s="9"/>
      <c r="H275" s="113"/>
      <c r="I275" s="9"/>
      <c r="J275" s="113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ht="15.75" customHeight="1">
      <c r="A276" s="111"/>
      <c r="B276" s="112"/>
      <c r="C276" s="9"/>
      <c r="D276" s="9"/>
      <c r="E276" s="9"/>
      <c r="F276" s="113"/>
      <c r="G276" s="9"/>
      <c r="H276" s="113"/>
      <c r="I276" s="9"/>
      <c r="J276" s="113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ht="15.75" customHeight="1">
      <c r="A277" s="111"/>
      <c r="B277" s="112"/>
      <c r="C277" s="9"/>
      <c r="D277" s="9"/>
      <c r="E277" s="9"/>
      <c r="F277" s="113"/>
      <c r="G277" s="9"/>
      <c r="H277" s="113"/>
      <c r="I277" s="9"/>
      <c r="J277" s="113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ht="15.75" customHeight="1">
      <c r="A278" s="111"/>
      <c r="B278" s="112"/>
      <c r="C278" s="9"/>
      <c r="D278" s="9"/>
      <c r="E278" s="9"/>
      <c r="F278" s="113"/>
      <c r="G278" s="9"/>
      <c r="H278" s="113"/>
      <c r="I278" s="9"/>
      <c r="J278" s="113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ht="15.75" customHeight="1">
      <c r="A279" s="111"/>
      <c r="B279" s="112"/>
      <c r="C279" s="9"/>
      <c r="D279" s="9"/>
      <c r="E279" s="9"/>
      <c r="F279" s="113"/>
      <c r="G279" s="9"/>
      <c r="H279" s="113"/>
      <c r="I279" s="9"/>
      <c r="J279" s="113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ht="15.75" customHeight="1">
      <c r="A280" s="111"/>
      <c r="B280" s="112"/>
      <c r="C280" s="9"/>
      <c r="D280" s="9"/>
      <c r="E280" s="9"/>
      <c r="F280" s="113"/>
      <c r="G280" s="9"/>
      <c r="H280" s="113"/>
      <c r="I280" s="9"/>
      <c r="J280" s="113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ht="15.75" customHeight="1">
      <c r="A281" s="111"/>
      <c r="B281" s="112"/>
      <c r="C281" s="9"/>
      <c r="D281" s="9"/>
      <c r="E281" s="9"/>
      <c r="F281" s="113"/>
      <c r="G281" s="9"/>
      <c r="H281" s="113"/>
      <c r="I281" s="9"/>
      <c r="J281" s="113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ht="15.75" customHeight="1">
      <c r="A282" s="111"/>
      <c r="B282" s="112"/>
      <c r="C282" s="9"/>
      <c r="D282" s="9"/>
      <c r="E282" s="9"/>
      <c r="F282" s="113"/>
      <c r="G282" s="9"/>
      <c r="H282" s="113"/>
      <c r="I282" s="9"/>
      <c r="J282" s="113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ht="15.75" customHeight="1">
      <c r="A283" s="111"/>
      <c r="B283" s="112"/>
      <c r="C283" s="9"/>
      <c r="D283" s="9"/>
      <c r="E283" s="9"/>
      <c r="F283" s="113"/>
      <c r="G283" s="9"/>
      <c r="H283" s="113"/>
      <c r="I283" s="9"/>
      <c r="J283" s="113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ht="15.75" customHeight="1">
      <c r="A284" s="111"/>
      <c r="B284" s="112"/>
      <c r="C284" s="9"/>
      <c r="D284" s="9"/>
      <c r="E284" s="9"/>
      <c r="F284" s="113"/>
      <c r="G284" s="9"/>
      <c r="H284" s="113"/>
      <c r="I284" s="9"/>
      <c r="J284" s="113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ht="15.75" customHeight="1">
      <c r="A285" s="111"/>
      <c r="B285" s="112"/>
      <c r="C285" s="9"/>
      <c r="D285" s="9"/>
      <c r="E285" s="9"/>
      <c r="F285" s="113"/>
      <c r="G285" s="9"/>
      <c r="H285" s="113"/>
      <c r="I285" s="9"/>
      <c r="J285" s="113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ht="15.75" customHeight="1">
      <c r="A286" s="111"/>
      <c r="B286" s="112"/>
      <c r="C286" s="9"/>
      <c r="D286" s="9"/>
      <c r="E286" s="9"/>
      <c r="F286" s="113"/>
      <c r="G286" s="9"/>
      <c r="H286" s="113"/>
      <c r="I286" s="9"/>
      <c r="J286" s="113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ht="15.75" customHeight="1">
      <c r="A287" s="111"/>
      <c r="B287" s="112"/>
      <c r="C287" s="9"/>
      <c r="D287" s="9"/>
      <c r="E287" s="9"/>
      <c r="F287" s="113"/>
      <c r="G287" s="9"/>
      <c r="H287" s="113"/>
      <c r="I287" s="9"/>
      <c r="J287" s="113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ht="15.75" customHeight="1">
      <c r="A288" s="111"/>
      <c r="B288" s="112"/>
      <c r="C288" s="9"/>
      <c r="D288" s="9"/>
      <c r="E288" s="9"/>
      <c r="F288" s="113"/>
      <c r="G288" s="9"/>
      <c r="H288" s="113"/>
      <c r="I288" s="9"/>
      <c r="J288" s="113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ht="15.75" customHeight="1">
      <c r="A289" s="111"/>
      <c r="B289" s="112"/>
      <c r="C289" s="9"/>
      <c r="D289" s="9"/>
      <c r="E289" s="9"/>
      <c r="F289" s="113"/>
      <c r="G289" s="9"/>
      <c r="H289" s="113"/>
      <c r="I289" s="9"/>
      <c r="J289" s="113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ht="15.75" customHeight="1">
      <c r="A290" s="111"/>
      <c r="B290" s="112"/>
      <c r="C290" s="9"/>
      <c r="D290" s="9"/>
      <c r="E290" s="9"/>
      <c r="F290" s="113"/>
      <c r="G290" s="9"/>
      <c r="H290" s="113"/>
      <c r="I290" s="9"/>
      <c r="J290" s="113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ht="15.75" customHeight="1">
      <c r="A291" s="111"/>
      <c r="B291" s="112"/>
      <c r="C291" s="9"/>
      <c r="D291" s="9"/>
      <c r="E291" s="9"/>
      <c r="F291" s="113"/>
      <c r="G291" s="9"/>
      <c r="H291" s="113"/>
      <c r="I291" s="9"/>
      <c r="J291" s="113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ht="15.75" customHeight="1">
      <c r="A292" s="111"/>
      <c r="B292" s="112"/>
      <c r="C292" s="9"/>
      <c r="D292" s="9"/>
      <c r="E292" s="9"/>
      <c r="F292" s="113"/>
      <c r="G292" s="9"/>
      <c r="H292" s="113"/>
      <c r="I292" s="9"/>
      <c r="J292" s="113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ht="15.75" customHeight="1">
      <c r="A293" s="111"/>
      <c r="B293" s="112"/>
      <c r="C293" s="9"/>
      <c r="D293" s="9"/>
      <c r="E293" s="9"/>
      <c r="F293" s="113"/>
      <c r="G293" s="9"/>
      <c r="H293" s="113"/>
      <c r="I293" s="9"/>
      <c r="J293" s="113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ht="15.75" customHeight="1">
      <c r="A294" s="111"/>
      <c r="B294" s="112"/>
      <c r="C294" s="9"/>
      <c r="D294" s="9"/>
      <c r="E294" s="9"/>
      <c r="F294" s="113"/>
      <c r="G294" s="9"/>
      <c r="H294" s="113"/>
      <c r="I294" s="9"/>
      <c r="J294" s="113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ht="15.75" customHeight="1">
      <c r="A295" s="111"/>
      <c r="B295" s="112"/>
      <c r="C295" s="9"/>
      <c r="D295" s="9"/>
      <c r="E295" s="9"/>
      <c r="F295" s="113"/>
      <c r="G295" s="9"/>
      <c r="H295" s="113"/>
      <c r="I295" s="9"/>
      <c r="J295" s="113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ht="15.75" customHeight="1">
      <c r="A296" s="111"/>
      <c r="B296" s="112"/>
      <c r="C296" s="9"/>
      <c r="D296" s="9"/>
      <c r="E296" s="9"/>
      <c r="F296" s="113"/>
      <c r="G296" s="9"/>
      <c r="H296" s="113"/>
      <c r="I296" s="9"/>
      <c r="J296" s="113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ht="15.75" customHeight="1">
      <c r="A297" s="111"/>
      <c r="B297" s="112"/>
      <c r="C297" s="9"/>
      <c r="D297" s="9"/>
      <c r="E297" s="9"/>
      <c r="F297" s="113"/>
      <c r="G297" s="9"/>
      <c r="H297" s="113"/>
      <c r="I297" s="9"/>
      <c r="J297" s="113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ht="15.75" customHeight="1">
      <c r="A298" s="111"/>
      <c r="B298" s="112"/>
      <c r="C298" s="9"/>
      <c r="D298" s="9"/>
      <c r="E298" s="9"/>
      <c r="F298" s="113"/>
      <c r="G298" s="9"/>
      <c r="H298" s="113"/>
      <c r="I298" s="9"/>
      <c r="J298" s="113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ht="15.75" customHeight="1">
      <c r="A299" s="111"/>
      <c r="B299" s="112"/>
      <c r="C299" s="9"/>
      <c r="D299" s="9"/>
      <c r="E299" s="9"/>
      <c r="F299" s="113"/>
      <c r="G299" s="9"/>
      <c r="H299" s="113"/>
      <c r="I299" s="9"/>
      <c r="J299" s="113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ht="15.75" customHeight="1">
      <c r="A300" s="111"/>
      <c r="B300" s="112"/>
      <c r="C300" s="9"/>
      <c r="D300" s="9"/>
      <c r="E300" s="9"/>
      <c r="F300" s="113"/>
      <c r="G300" s="9"/>
      <c r="H300" s="113"/>
      <c r="I300" s="9"/>
      <c r="J300" s="113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ht="15.75" customHeight="1">
      <c r="A301" s="111"/>
      <c r="B301" s="112"/>
      <c r="C301" s="9"/>
      <c r="D301" s="9"/>
      <c r="E301" s="9"/>
      <c r="F301" s="113"/>
      <c r="G301" s="9"/>
      <c r="H301" s="113"/>
      <c r="I301" s="9"/>
      <c r="J301" s="113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ht="15.75" customHeight="1">
      <c r="A302" s="111"/>
      <c r="B302" s="112"/>
      <c r="C302" s="9"/>
      <c r="D302" s="9"/>
      <c r="E302" s="9"/>
      <c r="F302" s="113"/>
      <c r="G302" s="9"/>
      <c r="H302" s="113"/>
      <c r="I302" s="9"/>
      <c r="J302" s="113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ht="15.75" customHeight="1">
      <c r="A303" s="111"/>
      <c r="B303" s="112"/>
      <c r="C303" s="9"/>
      <c r="D303" s="9"/>
      <c r="E303" s="9"/>
      <c r="F303" s="113"/>
      <c r="G303" s="9"/>
      <c r="H303" s="113"/>
      <c r="I303" s="9"/>
      <c r="J303" s="113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ht="15.75" customHeight="1">
      <c r="A304" s="111"/>
      <c r="B304" s="112"/>
      <c r="C304" s="9"/>
      <c r="D304" s="9"/>
      <c r="E304" s="9"/>
      <c r="F304" s="113"/>
      <c r="G304" s="9"/>
      <c r="H304" s="113"/>
      <c r="I304" s="9"/>
      <c r="J304" s="113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ht="15.75" customHeight="1">
      <c r="A305" s="111"/>
      <c r="B305" s="112"/>
      <c r="C305" s="9"/>
      <c r="D305" s="9"/>
      <c r="E305" s="9"/>
      <c r="F305" s="113"/>
      <c r="G305" s="9"/>
      <c r="H305" s="113"/>
      <c r="I305" s="9"/>
      <c r="J305" s="113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ht="15.75" customHeight="1">
      <c r="A306" s="111"/>
      <c r="B306" s="112"/>
      <c r="C306" s="9"/>
      <c r="D306" s="9"/>
      <c r="E306" s="9"/>
      <c r="F306" s="113"/>
      <c r="G306" s="9"/>
      <c r="H306" s="113"/>
      <c r="I306" s="9"/>
      <c r="J306" s="113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ht="15.75" customHeight="1">
      <c r="A307" s="111"/>
      <c r="B307" s="112"/>
      <c r="C307" s="9"/>
      <c r="D307" s="9"/>
      <c r="E307" s="9"/>
      <c r="F307" s="113"/>
      <c r="G307" s="9"/>
      <c r="H307" s="113"/>
      <c r="I307" s="9"/>
      <c r="J307" s="113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ht="15.75" customHeight="1">
      <c r="A308" s="111"/>
      <c r="B308" s="112"/>
      <c r="C308" s="9"/>
      <c r="D308" s="9"/>
      <c r="E308" s="9"/>
      <c r="F308" s="113"/>
      <c r="G308" s="9"/>
      <c r="H308" s="113"/>
      <c r="I308" s="9"/>
      <c r="J308" s="113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ht="15.75" customHeight="1">
      <c r="A309" s="111"/>
      <c r="B309" s="112"/>
      <c r="C309" s="9"/>
      <c r="D309" s="9"/>
      <c r="E309" s="9"/>
      <c r="F309" s="113"/>
      <c r="G309" s="9"/>
      <c r="H309" s="113"/>
      <c r="I309" s="9"/>
      <c r="J309" s="113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ht="15.75" customHeight="1">
      <c r="A310" s="111"/>
      <c r="B310" s="112"/>
      <c r="C310" s="9"/>
      <c r="D310" s="9"/>
      <c r="E310" s="9"/>
      <c r="F310" s="113"/>
      <c r="G310" s="9"/>
      <c r="H310" s="113"/>
      <c r="I310" s="9"/>
      <c r="J310" s="113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ht="15.75" customHeight="1">
      <c r="A311" s="111"/>
      <c r="B311" s="112"/>
      <c r="C311" s="9"/>
      <c r="D311" s="9"/>
      <c r="E311" s="9"/>
      <c r="F311" s="113"/>
      <c r="G311" s="9"/>
      <c r="H311" s="113"/>
      <c r="I311" s="9"/>
      <c r="J311" s="113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ht="15.75" customHeight="1">
      <c r="A312" s="111"/>
      <c r="B312" s="112"/>
      <c r="C312" s="9"/>
      <c r="D312" s="9"/>
      <c r="E312" s="9"/>
      <c r="F312" s="113"/>
      <c r="G312" s="9"/>
      <c r="H312" s="113"/>
      <c r="I312" s="9"/>
      <c r="J312" s="113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ht="15.75" customHeight="1">
      <c r="A313" s="111"/>
      <c r="B313" s="112"/>
      <c r="C313" s="9"/>
      <c r="D313" s="9"/>
      <c r="E313" s="9"/>
      <c r="F313" s="113"/>
      <c r="G313" s="9"/>
      <c r="H313" s="113"/>
      <c r="I313" s="9"/>
      <c r="J313" s="113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ht="15.75" customHeight="1">
      <c r="A314" s="111"/>
      <c r="B314" s="112"/>
      <c r="C314" s="9"/>
      <c r="D314" s="9"/>
      <c r="E314" s="9"/>
      <c r="F314" s="113"/>
      <c r="G314" s="9"/>
      <c r="H314" s="113"/>
      <c r="I314" s="9"/>
      <c r="J314" s="113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ht="15.75" customHeight="1">
      <c r="A315" s="111"/>
      <c r="B315" s="112"/>
      <c r="C315" s="9"/>
      <c r="D315" s="9"/>
      <c r="E315" s="9"/>
      <c r="F315" s="113"/>
      <c r="G315" s="9"/>
      <c r="H315" s="113"/>
      <c r="I315" s="9"/>
      <c r="J315" s="113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ht="15.75" customHeight="1">
      <c r="A316" s="111"/>
      <c r="B316" s="112"/>
      <c r="C316" s="9"/>
      <c r="D316" s="9"/>
      <c r="E316" s="9"/>
      <c r="F316" s="113"/>
      <c r="G316" s="9"/>
      <c r="H316" s="113"/>
      <c r="I316" s="9"/>
      <c r="J316" s="113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ht="15.75" customHeight="1">
      <c r="A317" s="111"/>
      <c r="B317" s="112"/>
      <c r="C317" s="9"/>
      <c r="D317" s="9"/>
      <c r="E317" s="9"/>
      <c r="F317" s="113"/>
      <c r="G317" s="9"/>
      <c r="H317" s="113"/>
      <c r="I317" s="9"/>
      <c r="J317" s="113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ht="15.75" customHeight="1">
      <c r="A318" s="111"/>
      <c r="B318" s="112"/>
      <c r="C318" s="9"/>
      <c r="D318" s="9"/>
      <c r="E318" s="9"/>
      <c r="F318" s="113"/>
      <c r="G318" s="9"/>
      <c r="H318" s="113"/>
      <c r="I318" s="9"/>
      <c r="J318" s="113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ht="15.75" customHeight="1">
      <c r="A319" s="111"/>
      <c r="B319" s="112"/>
      <c r="C319" s="9"/>
      <c r="D319" s="9"/>
      <c r="E319" s="9"/>
      <c r="F319" s="113"/>
      <c r="G319" s="9"/>
      <c r="H319" s="113"/>
      <c r="I319" s="9"/>
      <c r="J319" s="113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ht="15.75" customHeight="1">
      <c r="A320" s="111"/>
      <c r="B320" s="112"/>
      <c r="C320" s="9"/>
      <c r="D320" s="9"/>
      <c r="E320" s="9"/>
      <c r="F320" s="113"/>
      <c r="G320" s="9"/>
      <c r="H320" s="113"/>
      <c r="I320" s="9"/>
      <c r="J320" s="113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ht="15.75" customHeight="1">
      <c r="A321" s="111"/>
      <c r="B321" s="112"/>
      <c r="C321" s="9"/>
      <c r="D321" s="9"/>
      <c r="E321" s="9"/>
      <c r="F321" s="113"/>
      <c r="G321" s="9"/>
      <c r="H321" s="113"/>
      <c r="I321" s="9"/>
      <c r="J321" s="113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ht="15.75" customHeight="1">
      <c r="A322" s="111"/>
      <c r="B322" s="112"/>
      <c r="C322" s="9"/>
      <c r="D322" s="9"/>
      <c r="E322" s="9"/>
      <c r="F322" s="113"/>
      <c r="G322" s="9"/>
      <c r="H322" s="113"/>
      <c r="I322" s="9"/>
      <c r="J322" s="113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ht="15.75" customHeight="1">
      <c r="A323" s="111"/>
      <c r="B323" s="112"/>
      <c r="C323" s="9"/>
      <c r="D323" s="9"/>
      <c r="E323" s="9"/>
      <c r="F323" s="113"/>
      <c r="G323" s="9"/>
      <c r="H323" s="113"/>
      <c r="I323" s="9"/>
      <c r="J323" s="113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ht="15.75" customHeight="1">
      <c r="A324" s="111"/>
      <c r="B324" s="112"/>
      <c r="C324" s="9"/>
      <c r="D324" s="9"/>
      <c r="E324" s="9"/>
      <c r="F324" s="113"/>
      <c r="G324" s="9"/>
      <c r="H324" s="113"/>
      <c r="I324" s="9"/>
      <c r="J324" s="113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ht="15.75" customHeight="1">
      <c r="A325" s="111"/>
      <c r="B325" s="112"/>
      <c r="C325" s="9"/>
      <c r="D325" s="9"/>
      <c r="E325" s="9"/>
      <c r="F325" s="113"/>
      <c r="G325" s="9"/>
      <c r="H325" s="113"/>
      <c r="I325" s="9"/>
      <c r="J325" s="113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ht="15.75" customHeight="1">
      <c r="A326" s="111"/>
      <c r="B326" s="112"/>
      <c r="C326" s="9"/>
      <c r="D326" s="9"/>
      <c r="E326" s="9"/>
      <c r="F326" s="113"/>
      <c r="G326" s="9"/>
      <c r="H326" s="113"/>
      <c r="I326" s="9"/>
      <c r="J326" s="113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ht="15.75" customHeight="1">
      <c r="A327" s="111"/>
      <c r="B327" s="112"/>
      <c r="C327" s="9"/>
      <c r="D327" s="9"/>
      <c r="E327" s="9"/>
      <c r="F327" s="113"/>
      <c r="G327" s="9"/>
      <c r="H327" s="113"/>
      <c r="I327" s="9"/>
      <c r="J327" s="113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ht="15.75" customHeight="1">
      <c r="A328" s="111"/>
      <c r="B328" s="112"/>
      <c r="C328" s="9"/>
      <c r="D328" s="9"/>
      <c r="E328" s="9"/>
      <c r="F328" s="113"/>
      <c r="G328" s="9"/>
      <c r="H328" s="113"/>
      <c r="I328" s="9"/>
      <c r="J328" s="113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ht="15.75" customHeight="1">
      <c r="A329" s="111"/>
      <c r="B329" s="112"/>
      <c r="C329" s="9"/>
      <c r="D329" s="9"/>
      <c r="E329" s="9"/>
      <c r="F329" s="113"/>
      <c r="G329" s="9"/>
      <c r="H329" s="113"/>
      <c r="I329" s="9"/>
      <c r="J329" s="113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ht="15.75" customHeight="1">
      <c r="A330" s="111"/>
      <c r="B330" s="112"/>
      <c r="C330" s="9"/>
      <c r="D330" s="9"/>
      <c r="E330" s="9"/>
      <c r="F330" s="113"/>
      <c r="G330" s="9"/>
      <c r="H330" s="113"/>
      <c r="I330" s="9"/>
      <c r="J330" s="113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ht="15.75" customHeight="1">
      <c r="A331" s="111"/>
      <c r="B331" s="112"/>
      <c r="C331" s="9"/>
      <c r="D331" s="9"/>
      <c r="E331" s="9"/>
      <c r="F331" s="113"/>
      <c r="G331" s="9"/>
      <c r="H331" s="113"/>
      <c r="I331" s="9"/>
      <c r="J331" s="113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ht="15.75" customHeight="1">
      <c r="A332" s="111"/>
      <c r="B332" s="112"/>
      <c r="C332" s="9"/>
      <c r="D332" s="9"/>
      <c r="E332" s="9"/>
      <c r="F332" s="113"/>
      <c r="G332" s="9"/>
      <c r="H332" s="113"/>
      <c r="I332" s="9"/>
      <c r="J332" s="113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ht="15.75" customHeight="1">
      <c r="A333" s="111"/>
      <c r="B333" s="112"/>
      <c r="C333" s="9"/>
      <c r="D333" s="9"/>
      <c r="E333" s="9"/>
      <c r="F333" s="113"/>
      <c r="G333" s="9"/>
      <c r="H333" s="113"/>
      <c r="I333" s="9"/>
      <c r="J333" s="113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ht="15.75" customHeight="1">
      <c r="A334" s="111"/>
      <c r="B334" s="112"/>
      <c r="C334" s="9"/>
      <c r="D334" s="9"/>
      <c r="E334" s="9"/>
      <c r="F334" s="113"/>
      <c r="G334" s="9"/>
      <c r="H334" s="113"/>
      <c r="I334" s="9"/>
      <c r="J334" s="113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ht="15.75" customHeight="1">
      <c r="A335" s="111"/>
      <c r="B335" s="112"/>
      <c r="C335" s="9"/>
      <c r="D335" s="9"/>
      <c r="E335" s="9"/>
      <c r="F335" s="113"/>
      <c r="G335" s="9"/>
      <c r="H335" s="113"/>
      <c r="I335" s="9"/>
      <c r="J335" s="113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ht="15.75" customHeight="1">
      <c r="A336" s="111"/>
      <c r="B336" s="112"/>
      <c r="C336" s="9"/>
      <c r="D336" s="9"/>
      <c r="E336" s="9"/>
      <c r="F336" s="113"/>
      <c r="G336" s="9"/>
      <c r="H336" s="113"/>
      <c r="I336" s="9"/>
      <c r="J336" s="113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ht="15.75" customHeight="1">
      <c r="A337" s="111"/>
      <c r="B337" s="112"/>
      <c r="C337" s="9"/>
      <c r="D337" s="9"/>
      <c r="E337" s="9"/>
      <c r="F337" s="113"/>
      <c r="G337" s="9"/>
      <c r="H337" s="113"/>
      <c r="I337" s="9"/>
      <c r="J337" s="113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ht="15.75" customHeight="1">
      <c r="A338" s="111"/>
      <c r="B338" s="112"/>
      <c r="C338" s="9"/>
      <c r="D338" s="9"/>
      <c r="E338" s="9"/>
      <c r="F338" s="113"/>
      <c r="G338" s="9"/>
      <c r="H338" s="113"/>
      <c r="I338" s="9"/>
      <c r="J338" s="113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ht="15.75" customHeight="1">
      <c r="A339" s="111"/>
      <c r="B339" s="112"/>
      <c r="C339" s="9"/>
      <c r="D339" s="9"/>
      <c r="E339" s="9"/>
      <c r="F339" s="113"/>
      <c r="G339" s="9"/>
      <c r="H339" s="113"/>
      <c r="I339" s="9"/>
      <c r="J339" s="113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ht="15.75" customHeight="1">
      <c r="A340" s="111"/>
      <c r="B340" s="112"/>
      <c r="C340" s="9"/>
      <c r="D340" s="9"/>
      <c r="E340" s="9"/>
      <c r="F340" s="113"/>
      <c r="G340" s="9"/>
      <c r="H340" s="113"/>
      <c r="I340" s="9"/>
      <c r="J340" s="113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ht="15.75" customHeight="1">
      <c r="A341" s="111"/>
      <c r="B341" s="112"/>
      <c r="C341" s="9"/>
      <c r="D341" s="9"/>
      <c r="E341" s="9"/>
      <c r="F341" s="113"/>
      <c r="G341" s="9"/>
      <c r="H341" s="113"/>
      <c r="I341" s="9"/>
      <c r="J341" s="113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ht="15.75" customHeight="1">
      <c r="A342" s="111"/>
      <c r="B342" s="112"/>
      <c r="C342" s="9"/>
      <c r="D342" s="9"/>
      <c r="E342" s="9"/>
      <c r="F342" s="113"/>
      <c r="G342" s="9"/>
      <c r="H342" s="113"/>
      <c r="I342" s="9"/>
      <c r="J342" s="113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ht="15.75" customHeight="1">
      <c r="A343" s="111"/>
      <c r="B343" s="112"/>
      <c r="C343" s="9"/>
      <c r="D343" s="9"/>
      <c r="E343" s="9"/>
      <c r="F343" s="113"/>
      <c r="G343" s="9"/>
      <c r="H343" s="113"/>
      <c r="I343" s="9"/>
      <c r="J343" s="113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ht="15.75" customHeight="1">
      <c r="A344" s="111"/>
      <c r="B344" s="112"/>
      <c r="C344" s="9"/>
      <c r="D344" s="9"/>
      <c r="E344" s="9"/>
      <c r="F344" s="113"/>
      <c r="G344" s="9"/>
      <c r="H344" s="113"/>
      <c r="I344" s="9"/>
      <c r="J344" s="113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ht="15.75" customHeight="1">
      <c r="A345" s="111"/>
      <c r="B345" s="112"/>
      <c r="C345" s="9"/>
      <c r="D345" s="9"/>
      <c r="E345" s="9"/>
      <c r="F345" s="113"/>
      <c r="G345" s="9"/>
      <c r="H345" s="113"/>
      <c r="I345" s="9"/>
      <c r="J345" s="113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ht="15.75" customHeight="1">
      <c r="A346" s="111"/>
      <c r="B346" s="112"/>
      <c r="C346" s="9"/>
      <c r="D346" s="9"/>
      <c r="E346" s="9"/>
      <c r="F346" s="113"/>
      <c r="G346" s="9"/>
      <c r="H346" s="113"/>
      <c r="I346" s="9"/>
      <c r="J346" s="113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ht="15.75" customHeight="1">
      <c r="A347" s="111"/>
      <c r="B347" s="112"/>
      <c r="C347" s="9"/>
      <c r="D347" s="9"/>
      <c r="E347" s="9"/>
      <c r="F347" s="113"/>
      <c r="G347" s="9"/>
      <c r="H347" s="113"/>
      <c r="I347" s="9"/>
      <c r="J347" s="113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ht="15.75" customHeight="1">
      <c r="A348" s="111"/>
      <c r="B348" s="112"/>
      <c r="C348" s="9"/>
      <c r="D348" s="9"/>
      <c r="E348" s="9"/>
      <c r="F348" s="113"/>
      <c r="G348" s="9"/>
      <c r="H348" s="113"/>
      <c r="I348" s="9"/>
      <c r="J348" s="113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ht="15.75" customHeight="1">
      <c r="A349" s="111"/>
      <c r="B349" s="112"/>
      <c r="C349" s="9"/>
      <c r="D349" s="9"/>
      <c r="E349" s="9"/>
      <c r="F349" s="113"/>
      <c r="G349" s="9"/>
      <c r="H349" s="113"/>
      <c r="I349" s="9"/>
      <c r="J349" s="113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ht="15.75" customHeight="1">
      <c r="A350" s="111"/>
      <c r="B350" s="112"/>
      <c r="C350" s="9"/>
      <c r="D350" s="9"/>
      <c r="E350" s="9"/>
      <c r="F350" s="113"/>
      <c r="G350" s="9"/>
      <c r="H350" s="113"/>
      <c r="I350" s="9"/>
      <c r="J350" s="113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ht="15.75" customHeight="1">
      <c r="A351" s="111"/>
      <c r="B351" s="112"/>
      <c r="C351" s="9"/>
      <c r="D351" s="9"/>
      <c r="E351" s="9"/>
      <c r="F351" s="113"/>
      <c r="G351" s="9"/>
      <c r="H351" s="113"/>
      <c r="I351" s="9"/>
      <c r="J351" s="113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ht="15.75" customHeight="1">
      <c r="A352" s="111"/>
      <c r="B352" s="112"/>
      <c r="C352" s="9"/>
      <c r="D352" s="9"/>
      <c r="E352" s="9"/>
      <c r="F352" s="113"/>
      <c r="G352" s="9"/>
      <c r="H352" s="113"/>
      <c r="I352" s="9"/>
      <c r="J352" s="113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ht="15.75" customHeight="1">
      <c r="A353" s="111"/>
      <c r="B353" s="112"/>
      <c r="C353" s="9"/>
      <c r="D353" s="9"/>
      <c r="E353" s="9"/>
      <c r="F353" s="113"/>
      <c r="G353" s="9"/>
      <c r="H353" s="113"/>
      <c r="I353" s="9"/>
      <c r="J353" s="113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ht="15.75" customHeight="1">
      <c r="A354" s="111"/>
      <c r="B354" s="112"/>
      <c r="C354" s="9"/>
      <c r="D354" s="9"/>
      <c r="E354" s="9"/>
      <c r="F354" s="113"/>
      <c r="G354" s="9"/>
      <c r="H354" s="113"/>
      <c r="I354" s="9"/>
      <c r="J354" s="113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ht="15.75" customHeight="1">
      <c r="A355" s="111"/>
      <c r="B355" s="112"/>
      <c r="C355" s="9"/>
      <c r="D355" s="9"/>
      <c r="E355" s="9"/>
      <c r="F355" s="113"/>
      <c r="G355" s="9"/>
      <c r="H355" s="113"/>
      <c r="I355" s="9"/>
      <c r="J355" s="113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ht="15.75" customHeight="1">
      <c r="A356" s="111"/>
      <c r="B356" s="112"/>
      <c r="C356" s="9"/>
      <c r="D356" s="9"/>
      <c r="E356" s="9"/>
      <c r="F356" s="113"/>
      <c r="G356" s="9"/>
      <c r="H356" s="113"/>
      <c r="I356" s="9"/>
      <c r="J356" s="113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ht="15.75" customHeight="1">
      <c r="A357" s="111"/>
      <c r="B357" s="112"/>
      <c r="C357" s="9"/>
      <c r="D357" s="9"/>
      <c r="E357" s="9"/>
      <c r="F357" s="113"/>
      <c r="G357" s="9"/>
      <c r="H357" s="113"/>
      <c r="I357" s="9"/>
      <c r="J357" s="113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ht="15.75" customHeight="1">
      <c r="A358" s="111"/>
      <c r="B358" s="112"/>
      <c r="C358" s="9"/>
      <c r="D358" s="9"/>
      <c r="E358" s="9"/>
      <c r="F358" s="113"/>
      <c r="G358" s="9"/>
      <c r="H358" s="113"/>
      <c r="I358" s="9"/>
      <c r="J358" s="113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ht="15.75" customHeight="1">
      <c r="A359" s="111"/>
      <c r="B359" s="112"/>
      <c r="C359" s="9"/>
      <c r="D359" s="9"/>
      <c r="E359" s="9"/>
      <c r="F359" s="113"/>
      <c r="G359" s="9"/>
      <c r="H359" s="113"/>
      <c r="I359" s="9"/>
      <c r="J359" s="113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ht="15.75" customHeight="1">
      <c r="A360" s="111"/>
      <c r="B360" s="112"/>
      <c r="C360" s="9"/>
      <c r="D360" s="9"/>
      <c r="E360" s="9"/>
      <c r="F360" s="113"/>
      <c r="G360" s="9"/>
      <c r="H360" s="113"/>
      <c r="I360" s="9"/>
      <c r="J360" s="113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ht="15.75" customHeight="1">
      <c r="A361" s="111"/>
      <c r="B361" s="112"/>
      <c r="C361" s="9"/>
      <c r="D361" s="9"/>
      <c r="E361" s="9"/>
      <c r="F361" s="113"/>
      <c r="G361" s="9"/>
      <c r="H361" s="113"/>
      <c r="I361" s="9"/>
      <c r="J361" s="113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ht="15.75" customHeight="1">
      <c r="A362" s="111"/>
      <c r="B362" s="112"/>
      <c r="C362" s="9"/>
      <c r="D362" s="9"/>
      <c r="E362" s="9"/>
      <c r="F362" s="113"/>
      <c r="G362" s="9"/>
      <c r="H362" s="113"/>
      <c r="I362" s="9"/>
      <c r="J362" s="113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ht="15.75" customHeight="1">
      <c r="A363" s="111"/>
      <c r="B363" s="112"/>
      <c r="C363" s="9"/>
      <c r="D363" s="9"/>
      <c r="E363" s="9"/>
      <c r="F363" s="113"/>
      <c r="G363" s="9"/>
      <c r="H363" s="113"/>
      <c r="I363" s="9"/>
      <c r="J363" s="113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ht="15.75" customHeight="1">
      <c r="A364" s="111"/>
      <c r="B364" s="112"/>
      <c r="C364" s="9"/>
      <c r="D364" s="9"/>
      <c r="E364" s="9"/>
      <c r="F364" s="113"/>
      <c r="G364" s="9"/>
      <c r="H364" s="113"/>
      <c r="I364" s="9"/>
      <c r="J364" s="113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ht="15.75" customHeight="1">
      <c r="A365" s="111"/>
      <c r="B365" s="112"/>
      <c r="C365" s="9"/>
      <c r="D365" s="9"/>
      <c r="E365" s="9"/>
      <c r="F365" s="113"/>
      <c r="G365" s="9"/>
      <c r="H365" s="113"/>
      <c r="I365" s="9"/>
      <c r="J365" s="113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ht="15.75" customHeight="1">
      <c r="A366" s="111"/>
      <c r="B366" s="112"/>
      <c r="C366" s="9"/>
      <c r="D366" s="9"/>
      <c r="E366" s="9"/>
      <c r="F366" s="113"/>
      <c r="G366" s="9"/>
      <c r="H366" s="113"/>
      <c r="I366" s="9"/>
      <c r="J366" s="113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ht="15.75" customHeight="1">
      <c r="A367" s="111"/>
      <c r="B367" s="112"/>
      <c r="C367" s="9"/>
      <c r="D367" s="9"/>
      <c r="E367" s="9"/>
      <c r="F367" s="113"/>
      <c r="G367" s="9"/>
      <c r="H367" s="113"/>
      <c r="I367" s="9"/>
      <c r="J367" s="113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ht="15.75" customHeight="1">
      <c r="A368" s="111"/>
      <c r="B368" s="112"/>
      <c r="C368" s="9"/>
      <c r="D368" s="9"/>
      <c r="E368" s="9"/>
      <c r="F368" s="113"/>
      <c r="G368" s="9"/>
      <c r="H368" s="113"/>
      <c r="I368" s="9"/>
      <c r="J368" s="113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ht="15.75" customHeight="1">
      <c r="A369" s="111"/>
      <c r="B369" s="112"/>
      <c r="C369" s="9"/>
      <c r="D369" s="9"/>
      <c r="E369" s="9"/>
      <c r="F369" s="113"/>
      <c r="G369" s="9"/>
      <c r="H369" s="113"/>
      <c r="I369" s="9"/>
      <c r="J369" s="113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ht="15.75" customHeight="1">
      <c r="A370" s="111"/>
      <c r="B370" s="112"/>
      <c r="C370" s="9"/>
      <c r="D370" s="9"/>
      <c r="E370" s="9"/>
      <c r="F370" s="113"/>
      <c r="G370" s="9"/>
      <c r="H370" s="113"/>
      <c r="I370" s="9"/>
      <c r="J370" s="113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ht="15.75" customHeight="1">
      <c r="A371" s="111"/>
      <c r="B371" s="112"/>
      <c r="C371" s="9"/>
      <c r="D371" s="9"/>
      <c r="E371" s="9"/>
      <c r="F371" s="113"/>
      <c r="G371" s="9"/>
      <c r="H371" s="113"/>
      <c r="I371" s="9"/>
      <c r="J371" s="113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ht="15.75" customHeight="1">
      <c r="A372" s="111"/>
      <c r="B372" s="112"/>
      <c r="C372" s="9"/>
      <c r="D372" s="9"/>
      <c r="E372" s="9"/>
      <c r="F372" s="113"/>
      <c r="G372" s="9"/>
      <c r="H372" s="113"/>
      <c r="I372" s="9"/>
      <c r="J372" s="113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ht="15.75" customHeight="1">
      <c r="A373" s="111"/>
      <c r="B373" s="112"/>
      <c r="C373" s="9"/>
      <c r="D373" s="9"/>
      <c r="E373" s="9"/>
      <c r="F373" s="113"/>
      <c r="G373" s="9"/>
      <c r="H373" s="113"/>
      <c r="I373" s="9"/>
      <c r="J373" s="113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ht="15.75" customHeight="1">
      <c r="A374" s="111"/>
      <c r="B374" s="112"/>
      <c r="C374" s="9"/>
      <c r="D374" s="9"/>
      <c r="E374" s="9"/>
      <c r="F374" s="113"/>
      <c r="G374" s="9"/>
      <c r="H374" s="113"/>
      <c r="I374" s="9"/>
      <c r="J374" s="113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ht="15.75" customHeight="1">
      <c r="A375" s="111"/>
      <c r="B375" s="112"/>
      <c r="C375" s="9"/>
      <c r="D375" s="9"/>
      <c r="E375" s="9"/>
      <c r="F375" s="113"/>
      <c r="G375" s="9"/>
      <c r="H375" s="113"/>
      <c r="I375" s="9"/>
      <c r="J375" s="113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ht="15.75" customHeight="1">
      <c r="A376" s="111"/>
      <c r="B376" s="112"/>
      <c r="C376" s="9"/>
      <c r="D376" s="9"/>
      <c r="E376" s="9"/>
      <c r="F376" s="113"/>
      <c r="G376" s="9"/>
      <c r="H376" s="113"/>
      <c r="I376" s="9"/>
      <c r="J376" s="113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ht="15.75" customHeight="1">
      <c r="A377" s="111"/>
      <c r="B377" s="112"/>
      <c r="C377" s="9"/>
      <c r="D377" s="9"/>
      <c r="E377" s="9"/>
      <c r="F377" s="113"/>
      <c r="G377" s="9"/>
      <c r="H377" s="113"/>
      <c r="I377" s="9"/>
      <c r="J377" s="113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ht="15.75" customHeight="1">
      <c r="A378" s="111"/>
      <c r="B378" s="112"/>
      <c r="C378" s="9"/>
      <c r="D378" s="9"/>
      <c r="E378" s="9"/>
      <c r="F378" s="113"/>
      <c r="G378" s="9"/>
      <c r="H378" s="113"/>
      <c r="I378" s="9"/>
      <c r="J378" s="113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ht="15.75" customHeight="1">
      <c r="A379" s="111"/>
      <c r="B379" s="112"/>
      <c r="C379" s="9"/>
      <c r="D379" s="9"/>
      <c r="E379" s="9"/>
      <c r="F379" s="113"/>
      <c r="G379" s="9"/>
      <c r="H379" s="113"/>
      <c r="I379" s="9"/>
      <c r="J379" s="113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ht="15.75" customHeight="1">
      <c r="A380" s="111"/>
      <c r="B380" s="112"/>
      <c r="C380" s="9"/>
      <c r="D380" s="9"/>
      <c r="E380" s="9"/>
      <c r="F380" s="113"/>
      <c r="G380" s="9"/>
      <c r="H380" s="113"/>
      <c r="I380" s="9"/>
      <c r="J380" s="113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ht="15.75" customHeight="1">
      <c r="A381" s="111"/>
      <c r="B381" s="112"/>
      <c r="C381" s="9"/>
      <c r="D381" s="9"/>
      <c r="E381" s="9"/>
      <c r="F381" s="113"/>
      <c r="G381" s="9"/>
      <c r="H381" s="113"/>
      <c r="I381" s="9"/>
      <c r="J381" s="113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ht="15.75" customHeight="1">
      <c r="A382" s="111"/>
      <c r="B382" s="112"/>
      <c r="C382" s="9"/>
      <c r="D382" s="9"/>
      <c r="E382" s="9"/>
      <c r="F382" s="113"/>
      <c r="G382" s="9"/>
      <c r="H382" s="113"/>
      <c r="I382" s="9"/>
      <c r="J382" s="113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ht="15.75" customHeight="1">
      <c r="A383" s="111"/>
      <c r="B383" s="112"/>
      <c r="C383" s="9"/>
      <c r="D383" s="9"/>
      <c r="E383" s="9"/>
      <c r="F383" s="113"/>
      <c r="G383" s="9"/>
      <c r="H383" s="113"/>
      <c r="I383" s="9"/>
      <c r="J383" s="113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ht="15.75" customHeight="1">
      <c r="A384" s="111"/>
      <c r="B384" s="112"/>
      <c r="C384" s="9"/>
      <c r="D384" s="9"/>
      <c r="E384" s="9"/>
      <c r="F384" s="113"/>
      <c r="G384" s="9"/>
      <c r="H384" s="113"/>
      <c r="I384" s="9"/>
      <c r="J384" s="113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ht="15.75" customHeight="1">
      <c r="A385" s="111"/>
      <c r="B385" s="112"/>
      <c r="C385" s="9"/>
      <c r="D385" s="9"/>
      <c r="E385" s="9"/>
      <c r="F385" s="113"/>
      <c r="G385" s="9"/>
      <c r="H385" s="113"/>
      <c r="I385" s="9"/>
      <c r="J385" s="113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ht="15.75" customHeight="1">
      <c r="A386" s="111"/>
      <c r="B386" s="112"/>
      <c r="C386" s="9"/>
      <c r="D386" s="9"/>
      <c r="E386" s="9"/>
      <c r="F386" s="113"/>
      <c r="G386" s="9"/>
      <c r="H386" s="113"/>
      <c r="I386" s="9"/>
      <c r="J386" s="113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ht="15.75" customHeight="1">
      <c r="A387" s="111"/>
      <c r="B387" s="112"/>
      <c r="C387" s="9"/>
      <c r="D387" s="9"/>
      <c r="E387" s="9"/>
      <c r="F387" s="113"/>
      <c r="G387" s="9"/>
      <c r="H387" s="113"/>
      <c r="I387" s="9"/>
      <c r="J387" s="113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ht="15.75" customHeight="1">
      <c r="A388" s="111"/>
      <c r="B388" s="112"/>
      <c r="C388" s="9"/>
      <c r="D388" s="9"/>
      <c r="E388" s="9"/>
      <c r="F388" s="113"/>
      <c r="G388" s="9"/>
      <c r="H388" s="113"/>
      <c r="I388" s="9"/>
      <c r="J388" s="113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ht="15.75" customHeight="1">
      <c r="A389" s="111"/>
      <c r="B389" s="112"/>
      <c r="C389" s="9"/>
      <c r="D389" s="9"/>
      <c r="E389" s="9"/>
      <c r="F389" s="113"/>
      <c r="G389" s="9"/>
      <c r="H389" s="113"/>
      <c r="I389" s="9"/>
      <c r="J389" s="113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ht="15.75" customHeight="1">
      <c r="A390" s="111"/>
      <c r="B390" s="112"/>
      <c r="C390" s="9"/>
      <c r="D390" s="9"/>
      <c r="E390" s="9"/>
      <c r="F390" s="113"/>
      <c r="G390" s="9"/>
      <c r="H390" s="113"/>
      <c r="I390" s="9"/>
      <c r="J390" s="113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ht="15.75" customHeight="1">
      <c r="A391" s="111"/>
      <c r="B391" s="112"/>
      <c r="C391" s="9"/>
      <c r="D391" s="9"/>
      <c r="E391" s="9"/>
      <c r="F391" s="113"/>
      <c r="G391" s="9"/>
      <c r="H391" s="113"/>
      <c r="I391" s="9"/>
      <c r="J391" s="113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ht="15.75" customHeight="1">
      <c r="A392" s="111"/>
      <c r="B392" s="112"/>
      <c r="C392" s="9"/>
      <c r="D392" s="9"/>
      <c r="E392" s="9"/>
      <c r="F392" s="113"/>
      <c r="G392" s="9"/>
      <c r="H392" s="113"/>
      <c r="I392" s="9"/>
      <c r="J392" s="113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ht="15.75" customHeight="1">
      <c r="A393" s="111"/>
      <c r="B393" s="112"/>
      <c r="C393" s="9"/>
      <c r="D393" s="9"/>
      <c r="E393" s="9"/>
      <c r="F393" s="113"/>
      <c r="G393" s="9"/>
      <c r="H393" s="113"/>
      <c r="I393" s="9"/>
      <c r="J393" s="113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ht="15.75" customHeight="1">
      <c r="A394" s="111"/>
      <c r="B394" s="112"/>
      <c r="C394" s="9"/>
      <c r="D394" s="9"/>
      <c r="E394" s="9"/>
      <c r="F394" s="113"/>
      <c r="G394" s="9"/>
      <c r="H394" s="113"/>
      <c r="I394" s="9"/>
      <c r="J394" s="113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ht="15.75" customHeight="1">
      <c r="A395" s="111"/>
      <c r="B395" s="112"/>
      <c r="C395" s="9"/>
      <c r="D395" s="9"/>
      <c r="E395" s="9"/>
      <c r="F395" s="113"/>
      <c r="G395" s="9"/>
      <c r="H395" s="113"/>
      <c r="I395" s="9"/>
      <c r="J395" s="113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ht="15.75" customHeight="1">
      <c r="A396" s="111"/>
      <c r="B396" s="112"/>
      <c r="C396" s="9"/>
      <c r="D396" s="9"/>
      <c r="E396" s="9"/>
      <c r="F396" s="113"/>
      <c r="G396" s="9"/>
      <c r="H396" s="113"/>
      <c r="I396" s="9"/>
      <c r="J396" s="113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ht="15.75" customHeight="1">
      <c r="A397" s="111"/>
      <c r="B397" s="112"/>
      <c r="C397" s="9"/>
      <c r="D397" s="9"/>
      <c r="E397" s="9"/>
      <c r="F397" s="113"/>
      <c r="G397" s="9"/>
      <c r="H397" s="113"/>
      <c r="I397" s="9"/>
      <c r="J397" s="113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ht="15.75" customHeight="1">
      <c r="A398" s="111"/>
      <c r="B398" s="112"/>
      <c r="C398" s="9"/>
      <c r="D398" s="9"/>
      <c r="E398" s="9"/>
      <c r="F398" s="113"/>
      <c r="G398" s="9"/>
      <c r="H398" s="113"/>
      <c r="I398" s="9"/>
      <c r="J398" s="113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ht="15.75" customHeight="1">
      <c r="A399" s="111"/>
      <c r="B399" s="112"/>
      <c r="C399" s="9"/>
      <c r="D399" s="9"/>
      <c r="E399" s="9"/>
      <c r="F399" s="113"/>
      <c r="G399" s="9"/>
      <c r="H399" s="113"/>
      <c r="I399" s="9"/>
      <c r="J399" s="113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ht="15.75" customHeight="1">
      <c r="A400" s="111"/>
      <c r="B400" s="112"/>
      <c r="C400" s="9"/>
      <c r="D400" s="9"/>
      <c r="E400" s="9"/>
      <c r="F400" s="113"/>
      <c r="G400" s="9"/>
      <c r="H400" s="113"/>
      <c r="I400" s="9"/>
      <c r="J400" s="113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ht="15.75" customHeight="1">
      <c r="A401" s="111"/>
      <c r="B401" s="112"/>
      <c r="C401" s="9"/>
      <c r="D401" s="9"/>
      <c r="E401" s="9"/>
      <c r="F401" s="113"/>
      <c r="G401" s="9"/>
      <c r="H401" s="113"/>
      <c r="I401" s="9"/>
      <c r="J401" s="113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ht="15.75" customHeight="1">
      <c r="A402" s="111"/>
      <c r="B402" s="112"/>
      <c r="C402" s="9"/>
      <c r="D402" s="9"/>
      <c r="E402" s="9"/>
      <c r="F402" s="113"/>
      <c r="G402" s="9"/>
      <c r="H402" s="113"/>
      <c r="I402" s="9"/>
      <c r="J402" s="113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ht="15.75" customHeight="1">
      <c r="A403" s="111"/>
      <c r="B403" s="112"/>
      <c r="C403" s="9"/>
      <c r="D403" s="9"/>
      <c r="E403" s="9"/>
      <c r="F403" s="113"/>
      <c r="G403" s="9"/>
      <c r="H403" s="113"/>
      <c r="I403" s="9"/>
      <c r="J403" s="113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ht="15.75" customHeight="1">
      <c r="A404" s="111"/>
      <c r="B404" s="112"/>
      <c r="C404" s="9"/>
      <c r="D404" s="9"/>
      <c r="E404" s="9"/>
      <c r="F404" s="113"/>
      <c r="G404" s="9"/>
      <c r="H404" s="113"/>
      <c r="I404" s="9"/>
      <c r="J404" s="113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ht="15.75" customHeight="1">
      <c r="A405" s="111"/>
      <c r="B405" s="112"/>
      <c r="C405" s="9"/>
      <c r="D405" s="9"/>
      <c r="E405" s="9"/>
      <c r="F405" s="113"/>
      <c r="G405" s="9"/>
      <c r="H405" s="113"/>
      <c r="I405" s="9"/>
      <c r="J405" s="113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ht="15.75" customHeight="1">
      <c r="A406" s="111"/>
      <c r="B406" s="112"/>
      <c r="C406" s="9"/>
      <c r="D406" s="9"/>
      <c r="E406" s="9"/>
      <c r="F406" s="113"/>
      <c r="G406" s="9"/>
      <c r="H406" s="113"/>
      <c r="I406" s="9"/>
      <c r="J406" s="113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ht="15.75" customHeight="1">
      <c r="A407" s="111"/>
      <c r="B407" s="112"/>
      <c r="C407" s="9"/>
      <c r="D407" s="9"/>
      <c r="E407" s="9"/>
      <c r="F407" s="113"/>
      <c r="G407" s="9"/>
      <c r="H407" s="113"/>
      <c r="I407" s="9"/>
      <c r="J407" s="113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ht="15.75" customHeight="1">
      <c r="A408" s="111"/>
      <c r="B408" s="112"/>
      <c r="C408" s="9"/>
      <c r="D408" s="9"/>
      <c r="E408" s="9"/>
      <c r="F408" s="113"/>
      <c r="G408" s="9"/>
      <c r="H408" s="113"/>
      <c r="I408" s="9"/>
      <c r="J408" s="113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ht="15.75" customHeight="1">
      <c r="A409" s="111"/>
      <c r="B409" s="112"/>
      <c r="C409" s="9"/>
      <c r="D409" s="9"/>
      <c r="E409" s="9"/>
      <c r="F409" s="113"/>
      <c r="G409" s="9"/>
      <c r="H409" s="113"/>
      <c r="I409" s="9"/>
      <c r="J409" s="113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ht="15.75" customHeight="1">
      <c r="A410" s="111"/>
      <c r="B410" s="112"/>
      <c r="C410" s="9"/>
      <c r="D410" s="9"/>
      <c r="E410" s="9"/>
      <c r="F410" s="113"/>
      <c r="G410" s="9"/>
      <c r="H410" s="113"/>
      <c r="I410" s="9"/>
      <c r="J410" s="113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ht="15.75" customHeight="1">
      <c r="A411" s="111"/>
      <c r="B411" s="112"/>
      <c r="C411" s="9"/>
      <c r="D411" s="9"/>
      <c r="E411" s="9"/>
      <c r="F411" s="113"/>
      <c r="G411" s="9"/>
      <c r="H411" s="113"/>
      <c r="I411" s="9"/>
      <c r="J411" s="113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ht="15.75" customHeight="1">
      <c r="A412" s="111"/>
      <c r="B412" s="112"/>
      <c r="C412" s="9"/>
      <c r="D412" s="9"/>
      <c r="E412" s="9"/>
      <c r="F412" s="113"/>
      <c r="G412" s="9"/>
      <c r="H412" s="113"/>
      <c r="I412" s="9"/>
      <c r="J412" s="113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ht="15.75" customHeight="1">
      <c r="A413" s="111"/>
      <c r="B413" s="112"/>
      <c r="C413" s="9"/>
      <c r="D413" s="9"/>
      <c r="E413" s="9"/>
      <c r="F413" s="113"/>
      <c r="G413" s="9"/>
      <c r="H413" s="113"/>
      <c r="I413" s="9"/>
      <c r="J413" s="113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ht="15.75" customHeight="1">
      <c r="A414" s="111"/>
      <c r="B414" s="112"/>
      <c r="C414" s="9"/>
      <c r="D414" s="9"/>
      <c r="E414" s="9"/>
      <c r="F414" s="113"/>
      <c r="G414" s="9"/>
      <c r="H414" s="113"/>
      <c r="I414" s="9"/>
      <c r="J414" s="113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ht="15.75" customHeight="1">
      <c r="A415" s="111"/>
      <c r="B415" s="112"/>
      <c r="C415" s="9"/>
      <c r="D415" s="9"/>
      <c r="E415" s="9"/>
      <c r="F415" s="113"/>
      <c r="G415" s="9"/>
      <c r="H415" s="113"/>
      <c r="I415" s="9"/>
      <c r="J415" s="113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ht="15.75" customHeight="1">
      <c r="A416" s="111"/>
      <c r="B416" s="112"/>
      <c r="C416" s="9"/>
      <c r="D416" s="9"/>
      <c r="E416" s="9"/>
      <c r="F416" s="113"/>
      <c r="G416" s="9"/>
      <c r="H416" s="113"/>
      <c r="I416" s="9"/>
      <c r="J416" s="113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ht="15.75" customHeight="1">
      <c r="A417" s="111"/>
      <c r="B417" s="112"/>
      <c r="C417" s="9"/>
      <c r="D417" s="9"/>
      <c r="E417" s="9"/>
      <c r="F417" s="113"/>
      <c r="G417" s="9"/>
      <c r="H417" s="113"/>
      <c r="I417" s="9"/>
      <c r="J417" s="113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ht="15.75" customHeight="1">
      <c r="A418" s="111"/>
      <c r="B418" s="112"/>
      <c r="C418" s="9"/>
      <c r="D418" s="9"/>
      <c r="E418" s="9"/>
      <c r="F418" s="113"/>
      <c r="G418" s="9"/>
      <c r="H418" s="113"/>
      <c r="I418" s="9"/>
      <c r="J418" s="113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ht="15.75" customHeight="1">
      <c r="A419" s="111"/>
      <c r="B419" s="112"/>
      <c r="C419" s="9"/>
      <c r="D419" s="9"/>
      <c r="E419" s="9"/>
      <c r="F419" s="113"/>
      <c r="G419" s="9"/>
      <c r="H419" s="113"/>
      <c r="I419" s="9"/>
      <c r="J419" s="113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ht="15.75" customHeight="1">
      <c r="A420" s="111"/>
      <c r="B420" s="112"/>
      <c r="C420" s="9"/>
      <c r="D420" s="9"/>
      <c r="E420" s="9"/>
      <c r="F420" s="113"/>
      <c r="G420" s="9"/>
      <c r="H420" s="113"/>
      <c r="I420" s="9"/>
      <c r="J420" s="113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ht="15.75" customHeight="1">
      <c r="A421" s="111"/>
      <c r="B421" s="112"/>
      <c r="C421" s="9"/>
      <c r="D421" s="9"/>
      <c r="E421" s="9"/>
      <c r="F421" s="113"/>
      <c r="G421" s="9"/>
      <c r="H421" s="113"/>
      <c r="I421" s="9"/>
      <c r="J421" s="113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ht="15.75" customHeight="1">
      <c r="A422" s="111"/>
      <c r="B422" s="112"/>
      <c r="C422" s="9"/>
      <c r="D422" s="9"/>
      <c r="E422" s="9"/>
      <c r="F422" s="113"/>
      <c r="G422" s="9"/>
      <c r="H422" s="113"/>
      <c r="I422" s="9"/>
      <c r="J422" s="113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ht="15.75" customHeight="1">
      <c r="A423" s="111"/>
      <c r="B423" s="112"/>
      <c r="C423" s="9"/>
      <c r="D423" s="9"/>
      <c r="E423" s="9"/>
      <c r="F423" s="113"/>
      <c r="G423" s="9"/>
      <c r="H423" s="113"/>
      <c r="I423" s="9"/>
      <c r="J423" s="113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ht="15.75" customHeight="1">
      <c r="A424" s="111"/>
      <c r="B424" s="112"/>
      <c r="C424" s="9"/>
      <c r="D424" s="9"/>
      <c r="E424" s="9"/>
      <c r="F424" s="113"/>
      <c r="G424" s="9"/>
      <c r="H424" s="113"/>
      <c r="I424" s="9"/>
      <c r="J424" s="113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ht="15.75" customHeight="1">
      <c r="A425" s="111"/>
      <c r="B425" s="112"/>
      <c r="C425" s="9"/>
      <c r="D425" s="9"/>
      <c r="E425" s="9"/>
      <c r="F425" s="113"/>
      <c r="G425" s="9"/>
      <c r="H425" s="113"/>
      <c r="I425" s="9"/>
      <c r="J425" s="113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ht="15.75" customHeight="1">
      <c r="A426" s="111"/>
      <c r="B426" s="112"/>
      <c r="C426" s="9"/>
      <c r="D426" s="9"/>
      <c r="E426" s="9"/>
      <c r="F426" s="113"/>
      <c r="G426" s="9"/>
      <c r="H426" s="113"/>
      <c r="I426" s="9"/>
      <c r="J426" s="113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ht="15.75" customHeight="1">
      <c r="A427" s="111"/>
      <c r="B427" s="112"/>
      <c r="C427" s="9"/>
      <c r="D427" s="9"/>
      <c r="E427" s="9"/>
      <c r="F427" s="113"/>
      <c r="G427" s="9"/>
      <c r="H427" s="113"/>
      <c r="I427" s="9"/>
      <c r="J427" s="113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ht="15.75" customHeight="1">
      <c r="A428" s="111"/>
      <c r="B428" s="112"/>
      <c r="C428" s="9"/>
      <c r="D428" s="9"/>
      <c r="E428" s="9"/>
      <c r="F428" s="113"/>
      <c r="G428" s="9"/>
      <c r="H428" s="113"/>
      <c r="I428" s="9"/>
      <c r="J428" s="113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ht="15.75" customHeight="1">
      <c r="A429" s="111"/>
      <c r="B429" s="112"/>
      <c r="C429" s="9"/>
      <c r="D429" s="9"/>
      <c r="E429" s="9"/>
      <c r="F429" s="113"/>
      <c r="G429" s="9"/>
      <c r="H429" s="113"/>
      <c r="I429" s="9"/>
      <c r="J429" s="113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ht="15.75" customHeight="1">
      <c r="A430" s="111"/>
      <c r="B430" s="112"/>
      <c r="C430" s="9"/>
      <c r="D430" s="9"/>
      <c r="E430" s="9"/>
      <c r="F430" s="113"/>
      <c r="G430" s="9"/>
      <c r="H430" s="113"/>
      <c r="I430" s="9"/>
      <c r="J430" s="113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ht="15.75" customHeight="1">
      <c r="A431" s="111"/>
      <c r="B431" s="112"/>
      <c r="C431" s="9"/>
      <c r="D431" s="9"/>
      <c r="E431" s="9"/>
      <c r="F431" s="113"/>
      <c r="G431" s="9"/>
      <c r="H431" s="113"/>
      <c r="I431" s="9"/>
      <c r="J431" s="113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ht="15.75" customHeight="1">
      <c r="A432" s="111"/>
      <c r="B432" s="112"/>
      <c r="C432" s="9"/>
      <c r="D432" s="9"/>
      <c r="E432" s="9"/>
      <c r="F432" s="113"/>
      <c r="G432" s="9"/>
      <c r="H432" s="113"/>
      <c r="I432" s="9"/>
      <c r="J432" s="113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ht="15.75" customHeight="1">
      <c r="A433" s="111"/>
      <c r="B433" s="112"/>
      <c r="C433" s="9"/>
      <c r="D433" s="9"/>
      <c r="E433" s="9"/>
      <c r="F433" s="113"/>
      <c r="G433" s="9"/>
      <c r="H433" s="113"/>
      <c r="I433" s="9"/>
      <c r="J433" s="113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ht="15.75" customHeight="1">
      <c r="A434" s="111"/>
      <c r="B434" s="112"/>
      <c r="C434" s="9"/>
      <c r="D434" s="9"/>
      <c r="E434" s="9"/>
      <c r="F434" s="113"/>
      <c r="G434" s="9"/>
      <c r="H434" s="113"/>
      <c r="I434" s="9"/>
      <c r="J434" s="113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ht="15.75" customHeight="1">
      <c r="A435" s="111"/>
      <c r="B435" s="112"/>
      <c r="C435" s="9"/>
      <c r="D435" s="9"/>
      <c r="E435" s="9"/>
      <c r="F435" s="113"/>
      <c r="G435" s="9"/>
      <c r="H435" s="113"/>
      <c r="I435" s="9"/>
      <c r="J435" s="113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ht="15.75" customHeight="1">
      <c r="A436" s="111"/>
      <c r="B436" s="112"/>
      <c r="C436" s="9"/>
      <c r="D436" s="9"/>
      <c r="E436" s="9"/>
      <c r="F436" s="113"/>
      <c r="G436" s="9"/>
      <c r="H436" s="113"/>
      <c r="I436" s="9"/>
      <c r="J436" s="113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ht="15.75" customHeight="1">
      <c r="A437" s="111"/>
      <c r="B437" s="112"/>
      <c r="C437" s="9"/>
      <c r="D437" s="9"/>
      <c r="E437" s="9"/>
      <c r="F437" s="113"/>
      <c r="G437" s="9"/>
      <c r="H437" s="113"/>
      <c r="I437" s="9"/>
      <c r="J437" s="113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ht="15.75" customHeight="1">
      <c r="A438" s="111"/>
      <c r="B438" s="112"/>
      <c r="C438" s="9"/>
      <c r="D438" s="9"/>
      <c r="E438" s="9"/>
      <c r="F438" s="113"/>
      <c r="G438" s="9"/>
      <c r="H438" s="113"/>
      <c r="I438" s="9"/>
      <c r="J438" s="113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ht="15.75" customHeight="1">
      <c r="A439" s="111"/>
      <c r="B439" s="112"/>
      <c r="C439" s="9"/>
      <c r="D439" s="9"/>
      <c r="E439" s="9"/>
      <c r="F439" s="113"/>
      <c r="G439" s="9"/>
      <c r="H439" s="113"/>
      <c r="I439" s="9"/>
      <c r="J439" s="113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ht="15.75" customHeight="1">
      <c r="A440" s="111"/>
      <c r="B440" s="112"/>
      <c r="C440" s="9"/>
      <c r="D440" s="9"/>
      <c r="E440" s="9"/>
      <c r="F440" s="113"/>
      <c r="G440" s="9"/>
      <c r="H440" s="113"/>
      <c r="I440" s="9"/>
      <c r="J440" s="113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ht="15.75" customHeight="1">
      <c r="A441" s="111"/>
      <c r="B441" s="112"/>
      <c r="C441" s="9"/>
      <c r="D441" s="9"/>
      <c r="E441" s="9"/>
      <c r="F441" s="113"/>
      <c r="G441" s="9"/>
      <c r="H441" s="113"/>
      <c r="I441" s="9"/>
      <c r="J441" s="113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ht="15.75" customHeight="1">
      <c r="A442" s="111"/>
      <c r="B442" s="112"/>
      <c r="C442" s="9"/>
      <c r="D442" s="9"/>
      <c r="E442" s="9"/>
      <c r="F442" s="113"/>
      <c r="G442" s="9"/>
      <c r="H442" s="113"/>
      <c r="I442" s="9"/>
      <c r="J442" s="113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ht="15.75" customHeight="1">
      <c r="A443" s="111"/>
      <c r="B443" s="112"/>
      <c r="C443" s="9"/>
      <c r="D443" s="9"/>
      <c r="E443" s="9"/>
      <c r="F443" s="113"/>
      <c r="G443" s="9"/>
      <c r="H443" s="113"/>
      <c r="I443" s="9"/>
      <c r="J443" s="113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ht="15.75" customHeight="1">
      <c r="A444" s="111"/>
      <c r="B444" s="112"/>
      <c r="C444" s="9"/>
      <c r="D444" s="9"/>
      <c r="E444" s="9"/>
      <c r="F444" s="113"/>
      <c r="G444" s="9"/>
      <c r="H444" s="113"/>
      <c r="I444" s="9"/>
      <c r="J444" s="113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ht="15.75" customHeight="1">
      <c r="A445" s="111"/>
      <c r="B445" s="112"/>
      <c r="C445" s="9"/>
      <c r="D445" s="9"/>
      <c r="E445" s="9"/>
      <c r="F445" s="113"/>
      <c r="G445" s="9"/>
      <c r="H445" s="113"/>
      <c r="I445" s="9"/>
      <c r="J445" s="113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ht="15.75" customHeight="1">
      <c r="A446" s="111"/>
      <c r="B446" s="112"/>
      <c r="C446" s="9"/>
      <c r="D446" s="9"/>
      <c r="E446" s="9"/>
      <c r="F446" s="113"/>
      <c r="G446" s="9"/>
      <c r="H446" s="113"/>
      <c r="I446" s="9"/>
      <c r="J446" s="113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ht="15.75" customHeight="1">
      <c r="A447" s="111"/>
      <c r="B447" s="112"/>
      <c r="C447" s="9"/>
      <c r="D447" s="9"/>
      <c r="E447" s="9"/>
      <c r="F447" s="113"/>
      <c r="G447" s="9"/>
      <c r="H447" s="113"/>
      <c r="I447" s="9"/>
      <c r="J447" s="113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ht="15.75" customHeight="1">
      <c r="A448" s="111"/>
      <c r="B448" s="112"/>
      <c r="C448" s="9"/>
      <c r="D448" s="9"/>
      <c r="E448" s="9"/>
      <c r="F448" s="113"/>
      <c r="G448" s="9"/>
      <c r="H448" s="113"/>
      <c r="I448" s="9"/>
      <c r="J448" s="113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ht="15.75" customHeight="1">
      <c r="A449" s="111"/>
      <c r="B449" s="112"/>
      <c r="C449" s="9"/>
      <c r="D449" s="9"/>
      <c r="E449" s="9"/>
      <c r="F449" s="113"/>
      <c r="G449" s="9"/>
      <c r="H449" s="113"/>
      <c r="I449" s="9"/>
      <c r="J449" s="113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ht="15.75" customHeight="1">
      <c r="A450" s="111"/>
      <c r="B450" s="112"/>
      <c r="C450" s="9"/>
      <c r="D450" s="9"/>
      <c r="E450" s="9"/>
      <c r="F450" s="113"/>
      <c r="G450" s="9"/>
      <c r="H450" s="113"/>
      <c r="I450" s="9"/>
      <c r="J450" s="113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ht="15.75" customHeight="1">
      <c r="A451" s="111"/>
      <c r="B451" s="112"/>
      <c r="C451" s="9"/>
      <c r="D451" s="9"/>
      <c r="E451" s="9"/>
      <c r="F451" s="113"/>
      <c r="G451" s="9"/>
      <c r="H451" s="113"/>
      <c r="I451" s="9"/>
      <c r="J451" s="113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ht="15.75" customHeight="1">
      <c r="A452" s="114"/>
      <c r="B452" s="114"/>
      <c r="C452" s="114"/>
      <c r="D452" s="114"/>
      <c r="E452" s="114"/>
      <c r="F452" s="114"/>
      <c r="G452" s="114"/>
      <c r="H452" s="114"/>
      <c r="I452" s="114"/>
      <c r="J452" s="114"/>
      <c r="K452" s="114"/>
      <c r="L452" s="114"/>
      <c r="M452" s="114"/>
      <c r="N452" s="114"/>
      <c r="O452" s="114"/>
      <c r="P452" s="114"/>
      <c r="Q452" s="114"/>
      <c r="R452" s="114"/>
      <c r="S452" s="114"/>
      <c r="T452" s="114"/>
      <c r="U452" s="114"/>
      <c r="V452" s="114"/>
      <c r="W452" s="114"/>
      <c r="X452" s="114"/>
      <c r="Y452" s="114"/>
      <c r="Z452" s="114"/>
      <c r="AA452" s="114"/>
      <c r="AB452" s="114"/>
      <c r="AC452" s="114"/>
      <c r="AD452" s="114"/>
      <c r="AE452" s="114"/>
      <c r="AF452" s="114"/>
      <c r="AG452" s="114"/>
      <c r="AH452" s="114"/>
      <c r="AI452" s="114"/>
      <c r="AJ452" s="114"/>
      <c r="AK452" s="114"/>
    </row>
    <row r="453" ht="15.75" customHeight="1">
      <c r="A453" s="114"/>
      <c r="B453" s="114"/>
      <c r="C453" s="114"/>
      <c r="D453" s="114"/>
      <c r="E453" s="114"/>
      <c r="F453" s="114"/>
      <c r="G453" s="114"/>
      <c r="H453" s="114"/>
      <c r="I453" s="114"/>
      <c r="J453" s="114"/>
      <c r="K453" s="114"/>
      <c r="L453" s="114"/>
      <c r="M453" s="114"/>
      <c r="N453" s="114"/>
      <c r="O453" s="114"/>
      <c r="P453" s="114"/>
      <c r="Q453" s="114"/>
      <c r="R453" s="114"/>
      <c r="S453" s="114"/>
      <c r="T453" s="114"/>
      <c r="U453" s="114"/>
      <c r="V453" s="114"/>
      <c r="W453" s="114"/>
      <c r="X453" s="114"/>
      <c r="Y453" s="114"/>
      <c r="Z453" s="114"/>
      <c r="AA453" s="114"/>
      <c r="AB453" s="114"/>
      <c r="AC453" s="114"/>
      <c r="AD453" s="114"/>
      <c r="AE453" s="114"/>
      <c r="AF453" s="114"/>
      <c r="AG453" s="114"/>
      <c r="AH453" s="114"/>
      <c r="AI453" s="114"/>
      <c r="AJ453" s="114"/>
      <c r="AK453" s="114"/>
    </row>
    <row r="454" ht="15.75" customHeight="1">
      <c r="A454" s="114"/>
      <c r="B454" s="114"/>
      <c r="C454" s="114"/>
      <c r="D454" s="114"/>
      <c r="E454" s="114"/>
      <c r="F454" s="114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  <c r="AA454" s="114"/>
      <c r="AB454" s="114"/>
      <c r="AC454" s="114"/>
      <c r="AD454" s="114"/>
      <c r="AE454" s="114"/>
      <c r="AF454" s="114"/>
      <c r="AG454" s="114"/>
      <c r="AH454" s="114"/>
      <c r="AI454" s="114"/>
      <c r="AJ454" s="114"/>
      <c r="AK454" s="114"/>
    </row>
    <row r="455" ht="15.75" customHeight="1">
      <c r="A455" s="114"/>
      <c r="B455" s="114"/>
      <c r="C455" s="114"/>
      <c r="D455" s="114"/>
      <c r="E455" s="114"/>
      <c r="F455" s="114"/>
      <c r="G455" s="114"/>
      <c r="H455" s="114"/>
      <c r="I455" s="114"/>
      <c r="J455" s="114"/>
      <c r="K455" s="114"/>
      <c r="L455" s="114"/>
      <c r="M455" s="114"/>
      <c r="N455" s="114"/>
      <c r="O455" s="114"/>
      <c r="P455" s="114"/>
      <c r="Q455" s="114"/>
      <c r="R455" s="114"/>
      <c r="S455" s="114"/>
      <c r="T455" s="114"/>
      <c r="U455" s="114"/>
      <c r="V455" s="114"/>
      <c r="W455" s="114"/>
      <c r="X455" s="114"/>
      <c r="Y455" s="114"/>
      <c r="Z455" s="114"/>
      <c r="AA455" s="114"/>
      <c r="AB455" s="114"/>
      <c r="AC455" s="114"/>
      <c r="AD455" s="114"/>
      <c r="AE455" s="114"/>
      <c r="AF455" s="114"/>
      <c r="AG455" s="114"/>
      <c r="AH455" s="114"/>
      <c r="AI455" s="114"/>
      <c r="AJ455" s="114"/>
      <c r="AK455" s="114"/>
    </row>
    <row r="456" ht="15.75" customHeight="1">
      <c r="A456" s="114"/>
      <c r="B456" s="114"/>
      <c r="C456" s="114"/>
      <c r="D456" s="114"/>
      <c r="E456" s="114"/>
      <c r="F456" s="114"/>
      <c r="G456" s="114"/>
      <c r="H456" s="114"/>
      <c r="I456" s="114"/>
      <c r="J456" s="114"/>
      <c r="K456" s="114"/>
      <c r="L456" s="114"/>
      <c r="M456" s="114"/>
      <c r="N456" s="114"/>
      <c r="O456" s="114"/>
      <c r="P456" s="114"/>
      <c r="Q456" s="114"/>
      <c r="R456" s="114"/>
      <c r="S456" s="114"/>
      <c r="T456" s="114"/>
      <c r="U456" s="114"/>
      <c r="V456" s="114"/>
      <c r="W456" s="114"/>
      <c r="X456" s="114"/>
      <c r="Y456" s="114"/>
      <c r="Z456" s="114"/>
      <c r="AA456" s="114"/>
      <c r="AB456" s="114"/>
      <c r="AC456" s="114"/>
      <c r="AD456" s="114"/>
      <c r="AE456" s="114"/>
      <c r="AF456" s="114"/>
      <c r="AG456" s="114"/>
      <c r="AH456" s="114"/>
      <c r="AI456" s="114"/>
      <c r="AJ456" s="114"/>
      <c r="AK456" s="114"/>
    </row>
    <row r="457" ht="15.75" customHeight="1">
      <c r="A457" s="114"/>
      <c r="B457" s="114"/>
      <c r="C457" s="114"/>
      <c r="D457" s="114"/>
      <c r="E457" s="114"/>
      <c r="F457" s="114"/>
      <c r="G457" s="114"/>
      <c r="H457" s="114"/>
      <c r="I457" s="114"/>
      <c r="J457" s="114"/>
      <c r="K457" s="114"/>
      <c r="L457" s="114"/>
      <c r="M457" s="114"/>
      <c r="N457" s="114"/>
      <c r="O457" s="114"/>
      <c r="P457" s="114"/>
      <c r="Q457" s="114"/>
      <c r="R457" s="114"/>
      <c r="S457" s="114"/>
      <c r="T457" s="114"/>
      <c r="U457" s="114"/>
      <c r="V457" s="114"/>
      <c r="W457" s="114"/>
      <c r="X457" s="114"/>
      <c r="Y457" s="114"/>
      <c r="Z457" s="114"/>
      <c r="AA457" s="114"/>
      <c r="AB457" s="114"/>
      <c r="AC457" s="114"/>
      <c r="AD457" s="114"/>
      <c r="AE457" s="114"/>
      <c r="AF457" s="114"/>
      <c r="AG457" s="114"/>
      <c r="AH457" s="114"/>
      <c r="AI457" s="114"/>
      <c r="AJ457" s="114"/>
      <c r="AK457" s="114"/>
    </row>
    <row r="458" ht="15.75" customHeight="1">
      <c r="A458" s="114"/>
      <c r="B458" s="114"/>
      <c r="C458" s="114"/>
      <c r="D458" s="114"/>
      <c r="E458" s="114"/>
      <c r="F458" s="114"/>
      <c r="G458" s="114"/>
      <c r="H458" s="114"/>
      <c r="I458" s="114"/>
      <c r="J458" s="114"/>
      <c r="K458" s="114"/>
      <c r="L458" s="114"/>
      <c r="M458" s="114"/>
      <c r="N458" s="114"/>
      <c r="O458" s="114"/>
      <c r="P458" s="114"/>
      <c r="Q458" s="114"/>
      <c r="R458" s="114"/>
      <c r="S458" s="114"/>
      <c r="T458" s="114"/>
      <c r="U458" s="114"/>
      <c r="V458" s="114"/>
      <c r="W458" s="114"/>
      <c r="X458" s="114"/>
      <c r="Y458" s="114"/>
      <c r="Z458" s="114"/>
      <c r="AA458" s="114"/>
      <c r="AB458" s="114"/>
      <c r="AC458" s="114"/>
      <c r="AD458" s="114"/>
      <c r="AE458" s="114"/>
      <c r="AF458" s="114"/>
      <c r="AG458" s="114"/>
      <c r="AH458" s="114"/>
      <c r="AI458" s="114"/>
      <c r="AJ458" s="114"/>
      <c r="AK458" s="114"/>
    </row>
    <row r="459" ht="15.75" customHeight="1">
      <c r="A459" s="114"/>
      <c r="B459" s="114"/>
      <c r="C459" s="114"/>
      <c r="D459" s="114"/>
      <c r="E459" s="114"/>
      <c r="F459" s="114"/>
      <c r="G459" s="114"/>
      <c r="H459" s="114"/>
      <c r="I459" s="114"/>
      <c r="J459" s="114"/>
      <c r="K459" s="114"/>
      <c r="L459" s="114"/>
      <c r="M459" s="114"/>
      <c r="N459" s="114"/>
      <c r="O459" s="114"/>
      <c r="P459" s="114"/>
      <c r="Q459" s="114"/>
      <c r="R459" s="114"/>
      <c r="S459" s="114"/>
      <c r="T459" s="114"/>
      <c r="U459" s="114"/>
      <c r="V459" s="114"/>
      <c r="W459" s="114"/>
      <c r="X459" s="114"/>
      <c r="Y459" s="114"/>
      <c r="Z459" s="114"/>
      <c r="AA459" s="114"/>
      <c r="AB459" s="114"/>
      <c r="AC459" s="114"/>
      <c r="AD459" s="114"/>
      <c r="AE459" s="114"/>
      <c r="AF459" s="114"/>
      <c r="AG459" s="114"/>
      <c r="AH459" s="114"/>
      <c r="AI459" s="114"/>
      <c r="AJ459" s="114"/>
      <c r="AK459" s="114"/>
    </row>
    <row r="460" ht="15.75" customHeight="1">
      <c r="A460" s="114"/>
      <c r="B460" s="114"/>
      <c r="C460" s="114"/>
      <c r="D460" s="114"/>
      <c r="E460" s="114"/>
      <c r="F460" s="114"/>
      <c r="G460" s="114"/>
      <c r="H460" s="114"/>
      <c r="I460" s="114"/>
      <c r="J460" s="114"/>
      <c r="K460" s="114"/>
      <c r="L460" s="114"/>
      <c r="M460" s="114"/>
      <c r="N460" s="114"/>
      <c r="O460" s="114"/>
      <c r="P460" s="114"/>
      <c r="Q460" s="114"/>
      <c r="R460" s="114"/>
      <c r="S460" s="114"/>
      <c r="T460" s="114"/>
      <c r="U460" s="114"/>
      <c r="V460" s="114"/>
      <c r="W460" s="114"/>
      <c r="X460" s="114"/>
      <c r="Y460" s="114"/>
      <c r="Z460" s="114"/>
      <c r="AA460" s="114"/>
      <c r="AB460" s="114"/>
      <c r="AC460" s="114"/>
      <c r="AD460" s="114"/>
      <c r="AE460" s="114"/>
      <c r="AF460" s="114"/>
      <c r="AG460" s="114"/>
      <c r="AH460" s="114"/>
      <c r="AI460" s="114"/>
      <c r="AJ460" s="114"/>
      <c r="AK460" s="114"/>
    </row>
    <row r="461" ht="15.75" customHeight="1">
      <c r="A461" s="114"/>
      <c r="B461" s="114"/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  <c r="AA461" s="114"/>
      <c r="AB461" s="114"/>
      <c r="AC461" s="114"/>
      <c r="AD461" s="114"/>
      <c r="AE461" s="114"/>
      <c r="AF461" s="114"/>
      <c r="AG461" s="114"/>
      <c r="AH461" s="114"/>
      <c r="AI461" s="114"/>
      <c r="AJ461" s="114"/>
      <c r="AK461" s="114"/>
    </row>
    <row r="462" ht="15.75" customHeight="1">
      <c r="A462" s="114"/>
      <c r="B462" s="114"/>
      <c r="C462" s="114"/>
      <c r="D462" s="114"/>
      <c r="E462" s="114"/>
      <c r="F462" s="114"/>
      <c r="G462" s="114"/>
      <c r="H462" s="114"/>
      <c r="I462" s="114"/>
      <c r="J462" s="114"/>
      <c r="K462" s="114"/>
      <c r="L462" s="114"/>
      <c r="M462" s="114"/>
      <c r="N462" s="114"/>
      <c r="O462" s="114"/>
      <c r="P462" s="114"/>
      <c r="Q462" s="114"/>
      <c r="R462" s="114"/>
      <c r="S462" s="114"/>
      <c r="T462" s="114"/>
      <c r="U462" s="114"/>
      <c r="V462" s="114"/>
      <c r="W462" s="114"/>
      <c r="X462" s="114"/>
      <c r="Y462" s="114"/>
      <c r="Z462" s="114"/>
      <c r="AA462" s="114"/>
      <c r="AB462" s="114"/>
      <c r="AC462" s="114"/>
      <c r="AD462" s="114"/>
      <c r="AE462" s="114"/>
      <c r="AF462" s="114"/>
      <c r="AG462" s="114"/>
      <c r="AH462" s="114"/>
      <c r="AI462" s="114"/>
      <c r="AJ462" s="114"/>
      <c r="AK462" s="114"/>
    </row>
    <row r="463" ht="15.75" customHeight="1">
      <c r="A463" s="114"/>
      <c r="B463" s="114"/>
      <c r="C463" s="114"/>
      <c r="D463" s="114"/>
      <c r="E463" s="114"/>
      <c r="F463" s="114"/>
      <c r="G463" s="114"/>
      <c r="H463" s="114"/>
      <c r="I463" s="114"/>
      <c r="J463" s="114"/>
      <c r="K463" s="114"/>
      <c r="L463" s="114"/>
      <c r="M463" s="114"/>
      <c r="N463" s="114"/>
      <c r="O463" s="114"/>
      <c r="P463" s="114"/>
      <c r="Q463" s="114"/>
      <c r="R463" s="114"/>
      <c r="S463" s="114"/>
      <c r="T463" s="114"/>
      <c r="U463" s="114"/>
      <c r="V463" s="114"/>
      <c r="W463" s="114"/>
      <c r="X463" s="114"/>
      <c r="Y463" s="114"/>
      <c r="Z463" s="114"/>
      <c r="AA463" s="114"/>
      <c r="AB463" s="114"/>
      <c r="AC463" s="114"/>
      <c r="AD463" s="114"/>
      <c r="AE463" s="114"/>
      <c r="AF463" s="114"/>
      <c r="AG463" s="114"/>
      <c r="AH463" s="114"/>
      <c r="AI463" s="114"/>
      <c r="AJ463" s="114"/>
      <c r="AK463" s="114"/>
    </row>
    <row r="464" ht="15.75" customHeight="1">
      <c r="A464" s="114"/>
      <c r="B464" s="114"/>
      <c r="C464" s="114"/>
      <c r="D464" s="114"/>
      <c r="E464" s="114"/>
      <c r="F464" s="114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  <c r="AA464" s="114"/>
      <c r="AB464" s="114"/>
      <c r="AC464" s="114"/>
      <c r="AD464" s="114"/>
      <c r="AE464" s="114"/>
      <c r="AF464" s="114"/>
      <c r="AG464" s="114"/>
      <c r="AH464" s="114"/>
      <c r="AI464" s="114"/>
      <c r="AJ464" s="114"/>
      <c r="AK464" s="114"/>
    </row>
    <row r="465" ht="15.75" customHeight="1">
      <c r="A465" s="114"/>
      <c r="B465" s="114"/>
      <c r="C465" s="114"/>
      <c r="D465" s="114"/>
      <c r="E465" s="114"/>
      <c r="F465" s="114"/>
      <c r="G465" s="114"/>
      <c r="H465" s="114"/>
      <c r="I465" s="114"/>
      <c r="J465" s="114"/>
      <c r="K465" s="114"/>
      <c r="L465" s="114"/>
      <c r="M465" s="114"/>
      <c r="N465" s="114"/>
      <c r="O465" s="114"/>
      <c r="P465" s="114"/>
      <c r="Q465" s="114"/>
      <c r="R465" s="114"/>
      <c r="S465" s="114"/>
      <c r="T465" s="114"/>
      <c r="U465" s="114"/>
      <c r="V465" s="114"/>
      <c r="W465" s="114"/>
      <c r="X465" s="114"/>
      <c r="Y465" s="114"/>
      <c r="Z465" s="114"/>
      <c r="AA465" s="114"/>
      <c r="AB465" s="114"/>
      <c r="AC465" s="114"/>
      <c r="AD465" s="114"/>
      <c r="AE465" s="114"/>
      <c r="AF465" s="114"/>
      <c r="AG465" s="114"/>
      <c r="AH465" s="114"/>
      <c r="AI465" s="114"/>
      <c r="AJ465" s="114"/>
      <c r="AK465" s="114"/>
    </row>
    <row r="466" ht="15.75" customHeight="1">
      <c r="A466" s="114"/>
      <c r="B466" s="114"/>
      <c r="C466" s="114"/>
      <c r="D466" s="114"/>
      <c r="E466" s="114"/>
      <c r="F466" s="114"/>
      <c r="G466" s="114"/>
      <c r="H466" s="114"/>
      <c r="I466" s="114"/>
      <c r="J466" s="114"/>
      <c r="K466" s="114"/>
      <c r="L466" s="114"/>
      <c r="M466" s="114"/>
      <c r="N466" s="114"/>
      <c r="O466" s="114"/>
      <c r="P466" s="114"/>
      <c r="Q466" s="114"/>
      <c r="R466" s="114"/>
      <c r="S466" s="114"/>
      <c r="T466" s="114"/>
      <c r="U466" s="114"/>
      <c r="V466" s="114"/>
      <c r="W466" s="114"/>
      <c r="X466" s="114"/>
      <c r="Y466" s="114"/>
      <c r="Z466" s="114"/>
      <c r="AA466" s="114"/>
      <c r="AB466" s="114"/>
      <c r="AC466" s="114"/>
      <c r="AD466" s="114"/>
      <c r="AE466" s="114"/>
      <c r="AF466" s="114"/>
      <c r="AG466" s="114"/>
      <c r="AH466" s="114"/>
      <c r="AI466" s="114"/>
      <c r="AJ466" s="114"/>
      <c r="AK466" s="114"/>
    </row>
    <row r="467" ht="15.75" customHeight="1">
      <c r="A467" s="114"/>
      <c r="B467" s="114"/>
      <c r="C467" s="114"/>
      <c r="D467" s="114"/>
      <c r="E467" s="114"/>
      <c r="F467" s="114"/>
      <c r="G467" s="114"/>
      <c r="H467" s="114"/>
      <c r="I467" s="114"/>
      <c r="J467" s="114"/>
      <c r="K467" s="114"/>
      <c r="L467" s="114"/>
      <c r="M467" s="114"/>
      <c r="N467" s="114"/>
      <c r="O467" s="114"/>
      <c r="P467" s="114"/>
      <c r="Q467" s="114"/>
      <c r="R467" s="114"/>
      <c r="S467" s="114"/>
      <c r="T467" s="114"/>
      <c r="U467" s="114"/>
      <c r="V467" s="114"/>
      <c r="W467" s="114"/>
      <c r="X467" s="114"/>
      <c r="Y467" s="114"/>
      <c r="Z467" s="114"/>
      <c r="AA467" s="114"/>
      <c r="AB467" s="114"/>
      <c r="AC467" s="114"/>
      <c r="AD467" s="114"/>
      <c r="AE467" s="114"/>
      <c r="AF467" s="114"/>
      <c r="AG467" s="114"/>
      <c r="AH467" s="114"/>
      <c r="AI467" s="114"/>
      <c r="AJ467" s="114"/>
      <c r="AK467" s="114"/>
    </row>
    <row r="468" ht="15.75" customHeight="1">
      <c r="A468" s="114"/>
      <c r="B468" s="114"/>
      <c r="C468" s="114"/>
      <c r="D468" s="114"/>
      <c r="E468" s="114"/>
      <c r="F468" s="114"/>
      <c r="G468" s="114"/>
      <c r="H468" s="114"/>
      <c r="I468" s="114"/>
      <c r="J468" s="114"/>
      <c r="K468" s="114"/>
      <c r="L468" s="114"/>
      <c r="M468" s="114"/>
      <c r="N468" s="114"/>
      <c r="O468" s="114"/>
      <c r="P468" s="114"/>
      <c r="Q468" s="114"/>
      <c r="R468" s="114"/>
      <c r="S468" s="114"/>
      <c r="T468" s="114"/>
      <c r="U468" s="114"/>
      <c r="V468" s="114"/>
      <c r="W468" s="114"/>
      <c r="X468" s="114"/>
      <c r="Y468" s="114"/>
      <c r="Z468" s="114"/>
      <c r="AA468" s="114"/>
      <c r="AB468" s="114"/>
      <c r="AC468" s="114"/>
      <c r="AD468" s="114"/>
      <c r="AE468" s="114"/>
      <c r="AF468" s="114"/>
      <c r="AG468" s="114"/>
      <c r="AH468" s="114"/>
      <c r="AI468" s="114"/>
      <c r="AJ468" s="114"/>
      <c r="AK468" s="114"/>
    </row>
    <row r="469" ht="15.75" customHeight="1">
      <c r="A469" s="114"/>
      <c r="B469" s="114"/>
      <c r="C469" s="114"/>
      <c r="D469" s="114"/>
      <c r="E469" s="114"/>
      <c r="F469" s="114"/>
      <c r="G469" s="114"/>
      <c r="H469" s="114"/>
      <c r="I469" s="114"/>
      <c r="J469" s="114"/>
      <c r="K469" s="114"/>
      <c r="L469" s="114"/>
      <c r="M469" s="114"/>
      <c r="N469" s="114"/>
      <c r="O469" s="114"/>
      <c r="P469" s="114"/>
      <c r="Q469" s="114"/>
      <c r="R469" s="114"/>
      <c r="S469" s="114"/>
      <c r="T469" s="114"/>
      <c r="U469" s="114"/>
      <c r="V469" s="114"/>
      <c r="W469" s="114"/>
      <c r="X469" s="114"/>
      <c r="Y469" s="114"/>
      <c r="Z469" s="114"/>
      <c r="AA469" s="114"/>
      <c r="AB469" s="114"/>
      <c r="AC469" s="114"/>
      <c r="AD469" s="114"/>
      <c r="AE469" s="114"/>
      <c r="AF469" s="114"/>
      <c r="AG469" s="114"/>
      <c r="AH469" s="114"/>
      <c r="AI469" s="114"/>
      <c r="AJ469" s="114"/>
      <c r="AK469" s="114"/>
    </row>
    <row r="470" ht="15.75" customHeight="1">
      <c r="A470" s="114"/>
      <c r="B470" s="114"/>
      <c r="C470" s="114"/>
      <c r="D470" s="114"/>
      <c r="E470" s="114"/>
      <c r="F470" s="114"/>
      <c r="G470" s="114"/>
      <c r="H470" s="114"/>
      <c r="I470" s="114"/>
      <c r="J470" s="114"/>
      <c r="K470" s="114"/>
      <c r="L470" s="114"/>
      <c r="M470" s="114"/>
      <c r="N470" s="114"/>
      <c r="O470" s="114"/>
      <c r="P470" s="114"/>
      <c r="Q470" s="114"/>
      <c r="R470" s="114"/>
      <c r="S470" s="114"/>
      <c r="T470" s="114"/>
      <c r="U470" s="114"/>
      <c r="V470" s="114"/>
      <c r="W470" s="114"/>
      <c r="X470" s="114"/>
      <c r="Y470" s="114"/>
      <c r="Z470" s="114"/>
      <c r="AA470" s="114"/>
      <c r="AB470" s="114"/>
      <c r="AC470" s="114"/>
      <c r="AD470" s="114"/>
      <c r="AE470" s="114"/>
      <c r="AF470" s="114"/>
      <c r="AG470" s="114"/>
      <c r="AH470" s="114"/>
      <c r="AI470" s="114"/>
      <c r="AJ470" s="114"/>
      <c r="AK470" s="114"/>
    </row>
    <row r="471" ht="15.75" customHeight="1">
      <c r="A471" s="114"/>
      <c r="B471" s="114"/>
      <c r="C471" s="114"/>
      <c r="D471" s="114"/>
      <c r="E471" s="114"/>
      <c r="F471" s="114"/>
      <c r="G471" s="114"/>
      <c r="H471" s="114"/>
      <c r="I471" s="114"/>
      <c r="J471" s="114"/>
      <c r="K471" s="114"/>
      <c r="L471" s="114"/>
      <c r="M471" s="114"/>
      <c r="N471" s="114"/>
      <c r="O471" s="114"/>
      <c r="P471" s="114"/>
      <c r="Q471" s="114"/>
      <c r="R471" s="114"/>
      <c r="S471" s="114"/>
      <c r="T471" s="114"/>
      <c r="U471" s="114"/>
      <c r="V471" s="114"/>
      <c r="W471" s="114"/>
      <c r="X471" s="114"/>
      <c r="Y471" s="114"/>
      <c r="Z471" s="114"/>
      <c r="AA471" s="114"/>
      <c r="AB471" s="114"/>
      <c r="AC471" s="114"/>
      <c r="AD471" s="114"/>
      <c r="AE471" s="114"/>
      <c r="AF471" s="114"/>
      <c r="AG471" s="114"/>
      <c r="AH471" s="114"/>
      <c r="AI471" s="114"/>
      <c r="AJ471" s="114"/>
      <c r="AK471" s="114"/>
    </row>
    <row r="472" ht="15.75" customHeight="1">
      <c r="A472" s="114"/>
      <c r="B472" s="114"/>
      <c r="C472" s="114"/>
      <c r="D472" s="114"/>
      <c r="E472" s="114"/>
      <c r="F472" s="114"/>
      <c r="G472" s="114"/>
      <c r="H472" s="114"/>
      <c r="I472" s="114"/>
      <c r="J472" s="114"/>
      <c r="K472" s="114"/>
      <c r="L472" s="114"/>
      <c r="M472" s="114"/>
      <c r="N472" s="114"/>
      <c r="O472" s="114"/>
      <c r="P472" s="114"/>
      <c r="Q472" s="114"/>
      <c r="R472" s="114"/>
      <c r="S472" s="114"/>
      <c r="T472" s="114"/>
      <c r="U472" s="114"/>
      <c r="V472" s="114"/>
      <c r="W472" s="114"/>
      <c r="X472" s="114"/>
      <c r="Y472" s="114"/>
      <c r="Z472" s="114"/>
      <c r="AA472" s="114"/>
      <c r="AB472" s="114"/>
      <c r="AC472" s="114"/>
      <c r="AD472" s="114"/>
      <c r="AE472" s="114"/>
      <c r="AF472" s="114"/>
      <c r="AG472" s="114"/>
      <c r="AH472" s="114"/>
      <c r="AI472" s="114"/>
      <c r="AJ472" s="114"/>
      <c r="AK472" s="114"/>
    </row>
    <row r="473" ht="15.75" customHeight="1">
      <c r="A473" s="114"/>
      <c r="B473" s="114"/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/>
      <c r="AH473" s="114"/>
      <c r="AI473" s="114"/>
      <c r="AJ473" s="114"/>
      <c r="AK473" s="114"/>
    </row>
    <row r="474" ht="15.75" customHeight="1">
      <c r="A474" s="114"/>
      <c r="B474" s="114"/>
      <c r="C474" s="114"/>
      <c r="D474" s="114"/>
      <c r="E474" s="114"/>
      <c r="F474" s="114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  <c r="AA474" s="114"/>
      <c r="AB474" s="114"/>
      <c r="AC474" s="114"/>
      <c r="AD474" s="114"/>
      <c r="AE474" s="114"/>
      <c r="AF474" s="114"/>
      <c r="AG474" s="114"/>
      <c r="AH474" s="114"/>
      <c r="AI474" s="114"/>
      <c r="AJ474" s="114"/>
      <c r="AK474" s="114"/>
    </row>
    <row r="475" ht="15.75" customHeight="1">
      <c r="A475" s="114"/>
      <c r="B475" s="114"/>
      <c r="C475" s="114"/>
      <c r="D475" s="114"/>
      <c r="E475" s="114"/>
      <c r="F475" s="114"/>
      <c r="G475" s="114"/>
      <c r="H475" s="114"/>
      <c r="I475" s="114"/>
      <c r="J475" s="114"/>
      <c r="K475" s="114"/>
      <c r="L475" s="114"/>
      <c r="M475" s="114"/>
      <c r="N475" s="114"/>
      <c r="O475" s="114"/>
      <c r="P475" s="114"/>
      <c r="Q475" s="114"/>
      <c r="R475" s="114"/>
      <c r="S475" s="114"/>
      <c r="T475" s="114"/>
      <c r="U475" s="114"/>
      <c r="V475" s="114"/>
      <c r="W475" s="114"/>
      <c r="X475" s="114"/>
      <c r="Y475" s="114"/>
      <c r="Z475" s="114"/>
      <c r="AA475" s="114"/>
      <c r="AB475" s="114"/>
      <c r="AC475" s="114"/>
      <c r="AD475" s="114"/>
      <c r="AE475" s="114"/>
      <c r="AF475" s="114"/>
      <c r="AG475" s="114"/>
      <c r="AH475" s="114"/>
      <c r="AI475" s="114"/>
      <c r="AJ475" s="114"/>
      <c r="AK475" s="114"/>
    </row>
    <row r="476" ht="15.75" customHeight="1">
      <c r="A476" s="114"/>
      <c r="B476" s="114"/>
      <c r="C476" s="114"/>
      <c r="D476" s="114"/>
      <c r="E476" s="114"/>
      <c r="F476" s="114"/>
      <c r="G476" s="114"/>
      <c r="H476" s="114"/>
      <c r="I476" s="114"/>
      <c r="J476" s="114"/>
      <c r="K476" s="114"/>
      <c r="L476" s="114"/>
      <c r="M476" s="114"/>
      <c r="N476" s="114"/>
      <c r="O476" s="114"/>
      <c r="P476" s="114"/>
      <c r="Q476" s="114"/>
      <c r="R476" s="114"/>
      <c r="S476" s="114"/>
      <c r="T476" s="114"/>
      <c r="U476" s="114"/>
      <c r="V476" s="114"/>
      <c r="W476" s="114"/>
      <c r="X476" s="114"/>
      <c r="Y476" s="114"/>
      <c r="Z476" s="114"/>
      <c r="AA476" s="114"/>
      <c r="AB476" s="114"/>
      <c r="AC476" s="114"/>
      <c r="AD476" s="114"/>
      <c r="AE476" s="114"/>
      <c r="AF476" s="114"/>
      <c r="AG476" s="114"/>
      <c r="AH476" s="114"/>
      <c r="AI476" s="114"/>
      <c r="AJ476" s="114"/>
      <c r="AK476" s="114"/>
    </row>
    <row r="477" ht="15.75" customHeight="1">
      <c r="A477" s="114"/>
      <c r="B477" s="114"/>
      <c r="C477" s="114"/>
      <c r="D477" s="114"/>
      <c r="E477" s="114"/>
      <c r="F477" s="114"/>
      <c r="G477" s="114"/>
      <c r="H477" s="114"/>
      <c r="I477" s="114"/>
      <c r="J477" s="114"/>
      <c r="K477" s="114"/>
      <c r="L477" s="114"/>
      <c r="M477" s="114"/>
      <c r="N477" s="114"/>
      <c r="O477" s="114"/>
      <c r="P477" s="114"/>
      <c r="Q477" s="114"/>
      <c r="R477" s="114"/>
      <c r="S477" s="114"/>
      <c r="T477" s="114"/>
      <c r="U477" s="114"/>
      <c r="V477" s="114"/>
      <c r="W477" s="114"/>
      <c r="X477" s="114"/>
      <c r="Y477" s="114"/>
      <c r="Z477" s="114"/>
      <c r="AA477" s="114"/>
      <c r="AB477" s="114"/>
      <c r="AC477" s="114"/>
      <c r="AD477" s="114"/>
      <c r="AE477" s="114"/>
      <c r="AF477" s="114"/>
      <c r="AG477" s="114"/>
      <c r="AH477" s="114"/>
      <c r="AI477" s="114"/>
      <c r="AJ477" s="114"/>
      <c r="AK477" s="114"/>
    </row>
    <row r="478" ht="15.75" customHeight="1">
      <c r="A478" s="114"/>
      <c r="B478" s="114"/>
      <c r="C478" s="114"/>
      <c r="D478" s="114"/>
      <c r="E478" s="114"/>
      <c r="F478" s="114"/>
      <c r="G478" s="114"/>
      <c r="H478" s="114"/>
      <c r="I478" s="114"/>
      <c r="J478" s="114"/>
      <c r="K478" s="114"/>
      <c r="L478" s="114"/>
      <c r="M478" s="114"/>
      <c r="N478" s="114"/>
      <c r="O478" s="114"/>
      <c r="P478" s="114"/>
      <c r="Q478" s="114"/>
      <c r="R478" s="114"/>
      <c r="S478" s="114"/>
      <c r="T478" s="114"/>
      <c r="U478" s="114"/>
      <c r="V478" s="114"/>
      <c r="W478" s="114"/>
      <c r="X478" s="114"/>
      <c r="Y478" s="114"/>
      <c r="Z478" s="114"/>
      <c r="AA478" s="114"/>
      <c r="AB478" s="114"/>
      <c r="AC478" s="114"/>
      <c r="AD478" s="114"/>
      <c r="AE478" s="114"/>
      <c r="AF478" s="114"/>
      <c r="AG478" s="114"/>
      <c r="AH478" s="114"/>
      <c r="AI478" s="114"/>
      <c r="AJ478" s="114"/>
      <c r="AK478" s="114"/>
    </row>
    <row r="479" ht="15.75" customHeight="1">
      <c r="A479" s="114"/>
      <c r="B479" s="114"/>
      <c r="C479" s="114"/>
      <c r="D479" s="114"/>
      <c r="E479" s="114"/>
      <c r="F479" s="114"/>
      <c r="G479" s="114"/>
      <c r="H479" s="114"/>
      <c r="I479" s="114"/>
      <c r="J479" s="114"/>
      <c r="K479" s="114"/>
      <c r="L479" s="114"/>
      <c r="M479" s="114"/>
      <c r="N479" s="114"/>
      <c r="O479" s="114"/>
      <c r="P479" s="114"/>
      <c r="Q479" s="114"/>
      <c r="R479" s="114"/>
      <c r="S479" s="114"/>
      <c r="T479" s="114"/>
      <c r="U479" s="114"/>
      <c r="V479" s="114"/>
      <c r="W479" s="114"/>
      <c r="X479" s="114"/>
      <c r="Y479" s="114"/>
      <c r="Z479" s="114"/>
      <c r="AA479" s="114"/>
      <c r="AB479" s="114"/>
      <c r="AC479" s="114"/>
      <c r="AD479" s="114"/>
      <c r="AE479" s="114"/>
      <c r="AF479" s="114"/>
      <c r="AG479" s="114"/>
      <c r="AH479" s="114"/>
      <c r="AI479" s="114"/>
      <c r="AJ479" s="114"/>
      <c r="AK479" s="114"/>
    </row>
    <row r="480" ht="15.75" customHeight="1">
      <c r="A480" s="114"/>
      <c r="B480" s="114"/>
      <c r="C480" s="114"/>
      <c r="D480" s="114"/>
      <c r="E480" s="114"/>
      <c r="F480" s="114"/>
      <c r="G480" s="114"/>
      <c r="H480" s="114"/>
      <c r="I480" s="114"/>
      <c r="J480" s="114"/>
      <c r="K480" s="114"/>
      <c r="L480" s="114"/>
      <c r="M480" s="114"/>
      <c r="N480" s="114"/>
      <c r="O480" s="114"/>
      <c r="P480" s="114"/>
      <c r="Q480" s="114"/>
      <c r="R480" s="114"/>
      <c r="S480" s="114"/>
      <c r="T480" s="114"/>
      <c r="U480" s="114"/>
      <c r="V480" s="114"/>
      <c r="W480" s="114"/>
      <c r="X480" s="114"/>
      <c r="Y480" s="114"/>
      <c r="Z480" s="114"/>
      <c r="AA480" s="114"/>
      <c r="AB480" s="114"/>
      <c r="AC480" s="114"/>
      <c r="AD480" s="114"/>
      <c r="AE480" s="114"/>
      <c r="AF480" s="114"/>
      <c r="AG480" s="114"/>
      <c r="AH480" s="114"/>
      <c r="AI480" s="114"/>
      <c r="AJ480" s="114"/>
      <c r="AK480" s="114"/>
    </row>
    <row r="481" ht="15.75" customHeight="1">
      <c r="A481" s="114"/>
      <c r="B481" s="114"/>
      <c r="C481" s="114"/>
      <c r="D481" s="114"/>
      <c r="E481" s="114"/>
      <c r="F481" s="114"/>
      <c r="G481" s="114"/>
      <c r="H481" s="114"/>
      <c r="I481" s="114"/>
      <c r="J481" s="114"/>
      <c r="K481" s="114"/>
      <c r="L481" s="114"/>
      <c r="M481" s="114"/>
      <c r="N481" s="114"/>
      <c r="O481" s="114"/>
      <c r="P481" s="114"/>
      <c r="Q481" s="114"/>
      <c r="R481" s="114"/>
      <c r="S481" s="114"/>
      <c r="T481" s="114"/>
      <c r="U481" s="114"/>
      <c r="V481" s="114"/>
      <c r="W481" s="114"/>
      <c r="X481" s="114"/>
      <c r="Y481" s="114"/>
      <c r="Z481" s="114"/>
      <c r="AA481" s="114"/>
      <c r="AB481" s="114"/>
      <c r="AC481" s="114"/>
      <c r="AD481" s="114"/>
      <c r="AE481" s="114"/>
      <c r="AF481" s="114"/>
      <c r="AG481" s="114"/>
      <c r="AH481" s="114"/>
      <c r="AI481" s="114"/>
      <c r="AJ481" s="114"/>
      <c r="AK481" s="114"/>
    </row>
    <row r="482" ht="15.75" customHeight="1">
      <c r="A482" s="114"/>
      <c r="B482" s="114"/>
      <c r="C482" s="114"/>
      <c r="D482" s="114"/>
      <c r="E482" s="114"/>
      <c r="F482" s="114"/>
      <c r="G482" s="114"/>
      <c r="H482" s="114"/>
      <c r="I482" s="114"/>
      <c r="J482" s="114"/>
      <c r="K482" s="114"/>
      <c r="L482" s="114"/>
      <c r="M482" s="114"/>
      <c r="N482" s="114"/>
      <c r="O482" s="114"/>
      <c r="P482" s="114"/>
      <c r="Q482" s="114"/>
      <c r="R482" s="114"/>
      <c r="S482" s="114"/>
      <c r="T482" s="114"/>
      <c r="U482" s="114"/>
      <c r="V482" s="114"/>
      <c r="W482" s="114"/>
      <c r="X482" s="114"/>
      <c r="Y482" s="114"/>
      <c r="Z482" s="114"/>
      <c r="AA482" s="114"/>
      <c r="AB482" s="114"/>
      <c r="AC482" s="114"/>
      <c r="AD482" s="114"/>
      <c r="AE482" s="114"/>
      <c r="AF482" s="114"/>
      <c r="AG482" s="114"/>
      <c r="AH482" s="114"/>
      <c r="AI482" s="114"/>
      <c r="AJ482" s="114"/>
      <c r="AK482" s="114"/>
    </row>
    <row r="483" ht="15.75" customHeight="1">
      <c r="A483" s="114"/>
      <c r="B483" s="114"/>
      <c r="C483" s="114"/>
      <c r="D483" s="114"/>
      <c r="E483" s="114"/>
      <c r="F483" s="114"/>
      <c r="G483" s="114"/>
      <c r="H483" s="114"/>
      <c r="I483" s="114"/>
      <c r="J483" s="114"/>
      <c r="K483" s="114"/>
      <c r="L483" s="114"/>
      <c r="M483" s="114"/>
      <c r="N483" s="114"/>
      <c r="O483" s="114"/>
      <c r="P483" s="114"/>
      <c r="Q483" s="114"/>
      <c r="R483" s="114"/>
      <c r="S483" s="114"/>
      <c r="T483" s="114"/>
      <c r="U483" s="114"/>
      <c r="V483" s="114"/>
      <c r="W483" s="114"/>
      <c r="X483" s="114"/>
      <c r="Y483" s="114"/>
      <c r="Z483" s="114"/>
      <c r="AA483" s="114"/>
      <c r="AB483" s="114"/>
      <c r="AC483" s="114"/>
      <c r="AD483" s="114"/>
      <c r="AE483" s="114"/>
      <c r="AF483" s="114"/>
      <c r="AG483" s="114"/>
      <c r="AH483" s="114"/>
      <c r="AI483" s="114"/>
      <c r="AJ483" s="114"/>
      <c r="AK483" s="114"/>
    </row>
    <row r="484" ht="15.75" customHeight="1">
      <c r="A484" s="114"/>
      <c r="B484" s="114"/>
      <c r="C484" s="114"/>
      <c r="D484" s="114"/>
      <c r="E484" s="114"/>
      <c r="F484" s="114"/>
      <c r="G484" s="114"/>
      <c r="H484" s="114"/>
      <c r="I484" s="114"/>
      <c r="J484" s="114"/>
      <c r="K484" s="114"/>
      <c r="L484" s="114"/>
      <c r="M484" s="114"/>
      <c r="N484" s="114"/>
      <c r="O484" s="114"/>
      <c r="P484" s="114"/>
      <c r="Q484" s="114"/>
      <c r="R484" s="114"/>
      <c r="S484" s="114"/>
      <c r="T484" s="114"/>
      <c r="U484" s="114"/>
      <c r="V484" s="114"/>
      <c r="W484" s="114"/>
      <c r="X484" s="114"/>
      <c r="Y484" s="114"/>
      <c r="Z484" s="114"/>
      <c r="AA484" s="114"/>
      <c r="AB484" s="114"/>
      <c r="AC484" s="114"/>
      <c r="AD484" s="114"/>
      <c r="AE484" s="114"/>
      <c r="AF484" s="114"/>
      <c r="AG484" s="114"/>
      <c r="AH484" s="114"/>
      <c r="AI484" s="114"/>
      <c r="AJ484" s="114"/>
      <c r="AK484" s="114"/>
    </row>
    <row r="485" ht="15.75" customHeight="1">
      <c r="A485" s="114"/>
      <c r="B485" s="114"/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  <c r="AA485" s="114"/>
      <c r="AB485" s="114"/>
      <c r="AC485" s="114"/>
      <c r="AD485" s="114"/>
      <c r="AE485" s="114"/>
      <c r="AF485" s="114"/>
      <c r="AG485" s="114"/>
      <c r="AH485" s="114"/>
      <c r="AI485" s="114"/>
      <c r="AJ485" s="114"/>
      <c r="AK485" s="114"/>
    </row>
    <row r="486" ht="15.75" customHeight="1">
      <c r="A486" s="114"/>
      <c r="B486" s="114"/>
      <c r="C486" s="114"/>
      <c r="D486" s="114"/>
      <c r="E486" s="114"/>
      <c r="F486" s="114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  <c r="AA486" s="114"/>
      <c r="AB486" s="114"/>
      <c r="AC486" s="114"/>
      <c r="AD486" s="114"/>
      <c r="AE486" s="114"/>
      <c r="AF486" s="114"/>
      <c r="AG486" s="114"/>
      <c r="AH486" s="114"/>
      <c r="AI486" s="114"/>
      <c r="AJ486" s="114"/>
      <c r="AK486" s="114"/>
    </row>
    <row r="487" ht="15.75" customHeight="1">
      <c r="A487" s="114"/>
      <c r="B487" s="114"/>
      <c r="C487" s="114"/>
      <c r="D487" s="114"/>
      <c r="E487" s="114"/>
      <c r="F487" s="114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  <c r="AA487" s="114"/>
      <c r="AB487" s="114"/>
      <c r="AC487" s="114"/>
      <c r="AD487" s="114"/>
      <c r="AE487" s="114"/>
      <c r="AF487" s="114"/>
      <c r="AG487" s="114"/>
      <c r="AH487" s="114"/>
      <c r="AI487" s="114"/>
      <c r="AJ487" s="114"/>
      <c r="AK487" s="114"/>
    </row>
    <row r="488" ht="15.75" customHeight="1">
      <c r="A488" s="114"/>
      <c r="B488" s="114"/>
      <c r="C488" s="114"/>
      <c r="D488" s="114"/>
      <c r="E488" s="114"/>
      <c r="F488" s="114"/>
      <c r="G488" s="114"/>
      <c r="H488" s="114"/>
      <c r="I488" s="114"/>
      <c r="J488" s="114"/>
      <c r="K488" s="114"/>
      <c r="L488" s="114"/>
      <c r="M488" s="114"/>
      <c r="N488" s="114"/>
      <c r="O488" s="114"/>
      <c r="P488" s="114"/>
      <c r="Q488" s="114"/>
      <c r="R488" s="114"/>
      <c r="S488" s="114"/>
      <c r="T488" s="114"/>
      <c r="U488" s="114"/>
      <c r="V488" s="114"/>
      <c r="W488" s="114"/>
      <c r="X488" s="114"/>
      <c r="Y488" s="114"/>
      <c r="Z488" s="114"/>
      <c r="AA488" s="114"/>
      <c r="AB488" s="114"/>
      <c r="AC488" s="114"/>
      <c r="AD488" s="114"/>
      <c r="AE488" s="114"/>
      <c r="AF488" s="114"/>
      <c r="AG488" s="114"/>
      <c r="AH488" s="114"/>
      <c r="AI488" s="114"/>
      <c r="AJ488" s="114"/>
      <c r="AK488" s="114"/>
    </row>
    <row r="489" ht="15.75" customHeight="1">
      <c r="A489" s="114"/>
      <c r="B489" s="114"/>
      <c r="C489" s="114"/>
      <c r="D489" s="114"/>
      <c r="E489" s="114"/>
      <c r="F489" s="114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  <c r="AA489" s="114"/>
      <c r="AB489" s="114"/>
      <c r="AC489" s="114"/>
      <c r="AD489" s="114"/>
      <c r="AE489" s="114"/>
      <c r="AF489" s="114"/>
      <c r="AG489" s="114"/>
      <c r="AH489" s="114"/>
      <c r="AI489" s="114"/>
      <c r="AJ489" s="114"/>
      <c r="AK489" s="114"/>
    </row>
    <row r="490" ht="15.75" customHeight="1">
      <c r="A490" s="114"/>
      <c r="B490" s="114"/>
      <c r="C490" s="114"/>
      <c r="D490" s="114"/>
      <c r="E490" s="114"/>
      <c r="F490" s="114"/>
      <c r="G490" s="114"/>
      <c r="H490" s="114"/>
      <c r="I490" s="114"/>
      <c r="J490" s="114"/>
      <c r="K490" s="114"/>
      <c r="L490" s="114"/>
      <c r="M490" s="114"/>
      <c r="N490" s="114"/>
      <c r="O490" s="114"/>
      <c r="P490" s="114"/>
      <c r="Q490" s="114"/>
      <c r="R490" s="114"/>
      <c r="S490" s="114"/>
      <c r="T490" s="114"/>
      <c r="U490" s="114"/>
      <c r="V490" s="114"/>
      <c r="W490" s="114"/>
      <c r="X490" s="114"/>
      <c r="Y490" s="114"/>
      <c r="Z490" s="114"/>
      <c r="AA490" s="114"/>
      <c r="AB490" s="114"/>
      <c r="AC490" s="114"/>
      <c r="AD490" s="114"/>
      <c r="AE490" s="114"/>
      <c r="AF490" s="114"/>
      <c r="AG490" s="114"/>
      <c r="AH490" s="114"/>
      <c r="AI490" s="114"/>
      <c r="AJ490" s="114"/>
      <c r="AK490" s="114"/>
    </row>
    <row r="491" ht="15.75" customHeight="1">
      <c r="A491" s="114"/>
      <c r="B491" s="114"/>
      <c r="C491" s="114"/>
      <c r="D491" s="114"/>
      <c r="E491" s="114"/>
      <c r="F491" s="114"/>
      <c r="G491" s="114"/>
      <c r="H491" s="114"/>
      <c r="I491" s="114"/>
      <c r="J491" s="114"/>
      <c r="K491" s="114"/>
      <c r="L491" s="114"/>
      <c r="M491" s="114"/>
      <c r="N491" s="114"/>
      <c r="O491" s="114"/>
      <c r="P491" s="114"/>
      <c r="Q491" s="114"/>
      <c r="R491" s="114"/>
      <c r="S491" s="114"/>
      <c r="T491" s="114"/>
      <c r="U491" s="114"/>
      <c r="V491" s="114"/>
      <c r="W491" s="114"/>
      <c r="X491" s="114"/>
      <c r="Y491" s="114"/>
      <c r="Z491" s="114"/>
      <c r="AA491" s="114"/>
      <c r="AB491" s="114"/>
      <c r="AC491" s="114"/>
      <c r="AD491" s="114"/>
      <c r="AE491" s="114"/>
      <c r="AF491" s="114"/>
      <c r="AG491" s="114"/>
      <c r="AH491" s="114"/>
      <c r="AI491" s="114"/>
      <c r="AJ491" s="114"/>
      <c r="AK491" s="114"/>
    </row>
    <row r="492" ht="15.75" customHeight="1">
      <c r="A492" s="114"/>
      <c r="B492" s="114"/>
      <c r="C492" s="114"/>
      <c r="D492" s="114"/>
      <c r="E492" s="114"/>
      <c r="F492" s="114"/>
      <c r="G492" s="114"/>
      <c r="H492" s="114"/>
      <c r="I492" s="114"/>
      <c r="J492" s="114"/>
      <c r="K492" s="114"/>
      <c r="L492" s="114"/>
      <c r="M492" s="114"/>
      <c r="N492" s="114"/>
      <c r="O492" s="114"/>
      <c r="P492" s="114"/>
      <c r="Q492" s="114"/>
      <c r="R492" s="114"/>
      <c r="S492" s="114"/>
      <c r="T492" s="114"/>
      <c r="U492" s="114"/>
      <c r="V492" s="114"/>
      <c r="W492" s="114"/>
      <c r="X492" s="114"/>
      <c r="Y492" s="114"/>
      <c r="Z492" s="114"/>
      <c r="AA492" s="114"/>
      <c r="AB492" s="114"/>
      <c r="AC492" s="114"/>
      <c r="AD492" s="114"/>
      <c r="AE492" s="114"/>
      <c r="AF492" s="114"/>
      <c r="AG492" s="114"/>
      <c r="AH492" s="114"/>
      <c r="AI492" s="114"/>
      <c r="AJ492" s="114"/>
      <c r="AK492" s="114"/>
    </row>
    <row r="493" ht="15.75" customHeight="1">
      <c r="A493" s="114"/>
      <c r="B493" s="114"/>
      <c r="C493" s="114"/>
      <c r="D493" s="114"/>
      <c r="E493" s="114"/>
      <c r="F493" s="114"/>
      <c r="G493" s="114"/>
      <c r="H493" s="114"/>
      <c r="I493" s="114"/>
      <c r="J493" s="114"/>
      <c r="K493" s="114"/>
      <c r="L493" s="114"/>
      <c r="M493" s="114"/>
      <c r="N493" s="114"/>
      <c r="O493" s="114"/>
      <c r="P493" s="114"/>
      <c r="Q493" s="114"/>
      <c r="R493" s="114"/>
      <c r="S493" s="114"/>
      <c r="T493" s="114"/>
      <c r="U493" s="114"/>
      <c r="V493" s="114"/>
      <c r="W493" s="114"/>
      <c r="X493" s="114"/>
      <c r="Y493" s="114"/>
      <c r="Z493" s="114"/>
      <c r="AA493" s="114"/>
      <c r="AB493" s="114"/>
      <c r="AC493" s="114"/>
      <c r="AD493" s="114"/>
      <c r="AE493" s="114"/>
      <c r="AF493" s="114"/>
      <c r="AG493" s="114"/>
      <c r="AH493" s="114"/>
      <c r="AI493" s="114"/>
      <c r="AJ493" s="114"/>
      <c r="AK493" s="114"/>
    </row>
    <row r="494" ht="15.75" customHeight="1">
      <c r="A494" s="114"/>
      <c r="B494" s="114"/>
      <c r="C494" s="114"/>
      <c r="D494" s="114"/>
      <c r="E494" s="114"/>
      <c r="F494" s="114"/>
      <c r="G494" s="114"/>
      <c r="H494" s="114"/>
      <c r="I494" s="114"/>
      <c r="J494" s="114"/>
      <c r="K494" s="114"/>
      <c r="L494" s="114"/>
      <c r="M494" s="114"/>
      <c r="N494" s="114"/>
      <c r="O494" s="114"/>
      <c r="P494" s="114"/>
      <c r="Q494" s="114"/>
      <c r="R494" s="114"/>
      <c r="S494" s="114"/>
      <c r="T494" s="114"/>
      <c r="U494" s="114"/>
      <c r="V494" s="114"/>
      <c r="W494" s="114"/>
      <c r="X494" s="114"/>
      <c r="Y494" s="114"/>
      <c r="Z494" s="114"/>
      <c r="AA494" s="114"/>
      <c r="AB494" s="114"/>
      <c r="AC494" s="114"/>
      <c r="AD494" s="114"/>
      <c r="AE494" s="114"/>
      <c r="AF494" s="114"/>
      <c r="AG494" s="114"/>
      <c r="AH494" s="114"/>
      <c r="AI494" s="114"/>
      <c r="AJ494" s="114"/>
      <c r="AK494" s="114"/>
    </row>
    <row r="495" ht="15.75" customHeight="1">
      <c r="A495" s="114"/>
      <c r="B495" s="114"/>
      <c r="C495" s="114"/>
      <c r="D495" s="114"/>
      <c r="E495" s="114"/>
      <c r="F495" s="114"/>
      <c r="G495" s="114"/>
      <c r="H495" s="114"/>
      <c r="I495" s="114"/>
      <c r="J495" s="114"/>
      <c r="K495" s="114"/>
      <c r="L495" s="114"/>
      <c r="M495" s="114"/>
      <c r="N495" s="114"/>
      <c r="O495" s="114"/>
      <c r="P495" s="114"/>
      <c r="Q495" s="114"/>
      <c r="R495" s="114"/>
      <c r="S495" s="114"/>
      <c r="T495" s="114"/>
      <c r="U495" s="114"/>
      <c r="V495" s="114"/>
      <c r="W495" s="114"/>
      <c r="X495" s="114"/>
      <c r="Y495" s="114"/>
      <c r="Z495" s="114"/>
      <c r="AA495" s="114"/>
      <c r="AB495" s="114"/>
      <c r="AC495" s="114"/>
      <c r="AD495" s="114"/>
      <c r="AE495" s="114"/>
      <c r="AF495" s="114"/>
      <c r="AG495" s="114"/>
      <c r="AH495" s="114"/>
      <c r="AI495" s="114"/>
      <c r="AJ495" s="114"/>
      <c r="AK495" s="114"/>
    </row>
    <row r="496" ht="15.75" customHeight="1">
      <c r="A496" s="114"/>
      <c r="B496" s="114"/>
      <c r="C496" s="114"/>
      <c r="D496" s="114"/>
      <c r="E496" s="114"/>
      <c r="F496" s="114"/>
      <c r="G496" s="114"/>
      <c r="H496" s="114"/>
      <c r="I496" s="114"/>
      <c r="J496" s="114"/>
      <c r="K496" s="114"/>
      <c r="L496" s="114"/>
      <c r="M496" s="114"/>
      <c r="N496" s="114"/>
      <c r="O496" s="114"/>
      <c r="P496" s="114"/>
      <c r="Q496" s="114"/>
      <c r="R496" s="114"/>
      <c r="S496" s="114"/>
      <c r="T496" s="114"/>
      <c r="U496" s="114"/>
      <c r="V496" s="114"/>
      <c r="W496" s="114"/>
      <c r="X496" s="114"/>
      <c r="Y496" s="114"/>
      <c r="Z496" s="114"/>
      <c r="AA496" s="114"/>
      <c r="AB496" s="114"/>
      <c r="AC496" s="114"/>
      <c r="AD496" s="114"/>
      <c r="AE496" s="114"/>
      <c r="AF496" s="114"/>
      <c r="AG496" s="114"/>
      <c r="AH496" s="114"/>
      <c r="AI496" s="114"/>
      <c r="AJ496" s="114"/>
      <c r="AK496" s="114"/>
    </row>
    <row r="497" ht="15.75" customHeight="1">
      <c r="A497" s="114"/>
      <c r="B497" s="114"/>
      <c r="C497" s="114"/>
      <c r="D497" s="114"/>
      <c r="E497" s="114"/>
      <c r="F497" s="114"/>
      <c r="G497" s="114"/>
      <c r="H497" s="114"/>
      <c r="I497" s="114"/>
      <c r="J497" s="114"/>
      <c r="K497" s="114"/>
      <c r="L497" s="114"/>
      <c r="M497" s="114"/>
      <c r="N497" s="114"/>
      <c r="O497" s="114"/>
      <c r="P497" s="114"/>
      <c r="Q497" s="114"/>
      <c r="R497" s="114"/>
      <c r="S497" s="114"/>
      <c r="T497" s="114"/>
      <c r="U497" s="114"/>
      <c r="V497" s="114"/>
      <c r="W497" s="114"/>
      <c r="X497" s="114"/>
      <c r="Y497" s="114"/>
      <c r="Z497" s="114"/>
      <c r="AA497" s="114"/>
      <c r="AB497" s="114"/>
      <c r="AC497" s="114"/>
      <c r="AD497" s="114"/>
      <c r="AE497" s="114"/>
      <c r="AF497" s="114"/>
      <c r="AG497" s="114"/>
      <c r="AH497" s="114"/>
      <c r="AI497" s="114"/>
      <c r="AJ497" s="114"/>
      <c r="AK497" s="114"/>
    </row>
    <row r="498" ht="15.75" customHeight="1">
      <c r="A498" s="114"/>
      <c r="B498" s="114"/>
      <c r="C498" s="114"/>
      <c r="D498" s="114"/>
      <c r="E498" s="114"/>
      <c r="F498" s="114"/>
      <c r="G498" s="114"/>
      <c r="H498" s="114"/>
      <c r="I498" s="114"/>
      <c r="J498" s="114"/>
      <c r="K498" s="114"/>
      <c r="L498" s="114"/>
      <c r="M498" s="114"/>
      <c r="N498" s="114"/>
      <c r="O498" s="114"/>
      <c r="P498" s="114"/>
      <c r="Q498" s="114"/>
      <c r="R498" s="114"/>
      <c r="S498" s="114"/>
      <c r="T498" s="114"/>
      <c r="U498" s="114"/>
      <c r="V498" s="114"/>
      <c r="W498" s="114"/>
      <c r="X498" s="114"/>
      <c r="Y498" s="114"/>
      <c r="Z498" s="114"/>
      <c r="AA498" s="114"/>
      <c r="AB498" s="114"/>
      <c r="AC498" s="114"/>
      <c r="AD498" s="114"/>
      <c r="AE498" s="114"/>
      <c r="AF498" s="114"/>
      <c r="AG498" s="114"/>
      <c r="AH498" s="114"/>
      <c r="AI498" s="114"/>
      <c r="AJ498" s="114"/>
      <c r="AK498" s="114"/>
    </row>
    <row r="499" ht="15.75" customHeight="1">
      <c r="A499" s="114"/>
      <c r="B499" s="114"/>
      <c r="C499" s="114"/>
      <c r="D499" s="114"/>
      <c r="E499" s="114"/>
      <c r="F499" s="114"/>
      <c r="G499" s="114"/>
      <c r="H499" s="114"/>
      <c r="I499" s="114"/>
      <c r="J499" s="114"/>
      <c r="K499" s="114"/>
      <c r="L499" s="114"/>
      <c r="M499" s="114"/>
      <c r="N499" s="114"/>
      <c r="O499" s="114"/>
      <c r="P499" s="114"/>
      <c r="Q499" s="114"/>
      <c r="R499" s="114"/>
      <c r="S499" s="114"/>
      <c r="T499" s="114"/>
      <c r="U499" s="114"/>
      <c r="V499" s="114"/>
      <c r="W499" s="114"/>
      <c r="X499" s="114"/>
      <c r="Y499" s="114"/>
      <c r="Z499" s="114"/>
      <c r="AA499" s="114"/>
      <c r="AB499" s="114"/>
      <c r="AC499" s="114"/>
      <c r="AD499" s="114"/>
      <c r="AE499" s="114"/>
      <c r="AF499" s="114"/>
      <c r="AG499" s="114"/>
      <c r="AH499" s="114"/>
      <c r="AI499" s="114"/>
      <c r="AJ499" s="114"/>
      <c r="AK499" s="114"/>
    </row>
    <row r="500" ht="15.75" customHeight="1">
      <c r="A500" s="114"/>
      <c r="B500" s="114"/>
      <c r="C500" s="114"/>
      <c r="D500" s="114"/>
      <c r="E500" s="114"/>
      <c r="F500" s="114"/>
      <c r="G500" s="114"/>
      <c r="H500" s="114"/>
      <c r="I500" s="114"/>
      <c r="J500" s="114"/>
      <c r="K500" s="114"/>
      <c r="L500" s="114"/>
      <c r="M500" s="114"/>
      <c r="N500" s="114"/>
      <c r="O500" s="114"/>
      <c r="P500" s="114"/>
      <c r="Q500" s="114"/>
      <c r="R500" s="114"/>
      <c r="S500" s="114"/>
      <c r="T500" s="114"/>
      <c r="U500" s="114"/>
      <c r="V500" s="114"/>
      <c r="W500" s="114"/>
      <c r="X500" s="114"/>
      <c r="Y500" s="114"/>
      <c r="Z500" s="114"/>
      <c r="AA500" s="114"/>
      <c r="AB500" s="114"/>
      <c r="AC500" s="114"/>
      <c r="AD500" s="114"/>
      <c r="AE500" s="114"/>
      <c r="AF500" s="114"/>
      <c r="AG500" s="114"/>
      <c r="AH500" s="114"/>
      <c r="AI500" s="114"/>
      <c r="AJ500" s="114"/>
      <c r="AK500" s="114"/>
    </row>
    <row r="501" ht="15.75" customHeight="1">
      <c r="A501" s="114"/>
      <c r="B501" s="114"/>
      <c r="C501" s="114"/>
      <c r="D501" s="114"/>
      <c r="E501" s="114"/>
      <c r="F501" s="114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  <c r="AA501" s="114"/>
      <c r="AB501" s="114"/>
      <c r="AC501" s="114"/>
      <c r="AD501" s="114"/>
      <c r="AE501" s="114"/>
      <c r="AF501" s="114"/>
      <c r="AG501" s="114"/>
      <c r="AH501" s="114"/>
      <c r="AI501" s="114"/>
      <c r="AJ501" s="114"/>
      <c r="AK501" s="114"/>
    </row>
    <row r="502" ht="15.75" customHeight="1">
      <c r="A502" s="114"/>
      <c r="B502" s="114"/>
      <c r="C502" s="114"/>
      <c r="D502" s="114"/>
      <c r="E502" s="114"/>
      <c r="F502" s="114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  <c r="AA502" s="114"/>
      <c r="AB502" s="114"/>
      <c r="AC502" s="114"/>
      <c r="AD502" s="114"/>
      <c r="AE502" s="114"/>
      <c r="AF502" s="114"/>
      <c r="AG502" s="114"/>
      <c r="AH502" s="114"/>
      <c r="AI502" s="114"/>
      <c r="AJ502" s="114"/>
      <c r="AK502" s="114"/>
    </row>
    <row r="503" ht="15.75" customHeight="1">
      <c r="A503" s="114"/>
      <c r="B503" s="114"/>
      <c r="C503" s="114"/>
      <c r="D503" s="114"/>
      <c r="E503" s="114"/>
      <c r="F503" s="114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  <c r="AA503" s="114"/>
      <c r="AB503" s="114"/>
      <c r="AC503" s="114"/>
      <c r="AD503" s="114"/>
      <c r="AE503" s="114"/>
      <c r="AF503" s="114"/>
      <c r="AG503" s="114"/>
      <c r="AH503" s="114"/>
      <c r="AI503" s="114"/>
      <c r="AJ503" s="114"/>
      <c r="AK503" s="114"/>
    </row>
    <row r="504" ht="15.75" customHeight="1">
      <c r="A504" s="114"/>
      <c r="B504" s="114"/>
      <c r="C504" s="114"/>
      <c r="D504" s="114"/>
      <c r="E504" s="114"/>
      <c r="F504" s="114"/>
      <c r="G504" s="114"/>
      <c r="H504" s="114"/>
      <c r="I504" s="114"/>
      <c r="J504" s="114"/>
      <c r="K504" s="114"/>
      <c r="L504" s="114"/>
      <c r="M504" s="114"/>
      <c r="N504" s="114"/>
      <c r="O504" s="114"/>
      <c r="P504" s="114"/>
      <c r="Q504" s="114"/>
      <c r="R504" s="114"/>
      <c r="S504" s="114"/>
      <c r="T504" s="114"/>
      <c r="U504" s="114"/>
      <c r="V504" s="114"/>
      <c r="W504" s="114"/>
      <c r="X504" s="114"/>
      <c r="Y504" s="114"/>
      <c r="Z504" s="114"/>
      <c r="AA504" s="114"/>
      <c r="AB504" s="114"/>
      <c r="AC504" s="114"/>
      <c r="AD504" s="114"/>
      <c r="AE504" s="114"/>
      <c r="AF504" s="114"/>
      <c r="AG504" s="114"/>
      <c r="AH504" s="114"/>
      <c r="AI504" s="114"/>
      <c r="AJ504" s="114"/>
      <c r="AK504" s="114"/>
    </row>
    <row r="505" ht="15.75" customHeight="1">
      <c r="A505" s="114"/>
      <c r="B505" s="114"/>
      <c r="C505" s="114"/>
      <c r="D505" s="114"/>
      <c r="E505" s="114"/>
      <c r="F505" s="114"/>
      <c r="G505" s="114"/>
      <c r="H505" s="114"/>
      <c r="I505" s="114"/>
      <c r="J505" s="114"/>
      <c r="K505" s="114"/>
      <c r="L505" s="114"/>
      <c r="M505" s="114"/>
      <c r="N505" s="114"/>
      <c r="O505" s="114"/>
      <c r="P505" s="114"/>
      <c r="Q505" s="114"/>
      <c r="R505" s="114"/>
      <c r="S505" s="114"/>
      <c r="T505" s="114"/>
      <c r="U505" s="114"/>
      <c r="V505" s="114"/>
      <c r="W505" s="114"/>
      <c r="X505" s="114"/>
      <c r="Y505" s="114"/>
      <c r="Z505" s="114"/>
      <c r="AA505" s="114"/>
      <c r="AB505" s="114"/>
      <c r="AC505" s="114"/>
      <c r="AD505" s="114"/>
      <c r="AE505" s="114"/>
      <c r="AF505" s="114"/>
      <c r="AG505" s="114"/>
      <c r="AH505" s="114"/>
      <c r="AI505" s="114"/>
      <c r="AJ505" s="114"/>
      <c r="AK505" s="114"/>
    </row>
    <row r="506" ht="15.75" customHeight="1">
      <c r="A506" s="114"/>
      <c r="B506" s="114"/>
      <c r="C506" s="114"/>
      <c r="D506" s="114"/>
      <c r="E506" s="114"/>
      <c r="F506" s="114"/>
      <c r="G506" s="114"/>
      <c r="H506" s="114"/>
      <c r="I506" s="114"/>
      <c r="J506" s="114"/>
      <c r="K506" s="114"/>
      <c r="L506" s="114"/>
      <c r="M506" s="114"/>
      <c r="N506" s="114"/>
      <c r="O506" s="114"/>
      <c r="P506" s="114"/>
      <c r="Q506" s="114"/>
      <c r="R506" s="114"/>
      <c r="S506" s="114"/>
      <c r="T506" s="114"/>
      <c r="U506" s="114"/>
      <c r="V506" s="114"/>
      <c r="W506" s="114"/>
      <c r="X506" s="114"/>
      <c r="Y506" s="114"/>
      <c r="Z506" s="114"/>
      <c r="AA506" s="114"/>
      <c r="AB506" s="114"/>
      <c r="AC506" s="114"/>
      <c r="AD506" s="114"/>
      <c r="AE506" s="114"/>
      <c r="AF506" s="114"/>
      <c r="AG506" s="114"/>
      <c r="AH506" s="114"/>
      <c r="AI506" s="114"/>
      <c r="AJ506" s="114"/>
      <c r="AK506" s="114"/>
    </row>
    <row r="507" ht="15.75" customHeight="1">
      <c r="A507" s="114"/>
      <c r="B507" s="114"/>
      <c r="C507" s="114"/>
      <c r="D507" s="114"/>
      <c r="E507" s="114"/>
      <c r="F507" s="114"/>
      <c r="G507" s="114"/>
      <c r="H507" s="114"/>
      <c r="I507" s="114"/>
      <c r="J507" s="114"/>
      <c r="K507" s="114"/>
      <c r="L507" s="114"/>
      <c r="M507" s="114"/>
      <c r="N507" s="114"/>
      <c r="O507" s="114"/>
      <c r="P507" s="114"/>
      <c r="Q507" s="114"/>
      <c r="R507" s="114"/>
      <c r="S507" s="114"/>
      <c r="T507" s="114"/>
      <c r="U507" s="114"/>
      <c r="V507" s="114"/>
      <c r="W507" s="114"/>
      <c r="X507" s="114"/>
      <c r="Y507" s="114"/>
      <c r="Z507" s="114"/>
      <c r="AA507" s="114"/>
      <c r="AB507" s="114"/>
      <c r="AC507" s="114"/>
      <c r="AD507" s="114"/>
      <c r="AE507" s="114"/>
      <c r="AF507" s="114"/>
      <c r="AG507" s="114"/>
      <c r="AH507" s="114"/>
      <c r="AI507" s="114"/>
      <c r="AJ507" s="114"/>
      <c r="AK507" s="114"/>
    </row>
    <row r="508" ht="15.75" customHeight="1">
      <c r="A508" s="114"/>
      <c r="B508" s="114"/>
      <c r="C508" s="114"/>
      <c r="D508" s="114"/>
      <c r="E508" s="114"/>
      <c r="F508" s="114"/>
      <c r="G508" s="114"/>
      <c r="H508" s="114"/>
      <c r="I508" s="114"/>
      <c r="J508" s="114"/>
      <c r="K508" s="114"/>
      <c r="L508" s="114"/>
      <c r="M508" s="114"/>
      <c r="N508" s="114"/>
      <c r="O508" s="114"/>
      <c r="P508" s="114"/>
      <c r="Q508" s="114"/>
      <c r="R508" s="114"/>
      <c r="S508" s="114"/>
      <c r="T508" s="114"/>
      <c r="U508" s="114"/>
      <c r="V508" s="114"/>
      <c r="W508" s="114"/>
      <c r="X508" s="114"/>
      <c r="Y508" s="114"/>
      <c r="Z508" s="114"/>
      <c r="AA508" s="114"/>
      <c r="AB508" s="114"/>
      <c r="AC508" s="114"/>
      <c r="AD508" s="114"/>
      <c r="AE508" s="114"/>
      <c r="AF508" s="114"/>
      <c r="AG508" s="114"/>
      <c r="AH508" s="114"/>
      <c r="AI508" s="114"/>
      <c r="AJ508" s="114"/>
      <c r="AK508" s="114"/>
    </row>
    <row r="509" ht="15.75" customHeight="1">
      <c r="A509" s="114"/>
      <c r="B509" s="114"/>
      <c r="C509" s="114"/>
      <c r="D509" s="114"/>
      <c r="E509" s="114"/>
      <c r="F509" s="114"/>
      <c r="G509" s="114"/>
      <c r="H509" s="114"/>
      <c r="I509" s="114"/>
      <c r="J509" s="114"/>
      <c r="K509" s="114"/>
      <c r="L509" s="114"/>
      <c r="M509" s="114"/>
      <c r="N509" s="114"/>
      <c r="O509" s="114"/>
      <c r="P509" s="114"/>
      <c r="Q509" s="114"/>
      <c r="R509" s="114"/>
      <c r="S509" s="114"/>
      <c r="T509" s="114"/>
      <c r="U509" s="114"/>
      <c r="V509" s="114"/>
      <c r="W509" s="114"/>
      <c r="X509" s="114"/>
      <c r="Y509" s="114"/>
      <c r="Z509" s="114"/>
      <c r="AA509" s="114"/>
      <c r="AB509" s="114"/>
      <c r="AC509" s="114"/>
      <c r="AD509" s="114"/>
      <c r="AE509" s="114"/>
      <c r="AF509" s="114"/>
      <c r="AG509" s="114"/>
      <c r="AH509" s="114"/>
      <c r="AI509" s="114"/>
      <c r="AJ509" s="114"/>
      <c r="AK509" s="114"/>
    </row>
    <row r="510" ht="15.75" customHeight="1">
      <c r="A510" s="114"/>
      <c r="B510" s="114"/>
      <c r="C510" s="114"/>
      <c r="D510" s="114"/>
      <c r="E510" s="114"/>
      <c r="F510" s="114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  <c r="AA510" s="114"/>
      <c r="AB510" s="114"/>
      <c r="AC510" s="114"/>
      <c r="AD510" s="114"/>
      <c r="AE510" s="114"/>
      <c r="AF510" s="114"/>
      <c r="AG510" s="114"/>
      <c r="AH510" s="114"/>
      <c r="AI510" s="114"/>
      <c r="AJ510" s="114"/>
      <c r="AK510" s="114"/>
    </row>
    <row r="511" ht="15.75" customHeight="1">
      <c r="A511" s="114"/>
      <c r="B511" s="114"/>
      <c r="C511" s="114"/>
      <c r="D511" s="114"/>
      <c r="E511" s="114"/>
      <c r="F511" s="114"/>
      <c r="G511" s="114"/>
      <c r="H511" s="114"/>
      <c r="I511" s="114"/>
      <c r="J511" s="114"/>
      <c r="K511" s="114"/>
      <c r="L511" s="114"/>
      <c r="M511" s="114"/>
      <c r="N511" s="114"/>
      <c r="O511" s="114"/>
      <c r="P511" s="114"/>
      <c r="Q511" s="114"/>
      <c r="R511" s="114"/>
      <c r="S511" s="114"/>
      <c r="T511" s="114"/>
      <c r="U511" s="114"/>
      <c r="V511" s="114"/>
      <c r="W511" s="114"/>
      <c r="X511" s="114"/>
      <c r="Y511" s="114"/>
      <c r="Z511" s="114"/>
      <c r="AA511" s="114"/>
      <c r="AB511" s="114"/>
      <c r="AC511" s="114"/>
      <c r="AD511" s="114"/>
      <c r="AE511" s="114"/>
      <c r="AF511" s="114"/>
      <c r="AG511" s="114"/>
      <c r="AH511" s="114"/>
      <c r="AI511" s="114"/>
      <c r="AJ511" s="114"/>
      <c r="AK511" s="114"/>
    </row>
    <row r="512" ht="15.75" customHeight="1">
      <c r="A512" s="114"/>
      <c r="B512" s="114"/>
      <c r="C512" s="114"/>
      <c r="D512" s="114"/>
      <c r="E512" s="114"/>
      <c r="F512" s="114"/>
      <c r="G512" s="114"/>
      <c r="H512" s="114"/>
      <c r="I512" s="114"/>
      <c r="J512" s="114"/>
      <c r="K512" s="114"/>
      <c r="L512" s="114"/>
      <c r="M512" s="114"/>
      <c r="N512" s="114"/>
      <c r="O512" s="114"/>
      <c r="P512" s="114"/>
      <c r="Q512" s="114"/>
      <c r="R512" s="114"/>
      <c r="S512" s="114"/>
      <c r="T512" s="114"/>
      <c r="U512" s="114"/>
      <c r="V512" s="114"/>
      <c r="W512" s="114"/>
      <c r="X512" s="114"/>
      <c r="Y512" s="114"/>
      <c r="Z512" s="114"/>
      <c r="AA512" s="114"/>
      <c r="AB512" s="114"/>
      <c r="AC512" s="114"/>
      <c r="AD512" s="114"/>
      <c r="AE512" s="114"/>
      <c r="AF512" s="114"/>
      <c r="AG512" s="114"/>
      <c r="AH512" s="114"/>
      <c r="AI512" s="114"/>
      <c r="AJ512" s="114"/>
      <c r="AK512" s="114"/>
    </row>
    <row r="513" ht="15.75" customHeight="1">
      <c r="A513" s="114"/>
      <c r="B513" s="114"/>
      <c r="C513" s="114"/>
      <c r="D513" s="114"/>
      <c r="E513" s="114"/>
      <c r="F513" s="114"/>
      <c r="G513" s="114"/>
      <c r="H513" s="114"/>
      <c r="I513" s="114"/>
      <c r="J513" s="114"/>
      <c r="K513" s="114"/>
      <c r="L513" s="114"/>
      <c r="M513" s="114"/>
      <c r="N513" s="114"/>
      <c r="O513" s="114"/>
      <c r="P513" s="114"/>
      <c r="Q513" s="114"/>
      <c r="R513" s="114"/>
      <c r="S513" s="114"/>
      <c r="T513" s="114"/>
      <c r="U513" s="114"/>
      <c r="V513" s="114"/>
      <c r="W513" s="114"/>
      <c r="X513" s="114"/>
      <c r="Y513" s="114"/>
      <c r="Z513" s="114"/>
      <c r="AA513" s="114"/>
      <c r="AB513" s="114"/>
      <c r="AC513" s="114"/>
      <c r="AD513" s="114"/>
      <c r="AE513" s="114"/>
      <c r="AF513" s="114"/>
      <c r="AG513" s="114"/>
      <c r="AH513" s="114"/>
      <c r="AI513" s="114"/>
      <c r="AJ513" s="114"/>
      <c r="AK513" s="114"/>
    </row>
    <row r="514" ht="15.75" customHeight="1">
      <c r="A514" s="114"/>
      <c r="B514" s="114"/>
      <c r="C514" s="114"/>
      <c r="D514" s="114"/>
      <c r="E514" s="114"/>
      <c r="F514" s="114"/>
      <c r="G514" s="114"/>
      <c r="H514" s="114"/>
      <c r="I514" s="114"/>
      <c r="J514" s="114"/>
      <c r="K514" s="114"/>
      <c r="L514" s="114"/>
      <c r="M514" s="114"/>
      <c r="N514" s="114"/>
      <c r="O514" s="114"/>
      <c r="P514" s="114"/>
      <c r="Q514" s="114"/>
      <c r="R514" s="114"/>
      <c r="S514" s="114"/>
      <c r="T514" s="114"/>
      <c r="U514" s="114"/>
      <c r="V514" s="114"/>
      <c r="W514" s="114"/>
      <c r="X514" s="114"/>
      <c r="Y514" s="114"/>
      <c r="Z514" s="114"/>
      <c r="AA514" s="114"/>
      <c r="AB514" s="114"/>
      <c r="AC514" s="114"/>
      <c r="AD514" s="114"/>
      <c r="AE514" s="114"/>
      <c r="AF514" s="114"/>
      <c r="AG514" s="114"/>
      <c r="AH514" s="114"/>
      <c r="AI514" s="114"/>
      <c r="AJ514" s="114"/>
      <c r="AK514" s="114"/>
    </row>
    <row r="515" ht="15.75" customHeight="1">
      <c r="A515" s="114"/>
      <c r="B515" s="114"/>
      <c r="C515" s="114"/>
      <c r="D515" s="114"/>
      <c r="E515" s="114"/>
      <c r="F515" s="114"/>
      <c r="G515" s="114"/>
      <c r="H515" s="114"/>
      <c r="I515" s="114"/>
      <c r="J515" s="114"/>
      <c r="K515" s="114"/>
      <c r="L515" s="114"/>
      <c r="M515" s="114"/>
      <c r="N515" s="114"/>
      <c r="O515" s="114"/>
      <c r="P515" s="114"/>
      <c r="Q515" s="114"/>
      <c r="R515" s="114"/>
      <c r="S515" s="114"/>
      <c r="T515" s="114"/>
      <c r="U515" s="114"/>
      <c r="V515" s="114"/>
      <c r="W515" s="114"/>
      <c r="X515" s="114"/>
      <c r="Y515" s="114"/>
      <c r="Z515" s="114"/>
      <c r="AA515" s="114"/>
      <c r="AB515" s="114"/>
      <c r="AC515" s="114"/>
      <c r="AD515" s="114"/>
      <c r="AE515" s="114"/>
      <c r="AF515" s="114"/>
      <c r="AG515" s="114"/>
      <c r="AH515" s="114"/>
      <c r="AI515" s="114"/>
      <c r="AJ515" s="114"/>
      <c r="AK515" s="114"/>
    </row>
    <row r="516" ht="15.75" customHeight="1">
      <c r="A516" s="114"/>
      <c r="B516" s="114"/>
      <c r="C516" s="114"/>
      <c r="D516" s="114"/>
      <c r="E516" s="114"/>
      <c r="F516" s="114"/>
      <c r="G516" s="114"/>
      <c r="H516" s="114"/>
      <c r="I516" s="114"/>
      <c r="J516" s="114"/>
      <c r="K516" s="114"/>
      <c r="L516" s="114"/>
      <c r="M516" s="114"/>
      <c r="N516" s="114"/>
      <c r="O516" s="114"/>
      <c r="P516" s="114"/>
      <c r="Q516" s="114"/>
      <c r="R516" s="114"/>
      <c r="S516" s="114"/>
      <c r="T516" s="114"/>
      <c r="U516" s="114"/>
      <c r="V516" s="114"/>
      <c r="W516" s="114"/>
      <c r="X516" s="114"/>
      <c r="Y516" s="114"/>
      <c r="Z516" s="114"/>
      <c r="AA516" s="114"/>
      <c r="AB516" s="114"/>
      <c r="AC516" s="114"/>
      <c r="AD516" s="114"/>
      <c r="AE516" s="114"/>
      <c r="AF516" s="114"/>
      <c r="AG516" s="114"/>
      <c r="AH516" s="114"/>
      <c r="AI516" s="114"/>
      <c r="AJ516" s="114"/>
      <c r="AK516" s="114"/>
    </row>
    <row r="517" ht="15.75" customHeight="1">
      <c r="A517" s="114"/>
      <c r="B517" s="114"/>
      <c r="C517" s="114"/>
      <c r="D517" s="114"/>
      <c r="E517" s="114"/>
      <c r="F517" s="114"/>
      <c r="G517" s="114"/>
      <c r="H517" s="114"/>
      <c r="I517" s="114"/>
      <c r="J517" s="114"/>
      <c r="K517" s="114"/>
      <c r="L517" s="114"/>
      <c r="M517" s="114"/>
      <c r="N517" s="114"/>
      <c r="O517" s="114"/>
      <c r="P517" s="114"/>
      <c r="Q517" s="114"/>
      <c r="R517" s="114"/>
      <c r="S517" s="114"/>
      <c r="T517" s="114"/>
      <c r="U517" s="114"/>
      <c r="V517" s="114"/>
      <c r="W517" s="114"/>
      <c r="X517" s="114"/>
      <c r="Y517" s="114"/>
      <c r="Z517" s="114"/>
      <c r="AA517" s="114"/>
      <c r="AB517" s="114"/>
      <c r="AC517" s="114"/>
      <c r="AD517" s="114"/>
      <c r="AE517" s="114"/>
      <c r="AF517" s="114"/>
      <c r="AG517" s="114"/>
      <c r="AH517" s="114"/>
      <c r="AI517" s="114"/>
      <c r="AJ517" s="114"/>
      <c r="AK517" s="114"/>
    </row>
    <row r="518" ht="15.75" customHeight="1">
      <c r="A518" s="114"/>
      <c r="B518" s="114"/>
      <c r="C518" s="114"/>
      <c r="D518" s="114"/>
      <c r="E518" s="114"/>
      <c r="F518" s="114"/>
      <c r="G518" s="114"/>
      <c r="H518" s="114"/>
      <c r="I518" s="114"/>
      <c r="J518" s="114"/>
      <c r="K518" s="114"/>
      <c r="L518" s="114"/>
      <c r="M518" s="114"/>
      <c r="N518" s="114"/>
      <c r="O518" s="114"/>
      <c r="P518" s="114"/>
      <c r="Q518" s="114"/>
      <c r="R518" s="114"/>
      <c r="S518" s="114"/>
      <c r="T518" s="114"/>
      <c r="U518" s="114"/>
      <c r="V518" s="114"/>
      <c r="W518" s="114"/>
      <c r="X518" s="114"/>
      <c r="Y518" s="114"/>
      <c r="Z518" s="114"/>
      <c r="AA518" s="114"/>
      <c r="AB518" s="114"/>
      <c r="AC518" s="114"/>
      <c r="AD518" s="114"/>
      <c r="AE518" s="114"/>
      <c r="AF518" s="114"/>
      <c r="AG518" s="114"/>
      <c r="AH518" s="114"/>
      <c r="AI518" s="114"/>
      <c r="AJ518" s="114"/>
      <c r="AK518" s="114"/>
    </row>
    <row r="519" ht="15.75" customHeight="1">
      <c r="A519" s="114"/>
      <c r="B519" s="114"/>
      <c r="C519" s="114"/>
      <c r="D519" s="114"/>
      <c r="E519" s="114"/>
      <c r="F519" s="114"/>
      <c r="G519" s="114"/>
      <c r="H519" s="114"/>
      <c r="I519" s="114"/>
      <c r="J519" s="114"/>
      <c r="K519" s="114"/>
      <c r="L519" s="114"/>
      <c r="M519" s="114"/>
      <c r="N519" s="114"/>
      <c r="O519" s="114"/>
      <c r="P519" s="114"/>
      <c r="Q519" s="114"/>
      <c r="R519" s="114"/>
      <c r="S519" s="114"/>
      <c r="T519" s="114"/>
      <c r="U519" s="114"/>
      <c r="V519" s="114"/>
      <c r="W519" s="114"/>
      <c r="X519" s="114"/>
      <c r="Y519" s="114"/>
      <c r="Z519" s="114"/>
      <c r="AA519" s="114"/>
      <c r="AB519" s="114"/>
      <c r="AC519" s="114"/>
      <c r="AD519" s="114"/>
      <c r="AE519" s="114"/>
      <c r="AF519" s="114"/>
      <c r="AG519" s="114"/>
      <c r="AH519" s="114"/>
      <c r="AI519" s="114"/>
      <c r="AJ519" s="114"/>
      <c r="AK519" s="114"/>
    </row>
    <row r="520" ht="15.75" customHeight="1">
      <c r="A520" s="114"/>
      <c r="B520" s="114"/>
      <c r="C520" s="114"/>
      <c r="D520" s="114"/>
      <c r="E520" s="114"/>
      <c r="F520" s="114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  <c r="AA520" s="114"/>
      <c r="AB520" s="114"/>
      <c r="AC520" s="114"/>
      <c r="AD520" s="114"/>
      <c r="AE520" s="114"/>
      <c r="AF520" s="114"/>
      <c r="AG520" s="114"/>
      <c r="AH520" s="114"/>
      <c r="AI520" s="114"/>
      <c r="AJ520" s="114"/>
      <c r="AK520" s="114"/>
    </row>
    <row r="521" ht="15.75" customHeight="1">
      <c r="A521" s="114"/>
      <c r="B521" s="114"/>
      <c r="C521" s="114"/>
      <c r="D521" s="114"/>
      <c r="E521" s="114"/>
      <c r="F521" s="114"/>
      <c r="G521" s="114"/>
      <c r="H521" s="114"/>
      <c r="I521" s="114"/>
      <c r="J521" s="114"/>
      <c r="K521" s="114"/>
      <c r="L521" s="114"/>
      <c r="M521" s="114"/>
      <c r="N521" s="114"/>
      <c r="O521" s="114"/>
      <c r="P521" s="114"/>
      <c r="Q521" s="114"/>
      <c r="R521" s="114"/>
      <c r="S521" s="114"/>
      <c r="T521" s="114"/>
      <c r="U521" s="114"/>
      <c r="V521" s="114"/>
      <c r="W521" s="114"/>
      <c r="X521" s="114"/>
      <c r="Y521" s="114"/>
      <c r="Z521" s="114"/>
      <c r="AA521" s="114"/>
      <c r="AB521" s="114"/>
      <c r="AC521" s="114"/>
      <c r="AD521" s="114"/>
      <c r="AE521" s="114"/>
      <c r="AF521" s="114"/>
      <c r="AG521" s="114"/>
      <c r="AH521" s="114"/>
      <c r="AI521" s="114"/>
      <c r="AJ521" s="114"/>
      <c r="AK521" s="114"/>
    </row>
    <row r="522" ht="15.75" customHeight="1">
      <c r="A522" s="114"/>
      <c r="B522" s="114"/>
      <c r="C522" s="114"/>
      <c r="D522" s="114"/>
      <c r="E522" s="114"/>
      <c r="F522" s="114"/>
      <c r="G522" s="114"/>
      <c r="H522" s="114"/>
      <c r="I522" s="114"/>
      <c r="J522" s="114"/>
      <c r="K522" s="114"/>
      <c r="L522" s="114"/>
      <c r="M522" s="114"/>
      <c r="N522" s="114"/>
      <c r="O522" s="114"/>
      <c r="P522" s="114"/>
      <c r="Q522" s="114"/>
      <c r="R522" s="114"/>
      <c r="S522" s="114"/>
      <c r="T522" s="114"/>
      <c r="U522" s="114"/>
      <c r="V522" s="114"/>
      <c r="W522" s="114"/>
      <c r="X522" s="114"/>
      <c r="Y522" s="114"/>
      <c r="Z522" s="114"/>
      <c r="AA522" s="114"/>
      <c r="AB522" s="114"/>
      <c r="AC522" s="114"/>
      <c r="AD522" s="114"/>
      <c r="AE522" s="114"/>
      <c r="AF522" s="114"/>
      <c r="AG522" s="114"/>
      <c r="AH522" s="114"/>
      <c r="AI522" s="114"/>
      <c r="AJ522" s="114"/>
      <c r="AK522" s="114"/>
    </row>
    <row r="523" ht="15.75" customHeight="1">
      <c r="A523" s="114"/>
      <c r="B523" s="114"/>
      <c r="C523" s="114"/>
      <c r="D523" s="114"/>
      <c r="E523" s="114"/>
      <c r="F523" s="114"/>
      <c r="G523" s="114"/>
      <c r="H523" s="114"/>
      <c r="I523" s="114"/>
      <c r="J523" s="114"/>
      <c r="K523" s="114"/>
      <c r="L523" s="114"/>
      <c r="M523" s="114"/>
      <c r="N523" s="114"/>
      <c r="O523" s="114"/>
      <c r="P523" s="114"/>
      <c r="Q523" s="114"/>
      <c r="R523" s="114"/>
      <c r="S523" s="114"/>
      <c r="T523" s="114"/>
      <c r="U523" s="114"/>
      <c r="V523" s="114"/>
      <c r="W523" s="114"/>
      <c r="X523" s="114"/>
      <c r="Y523" s="114"/>
      <c r="Z523" s="114"/>
      <c r="AA523" s="114"/>
      <c r="AB523" s="114"/>
      <c r="AC523" s="114"/>
      <c r="AD523" s="114"/>
      <c r="AE523" s="114"/>
      <c r="AF523" s="114"/>
      <c r="AG523" s="114"/>
      <c r="AH523" s="114"/>
      <c r="AI523" s="114"/>
      <c r="AJ523" s="114"/>
      <c r="AK523" s="114"/>
    </row>
    <row r="524" ht="15.75" customHeight="1">
      <c r="A524" s="114"/>
      <c r="B524" s="114"/>
      <c r="C524" s="114"/>
      <c r="D524" s="114"/>
      <c r="E524" s="114"/>
      <c r="F524" s="114"/>
      <c r="G524" s="114"/>
      <c r="H524" s="114"/>
      <c r="I524" s="114"/>
      <c r="J524" s="114"/>
      <c r="K524" s="114"/>
      <c r="L524" s="114"/>
      <c r="M524" s="114"/>
      <c r="N524" s="114"/>
      <c r="O524" s="114"/>
      <c r="P524" s="114"/>
      <c r="Q524" s="114"/>
      <c r="R524" s="114"/>
      <c r="S524" s="114"/>
      <c r="T524" s="114"/>
      <c r="U524" s="114"/>
      <c r="V524" s="114"/>
      <c r="W524" s="114"/>
      <c r="X524" s="114"/>
      <c r="Y524" s="114"/>
      <c r="Z524" s="114"/>
      <c r="AA524" s="114"/>
      <c r="AB524" s="114"/>
      <c r="AC524" s="114"/>
      <c r="AD524" s="114"/>
      <c r="AE524" s="114"/>
      <c r="AF524" s="114"/>
      <c r="AG524" s="114"/>
      <c r="AH524" s="114"/>
      <c r="AI524" s="114"/>
      <c r="AJ524" s="114"/>
      <c r="AK524" s="114"/>
    </row>
    <row r="525" ht="15.75" customHeight="1">
      <c r="A525" s="114"/>
      <c r="B525" s="114"/>
      <c r="C525" s="114"/>
      <c r="D525" s="114"/>
      <c r="E525" s="114"/>
      <c r="F525" s="114"/>
      <c r="G525" s="114"/>
      <c r="H525" s="114"/>
      <c r="I525" s="114"/>
      <c r="J525" s="114"/>
      <c r="K525" s="114"/>
      <c r="L525" s="114"/>
      <c r="M525" s="114"/>
      <c r="N525" s="114"/>
      <c r="O525" s="114"/>
      <c r="P525" s="114"/>
      <c r="Q525" s="114"/>
      <c r="R525" s="114"/>
      <c r="S525" s="114"/>
      <c r="T525" s="114"/>
      <c r="U525" s="114"/>
      <c r="V525" s="114"/>
      <c r="W525" s="114"/>
      <c r="X525" s="114"/>
      <c r="Y525" s="114"/>
      <c r="Z525" s="114"/>
      <c r="AA525" s="114"/>
      <c r="AB525" s="114"/>
      <c r="AC525" s="114"/>
      <c r="AD525" s="114"/>
      <c r="AE525" s="114"/>
      <c r="AF525" s="114"/>
      <c r="AG525" s="114"/>
      <c r="AH525" s="114"/>
      <c r="AI525" s="114"/>
      <c r="AJ525" s="114"/>
      <c r="AK525" s="114"/>
    </row>
    <row r="526" ht="15.75" customHeight="1">
      <c r="A526" s="114"/>
      <c r="B526" s="114"/>
      <c r="C526" s="114"/>
      <c r="D526" s="114"/>
      <c r="E526" s="114"/>
      <c r="F526" s="114"/>
      <c r="G526" s="114"/>
      <c r="H526" s="114"/>
      <c r="I526" s="114"/>
      <c r="J526" s="114"/>
      <c r="K526" s="114"/>
      <c r="L526" s="114"/>
      <c r="M526" s="114"/>
      <c r="N526" s="114"/>
      <c r="O526" s="114"/>
      <c r="P526" s="114"/>
      <c r="Q526" s="114"/>
      <c r="R526" s="114"/>
      <c r="S526" s="114"/>
      <c r="T526" s="114"/>
      <c r="U526" s="114"/>
      <c r="V526" s="114"/>
      <c r="W526" s="114"/>
      <c r="X526" s="114"/>
      <c r="Y526" s="114"/>
      <c r="Z526" s="114"/>
      <c r="AA526" s="114"/>
      <c r="AB526" s="114"/>
      <c r="AC526" s="114"/>
      <c r="AD526" s="114"/>
      <c r="AE526" s="114"/>
      <c r="AF526" s="114"/>
      <c r="AG526" s="114"/>
      <c r="AH526" s="114"/>
      <c r="AI526" s="114"/>
      <c r="AJ526" s="114"/>
      <c r="AK526" s="114"/>
    </row>
    <row r="527" ht="15.75" customHeight="1">
      <c r="A527" s="114"/>
      <c r="B527" s="114"/>
      <c r="C527" s="114"/>
      <c r="D527" s="114"/>
      <c r="E527" s="114"/>
      <c r="F527" s="114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  <c r="AA527" s="114"/>
      <c r="AB527" s="114"/>
      <c r="AC527" s="114"/>
      <c r="AD527" s="114"/>
      <c r="AE527" s="114"/>
      <c r="AF527" s="114"/>
      <c r="AG527" s="114"/>
      <c r="AH527" s="114"/>
      <c r="AI527" s="114"/>
      <c r="AJ527" s="114"/>
      <c r="AK527" s="114"/>
    </row>
    <row r="528" ht="15.75" customHeight="1">
      <c r="A528" s="114"/>
      <c r="B528" s="114"/>
      <c r="C528" s="114"/>
      <c r="D528" s="114"/>
      <c r="E528" s="114"/>
      <c r="F528" s="114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  <c r="AA528" s="114"/>
      <c r="AB528" s="114"/>
      <c r="AC528" s="114"/>
      <c r="AD528" s="114"/>
      <c r="AE528" s="114"/>
      <c r="AF528" s="114"/>
      <c r="AG528" s="114"/>
      <c r="AH528" s="114"/>
      <c r="AI528" s="114"/>
      <c r="AJ528" s="114"/>
      <c r="AK528" s="114"/>
    </row>
    <row r="529" ht="15.75" customHeight="1">
      <c r="A529" s="114"/>
      <c r="B529" s="114"/>
      <c r="C529" s="114"/>
      <c r="D529" s="114"/>
      <c r="E529" s="114"/>
      <c r="F529" s="114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14"/>
      <c r="S529" s="114"/>
      <c r="T529" s="114"/>
      <c r="U529" s="114"/>
      <c r="V529" s="114"/>
      <c r="W529" s="114"/>
      <c r="X529" s="114"/>
      <c r="Y529" s="114"/>
      <c r="Z529" s="114"/>
      <c r="AA529" s="114"/>
      <c r="AB529" s="114"/>
      <c r="AC529" s="114"/>
      <c r="AD529" s="114"/>
      <c r="AE529" s="114"/>
      <c r="AF529" s="114"/>
      <c r="AG529" s="114"/>
      <c r="AH529" s="114"/>
      <c r="AI529" s="114"/>
      <c r="AJ529" s="114"/>
      <c r="AK529" s="114"/>
    </row>
    <row r="530" ht="15.75" customHeight="1">
      <c r="A530" s="114"/>
      <c r="B530" s="114"/>
      <c r="C530" s="114"/>
      <c r="D530" s="114"/>
      <c r="E530" s="114"/>
      <c r="F530" s="114"/>
      <c r="G530" s="114"/>
      <c r="H530" s="114"/>
      <c r="I530" s="114"/>
      <c r="J530" s="114"/>
      <c r="K530" s="114"/>
      <c r="L530" s="114"/>
      <c r="M530" s="114"/>
      <c r="N530" s="114"/>
      <c r="O530" s="114"/>
      <c r="P530" s="114"/>
      <c r="Q530" s="114"/>
      <c r="R530" s="114"/>
      <c r="S530" s="114"/>
      <c r="T530" s="114"/>
      <c r="U530" s="114"/>
      <c r="V530" s="114"/>
      <c r="W530" s="114"/>
      <c r="X530" s="114"/>
      <c r="Y530" s="114"/>
      <c r="Z530" s="114"/>
      <c r="AA530" s="114"/>
      <c r="AB530" s="114"/>
      <c r="AC530" s="114"/>
      <c r="AD530" s="114"/>
      <c r="AE530" s="114"/>
      <c r="AF530" s="114"/>
      <c r="AG530" s="114"/>
      <c r="AH530" s="114"/>
      <c r="AI530" s="114"/>
      <c r="AJ530" s="114"/>
      <c r="AK530" s="114"/>
    </row>
    <row r="531" ht="15.75" customHeight="1">
      <c r="A531" s="114"/>
      <c r="B531" s="114"/>
      <c r="C531" s="114"/>
      <c r="D531" s="114"/>
      <c r="E531" s="114"/>
      <c r="F531" s="114"/>
      <c r="G531" s="114"/>
      <c r="H531" s="114"/>
      <c r="I531" s="114"/>
      <c r="J531" s="114"/>
      <c r="K531" s="114"/>
      <c r="L531" s="114"/>
      <c r="M531" s="114"/>
      <c r="N531" s="114"/>
      <c r="O531" s="114"/>
      <c r="P531" s="114"/>
      <c r="Q531" s="114"/>
      <c r="R531" s="114"/>
      <c r="S531" s="114"/>
      <c r="T531" s="114"/>
      <c r="U531" s="114"/>
      <c r="V531" s="114"/>
      <c r="W531" s="114"/>
      <c r="X531" s="114"/>
      <c r="Y531" s="114"/>
      <c r="Z531" s="114"/>
      <c r="AA531" s="114"/>
      <c r="AB531" s="114"/>
      <c r="AC531" s="114"/>
      <c r="AD531" s="114"/>
      <c r="AE531" s="114"/>
      <c r="AF531" s="114"/>
      <c r="AG531" s="114"/>
      <c r="AH531" s="114"/>
      <c r="AI531" s="114"/>
      <c r="AJ531" s="114"/>
      <c r="AK531" s="114"/>
    </row>
    <row r="532" ht="15.75" customHeight="1">
      <c r="A532" s="114"/>
      <c r="B532" s="114"/>
      <c r="C532" s="114"/>
      <c r="D532" s="114"/>
      <c r="E532" s="114"/>
      <c r="F532" s="114"/>
      <c r="G532" s="114"/>
      <c r="H532" s="114"/>
      <c r="I532" s="114"/>
      <c r="J532" s="114"/>
      <c r="K532" s="114"/>
      <c r="L532" s="114"/>
      <c r="M532" s="114"/>
      <c r="N532" s="114"/>
      <c r="O532" s="114"/>
      <c r="P532" s="114"/>
      <c r="Q532" s="114"/>
      <c r="R532" s="114"/>
      <c r="S532" s="114"/>
      <c r="T532" s="114"/>
      <c r="U532" s="114"/>
      <c r="V532" s="114"/>
      <c r="W532" s="114"/>
      <c r="X532" s="114"/>
      <c r="Y532" s="114"/>
      <c r="Z532" s="114"/>
      <c r="AA532" s="114"/>
      <c r="AB532" s="114"/>
      <c r="AC532" s="114"/>
      <c r="AD532" s="114"/>
      <c r="AE532" s="114"/>
      <c r="AF532" s="114"/>
      <c r="AG532" s="114"/>
      <c r="AH532" s="114"/>
      <c r="AI532" s="114"/>
      <c r="AJ532" s="114"/>
      <c r="AK532" s="114"/>
    </row>
    <row r="533" ht="15.75" customHeight="1">
      <c r="A533" s="114"/>
      <c r="B533" s="114"/>
      <c r="C533" s="114"/>
      <c r="D533" s="114"/>
      <c r="E533" s="114"/>
      <c r="F533" s="114"/>
      <c r="G533" s="114"/>
      <c r="H533" s="114"/>
      <c r="I533" s="114"/>
      <c r="J533" s="114"/>
      <c r="K533" s="114"/>
      <c r="L533" s="114"/>
      <c r="M533" s="114"/>
      <c r="N533" s="114"/>
      <c r="O533" s="114"/>
      <c r="P533" s="114"/>
      <c r="Q533" s="114"/>
      <c r="R533" s="114"/>
      <c r="S533" s="114"/>
      <c r="T533" s="114"/>
      <c r="U533" s="114"/>
      <c r="V533" s="114"/>
      <c r="W533" s="114"/>
      <c r="X533" s="114"/>
      <c r="Y533" s="114"/>
      <c r="Z533" s="114"/>
      <c r="AA533" s="114"/>
      <c r="AB533" s="114"/>
      <c r="AC533" s="114"/>
      <c r="AD533" s="114"/>
      <c r="AE533" s="114"/>
      <c r="AF533" s="114"/>
      <c r="AG533" s="114"/>
      <c r="AH533" s="114"/>
      <c r="AI533" s="114"/>
      <c r="AJ533" s="114"/>
      <c r="AK533" s="114"/>
    </row>
    <row r="534" ht="15.75" customHeight="1">
      <c r="A534" s="114"/>
      <c r="B534" s="114"/>
      <c r="C534" s="114"/>
      <c r="D534" s="114"/>
      <c r="E534" s="114"/>
      <c r="F534" s="114"/>
      <c r="G534" s="114"/>
      <c r="H534" s="114"/>
      <c r="I534" s="114"/>
      <c r="J534" s="114"/>
      <c r="K534" s="114"/>
      <c r="L534" s="114"/>
      <c r="M534" s="114"/>
      <c r="N534" s="114"/>
      <c r="O534" s="114"/>
      <c r="P534" s="114"/>
      <c r="Q534" s="114"/>
      <c r="R534" s="114"/>
      <c r="S534" s="114"/>
      <c r="T534" s="114"/>
      <c r="U534" s="114"/>
      <c r="V534" s="114"/>
      <c r="W534" s="114"/>
      <c r="X534" s="114"/>
      <c r="Y534" s="114"/>
      <c r="Z534" s="114"/>
      <c r="AA534" s="114"/>
      <c r="AB534" s="114"/>
      <c r="AC534" s="114"/>
      <c r="AD534" s="114"/>
      <c r="AE534" s="114"/>
      <c r="AF534" s="114"/>
      <c r="AG534" s="114"/>
      <c r="AH534" s="114"/>
      <c r="AI534" s="114"/>
      <c r="AJ534" s="114"/>
      <c r="AK534" s="114"/>
    </row>
    <row r="535" ht="15.75" customHeight="1">
      <c r="A535" s="114"/>
      <c r="B535" s="114"/>
      <c r="C535" s="114"/>
      <c r="D535" s="114"/>
      <c r="E535" s="114"/>
      <c r="F535" s="114"/>
      <c r="G535" s="114"/>
      <c r="H535" s="114"/>
      <c r="I535" s="114"/>
      <c r="J535" s="114"/>
      <c r="K535" s="114"/>
      <c r="L535" s="114"/>
      <c r="M535" s="114"/>
      <c r="N535" s="114"/>
      <c r="O535" s="114"/>
      <c r="P535" s="114"/>
      <c r="Q535" s="114"/>
      <c r="R535" s="114"/>
      <c r="S535" s="114"/>
      <c r="T535" s="114"/>
      <c r="U535" s="114"/>
      <c r="V535" s="114"/>
      <c r="W535" s="114"/>
      <c r="X535" s="114"/>
      <c r="Y535" s="114"/>
      <c r="Z535" s="114"/>
      <c r="AA535" s="114"/>
      <c r="AB535" s="114"/>
      <c r="AC535" s="114"/>
      <c r="AD535" s="114"/>
      <c r="AE535" s="114"/>
      <c r="AF535" s="114"/>
      <c r="AG535" s="114"/>
      <c r="AH535" s="114"/>
      <c r="AI535" s="114"/>
      <c r="AJ535" s="114"/>
      <c r="AK535" s="114"/>
    </row>
    <row r="536" ht="15.75" customHeight="1">
      <c r="A536" s="114"/>
      <c r="B536" s="114"/>
      <c r="C536" s="114"/>
      <c r="D536" s="114"/>
      <c r="E536" s="114"/>
      <c r="F536" s="114"/>
      <c r="G536" s="114"/>
      <c r="H536" s="114"/>
      <c r="I536" s="114"/>
      <c r="J536" s="114"/>
      <c r="K536" s="114"/>
      <c r="L536" s="114"/>
      <c r="M536" s="114"/>
      <c r="N536" s="114"/>
      <c r="O536" s="114"/>
      <c r="P536" s="114"/>
      <c r="Q536" s="114"/>
      <c r="R536" s="114"/>
      <c r="S536" s="114"/>
      <c r="T536" s="114"/>
      <c r="U536" s="114"/>
      <c r="V536" s="114"/>
      <c r="W536" s="114"/>
      <c r="X536" s="114"/>
      <c r="Y536" s="114"/>
      <c r="Z536" s="114"/>
      <c r="AA536" s="114"/>
      <c r="AB536" s="114"/>
      <c r="AC536" s="114"/>
      <c r="AD536" s="114"/>
      <c r="AE536" s="114"/>
      <c r="AF536" s="114"/>
      <c r="AG536" s="114"/>
      <c r="AH536" s="114"/>
      <c r="AI536" s="114"/>
      <c r="AJ536" s="114"/>
      <c r="AK536" s="114"/>
    </row>
    <row r="537" ht="15.75" customHeight="1">
      <c r="A537" s="114"/>
      <c r="B537" s="114"/>
      <c r="C537" s="114"/>
      <c r="D537" s="114"/>
      <c r="E537" s="114"/>
      <c r="F537" s="114"/>
      <c r="G537" s="114"/>
      <c r="H537" s="114"/>
      <c r="I537" s="114"/>
      <c r="J537" s="114"/>
      <c r="K537" s="114"/>
      <c r="L537" s="114"/>
      <c r="M537" s="114"/>
      <c r="N537" s="114"/>
      <c r="O537" s="114"/>
      <c r="P537" s="114"/>
      <c r="Q537" s="114"/>
      <c r="R537" s="114"/>
      <c r="S537" s="114"/>
      <c r="T537" s="114"/>
      <c r="U537" s="114"/>
      <c r="V537" s="114"/>
      <c r="W537" s="114"/>
      <c r="X537" s="114"/>
      <c r="Y537" s="114"/>
      <c r="Z537" s="114"/>
      <c r="AA537" s="114"/>
      <c r="AB537" s="114"/>
      <c r="AC537" s="114"/>
      <c r="AD537" s="114"/>
      <c r="AE537" s="114"/>
      <c r="AF537" s="114"/>
      <c r="AG537" s="114"/>
      <c r="AH537" s="114"/>
      <c r="AI537" s="114"/>
      <c r="AJ537" s="114"/>
      <c r="AK537" s="114"/>
    </row>
    <row r="538" ht="15.75" customHeight="1">
      <c r="A538" s="114"/>
      <c r="B538" s="114"/>
      <c r="C538" s="114"/>
      <c r="D538" s="114"/>
      <c r="E538" s="114"/>
      <c r="F538" s="114"/>
      <c r="G538" s="114"/>
      <c r="H538" s="114"/>
      <c r="I538" s="114"/>
      <c r="J538" s="114"/>
      <c r="K538" s="114"/>
      <c r="L538" s="114"/>
      <c r="M538" s="114"/>
      <c r="N538" s="114"/>
      <c r="O538" s="114"/>
      <c r="P538" s="114"/>
      <c r="Q538" s="114"/>
      <c r="R538" s="114"/>
      <c r="S538" s="114"/>
      <c r="T538" s="114"/>
      <c r="U538" s="114"/>
      <c r="V538" s="114"/>
      <c r="W538" s="114"/>
      <c r="X538" s="114"/>
      <c r="Y538" s="114"/>
      <c r="Z538" s="114"/>
      <c r="AA538" s="114"/>
      <c r="AB538" s="114"/>
      <c r="AC538" s="114"/>
      <c r="AD538" s="114"/>
      <c r="AE538" s="114"/>
      <c r="AF538" s="114"/>
      <c r="AG538" s="114"/>
      <c r="AH538" s="114"/>
      <c r="AI538" s="114"/>
      <c r="AJ538" s="114"/>
      <c r="AK538" s="114"/>
    </row>
    <row r="539" ht="15.75" customHeight="1">
      <c r="A539" s="114"/>
      <c r="B539" s="114"/>
      <c r="C539" s="114"/>
      <c r="D539" s="114"/>
      <c r="E539" s="114"/>
      <c r="F539" s="114"/>
      <c r="G539" s="114"/>
      <c r="H539" s="114"/>
      <c r="I539" s="114"/>
      <c r="J539" s="114"/>
      <c r="K539" s="114"/>
      <c r="L539" s="114"/>
      <c r="M539" s="114"/>
      <c r="N539" s="114"/>
      <c r="O539" s="114"/>
      <c r="P539" s="114"/>
      <c r="Q539" s="114"/>
      <c r="R539" s="114"/>
      <c r="S539" s="114"/>
      <c r="T539" s="114"/>
      <c r="U539" s="114"/>
      <c r="V539" s="114"/>
      <c r="W539" s="114"/>
      <c r="X539" s="114"/>
      <c r="Y539" s="114"/>
      <c r="Z539" s="114"/>
      <c r="AA539" s="114"/>
      <c r="AB539" s="114"/>
      <c r="AC539" s="114"/>
      <c r="AD539" s="114"/>
      <c r="AE539" s="114"/>
      <c r="AF539" s="114"/>
      <c r="AG539" s="114"/>
      <c r="AH539" s="114"/>
      <c r="AI539" s="114"/>
      <c r="AJ539" s="114"/>
      <c r="AK539" s="114"/>
    </row>
    <row r="540" ht="15.75" customHeight="1">
      <c r="A540" s="114"/>
      <c r="B540" s="114"/>
      <c r="C540" s="114"/>
      <c r="D540" s="114"/>
      <c r="E540" s="114"/>
      <c r="F540" s="114"/>
      <c r="G540" s="114"/>
      <c r="H540" s="114"/>
      <c r="I540" s="114"/>
      <c r="J540" s="114"/>
      <c r="K540" s="114"/>
      <c r="L540" s="114"/>
      <c r="M540" s="114"/>
      <c r="N540" s="114"/>
      <c r="O540" s="114"/>
      <c r="P540" s="114"/>
      <c r="Q540" s="114"/>
      <c r="R540" s="114"/>
      <c r="S540" s="114"/>
      <c r="T540" s="114"/>
      <c r="U540" s="114"/>
      <c r="V540" s="114"/>
      <c r="W540" s="114"/>
      <c r="X540" s="114"/>
      <c r="Y540" s="114"/>
      <c r="Z540" s="114"/>
      <c r="AA540" s="114"/>
      <c r="AB540" s="114"/>
      <c r="AC540" s="114"/>
      <c r="AD540" s="114"/>
      <c r="AE540" s="114"/>
      <c r="AF540" s="114"/>
      <c r="AG540" s="114"/>
      <c r="AH540" s="114"/>
      <c r="AI540" s="114"/>
      <c r="AJ540" s="114"/>
      <c r="AK540" s="114"/>
    </row>
    <row r="541" ht="15.75" customHeight="1">
      <c r="A541" s="114"/>
      <c r="B541" s="114"/>
      <c r="C541" s="114"/>
      <c r="D541" s="114"/>
      <c r="E541" s="114"/>
      <c r="F541" s="114"/>
      <c r="G541" s="114"/>
      <c r="H541" s="114"/>
      <c r="I541" s="114"/>
      <c r="J541" s="114"/>
      <c r="K541" s="114"/>
      <c r="L541" s="114"/>
      <c r="M541" s="114"/>
      <c r="N541" s="114"/>
      <c r="O541" s="114"/>
      <c r="P541" s="114"/>
      <c r="Q541" s="114"/>
      <c r="R541" s="114"/>
      <c r="S541" s="114"/>
      <c r="T541" s="114"/>
      <c r="U541" s="114"/>
      <c r="V541" s="114"/>
      <c r="W541" s="114"/>
      <c r="X541" s="114"/>
      <c r="Y541" s="114"/>
      <c r="Z541" s="114"/>
      <c r="AA541" s="114"/>
      <c r="AB541" s="114"/>
      <c r="AC541" s="114"/>
      <c r="AD541" s="114"/>
      <c r="AE541" s="114"/>
      <c r="AF541" s="114"/>
      <c r="AG541" s="114"/>
      <c r="AH541" s="114"/>
      <c r="AI541" s="114"/>
      <c r="AJ541" s="114"/>
      <c r="AK541" s="114"/>
    </row>
    <row r="542" ht="15.75" customHeight="1">
      <c r="A542" s="114"/>
      <c r="B542" s="114"/>
      <c r="C542" s="114"/>
      <c r="D542" s="114"/>
      <c r="E542" s="114"/>
      <c r="F542" s="114"/>
      <c r="G542" s="114"/>
      <c r="H542" s="114"/>
      <c r="I542" s="114"/>
      <c r="J542" s="114"/>
      <c r="K542" s="114"/>
      <c r="L542" s="114"/>
      <c r="M542" s="114"/>
      <c r="N542" s="114"/>
      <c r="O542" s="114"/>
      <c r="P542" s="114"/>
      <c r="Q542" s="114"/>
      <c r="R542" s="114"/>
      <c r="S542" s="114"/>
      <c r="T542" s="114"/>
      <c r="U542" s="114"/>
      <c r="V542" s="114"/>
      <c r="W542" s="114"/>
      <c r="X542" s="114"/>
      <c r="Y542" s="114"/>
      <c r="Z542" s="114"/>
      <c r="AA542" s="114"/>
      <c r="AB542" s="114"/>
      <c r="AC542" s="114"/>
      <c r="AD542" s="114"/>
      <c r="AE542" s="114"/>
      <c r="AF542" s="114"/>
      <c r="AG542" s="114"/>
      <c r="AH542" s="114"/>
      <c r="AI542" s="114"/>
      <c r="AJ542" s="114"/>
      <c r="AK542" s="114"/>
    </row>
    <row r="543" ht="15.75" customHeight="1">
      <c r="A543" s="114"/>
      <c r="B543" s="114"/>
      <c r="C543" s="114"/>
      <c r="D543" s="114"/>
      <c r="E543" s="114"/>
      <c r="F543" s="114"/>
      <c r="G543" s="114"/>
      <c r="H543" s="114"/>
      <c r="I543" s="114"/>
      <c r="J543" s="114"/>
      <c r="K543" s="114"/>
      <c r="L543" s="114"/>
      <c r="M543" s="114"/>
      <c r="N543" s="114"/>
      <c r="O543" s="114"/>
      <c r="P543" s="114"/>
      <c r="Q543" s="114"/>
      <c r="R543" s="114"/>
      <c r="S543" s="114"/>
      <c r="T543" s="114"/>
      <c r="U543" s="114"/>
      <c r="V543" s="114"/>
      <c r="W543" s="114"/>
      <c r="X543" s="114"/>
      <c r="Y543" s="114"/>
      <c r="Z543" s="114"/>
      <c r="AA543" s="114"/>
      <c r="AB543" s="114"/>
      <c r="AC543" s="114"/>
      <c r="AD543" s="114"/>
      <c r="AE543" s="114"/>
      <c r="AF543" s="114"/>
      <c r="AG543" s="114"/>
      <c r="AH543" s="114"/>
      <c r="AI543" s="114"/>
      <c r="AJ543" s="114"/>
      <c r="AK543" s="114"/>
    </row>
    <row r="544" ht="15.75" customHeight="1">
      <c r="A544" s="114"/>
      <c r="B544" s="114"/>
      <c r="C544" s="114"/>
      <c r="D544" s="114"/>
      <c r="E544" s="114"/>
      <c r="F544" s="114"/>
      <c r="G544" s="114"/>
      <c r="H544" s="114"/>
      <c r="I544" s="114"/>
      <c r="J544" s="114"/>
      <c r="K544" s="114"/>
      <c r="L544" s="114"/>
      <c r="M544" s="114"/>
      <c r="N544" s="114"/>
      <c r="O544" s="114"/>
      <c r="P544" s="114"/>
      <c r="Q544" s="114"/>
      <c r="R544" s="114"/>
      <c r="S544" s="114"/>
      <c r="T544" s="114"/>
      <c r="U544" s="114"/>
      <c r="V544" s="114"/>
      <c r="W544" s="114"/>
      <c r="X544" s="114"/>
      <c r="Y544" s="114"/>
      <c r="Z544" s="114"/>
      <c r="AA544" s="114"/>
      <c r="AB544" s="114"/>
      <c r="AC544" s="114"/>
      <c r="AD544" s="114"/>
      <c r="AE544" s="114"/>
      <c r="AF544" s="114"/>
      <c r="AG544" s="114"/>
      <c r="AH544" s="114"/>
      <c r="AI544" s="114"/>
      <c r="AJ544" s="114"/>
      <c r="AK544" s="114"/>
    </row>
    <row r="545" ht="15.75" customHeight="1">
      <c r="A545" s="114"/>
      <c r="B545" s="114"/>
      <c r="C545" s="114"/>
      <c r="D545" s="114"/>
      <c r="E545" s="114"/>
      <c r="F545" s="114"/>
      <c r="G545" s="114"/>
      <c r="H545" s="114"/>
      <c r="I545" s="114"/>
      <c r="J545" s="114"/>
      <c r="K545" s="114"/>
      <c r="L545" s="114"/>
      <c r="M545" s="114"/>
      <c r="N545" s="114"/>
      <c r="O545" s="114"/>
      <c r="P545" s="114"/>
      <c r="Q545" s="114"/>
      <c r="R545" s="114"/>
      <c r="S545" s="114"/>
      <c r="T545" s="114"/>
      <c r="U545" s="114"/>
      <c r="V545" s="114"/>
      <c r="W545" s="114"/>
      <c r="X545" s="114"/>
      <c r="Y545" s="114"/>
      <c r="Z545" s="114"/>
      <c r="AA545" s="114"/>
      <c r="AB545" s="114"/>
      <c r="AC545" s="114"/>
      <c r="AD545" s="114"/>
      <c r="AE545" s="114"/>
      <c r="AF545" s="114"/>
      <c r="AG545" s="114"/>
      <c r="AH545" s="114"/>
      <c r="AI545" s="114"/>
      <c r="AJ545" s="114"/>
      <c r="AK545" s="114"/>
    </row>
    <row r="546" ht="15.75" customHeight="1">
      <c r="A546" s="114"/>
      <c r="B546" s="114"/>
      <c r="C546" s="114"/>
      <c r="D546" s="114"/>
      <c r="E546" s="114"/>
      <c r="F546" s="114"/>
      <c r="G546" s="114"/>
      <c r="H546" s="114"/>
      <c r="I546" s="114"/>
      <c r="J546" s="114"/>
      <c r="K546" s="114"/>
      <c r="L546" s="114"/>
      <c r="M546" s="114"/>
      <c r="N546" s="114"/>
      <c r="O546" s="114"/>
      <c r="P546" s="114"/>
      <c r="Q546" s="114"/>
      <c r="R546" s="114"/>
      <c r="S546" s="114"/>
      <c r="T546" s="114"/>
      <c r="U546" s="114"/>
      <c r="V546" s="114"/>
      <c r="W546" s="114"/>
      <c r="X546" s="114"/>
      <c r="Y546" s="114"/>
      <c r="Z546" s="114"/>
      <c r="AA546" s="114"/>
      <c r="AB546" s="114"/>
      <c r="AC546" s="114"/>
      <c r="AD546" s="114"/>
      <c r="AE546" s="114"/>
      <c r="AF546" s="114"/>
      <c r="AG546" s="114"/>
      <c r="AH546" s="114"/>
      <c r="AI546" s="114"/>
      <c r="AJ546" s="114"/>
      <c r="AK546" s="114"/>
    </row>
    <row r="547" ht="15.75" customHeight="1">
      <c r="A547" s="114"/>
      <c r="B547" s="114"/>
      <c r="C547" s="114"/>
      <c r="D547" s="114"/>
      <c r="E547" s="114"/>
      <c r="F547" s="114"/>
      <c r="G547" s="114"/>
      <c r="H547" s="114"/>
      <c r="I547" s="114"/>
      <c r="J547" s="114"/>
      <c r="K547" s="114"/>
      <c r="L547" s="114"/>
      <c r="M547" s="114"/>
      <c r="N547" s="114"/>
      <c r="O547" s="114"/>
      <c r="P547" s="114"/>
      <c r="Q547" s="114"/>
      <c r="R547" s="114"/>
      <c r="S547" s="114"/>
      <c r="T547" s="114"/>
      <c r="U547" s="114"/>
      <c r="V547" s="114"/>
      <c r="W547" s="114"/>
      <c r="X547" s="114"/>
      <c r="Y547" s="114"/>
      <c r="Z547" s="114"/>
      <c r="AA547" s="114"/>
      <c r="AB547" s="114"/>
      <c r="AC547" s="114"/>
      <c r="AD547" s="114"/>
      <c r="AE547" s="114"/>
      <c r="AF547" s="114"/>
      <c r="AG547" s="114"/>
      <c r="AH547" s="114"/>
      <c r="AI547" s="114"/>
      <c r="AJ547" s="114"/>
      <c r="AK547" s="114"/>
    </row>
    <row r="548" ht="15.75" customHeight="1">
      <c r="A548" s="114"/>
      <c r="B548" s="114"/>
      <c r="C548" s="114"/>
      <c r="D548" s="114"/>
      <c r="E548" s="114"/>
      <c r="F548" s="114"/>
      <c r="G548" s="114"/>
      <c r="H548" s="114"/>
      <c r="I548" s="114"/>
      <c r="J548" s="114"/>
      <c r="K548" s="114"/>
      <c r="L548" s="114"/>
      <c r="M548" s="114"/>
      <c r="N548" s="114"/>
      <c r="O548" s="114"/>
      <c r="P548" s="114"/>
      <c r="Q548" s="114"/>
      <c r="R548" s="114"/>
      <c r="S548" s="114"/>
      <c r="T548" s="114"/>
      <c r="U548" s="114"/>
      <c r="V548" s="114"/>
      <c r="W548" s="114"/>
      <c r="X548" s="114"/>
      <c r="Y548" s="114"/>
      <c r="Z548" s="114"/>
      <c r="AA548" s="114"/>
      <c r="AB548" s="114"/>
      <c r="AC548" s="114"/>
      <c r="AD548" s="114"/>
      <c r="AE548" s="114"/>
      <c r="AF548" s="114"/>
      <c r="AG548" s="114"/>
      <c r="AH548" s="114"/>
      <c r="AI548" s="114"/>
      <c r="AJ548" s="114"/>
      <c r="AK548" s="114"/>
    </row>
    <row r="549" ht="15.75" customHeight="1">
      <c r="A549" s="114"/>
      <c r="B549" s="114"/>
      <c r="C549" s="114"/>
      <c r="D549" s="114"/>
      <c r="E549" s="114"/>
      <c r="F549" s="114"/>
      <c r="G549" s="114"/>
      <c r="H549" s="114"/>
      <c r="I549" s="114"/>
      <c r="J549" s="114"/>
      <c r="K549" s="114"/>
      <c r="L549" s="114"/>
      <c r="M549" s="114"/>
      <c r="N549" s="114"/>
      <c r="O549" s="114"/>
      <c r="P549" s="114"/>
      <c r="Q549" s="114"/>
      <c r="R549" s="114"/>
      <c r="S549" s="114"/>
      <c r="T549" s="114"/>
      <c r="U549" s="114"/>
      <c r="V549" s="114"/>
      <c r="W549" s="114"/>
      <c r="X549" s="114"/>
      <c r="Y549" s="114"/>
      <c r="Z549" s="114"/>
      <c r="AA549" s="114"/>
      <c r="AB549" s="114"/>
      <c r="AC549" s="114"/>
      <c r="AD549" s="114"/>
      <c r="AE549" s="114"/>
      <c r="AF549" s="114"/>
      <c r="AG549" s="114"/>
      <c r="AH549" s="114"/>
      <c r="AI549" s="114"/>
      <c r="AJ549" s="114"/>
      <c r="AK549" s="114"/>
    </row>
    <row r="550" ht="15.75" customHeight="1">
      <c r="A550" s="114"/>
      <c r="B550" s="114"/>
      <c r="C550" s="114"/>
      <c r="D550" s="114"/>
      <c r="E550" s="114"/>
      <c r="F550" s="114"/>
      <c r="G550" s="114"/>
      <c r="H550" s="114"/>
      <c r="I550" s="114"/>
      <c r="J550" s="114"/>
      <c r="K550" s="114"/>
      <c r="L550" s="114"/>
      <c r="M550" s="114"/>
      <c r="N550" s="114"/>
      <c r="O550" s="114"/>
      <c r="P550" s="114"/>
      <c r="Q550" s="114"/>
      <c r="R550" s="114"/>
      <c r="S550" s="114"/>
      <c r="T550" s="114"/>
      <c r="U550" s="114"/>
      <c r="V550" s="114"/>
      <c r="W550" s="114"/>
      <c r="X550" s="114"/>
      <c r="Y550" s="114"/>
      <c r="Z550" s="114"/>
      <c r="AA550" s="114"/>
      <c r="AB550" s="114"/>
      <c r="AC550" s="114"/>
      <c r="AD550" s="114"/>
      <c r="AE550" s="114"/>
      <c r="AF550" s="114"/>
      <c r="AG550" s="114"/>
      <c r="AH550" s="114"/>
      <c r="AI550" s="114"/>
      <c r="AJ550" s="114"/>
      <c r="AK550" s="114"/>
    </row>
    <row r="551" ht="15.75" customHeight="1">
      <c r="A551" s="114"/>
      <c r="B551" s="114"/>
      <c r="C551" s="114"/>
      <c r="D551" s="114"/>
      <c r="E551" s="114"/>
      <c r="F551" s="114"/>
      <c r="G551" s="114"/>
      <c r="H551" s="114"/>
      <c r="I551" s="114"/>
      <c r="J551" s="114"/>
      <c r="K551" s="114"/>
      <c r="L551" s="114"/>
      <c r="M551" s="114"/>
      <c r="N551" s="114"/>
      <c r="O551" s="114"/>
      <c r="P551" s="114"/>
      <c r="Q551" s="114"/>
      <c r="R551" s="114"/>
      <c r="S551" s="114"/>
      <c r="T551" s="114"/>
      <c r="U551" s="114"/>
      <c r="V551" s="114"/>
      <c r="W551" s="114"/>
      <c r="X551" s="114"/>
      <c r="Y551" s="114"/>
      <c r="Z551" s="114"/>
      <c r="AA551" s="114"/>
      <c r="AB551" s="114"/>
      <c r="AC551" s="114"/>
      <c r="AD551" s="114"/>
      <c r="AE551" s="114"/>
      <c r="AF551" s="114"/>
      <c r="AG551" s="114"/>
      <c r="AH551" s="114"/>
      <c r="AI551" s="114"/>
      <c r="AJ551" s="114"/>
      <c r="AK551" s="114"/>
    </row>
    <row r="552" ht="15.75" customHeight="1">
      <c r="A552" s="114"/>
      <c r="B552" s="114"/>
      <c r="C552" s="114"/>
      <c r="D552" s="114"/>
      <c r="E552" s="114"/>
      <c r="F552" s="114"/>
      <c r="G552" s="114"/>
      <c r="H552" s="114"/>
      <c r="I552" s="114"/>
      <c r="J552" s="114"/>
      <c r="K552" s="114"/>
      <c r="L552" s="114"/>
      <c r="M552" s="114"/>
      <c r="N552" s="114"/>
      <c r="O552" s="114"/>
      <c r="P552" s="114"/>
      <c r="Q552" s="114"/>
      <c r="R552" s="114"/>
      <c r="S552" s="114"/>
      <c r="T552" s="114"/>
      <c r="U552" s="114"/>
      <c r="V552" s="114"/>
      <c r="W552" s="114"/>
      <c r="X552" s="114"/>
      <c r="Y552" s="114"/>
      <c r="Z552" s="114"/>
      <c r="AA552" s="114"/>
      <c r="AB552" s="114"/>
      <c r="AC552" s="114"/>
      <c r="AD552" s="114"/>
      <c r="AE552" s="114"/>
      <c r="AF552" s="114"/>
      <c r="AG552" s="114"/>
      <c r="AH552" s="114"/>
      <c r="AI552" s="114"/>
      <c r="AJ552" s="114"/>
      <c r="AK552" s="114"/>
    </row>
    <row r="553" ht="15.75" customHeight="1">
      <c r="A553" s="114"/>
      <c r="B553" s="114"/>
      <c r="C553" s="114"/>
      <c r="D553" s="114"/>
      <c r="E553" s="114"/>
      <c r="F553" s="114"/>
      <c r="G553" s="114"/>
      <c r="H553" s="114"/>
      <c r="I553" s="114"/>
      <c r="J553" s="114"/>
      <c r="K553" s="114"/>
      <c r="L553" s="114"/>
      <c r="M553" s="114"/>
      <c r="N553" s="114"/>
      <c r="O553" s="114"/>
      <c r="P553" s="114"/>
      <c r="Q553" s="114"/>
      <c r="R553" s="114"/>
      <c r="S553" s="114"/>
      <c r="T553" s="114"/>
      <c r="U553" s="114"/>
      <c r="V553" s="114"/>
      <c r="W553" s="114"/>
      <c r="X553" s="114"/>
      <c r="Y553" s="114"/>
      <c r="Z553" s="114"/>
      <c r="AA553" s="114"/>
      <c r="AB553" s="114"/>
      <c r="AC553" s="114"/>
      <c r="AD553" s="114"/>
      <c r="AE553" s="114"/>
      <c r="AF553" s="114"/>
      <c r="AG553" s="114"/>
      <c r="AH553" s="114"/>
      <c r="AI553" s="114"/>
      <c r="AJ553" s="114"/>
      <c r="AK553" s="114"/>
    </row>
    <row r="554" ht="15.75" customHeight="1">
      <c r="A554" s="114"/>
      <c r="B554" s="114"/>
      <c r="C554" s="114"/>
      <c r="D554" s="114"/>
      <c r="E554" s="114"/>
      <c r="F554" s="114"/>
      <c r="G554" s="114"/>
      <c r="H554" s="114"/>
      <c r="I554" s="114"/>
      <c r="J554" s="114"/>
      <c r="K554" s="114"/>
      <c r="L554" s="114"/>
      <c r="M554" s="114"/>
      <c r="N554" s="114"/>
      <c r="O554" s="114"/>
      <c r="P554" s="114"/>
      <c r="Q554" s="114"/>
      <c r="R554" s="114"/>
      <c r="S554" s="114"/>
      <c r="T554" s="114"/>
      <c r="U554" s="114"/>
      <c r="V554" s="114"/>
      <c r="W554" s="114"/>
      <c r="X554" s="114"/>
      <c r="Y554" s="114"/>
      <c r="Z554" s="114"/>
      <c r="AA554" s="114"/>
      <c r="AB554" s="114"/>
      <c r="AC554" s="114"/>
      <c r="AD554" s="114"/>
      <c r="AE554" s="114"/>
      <c r="AF554" s="114"/>
      <c r="AG554" s="114"/>
      <c r="AH554" s="114"/>
      <c r="AI554" s="114"/>
      <c r="AJ554" s="114"/>
      <c r="AK554" s="114"/>
    </row>
    <row r="555" ht="15.75" customHeight="1">
      <c r="A555" s="114"/>
      <c r="B555" s="114"/>
      <c r="C555" s="114"/>
      <c r="D555" s="114"/>
      <c r="E555" s="114"/>
      <c r="F555" s="114"/>
      <c r="G555" s="114"/>
      <c r="H555" s="114"/>
      <c r="I555" s="114"/>
      <c r="J555" s="114"/>
      <c r="K555" s="114"/>
      <c r="L555" s="114"/>
      <c r="M555" s="114"/>
      <c r="N555" s="114"/>
      <c r="O555" s="114"/>
      <c r="P555" s="114"/>
      <c r="Q555" s="114"/>
      <c r="R555" s="114"/>
      <c r="S555" s="114"/>
      <c r="T555" s="114"/>
      <c r="U555" s="114"/>
      <c r="V555" s="114"/>
      <c r="W555" s="114"/>
      <c r="X555" s="114"/>
      <c r="Y555" s="114"/>
      <c r="Z555" s="114"/>
      <c r="AA555" s="114"/>
      <c r="AB555" s="114"/>
      <c r="AC555" s="114"/>
      <c r="AD555" s="114"/>
      <c r="AE555" s="114"/>
      <c r="AF555" s="114"/>
      <c r="AG555" s="114"/>
      <c r="AH555" s="114"/>
      <c r="AI555" s="114"/>
      <c r="AJ555" s="114"/>
      <c r="AK555" s="114"/>
    </row>
    <row r="556" ht="15.75" customHeight="1">
      <c r="A556" s="114"/>
      <c r="B556" s="114"/>
      <c r="C556" s="114"/>
      <c r="D556" s="114"/>
      <c r="E556" s="114"/>
      <c r="F556" s="114"/>
      <c r="G556" s="114"/>
      <c r="H556" s="114"/>
      <c r="I556" s="114"/>
      <c r="J556" s="114"/>
      <c r="K556" s="114"/>
      <c r="L556" s="114"/>
      <c r="M556" s="114"/>
      <c r="N556" s="114"/>
      <c r="O556" s="114"/>
      <c r="P556" s="114"/>
      <c r="Q556" s="114"/>
      <c r="R556" s="114"/>
      <c r="S556" s="114"/>
      <c r="T556" s="114"/>
      <c r="U556" s="114"/>
      <c r="V556" s="114"/>
      <c r="W556" s="114"/>
      <c r="X556" s="114"/>
      <c r="Y556" s="114"/>
      <c r="Z556" s="114"/>
      <c r="AA556" s="114"/>
      <c r="AB556" s="114"/>
      <c r="AC556" s="114"/>
      <c r="AD556" s="114"/>
      <c r="AE556" s="114"/>
      <c r="AF556" s="114"/>
      <c r="AG556" s="114"/>
      <c r="AH556" s="114"/>
      <c r="AI556" s="114"/>
      <c r="AJ556" s="114"/>
      <c r="AK556" s="114"/>
    </row>
    <row r="557" ht="15.75" customHeight="1">
      <c r="A557" s="114"/>
      <c r="B557" s="114"/>
      <c r="C557" s="114"/>
      <c r="D557" s="114"/>
      <c r="E557" s="114"/>
      <c r="F557" s="114"/>
      <c r="G557" s="114"/>
      <c r="H557" s="114"/>
      <c r="I557" s="114"/>
      <c r="J557" s="114"/>
      <c r="K557" s="114"/>
      <c r="L557" s="114"/>
      <c r="M557" s="114"/>
      <c r="N557" s="114"/>
      <c r="O557" s="114"/>
      <c r="P557" s="114"/>
      <c r="Q557" s="114"/>
      <c r="R557" s="114"/>
      <c r="S557" s="114"/>
      <c r="T557" s="114"/>
      <c r="U557" s="114"/>
      <c r="V557" s="114"/>
      <c r="W557" s="114"/>
      <c r="X557" s="114"/>
      <c r="Y557" s="114"/>
      <c r="Z557" s="114"/>
      <c r="AA557" s="114"/>
      <c r="AB557" s="114"/>
      <c r="AC557" s="114"/>
      <c r="AD557" s="114"/>
      <c r="AE557" s="114"/>
      <c r="AF557" s="114"/>
      <c r="AG557" s="114"/>
      <c r="AH557" s="114"/>
      <c r="AI557" s="114"/>
      <c r="AJ557" s="114"/>
      <c r="AK557" s="114"/>
    </row>
    <row r="558" ht="15.75" customHeight="1">
      <c r="A558" s="114"/>
      <c r="B558" s="114"/>
      <c r="C558" s="114"/>
      <c r="D558" s="114"/>
      <c r="E558" s="114"/>
      <c r="F558" s="114"/>
      <c r="G558" s="114"/>
      <c r="H558" s="114"/>
      <c r="I558" s="114"/>
      <c r="J558" s="114"/>
      <c r="K558" s="114"/>
      <c r="L558" s="114"/>
      <c r="M558" s="114"/>
      <c r="N558" s="114"/>
      <c r="O558" s="114"/>
      <c r="P558" s="114"/>
      <c r="Q558" s="114"/>
      <c r="R558" s="114"/>
      <c r="S558" s="114"/>
      <c r="T558" s="114"/>
      <c r="U558" s="114"/>
      <c r="V558" s="114"/>
      <c r="W558" s="114"/>
      <c r="X558" s="114"/>
      <c r="Y558" s="114"/>
      <c r="Z558" s="114"/>
      <c r="AA558" s="114"/>
      <c r="AB558" s="114"/>
      <c r="AC558" s="114"/>
      <c r="AD558" s="114"/>
      <c r="AE558" s="114"/>
      <c r="AF558" s="114"/>
      <c r="AG558" s="114"/>
      <c r="AH558" s="114"/>
      <c r="AI558" s="114"/>
      <c r="AJ558" s="114"/>
      <c r="AK558" s="114"/>
    </row>
    <row r="559" ht="15.75" customHeight="1">
      <c r="A559" s="114"/>
      <c r="B559" s="114"/>
      <c r="C559" s="114"/>
      <c r="D559" s="114"/>
      <c r="E559" s="114"/>
      <c r="F559" s="114"/>
      <c r="G559" s="114"/>
      <c r="H559" s="114"/>
      <c r="I559" s="114"/>
      <c r="J559" s="114"/>
      <c r="K559" s="114"/>
      <c r="L559" s="114"/>
      <c r="M559" s="114"/>
      <c r="N559" s="114"/>
      <c r="O559" s="114"/>
      <c r="P559" s="114"/>
      <c r="Q559" s="114"/>
      <c r="R559" s="114"/>
      <c r="S559" s="114"/>
      <c r="T559" s="114"/>
      <c r="U559" s="114"/>
      <c r="V559" s="114"/>
      <c r="W559" s="114"/>
      <c r="X559" s="114"/>
      <c r="Y559" s="114"/>
      <c r="Z559" s="114"/>
      <c r="AA559" s="114"/>
      <c r="AB559" s="114"/>
      <c r="AC559" s="114"/>
      <c r="AD559" s="114"/>
      <c r="AE559" s="114"/>
      <c r="AF559" s="114"/>
      <c r="AG559" s="114"/>
      <c r="AH559" s="114"/>
      <c r="AI559" s="114"/>
      <c r="AJ559" s="114"/>
      <c r="AK559" s="114"/>
    </row>
    <row r="560" ht="15.75" customHeight="1">
      <c r="A560" s="114"/>
      <c r="B560" s="114"/>
      <c r="C560" s="114"/>
      <c r="D560" s="114"/>
      <c r="E560" s="114"/>
      <c r="F560" s="114"/>
      <c r="G560" s="114"/>
      <c r="H560" s="114"/>
      <c r="I560" s="114"/>
      <c r="J560" s="114"/>
      <c r="K560" s="114"/>
      <c r="L560" s="114"/>
      <c r="M560" s="114"/>
      <c r="N560" s="114"/>
      <c r="O560" s="114"/>
      <c r="P560" s="114"/>
      <c r="Q560" s="114"/>
      <c r="R560" s="114"/>
      <c r="S560" s="114"/>
      <c r="T560" s="114"/>
      <c r="U560" s="114"/>
      <c r="V560" s="114"/>
      <c r="W560" s="114"/>
      <c r="X560" s="114"/>
      <c r="Y560" s="114"/>
      <c r="Z560" s="114"/>
      <c r="AA560" s="114"/>
      <c r="AB560" s="114"/>
      <c r="AC560" s="114"/>
      <c r="AD560" s="114"/>
      <c r="AE560" s="114"/>
      <c r="AF560" s="114"/>
      <c r="AG560" s="114"/>
      <c r="AH560" s="114"/>
      <c r="AI560" s="114"/>
      <c r="AJ560" s="114"/>
      <c r="AK560" s="114"/>
    </row>
    <row r="561" ht="15.75" customHeight="1">
      <c r="A561" s="114"/>
      <c r="B561" s="114"/>
      <c r="C561" s="114"/>
      <c r="D561" s="114"/>
      <c r="E561" s="114"/>
      <c r="F561" s="114"/>
      <c r="G561" s="114"/>
      <c r="H561" s="114"/>
      <c r="I561" s="114"/>
      <c r="J561" s="114"/>
      <c r="K561" s="114"/>
      <c r="L561" s="114"/>
      <c r="M561" s="114"/>
      <c r="N561" s="114"/>
      <c r="O561" s="114"/>
      <c r="P561" s="114"/>
      <c r="Q561" s="114"/>
      <c r="R561" s="114"/>
      <c r="S561" s="114"/>
      <c r="T561" s="114"/>
      <c r="U561" s="114"/>
      <c r="V561" s="114"/>
      <c r="W561" s="114"/>
      <c r="X561" s="114"/>
      <c r="Y561" s="114"/>
      <c r="Z561" s="114"/>
      <c r="AA561" s="114"/>
      <c r="AB561" s="114"/>
      <c r="AC561" s="114"/>
      <c r="AD561" s="114"/>
      <c r="AE561" s="114"/>
      <c r="AF561" s="114"/>
      <c r="AG561" s="114"/>
      <c r="AH561" s="114"/>
      <c r="AI561" s="114"/>
      <c r="AJ561" s="114"/>
      <c r="AK561" s="114"/>
    </row>
    <row r="562" ht="15.75" customHeight="1">
      <c r="A562" s="114"/>
      <c r="B562" s="114"/>
      <c r="C562" s="114"/>
      <c r="D562" s="114"/>
      <c r="E562" s="114"/>
      <c r="F562" s="114"/>
      <c r="G562" s="114"/>
      <c r="H562" s="114"/>
      <c r="I562" s="114"/>
      <c r="J562" s="114"/>
      <c r="K562" s="114"/>
      <c r="L562" s="114"/>
      <c r="M562" s="114"/>
      <c r="N562" s="114"/>
      <c r="O562" s="114"/>
      <c r="P562" s="114"/>
      <c r="Q562" s="114"/>
      <c r="R562" s="114"/>
      <c r="S562" s="114"/>
      <c r="T562" s="114"/>
      <c r="U562" s="114"/>
      <c r="V562" s="114"/>
      <c r="W562" s="114"/>
      <c r="X562" s="114"/>
      <c r="Y562" s="114"/>
      <c r="Z562" s="114"/>
      <c r="AA562" s="114"/>
      <c r="AB562" s="114"/>
      <c r="AC562" s="114"/>
      <c r="AD562" s="114"/>
      <c r="AE562" s="114"/>
      <c r="AF562" s="114"/>
      <c r="AG562" s="114"/>
      <c r="AH562" s="114"/>
      <c r="AI562" s="114"/>
      <c r="AJ562" s="114"/>
      <c r="AK562" s="114"/>
    </row>
    <row r="563" ht="15.75" customHeight="1">
      <c r="A563" s="114"/>
      <c r="B563" s="114"/>
      <c r="C563" s="114"/>
      <c r="D563" s="114"/>
      <c r="E563" s="114"/>
      <c r="F563" s="114"/>
      <c r="G563" s="114"/>
      <c r="H563" s="114"/>
      <c r="I563" s="114"/>
      <c r="J563" s="114"/>
      <c r="K563" s="114"/>
      <c r="L563" s="114"/>
      <c r="M563" s="114"/>
      <c r="N563" s="114"/>
      <c r="O563" s="114"/>
      <c r="P563" s="114"/>
      <c r="Q563" s="114"/>
      <c r="R563" s="114"/>
      <c r="S563" s="114"/>
      <c r="T563" s="114"/>
      <c r="U563" s="114"/>
      <c r="V563" s="114"/>
      <c r="W563" s="114"/>
      <c r="X563" s="114"/>
      <c r="Y563" s="114"/>
      <c r="Z563" s="114"/>
      <c r="AA563" s="114"/>
      <c r="AB563" s="114"/>
      <c r="AC563" s="114"/>
      <c r="AD563" s="114"/>
      <c r="AE563" s="114"/>
      <c r="AF563" s="114"/>
      <c r="AG563" s="114"/>
      <c r="AH563" s="114"/>
      <c r="AI563" s="114"/>
      <c r="AJ563" s="114"/>
      <c r="AK563" s="114"/>
    </row>
    <row r="564" ht="15.75" customHeight="1">
      <c r="A564" s="114"/>
      <c r="B564" s="114"/>
      <c r="C564" s="114"/>
      <c r="D564" s="114"/>
      <c r="E564" s="114"/>
      <c r="F564" s="114"/>
      <c r="G564" s="114"/>
      <c r="H564" s="114"/>
      <c r="I564" s="114"/>
      <c r="J564" s="114"/>
      <c r="K564" s="114"/>
      <c r="L564" s="114"/>
      <c r="M564" s="114"/>
      <c r="N564" s="114"/>
      <c r="O564" s="114"/>
      <c r="P564" s="114"/>
      <c r="Q564" s="114"/>
      <c r="R564" s="114"/>
      <c r="S564" s="114"/>
      <c r="T564" s="114"/>
      <c r="U564" s="114"/>
      <c r="V564" s="114"/>
      <c r="W564" s="114"/>
      <c r="X564" s="114"/>
      <c r="Y564" s="114"/>
      <c r="Z564" s="114"/>
      <c r="AA564" s="114"/>
      <c r="AB564" s="114"/>
      <c r="AC564" s="114"/>
      <c r="AD564" s="114"/>
      <c r="AE564" s="114"/>
      <c r="AF564" s="114"/>
      <c r="AG564" s="114"/>
      <c r="AH564" s="114"/>
      <c r="AI564" s="114"/>
      <c r="AJ564" s="114"/>
      <c r="AK564" s="114"/>
    </row>
    <row r="565" ht="15.75" customHeight="1">
      <c r="A565" s="114"/>
      <c r="B565" s="114"/>
      <c r="C565" s="114"/>
      <c r="D565" s="114"/>
      <c r="E565" s="114"/>
      <c r="F565" s="114"/>
      <c r="G565" s="114"/>
      <c r="H565" s="114"/>
      <c r="I565" s="114"/>
      <c r="J565" s="114"/>
      <c r="K565" s="114"/>
      <c r="L565" s="114"/>
      <c r="M565" s="114"/>
      <c r="N565" s="114"/>
      <c r="O565" s="114"/>
      <c r="P565" s="114"/>
      <c r="Q565" s="114"/>
      <c r="R565" s="114"/>
      <c r="S565" s="114"/>
      <c r="T565" s="114"/>
      <c r="U565" s="114"/>
      <c r="V565" s="114"/>
      <c r="W565" s="114"/>
      <c r="X565" s="114"/>
      <c r="Y565" s="114"/>
      <c r="Z565" s="114"/>
      <c r="AA565" s="114"/>
      <c r="AB565" s="114"/>
      <c r="AC565" s="114"/>
      <c r="AD565" s="114"/>
      <c r="AE565" s="114"/>
      <c r="AF565" s="114"/>
      <c r="AG565" s="114"/>
      <c r="AH565" s="114"/>
      <c r="AI565" s="114"/>
      <c r="AJ565" s="114"/>
      <c r="AK565" s="114"/>
    </row>
    <row r="566" ht="15.75" customHeight="1">
      <c r="A566" s="114"/>
      <c r="B566" s="114"/>
      <c r="C566" s="114"/>
      <c r="D566" s="114"/>
      <c r="E566" s="114"/>
      <c r="F566" s="114"/>
      <c r="G566" s="114"/>
      <c r="H566" s="114"/>
      <c r="I566" s="114"/>
      <c r="J566" s="114"/>
      <c r="K566" s="114"/>
      <c r="L566" s="114"/>
      <c r="M566" s="114"/>
      <c r="N566" s="114"/>
      <c r="O566" s="114"/>
      <c r="P566" s="114"/>
      <c r="Q566" s="114"/>
      <c r="R566" s="114"/>
      <c r="S566" s="114"/>
      <c r="T566" s="114"/>
      <c r="U566" s="114"/>
      <c r="V566" s="114"/>
      <c r="W566" s="114"/>
      <c r="X566" s="114"/>
      <c r="Y566" s="114"/>
      <c r="Z566" s="114"/>
      <c r="AA566" s="114"/>
      <c r="AB566" s="114"/>
      <c r="AC566" s="114"/>
      <c r="AD566" s="114"/>
      <c r="AE566" s="114"/>
      <c r="AF566" s="114"/>
      <c r="AG566" s="114"/>
      <c r="AH566" s="114"/>
      <c r="AI566" s="114"/>
      <c r="AJ566" s="114"/>
      <c r="AK566" s="114"/>
    </row>
    <row r="567" ht="15.75" customHeight="1">
      <c r="A567" s="114"/>
      <c r="B567" s="114"/>
      <c r="C567" s="114"/>
      <c r="D567" s="114"/>
      <c r="E567" s="114"/>
      <c r="F567" s="114"/>
      <c r="G567" s="114"/>
      <c r="H567" s="114"/>
      <c r="I567" s="114"/>
      <c r="J567" s="114"/>
      <c r="K567" s="114"/>
      <c r="L567" s="114"/>
      <c r="M567" s="114"/>
      <c r="N567" s="114"/>
      <c r="O567" s="114"/>
      <c r="P567" s="114"/>
      <c r="Q567" s="114"/>
      <c r="R567" s="114"/>
      <c r="S567" s="114"/>
      <c r="T567" s="114"/>
      <c r="U567" s="114"/>
      <c r="V567" s="114"/>
      <c r="W567" s="114"/>
      <c r="X567" s="114"/>
      <c r="Y567" s="114"/>
      <c r="Z567" s="114"/>
      <c r="AA567" s="114"/>
      <c r="AB567" s="114"/>
      <c r="AC567" s="114"/>
      <c r="AD567" s="114"/>
      <c r="AE567" s="114"/>
      <c r="AF567" s="114"/>
      <c r="AG567" s="114"/>
      <c r="AH567" s="114"/>
      <c r="AI567" s="114"/>
      <c r="AJ567" s="114"/>
      <c r="AK567" s="114"/>
    </row>
    <row r="568" ht="15.75" customHeight="1">
      <c r="A568" s="114"/>
      <c r="B568" s="114"/>
      <c r="C568" s="114"/>
      <c r="D568" s="114"/>
      <c r="E568" s="114"/>
      <c r="F568" s="114"/>
      <c r="G568" s="114"/>
      <c r="H568" s="114"/>
      <c r="I568" s="114"/>
      <c r="J568" s="114"/>
      <c r="K568" s="114"/>
      <c r="L568" s="114"/>
      <c r="M568" s="114"/>
      <c r="N568" s="114"/>
      <c r="O568" s="114"/>
      <c r="P568" s="114"/>
      <c r="Q568" s="114"/>
      <c r="R568" s="114"/>
      <c r="S568" s="114"/>
      <c r="T568" s="114"/>
      <c r="U568" s="114"/>
      <c r="V568" s="114"/>
      <c r="W568" s="114"/>
      <c r="X568" s="114"/>
      <c r="Y568" s="114"/>
      <c r="Z568" s="114"/>
      <c r="AA568" s="114"/>
      <c r="AB568" s="114"/>
      <c r="AC568" s="114"/>
      <c r="AD568" s="114"/>
      <c r="AE568" s="114"/>
      <c r="AF568" s="114"/>
      <c r="AG568" s="114"/>
      <c r="AH568" s="114"/>
      <c r="AI568" s="114"/>
      <c r="AJ568" s="114"/>
      <c r="AK568" s="114"/>
    </row>
    <row r="569" ht="15.75" customHeight="1">
      <c r="A569" s="114"/>
      <c r="B569" s="114"/>
      <c r="C569" s="114"/>
      <c r="D569" s="114"/>
      <c r="E569" s="114"/>
      <c r="F569" s="114"/>
      <c r="G569" s="114"/>
      <c r="H569" s="114"/>
      <c r="I569" s="114"/>
      <c r="J569" s="114"/>
      <c r="K569" s="114"/>
      <c r="L569" s="114"/>
      <c r="M569" s="114"/>
      <c r="N569" s="114"/>
      <c r="O569" s="114"/>
      <c r="P569" s="114"/>
      <c r="Q569" s="114"/>
      <c r="R569" s="114"/>
      <c r="S569" s="114"/>
      <c r="T569" s="114"/>
      <c r="U569" s="114"/>
      <c r="V569" s="114"/>
      <c r="W569" s="114"/>
      <c r="X569" s="114"/>
      <c r="Y569" s="114"/>
      <c r="Z569" s="114"/>
      <c r="AA569" s="114"/>
      <c r="AB569" s="114"/>
      <c r="AC569" s="114"/>
      <c r="AD569" s="114"/>
      <c r="AE569" s="114"/>
      <c r="AF569" s="114"/>
      <c r="AG569" s="114"/>
      <c r="AH569" s="114"/>
      <c r="AI569" s="114"/>
      <c r="AJ569" s="114"/>
      <c r="AK569" s="114"/>
    </row>
    <row r="570" ht="15.75" customHeight="1">
      <c r="A570" s="114"/>
      <c r="B570" s="114"/>
      <c r="C570" s="114"/>
      <c r="D570" s="114"/>
      <c r="E570" s="114"/>
      <c r="F570" s="114"/>
      <c r="G570" s="114"/>
      <c r="H570" s="114"/>
      <c r="I570" s="114"/>
      <c r="J570" s="114"/>
      <c r="K570" s="114"/>
      <c r="L570" s="114"/>
      <c r="M570" s="114"/>
      <c r="N570" s="114"/>
      <c r="O570" s="114"/>
      <c r="P570" s="114"/>
      <c r="Q570" s="114"/>
      <c r="R570" s="114"/>
      <c r="S570" s="114"/>
      <c r="T570" s="114"/>
      <c r="U570" s="114"/>
      <c r="V570" s="114"/>
      <c r="W570" s="114"/>
      <c r="X570" s="114"/>
      <c r="Y570" s="114"/>
      <c r="Z570" s="114"/>
      <c r="AA570" s="114"/>
      <c r="AB570" s="114"/>
      <c r="AC570" s="114"/>
      <c r="AD570" s="114"/>
      <c r="AE570" s="114"/>
      <c r="AF570" s="114"/>
      <c r="AG570" s="114"/>
      <c r="AH570" s="114"/>
      <c r="AI570" s="114"/>
      <c r="AJ570" s="114"/>
      <c r="AK570" s="114"/>
    </row>
    <row r="571" ht="15.75" customHeight="1">
      <c r="A571" s="114"/>
      <c r="B571" s="114"/>
      <c r="C571" s="114"/>
      <c r="D571" s="114"/>
      <c r="E571" s="114"/>
      <c r="F571" s="114"/>
      <c r="G571" s="114"/>
      <c r="H571" s="114"/>
      <c r="I571" s="114"/>
      <c r="J571" s="114"/>
      <c r="K571" s="114"/>
      <c r="L571" s="114"/>
      <c r="M571" s="114"/>
      <c r="N571" s="114"/>
      <c r="O571" s="114"/>
      <c r="P571" s="114"/>
      <c r="Q571" s="114"/>
      <c r="R571" s="114"/>
      <c r="S571" s="114"/>
      <c r="T571" s="114"/>
      <c r="U571" s="114"/>
      <c r="V571" s="114"/>
      <c r="W571" s="114"/>
      <c r="X571" s="114"/>
      <c r="Y571" s="114"/>
      <c r="Z571" s="114"/>
      <c r="AA571" s="114"/>
      <c r="AB571" s="114"/>
      <c r="AC571" s="114"/>
      <c r="AD571" s="114"/>
      <c r="AE571" s="114"/>
      <c r="AF571" s="114"/>
      <c r="AG571" s="114"/>
      <c r="AH571" s="114"/>
      <c r="AI571" s="114"/>
      <c r="AJ571" s="114"/>
      <c r="AK571" s="114"/>
    </row>
    <row r="572" ht="15.75" customHeight="1">
      <c r="A572" s="114"/>
      <c r="B572" s="114"/>
      <c r="C572" s="114"/>
      <c r="D572" s="114"/>
      <c r="E572" s="114"/>
      <c r="F572" s="114"/>
      <c r="G572" s="114"/>
      <c r="H572" s="114"/>
      <c r="I572" s="114"/>
      <c r="J572" s="114"/>
      <c r="K572" s="114"/>
      <c r="L572" s="114"/>
      <c r="M572" s="114"/>
      <c r="N572" s="114"/>
      <c r="O572" s="114"/>
      <c r="P572" s="114"/>
      <c r="Q572" s="114"/>
      <c r="R572" s="114"/>
      <c r="S572" s="114"/>
      <c r="T572" s="114"/>
      <c r="U572" s="114"/>
      <c r="V572" s="114"/>
      <c r="W572" s="114"/>
      <c r="X572" s="114"/>
      <c r="Y572" s="114"/>
      <c r="Z572" s="114"/>
      <c r="AA572" s="114"/>
      <c r="AB572" s="114"/>
      <c r="AC572" s="114"/>
      <c r="AD572" s="114"/>
      <c r="AE572" s="114"/>
      <c r="AF572" s="114"/>
      <c r="AG572" s="114"/>
      <c r="AH572" s="114"/>
      <c r="AI572" s="114"/>
      <c r="AJ572" s="114"/>
      <c r="AK572" s="114"/>
    </row>
    <row r="573" ht="15.75" customHeight="1">
      <c r="A573" s="114"/>
      <c r="B573" s="114"/>
      <c r="C573" s="114"/>
      <c r="D573" s="114"/>
      <c r="E573" s="114"/>
      <c r="F573" s="114"/>
      <c r="G573" s="114"/>
      <c r="H573" s="114"/>
      <c r="I573" s="114"/>
      <c r="J573" s="114"/>
      <c r="K573" s="114"/>
      <c r="L573" s="114"/>
      <c r="M573" s="114"/>
      <c r="N573" s="114"/>
      <c r="O573" s="114"/>
      <c r="P573" s="114"/>
      <c r="Q573" s="114"/>
      <c r="R573" s="114"/>
      <c r="S573" s="114"/>
      <c r="T573" s="114"/>
      <c r="U573" s="114"/>
      <c r="V573" s="114"/>
      <c r="W573" s="114"/>
      <c r="X573" s="114"/>
      <c r="Y573" s="114"/>
      <c r="Z573" s="114"/>
      <c r="AA573" s="114"/>
      <c r="AB573" s="114"/>
      <c r="AC573" s="114"/>
      <c r="AD573" s="114"/>
      <c r="AE573" s="114"/>
      <c r="AF573" s="114"/>
      <c r="AG573" s="114"/>
      <c r="AH573" s="114"/>
      <c r="AI573" s="114"/>
      <c r="AJ573" s="114"/>
      <c r="AK573" s="114"/>
    </row>
    <row r="574" ht="15.75" customHeight="1">
      <c r="A574" s="114"/>
      <c r="B574" s="114"/>
      <c r="C574" s="114"/>
      <c r="D574" s="114"/>
      <c r="E574" s="114"/>
      <c r="F574" s="114"/>
      <c r="G574" s="114"/>
      <c r="H574" s="114"/>
      <c r="I574" s="114"/>
      <c r="J574" s="114"/>
      <c r="K574" s="114"/>
      <c r="L574" s="114"/>
      <c r="M574" s="114"/>
      <c r="N574" s="114"/>
      <c r="O574" s="114"/>
      <c r="P574" s="114"/>
      <c r="Q574" s="114"/>
      <c r="R574" s="114"/>
      <c r="S574" s="114"/>
      <c r="T574" s="114"/>
      <c r="U574" s="114"/>
      <c r="V574" s="114"/>
      <c r="W574" s="114"/>
      <c r="X574" s="114"/>
      <c r="Y574" s="114"/>
      <c r="Z574" s="114"/>
      <c r="AA574" s="114"/>
      <c r="AB574" s="114"/>
      <c r="AC574" s="114"/>
      <c r="AD574" s="114"/>
      <c r="AE574" s="114"/>
      <c r="AF574" s="114"/>
      <c r="AG574" s="114"/>
      <c r="AH574" s="114"/>
      <c r="AI574" s="114"/>
      <c r="AJ574" s="114"/>
      <c r="AK574" s="114"/>
    </row>
    <row r="575" ht="15.75" customHeight="1">
      <c r="A575" s="114"/>
      <c r="B575" s="114"/>
      <c r="C575" s="114"/>
      <c r="D575" s="114"/>
      <c r="E575" s="114"/>
      <c r="F575" s="114"/>
      <c r="G575" s="114"/>
      <c r="H575" s="114"/>
      <c r="I575" s="114"/>
      <c r="J575" s="114"/>
      <c r="K575" s="114"/>
      <c r="L575" s="114"/>
      <c r="M575" s="114"/>
      <c r="N575" s="114"/>
      <c r="O575" s="114"/>
      <c r="P575" s="114"/>
      <c r="Q575" s="114"/>
      <c r="R575" s="114"/>
      <c r="S575" s="114"/>
      <c r="T575" s="114"/>
      <c r="U575" s="114"/>
      <c r="V575" s="114"/>
      <c r="W575" s="114"/>
      <c r="X575" s="114"/>
      <c r="Y575" s="114"/>
      <c r="Z575" s="114"/>
      <c r="AA575" s="114"/>
      <c r="AB575" s="114"/>
      <c r="AC575" s="114"/>
      <c r="AD575" s="114"/>
      <c r="AE575" s="114"/>
      <c r="AF575" s="114"/>
      <c r="AG575" s="114"/>
      <c r="AH575" s="114"/>
      <c r="AI575" s="114"/>
      <c r="AJ575" s="114"/>
      <c r="AK575" s="114"/>
    </row>
    <row r="576" ht="15.75" customHeight="1">
      <c r="A576" s="114"/>
      <c r="B576" s="114"/>
      <c r="C576" s="114"/>
      <c r="D576" s="114"/>
      <c r="E576" s="114"/>
      <c r="F576" s="114"/>
      <c r="G576" s="114"/>
      <c r="H576" s="114"/>
      <c r="I576" s="114"/>
      <c r="J576" s="114"/>
      <c r="K576" s="114"/>
      <c r="L576" s="114"/>
      <c r="M576" s="114"/>
      <c r="N576" s="114"/>
      <c r="O576" s="114"/>
      <c r="P576" s="114"/>
      <c r="Q576" s="114"/>
      <c r="R576" s="114"/>
      <c r="S576" s="114"/>
      <c r="T576" s="114"/>
      <c r="U576" s="114"/>
      <c r="V576" s="114"/>
      <c r="W576" s="114"/>
      <c r="X576" s="114"/>
      <c r="Y576" s="114"/>
      <c r="Z576" s="114"/>
      <c r="AA576" s="114"/>
      <c r="AB576" s="114"/>
      <c r="AC576" s="114"/>
      <c r="AD576" s="114"/>
      <c r="AE576" s="114"/>
      <c r="AF576" s="114"/>
      <c r="AG576" s="114"/>
      <c r="AH576" s="114"/>
      <c r="AI576" s="114"/>
      <c r="AJ576" s="114"/>
      <c r="AK576" s="114"/>
    </row>
    <row r="577" ht="15.75" customHeight="1">
      <c r="A577" s="114"/>
      <c r="B577" s="114"/>
      <c r="C577" s="114"/>
      <c r="D577" s="114"/>
      <c r="E577" s="114"/>
      <c r="F577" s="114"/>
      <c r="G577" s="114"/>
      <c r="H577" s="114"/>
      <c r="I577" s="114"/>
      <c r="J577" s="114"/>
      <c r="K577" s="114"/>
      <c r="L577" s="114"/>
      <c r="M577" s="114"/>
      <c r="N577" s="114"/>
      <c r="O577" s="114"/>
      <c r="P577" s="114"/>
      <c r="Q577" s="114"/>
      <c r="R577" s="114"/>
      <c r="S577" s="114"/>
      <c r="T577" s="114"/>
      <c r="U577" s="114"/>
      <c r="V577" s="114"/>
      <c r="W577" s="114"/>
      <c r="X577" s="114"/>
      <c r="Y577" s="114"/>
      <c r="Z577" s="114"/>
      <c r="AA577" s="114"/>
      <c r="AB577" s="114"/>
      <c r="AC577" s="114"/>
      <c r="AD577" s="114"/>
      <c r="AE577" s="114"/>
      <c r="AF577" s="114"/>
      <c r="AG577" s="114"/>
      <c r="AH577" s="114"/>
      <c r="AI577" s="114"/>
      <c r="AJ577" s="114"/>
      <c r="AK577" s="114"/>
    </row>
    <row r="578" ht="15.75" customHeight="1">
      <c r="A578" s="114"/>
      <c r="B578" s="114"/>
      <c r="C578" s="114"/>
      <c r="D578" s="114"/>
      <c r="E578" s="114"/>
      <c r="F578" s="114"/>
      <c r="G578" s="114"/>
      <c r="H578" s="114"/>
      <c r="I578" s="114"/>
      <c r="J578" s="114"/>
      <c r="K578" s="114"/>
      <c r="L578" s="114"/>
      <c r="M578" s="114"/>
      <c r="N578" s="114"/>
      <c r="O578" s="114"/>
      <c r="P578" s="114"/>
      <c r="Q578" s="114"/>
      <c r="R578" s="114"/>
      <c r="S578" s="114"/>
      <c r="T578" s="114"/>
      <c r="U578" s="114"/>
      <c r="V578" s="114"/>
      <c r="W578" s="114"/>
      <c r="X578" s="114"/>
      <c r="Y578" s="114"/>
      <c r="Z578" s="114"/>
      <c r="AA578" s="114"/>
      <c r="AB578" s="114"/>
      <c r="AC578" s="114"/>
      <c r="AD578" s="114"/>
      <c r="AE578" s="114"/>
      <c r="AF578" s="114"/>
      <c r="AG578" s="114"/>
      <c r="AH578" s="114"/>
      <c r="AI578" s="114"/>
      <c r="AJ578" s="114"/>
      <c r="AK578" s="114"/>
    </row>
    <row r="579" ht="15.75" customHeight="1">
      <c r="A579" s="114"/>
      <c r="B579" s="114"/>
      <c r="C579" s="114"/>
      <c r="D579" s="114"/>
      <c r="E579" s="114"/>
      <c r="F579" s="114"/>
      <c r="G579" s="114"/>
      <c r="H579" s="114"/>
      <c r="I579" s="114"/>
      <c r="J579" s="114"/>
      <c r="K579" s="114"/>
      <c r="L579" s="114"/>
      <c r="M579" s="114"/>
      <c r="N579" s="114"/>
      <c r="O579" s="114"/>
      <c r="P579" s="114"/>
      <c r="Q579" s="114"/>
      <c r="R579" s="114"/>
      <c r="S579" s="114"/>
      <c r="T579" s="114"/>
      <c r="U579" s="114"/>
      <c r="V579" s="114"/>
      <c r="W579" s="114"/>
      <c r="X579" s="114"/>
      <c r="Y579" s="114"/>
      <c r="Z579" s="114"/>
      <c r="AA579" s="114"/>
      <c r="AB579" s="114"/>
      <c r="AC579" s="114"/>
      <c r="AD579" s="114"/>
      <c r="AE579" s="114"/>
      <c r="AF579" s="114"/>
      <c r="AG579" s="114"/>
      <c r="AH579" s="114"/>
      <c r="AI579" s="114"/>
      <c r="AJ579" s="114"/>
      <c r="AK579" s="114"/>
    </row>
    <row r="580" ht="15.75" customHeight="1">
      <c r="A580" s="114"/>
      <c r="B580" s="114"/>
      <c r="C580" s="114"/>
      <c r="D580" s="114"/>
      <c r="E580" s="114"/>
      <c r="F580" s="114"/>
      <c r="G580" s="114"/>
      <c r="H580" s="114"/>
      <c r="I580" s="114"/>
      <c r="J580" s="114"/>
      <c r="K580" s="114"/>
      <c r="L580" s="114"/>
      <c r="M580" s="114"/>
      <c r="N580" s="114"/>
      <c r="O580" s="114"/>
      <c r="P580" s="114"/>
      <c r="Q580" s="114"/>
      <c r="R580" s="114"/>
      <c r="S580" s="114"/>
      <c r="T580" s="114"/>
      <c r="U580" s="114"/>
      <c r="V580" s="114"/>
      <c r="W580" s="114"/>
      <c r="X580" s="114"/>
      <c r="Y580" s="114"/>
      <c r="Z580" s="114"/>
      <c r="AA580" s="114"/>
      <c r="AB580" s="114"/>
      <c r="AC580" s="114"/>
      <c r="AD580" s="114"/>
      <c r="AE580" s="114"/>
      <c r="AF580" s="114"/>
      <c r="AG580" s="114"/>
      <c r="AH580" s="114"/>
      <c r="AI580" s="114"/>
      <c r="AJ580" s="114"/>
      <c r="AK580" s="114"/>
    </row>
    <row r="581" ht="15.75" customHeight="1">
      <c r="A581" s="114"/>
      <c r="B581" s="114"/>
      <c r="C581" s="114"/>
      <c r="D581" s="114"/>
      <c r="E581" s="114"/>
      <c r="F581" s="114"/>
      <c r="G581" s="114"/>
      <c r="H581" s="114"/>
      <c r="I581" s="114"/>
      <c r="J581" s="114"/>
      <c r="K581" s="114"/>
      <c r="L581" s="114"/>
      <c r="M581" s="114"/>
      <c r="N581" s="114"/>
      <c r="O581" s="114"/>
      <c r="P581" s="114"/>
      <c r="Q581" s="114"/>
      <c r="R581" s="114"/>
      <c r="S581" s="114"/>
      <c r="T581" s="114"/>
      <c r="U581" s="114"/>
      <c r="V581" s="114"/>
      <c r="W581" s="114"/>
      <c r="X581" s="114"/>
      <c r="Y581" s="114"/>
      <c r="Z581" s="114"/>
      <c r="AA581" s="114"/>
      <c r="AB581" s="114"/>
      <c r="AC581" s="114"/>
      <c r="AD581" s="114"/>
      <c r="AE581" s="114"/>
      <c r="AF581" s="114"/>
      <c r="AG581" s="114"/>
      <c r="AH581" s="114"/>
      <c r="AI581" s="114"/>
      <c r="AJ581" s="114"/>
      <c r="AK581" s="114"/>
    </row>
    <row r="582" ht="15.75" customHeight="1">
      <c r="A582" s="114"/>
      <c r="B582" s="114"/>
      <c r="C582" s="114"/>
      <c r="D582" s="114"/>
      <c r="E582" s="114"/>
      <c r="F582" s="114"/>
      <c r="G582" s="114"/>
      <c r="H582" s="114"/>
      <c r="I582" s="114"/>
      <c r="J582" s="114"/>
      <c r="K582" s="114"/>
      <c r="L582" s="114"/>
      <c r="M582" s="114"/>
      <c r="N582" s="114"/>
      <c r="O582" s="114"/>
      <c r="P582" s="114"/>
      <c r="Q582" s="114"/>
      <c r="R582" s="114"/>
      <c r="S582" s="114"/>
      <c r="T582" s="114"/>
      <c r="U582" s="114"/>
      <c r="V582" s="114"/>
      <c r="W582" s="114"/>
      <c r="X582" s="114"/>
      <c r="Y582" s="114"/>
      <c r="Z582" s="114"/>
      <c r="AA582" s="114"/>
      <c r="AB582" s="114"/>
      <c r="AC582" s="114"/>
      <c r="AD582" s="114"/>
      <c r="AE582" s="114"/>
      <c r="AF582" s="114"/>
      <c r="AG582" s="114"/>
      <c r="AH582" s="114"/>
      <c r="AI582" s="114"/>
      <c r="AJ582" s="114"/>
      <c r="AK582" s="114"/>
    </row>
    <row r="583" ht="15.75" customHeight="1">
      <c r="A583" s="114"/>
      <c r="B583" s="114"/>
      <c r="C583" s="114"/>
      <c r="D583" s="114"/>
      <c r="E583" s="114"/>
      <c r="F583" s="114"/>
      <c r="G583" s="114"/>
      <c r="H583" s="114"/>
      <c r="I583" s="114"/>
      <c r="J583" s="114"/>
      <c r="K583" s="114"/>
      <c r="L583" s="114"/>
      <c r="M583" s="114"/>
      <c r="N583" s="114"/>
      <c r="O583" s="114"/>
      <c r="P583" s="114"/>
      <c r="Q583" s="114"/>
      <c r="R583" s="114"/>
      <c r="S583" s="114"/>
      <c r="T583" s="114"/>
      <c r="U583" s="114"/>
      <c r="V583" s="114"/>
      <c r="W583" s="114"/>
      <c r="X583" s="114"/>
      <c r="Y583" s="114"/>
      <c r="Z583" s="114"/>
      <c r="AA583" s="114"/>
      <c r="AB583" s="114"/>
      <c r="AC583" s="114"/>
      <c r="AD583" s="114"/>
      <c r="AE583" s="114"/>
      <c r="AF583" s="114"/>
      <c r="AG583" s="114"/>
      <c r="AH583" s="114"/>
      <c r="AI583" s="114"/>
      <c r="AJ583" s="114"/>
      <c r="AK583" s="114"/>
    </row>
    <row r="584" ht="15.75" customHeight="1">
      <c r="A584" s="114"/>
      <c r="B584" s="114"/>
      <c r="C584" s="114"/>
      <c r="D584" s="114"/>
      <c r="E584" s="114"/>
      <c r="F584" s="114"/>
      <c r="G584" s="114"/>
      <c r="H584" s="114"/>
      <c r="I584" s="114"/>
      <c r="J584" s="114"/>
      <c r="K584" s="114"/>
      <c r="L584" s="114"/>
      <c r="M584" s="114"/>
      <c r="N584" s="114"/>
      <c r="O584" s="114"/>
      <c r="P584" s="114"/>
      <c r="Q584" s="114"/>
      <c r="R584" s="114"/>
      <c r="S584" s="114"/>
      <c r="T584" s="114"/>
      <c r="U584" s="114"/>
      <c r="V584" s="114"/>
      <c r="W584" s="114"/>
      <c r="X584" s="114"/>
      <c r="Y584" s="114"/>
      <c r="Z584" s="114"/>
      <c r="AA584" s="114"/>
      <c r="AB584" s="114"/>
      <c r="AC584" s="114"/>
      <c r="AD584" s="114"/>
      <c r="AE584" s="114"/>
      <c r="AF584" s="114"/>
      <c r="AG584" s="114"/>
      <c r="AH584" s="114"/>
      <c r="AI584" s="114"/>
      <c r="AJ584" s="114"/>
      <c r="AK584" s="114"/>
    </row>
    <row r="585" ht="15.75" customHeight="1">
      <c r="A585" s="114"/>
      <c r="B585" s="114"/>
      <c r="C585" s="114"/>
      <c r="D585" s="114"/>
      <c r="E585" s="114"/>
      <c r="F585" s="114"/>
      <c r="G585" s="114"/>
      <c r="H585" s="114"/>
      <c r="I585" s="114"/>
      <c r="J585" s="114"/>
      <c r="K585" s="114"/>
      <c r="L585" s="114"/>
      <c r="M585" s="114"/>
      <c r="N585" s="114"/>
      <c r="O585" s="114"/>
      <c r="P585" s="114"/>
      <c r="Q585" s="114"/>
      <c r="R585" s="114"/>
      <c r="S585" s="114"/>
      <c r="T585" s="114"/>
      <c r="U585" s="114"/>
      <c r="V585" s="114"/>
      <c r="W585" s="114"/>
      <c r="X585" s="114"/>
      <c r="Y585" s="114"/>
      <c r="Z585" s="114"/>
      <c r="AA585" s="114"/>
      <c r="AB585" s="114"/>
      <c r="AC585" s="114"/>
      <c r="AD585" s="114"/>
      <c r="AE585" s="114"/>
      <c r="AF585" s="114"/>
      <c r="AG585" s="114"/>
      <c r="AH585" s="114"/>
      <c r="AI585" s="114"/>
      <c r="AJ585" s="114"/>
      <c r="AK585" s="114"/>
    </row>
    <row r="586" ht="15.75" customHeight="1">
      <c r="A586" s="114"/>
      <c r="B586" s="114"/>
      <c r="C586" s="114"/>
      <c r="D586" s="114"/>
      <c r="E586" s="114"/>
      <c r="F586" s="114"/>
      <c r="G586" s="114"/>
      <c r="H586" s="114"/>
      <c r="I586" s="114"/>
      <c r="J586" s="114"/>
      <c r="K586" s="114"/>
      <c r="L586" s="114"/>
      <c r="M586" s="114"/>
      <c r="N586" s="114"/>
      <c r="O586" s="114"/>
      <c r="P586" s="114"/>
      <c r="Q586" s="114"/>
      <c r="R586" s="114"/>
      <c r="S586" s="114"/>
      <c r="T586" s="114"/>
      <c r="U586" s="114"/>
      <c r="V586" s="114"/>
      <c r="W586" s="114"/>
      <c r="X586" s="114"/>
      <c r="Y586" s="114"/>
      <c r="Z586" s="114"/>
      <c r="AA586" s="114"/>
      <c r="AB586" s="114"/>
      <c r="AC586" s="114"/>
      <c r="AD586" s="114"/>
      <c r="AE586" s="114"/>
      <c r="AF586" s="114"/>
      <c r="AG586" s="114"/>
      <c r="AH586" s="114"/>
      <c r="AI586" s="114"/>
      <c r="AJ586" s="114"/>
      <c r="AK586" s="114"/>
    </row>
    <row r="587" ht="15.75" customHeight="1">
      <c r="A587" s="114"/>
      <c r="B587" s="114"/>
      <c r="C587" s="114"/>
      <c r="D587" s="114"/>
      <c r="E587" s="114"/>
      <c r="F587" s="114"/>
      <c r="G587" s="114"/>
      <c r="H587" s="114"/>
      <c r="I587" s="114"/>
      <c r="J587" s="114"/>
      <c r="K587" s="114"/>
      <c r="L587" s="114"/>
      <c r="M587" s="114"/>
      <c r="N587" s="114"/>
      <c r="O587" s="114"/>
      <c r="P587" s="114"/>
      <c r="Q587" s="114"/>
      <c r="R587" s="114"/>
      <c r="S587" s="114"/>
      <c r="T587" s="114"/>
      <c r="U587" s="114"/>
      <c r="V587" s="114"/>
      <c r="W587" s="114"/>
      <c r="X587" s="114"/>
      <c r="Y587" s="114"/>
      <c r="Z587" s="114"/>
      <c r="AA587" s="114"/>
      <c r="AB587" s="114"/>
      <c r="AC587" s="114"/>
      <c r="AD587" s="114"/>
      <c r="AE587" s="114"/>
      <c r="AF587" s="114"/>
      <c r="AG587" s="114"/>
      <c r="AH587" s="114"/>
      <c r="AI587" s="114"/>
      <c r="AJ587" s="114"/>
      <c r="AK587" s="114"/>
    </row>
    <row r="588" ht="15.75" customHeight="1">
      <c r="A588" s="114"/>
      <c r="B588" s="114"/>
      <c r="C588" s="114"/>
      <c r="D588" s="114"/>
      <c r="E588" s="114"/>
      <c r="F588" s="114"/>
      <c r="G588" s="114"/>
      <c r="H588" s="114"/>
      <c r="I588" s="114"/>
      <c r="J588" s="114"/>
      <c r="K588" s="114"/>
      <c r="L588" s="114"/>
      <c r="M588" s="114"/>
      <c r="N588" s="114"/>
      <c r="O588" s="114"/>
      <c r="P588" s="114"/>
      <c r="Q588" s="114"/>
      <c r="R588" s="114"/>
      <c r="S588" s="114"/>
      <c r="T588" s="114"/>
      <c r="U588" s="114"/>
      <c r="V588" s="114"/>
      <c r="W588" s="114"/>
      <c r="X588" s="114"/>
      <c r="Y588" s="114"/>
      <c r="Z588" s="114"/>
      <c r="AA588" s="114"/>
      <c r="AB588" s="114"/>
      <c r="AC588" s="114"/>
      <c r="AD588" s="114"/>
      <c r="AE588" s="114"/>
      <c r="AF588" s="114"/>
      <c r="AG588" s="114"/>
      <c r="AH588" s="114"/>
      <c r="AI588" s="114"/>
      <c r="AJ588" s="114"/>
      <c r="AK588" s="114"/>
    </row>
    <row r="589" ht="15.75" customHeight="1">
      <c r="A589" s="114"/>
      <c r="B589" s="114"/>
      <c r="C589" s="114"/>
      <c r="D589" s="114"/>
      <c r="E589" s="114"/>
      <c r="F589" s="114"/>
      <c r="G589" s="114"/>
      <c r="H589" s="114"/>
      <c r="I589" s="114"/>
      <c r="J589" s="114"/>
      <c r="K589" s="114"/>
      <c r="L589" s="114"/>
      <c r="M589" s="114"/>
      <c r="N589" s="114"/>
      <c r="O589" s="114"/>
      <c r="P589" s="114"/>
      <c r="Q589" s="114"/>
      <c r="R589" s="114"/>
      <c r="S589" s="114"/>
      <c r="T589" s="114"/>
      <c r="U589" s="114"/>
      <c r="V589" s="114"/>
      <c r="W589" s="114"/>
      <c r="X589" s="114"/>
      <c r="Y589" s="114"/>
      <c r="Z589" s="114"/>
      <c r="AA589" s="114"/>
      <c r="AB589" s="114"/>
      <c r="AC589" s="114"/>
      <c r="AD589" s="114"/>
      <c r="AE589" s="114"/>
      <c r="AF589" s="114"/>
      <c r="AG589" s="114"/>
      <c r="AH589" s="114"/>
      <c r="AI589" s="114"/>
      <c r="AJ589" s="114"/>
      <c r="AK589" s="114"/>
    </row>
    <row r="590" ht="15.75" customHeight="1">
      <c r="A590" s="114"/>
      <c r="B590" s="114"/>
      <c r="C590" s="114"/>
      <c r="D590" s="114"/>
      <c r="E590" s="114"/>
      <c r="F590" s="114"/>
      <c r="G590" s="114"/>
      <c r="H590" s="114"/>
      <c r="I590" s="114"/>
      <c r="J590" s="114"/>
      <c r="K590" s="114"/>
      <c r="L590" s="114"/>
      <c r="M590" s="114"/>
      <c r="N590" s="114"/>
      <c r="O590" s="114"/>
      <c r="P590" s="114"/>
      <c r="Q590" s="114"/>
      <c r="R590" s="114"/>
      <c r="S590" s="114"/>
      <c r="T590" s="114"/>
      <c r="U590" s="114"/>
      <c r="V590" s="114"/>
      <c r="W590" s="114"/>
      <c r="X590" s="114"/>
      <c r="Y590" s="114"/>
      <c r="Z590" s="114"/>
      <c r="AA590" s="114"/>
      <c r="AB590" s="114"/>
      <c r="AC590" s="114"/>
      <c r="AD590" s="114"/>
      <c r="AE590" s="114"/>
      <c r="AF590" s="114"/>
      <c r="AG590" s="114"/>
      <c r="AH590" s="114"/>
      <c r="AI590" s="114"/>
      <c r="AJ590" s="114"/>
      <c r="AK590" s="114"/>
    </row>
    <row r="591" ht="15.75" customHeight="1">
      <c r="A591" s="114"/>
      <c r="B591" s="114"/>
      <c r="C591" s="114"/>
      <c r="D591" s="114"/>
      <c r="E591" s="114"/>
      <c r="F591" s="114"/>
      <c r="G591" s="114"/>
      <c r="H591" s="114"/>
      <c r="I591" s="114"/>
      <c r="J591" s="114"/>
      <c r="K591" s="114"/>
      <c r="L591" s="114"/>
      <c r="M591" s="114"/>
      <c r="N591" s="114"/>
      <c r="O591" s="114"/>
      <c r="P591" s="114"/>
      <c r="Q591" s="114"/>
      <c r="R591" s="114"/>
      <c r="S591" s="114"/>
      <c r="T591" s="114"/>
      <c r="U591" s="114"/>
      <c r="V591" s="114"/>
      <c r="W591" s="114"/>
      <c r="X591" s="114"/>
      <c r="Y591" s="114"/>
      <c r="Z591" s="114"/>
      <c r="AA591" s="114"/>
      <c r="AB591" s="114"/>
      <c r="AC591" s="114"/>
      <c r="AD591" s="114"/>
      <c r="AE591" s="114"/>
      <c r="AF591" s="114"/>
      <c r="AG591" s="114"/>
      <c r="AH591" s="114"/>
      <c r="AI591" s="114"/>
      <c r="AJ591" s="114"/>
      <c r="AK591" s="114"/>
    </row>
    <row r="592" ht="15.75" customHeight="1">
      <c r="A592" s="114"/>
      <c r="B592" s="114"/>
      <c r="C592" s="114"/>
      <c r="D592" s="114"/>
      <c r="E592" s="114"/>
      <c r="F592" s="114"/>
      <c r="G592" s="114"/>
      <c r="H592" s="114"/>
      <c r="I592" s="114"/>
      <c r="J592" s="114"/>
      <c r="K592" s="114"/>
      <c r="L592" s="114"/>
      <c r="M592" s="114"/>
      <c r="N592" s="114"/>
      <c r="O592" s="114"/>
      <c r="P592" s="114"/>
      <c r="Q592" s="114"/>
      <c r="R592" s="114"/>
      <c r="S592" s="114"/>
      <c r="T592" s="114"/>
      <c r="U592" s="114"/>
      <c r="V592" s="114"/>
      <c r="W592" s="114"/>
      <c r="X592" s="114"/>
      <c r="Y592" s="114"/>
      <c r="Z592" s="114"/>
      <c r="AA592" s="114"/>
      <c r="AB592" s="114"/>
      <c r="AC592" s="114"/>
      <c r="AD592" s="114"/>
      <c r="AE592" s="114"/>
      <c r="AF592" s="114"/>
      <c r="AG592" s="114"/>
      <c r="AH592" s="114"/>
      <c r="AI592" s="114"/>
      <c r="AJ592" s="114"/>
      <c r="AK592" s="114"/>
    </row>
    <row r="593" ht="15.75" customHeight="1">
      <c r="A593" s="114"/>
      <c r="B593" s="114"/>
      <c r="C593" s="114"/>
      <c r="D593" s="114"/>
      <c r="E593" s="114"/>
      <c r="F593" s="114"/>
      <c r="G593" s="114"/>
      <c r="H593" s="114"/>
      <c r="I593" s="114"/>
      <c r="J593" s="114"/>
      <c r="K593" s="114"/>
      <c r="L593" s="114"/>
      <c r="M593" s="114"/>
      <c r="N593" s="114"/>
      <c r="O593" s="114"/>
      <c r="P593" s="114"/>
      <c r="Q593" s="114"/>
      <c r="R593" s="114"/>
      <c r="S593" s="114"/>
      <c r="T593" s="114"/>
      <c r="U593" s="114"/>
      <c r="V593" s="114"/>
      <c r="W593" s="114"/>
      <c r="X593" s="114"/>
      <c r="Y593" s="114"/>
      <c r="Z593" s="114"/>
      <c r="AA593" s="114"/>
      <c r="AB593" s="114"/>
      <c r="AC593" s="114"/>
      <c r="AD593" s="114"/>
      <c r="AE593" s="114"/>
      <c r="AF593" s="114"/>
      <c r="AG593" s="114"/>
      <c r="AH593" s="114"/>
      <c r="AI593" s="114"/>
      <c r="AJ593" s="114"/>
      <c r="AK593" s="114"/>
    </row>
    <row r="594" ht="15.75" customHeight="1">
      <c r="A594" s="114"/>
      <c r="B594" s="114"/>
      <c r="C594" s="114"/>
      <c r="D594" s="114"/>
      <c r="E594" s="114"/>
      <c r="F594" s="114"/>
      <c r="G594" s="114"/>
      <c r="H594" s="114"/>
      <c r="I594" s="114"/>
      <c r="J594" s="114"/>
      <c r="K594" s="114"/>
      <c r="L594" s="114"/>
      <c r="M594" s="114"/>
      <c r="N594" s="114"/>
      <c r="O594" s="114"/>
      <c r="P594" s="114"/>
      <c r="Q594" s="114"/>
      <c r="R594" s="114"/>
      <c r="S594" s="114"/>
      <c r="T594" s="114"/>
      <c r="U594" s="114"/>
      <c r="V594" s="114"/>
      <c r="W594" s="114"/>
      <c r="X594" s="114"/>
      <c r="Y594" s="114"/>
      <c r="Z594" s="114"/>
      <c r="AA594" s="114"/>
      <c r="AB594" s="114"/>
      <c r="AC594" s="114"/>
      <c r="AD594" s="114"/>
      <c r="AE594" s="114"/>
      <c r="AF594" s="114"/>
      <c r="AG594" s="114"/>
      <c r="AH594" s="114"/>
      <c r="AI594" s="114"/>
      <c r="AJ594" s="114"/>
      <c r="AK594" s="114"/>
    </row>
    <row r="595" ht="15.75" customHeight="1">
      <c r="A595" s="114"/>
      <c r="B595" s="114"/>
      <c r="C595" s="114"/>
      <c r="D595" s="114"/>
      <c r="E595" s="114"/>
      <c r="F595" s="114"/>
      <c r="G595" s="114"/>
      <c r="H595" s="114"/>
      <c r="I595" s="114"/>
      <c r="J595" s="114"/>
      <c r="K595" s="114"/>
      <c r="L595" s="114"/>
      <c r="M595" s="114"/>
      <c r="N595" s="114"/>
      <c r="O595" s="114"/>
      <c r="P595" s="114"/>
      <c r="Q595" s="114"/>
      <c r="R595" s="114"/>
      <c r="S595" s="114"/>
      <c r="T595" s="114"/>
      <c r="U595" s="114"/>
      <c r="V595" s="114"/>
      <c r="W595" s="114"/>
      <c r="X595" s="114"/>
      <c r="Y595" s="114"/>
      <c r="Z595" s="114"/>
      <c r="AA595" s="114"/>
      <c r="AB595" s="114"/>
      <c r="AC595" s="114"/>
      <c r="AD595" s="114"/>
      <c r="AE595" s="114"/>
      <c r="AF595" s="114"/>
      <c r="AG595" s="114"/>
      <c r="AH595" s="114"/>
      <c r="AI595" s="114"/>
      <c r="AJ595" s="114"/>
      <c r="AK595" s="114"/>
    </row>
    <row r="596" ht="15.75" customHeight="1">
      <c r="A596" s="114"/>
      <c r="B596" s="114"/>
      <c r="C596" s="114"/>
      <c r="D596" s="114"/>
      <c r="E596" s="114"/>
      <c r="F596" s="114"/>
      <c r="G596" s="114"/>
      <c r="H596" s="114"/>
      <c r="I596" s="114"/>
      <c r="J596" s="114"/>
      <c r="K596" s="114"/>
      <c r="L596" s="114"/>
      <c r="M596" s="114"/>
      <c r="N596" s="114"/>
      <c r="O596" s="114"/>
      <c r="P596" s="114"/>
      <c r="Q596" s="114"/>
      <c r="R596" s="114"/>
      <c r="S596" s="114"/>
      <c r="T596" s="114"/>
      <c r="U596" s="114"/>
      <c r="V596" s="114"/>
      <c r="W596" s="114"/>
      <c r="X596" s="114"/>
      <c r="Y596" s="114"/>
      <c r="Z596" s="114"/>
      <c r="AA596" s="114"/>
      <c r="AB596" s="114"/>
      <c r="AC596" s="114"/>
      <c r="AD596" s="114"/>
      <c r="AE596" s="114"/>
      <c r="AF596" s="114"/>
      <c r="AG596" s="114"/>
      <c r="AH596" s="114"/>
      <c r="AI596" s="114"/>
      <c r="AJ596" s="114"/>
      <c r="AK596" s="114"/>
    </row>
    <row r="597" ht="15.75" customHeight="1">
      <c r="A597" s="114"/>
      <c r="B597" s="114"/>
      <c r="C597" s="114"/>
      <c r="D597" s="114"/>
      <c r="E597" s="114"/>
      <c r="F597" s="114"/>
      <c r="G597" s="114"/>
      <c r="H597" s="114"/>
      <c r="I597" s="114"/>
      <c r="J597" s="114"/>
      <c r="K597" s="114"/>
      <c r="L597" s="114"/>
      <c r="M597" s="114"/>
      <c r="N597" s="114"/>
      <c r="O597" s="114"/>
      <c r="P597" s="114"/>
      <c r="Q597" s="114"/>
      <c r="R597" s="114"/>
      <c r="S597" s="114"/>
      <c r="T597" s="114"/>
      <c r="U597" s="114"/>
      <c r="V597" s="114"/>
      <c r="W597" s="114"/>
      <c r="X597" s="114"/>
      <c r="Y597" s="114"/>
      <c r="Z597" s="114"/>
      <c r="AA597" s="114"/>
      <c r="AB597" s="114"/>
      <c r="AC597" s="114"/>
      <c r="AD597" s="114"/>
      <c r="AE597" s="114"/>
      <c r="AF597" s="114"/>
      <c r="AG597" s="114"/>
      <c r="AH597" s="114"/>
      <c r="AI597" s="114"/>
      <c r="AJ597" s="114"/>
      <c r="AK597" s="114"/>
    </row>
    <row r="598" ht="15.75" customHeight="1">
      <c r="A598" s="114"/>
      <c r="B598" s="114"/>
      <c r="C598" s="114"/>
      <c r="D598" s="114"/>
      <c r="E598" s="114"/>
      <c r="F598" s="114"/>
      <c r="G598" s="114"/>
      <c r="H598" s="114"/>
      <c r="I598" s="114"/>
      <c r="J598" s="114"/>
      <c r="K598" s="114"/>
      <c r="L598" s="114"/>
      <c r="M598" s="114"/>
      <c r="N598" s="114"/>
      <c r="O598" s="114"/>
      <c r="P598" s="114"/>
      <c r="Q598" s="114"/>
      <c r="R598" s="114"/>
      <c r="S598" s="114"/>
      <c r="T598" s="114"/>
      <c r="U598" s="114"/>
      <c r="V598" s="114"/>
      <c r="W598" s="114"/>
      <c r="X598" s="114"/>
      <c r="Y598" s="114"/>
      <c r="Z598" s="114"/>
      <c r="AA598" s="114"/>
      <c r="AB598" s="114"/>
      <c r="AC598" s="114"/>
      <c r="AD598" s="114"/>
      <c r="AE598" s="114"/>
      <c r="AF598" s="114"/>
      <c r="AG598" s="114"/>
      <c r="AH598" s="114"/>
      <c r="AI598" s="114"/>
      <c r="AJ598" s="114"/>
      <c r="AK598" s="114"/>
    </row>
    <row r="599" ht="15.75" customHeight="1">
      <c r="A599" s="114"/>
      <c r="B599" s="114"/>
      <c r="C599" s="114"/>
      <c r="D599" s="114"/>
      <c r="E599" s="114"/>
      <c r="F599" s="114"/>
      <c r="G599" s="114"/>
      <c r="H599" s="114"/>
      <c r="I599" s="114"/>
      <c r="J599" s="114"/>
      <c r="K599" s="114"/>
      <c r="L599" s="114"/>
      <c r="M599" s="114"/>
      <c r="N599" s="114"/>
      <c r="O599" s="114"/>
      <c r="P599" s="114"/>
      <c r="Q599" s="114"/>
      <c r="R599" s="114"/>
      <c r="S599" s="114"/>
      <c r="T599" s="114"/>
      <c r="U599" s="114"/>
      <c r="V599" s="114"/>
      <c r="W599" s="114"/>
      <c r="X599" s="114"/>
      <c r="Y599" s="114"/>
      <c r="Z599" s="114"/>
      <c r="AA599" s="114"/>
      <c r="AB599" s="114"/>
      <c r="AC599" s="114"/>
      <c r="AD599" s="114"/>
      <c r="AE599" s="114"/>
      <c r="AF599" s="114"/>
      <c r="AG599" s="114"/>
      <c r="AH599" s="114"/>
      <c r="AI599" s="114"/>
      <c r="AJ599" s="114"/>
      <c r="AK599" s="114"/>
    </row>
    <row r="600" ht="15.75" customHeight="1">
      <c r="A600" s="114"/>
      <c r="B600" s="114"/>
      <c r="C600" s="114"/>
      <c r="D600" s="114"/>
      <c r="E600" s="114"/>
      <c r="F600" s="114"/>
      <c r="G600" s="114"/>
      <c r="H600" s="114"/>
      <c r="I600" s="114"/>
      <c r="J600" s="114"/>
      <c r="K600" s="114"/>
      <c r="L600" s="114"/>
      <c r="M600" s="114"/>
      <c r="N600" s="114"/>
      <c r="O600" s="114"/>
      <c r="P600" s="114"/>
      <c r="Q600" s="114"/>
      <c r="R600" s="114"/>
      <c r="S600" s="114"/>
      <c r="T600" s="114"/>
      <c r="U600" s="114"/>
      <c r="V600" s="114"/>
      <c r="W600" s="114"/>
      <c r="X600" s="114"/>
      <c r="Y600" s="114"/>
      <c r="Z600" s="114"/>
      <c r="AA600" s="114"/>
      <c r="AB600" s="114"/>
      <c r="AC600" s="114"/>
      <c r="AD600" s="114"/>
      <c r="AE600" s="114"/>
      <c r="AF600" s="114"/>
      <c r="AG600" s="114"/>
      <c r="AH600" s="114"/>
      <c r="AI600" s="114"/>
      <c r="AJ600" s="114"/>
      <c r="AK600" s="114"/>
    </row>
    <row r="601" ht="15.75" customHeight="1">
      <c r="A601" s="114"/>
      <c r="B601" s="114"/>
      <c r="C601" s="114"/>
      <c r="D601" s="114"/>
      <c r="E601" s="114"/>
      <c r="F601" s="114"/>
      <c r="G601" s="114"/>
      <c r="H601" s="114"/>
      <c r="I601" s="114"/>
      <c r="J601" s="114"/>
      <c r="K601" s="114"/>
      <c r="L601" s="114"/>
      <c r="M601" s="114"/>
      <c r="N601" s="114"/>
      <c r="O601" s="114"/>
      <c r="P601" s="114"/>
      <c r="Q601" s="114"/>
      <c r="R601" s="114"/>
      <c r="S601" s="114"/>
      <c r="T601" s="114"/>
      <c r="U601" s="114"/>
      <c r="V601" s="114"/>
      <c r="W601" s="114"/>
      <c r="X601" s="114"/>
      <c r="Y601" s="114"/>
      <c r="Z601" s="114"/>
      <c r="AA601" s="114"/>
      <c r="AB601" s="114"/>
      <c r="AC601" s="114"/>
      <c r="AD601" s="114"/>
      <c r="AE601" s="114"/>
      <c r="AF601" s="114"/>
      <c r="AG601" s="114"/>
      <c r="AH601" s="114"/>
      <c r="AI601" s="114"/>
      <c r="AJ601" s="114"/>
      <c r="AK601" s="114"/>
    </row>
    <row r="602" ht="15.75" customHeight="1">
      <c r="A602" s="114"/>
      <c r="B602" s="114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M602" s="114"/>
      <c r="N602" s="114"/>
      <c r="O602" s="114"/>
      <c r="P602" s="114"/>
      <c r="Q602" s="114"/>
      <c r="R602" s="114"/>
      <c r="S602" s="114"/>
      <c r="T602" s="114"/>
      <c r="U602" s="114"/>
      <c r="V602" s="114"/>
      <c r="W602" s="114"/>
      <c r="X602" s="114"/>
      <c r="Y602" s="114"/>
      <c r="Z602" s="114"/>
      <c r="AA602" s="114"/>
      <c r="AB602" s="114"/>
      <c r="AC602" s="114"/>
      <c r="AD602" s="114"/>
      <c r="AE602" s="114"/>
      <c r="AF602" s="114"/>
      <c r="AG602" s="114"/>
      <c r="AH602" s="114"/>
      <c r="AI602" s="114"/>
      <c r="AJ602" s="114"/>
      <c r="AK602" s="114"/>
    </row>
    <row r="603" ht="15.75" customHeight="1">
      <c r="A603" s="114"/>
      <c r="B603" s="114"/>
      <c r="C603" s="114"/>
      <c r="D603" s="114"/>
      <c r="E603" s="114"/>
      <c r="F603" s="114"/>
      <c r="G603" s="114"/>
      <c r="H603" s="114"/>
      <c r="I603" s="114"/>
      <c r="J603" s="114"/>
      <c r="K603" s="114"/>
      <c r="L603" s="114"/>
      <c r="M603" s="114"/>
      <c r="N603" s="114"/>
      <c r="O603" s="114"/>
      <c r="P603" s="114"/>
      <c r="Q603" s="114"/>
      <c r="R603" s="114"/>
      <c r="S603" s="114"/>
      <c r="T603" s="114"/>
      <c r="U603" s="114"/>
      <c r="V603" s="114"/>
      <c r="W603" s="114"/>
      <c r="X603" s="114"/>
      <c r="Y603" s="114"/>
      <c r="Z603" s="114"/>
      <c r="AA603" s="114"/>
      <c r="AB603" s="114"/>
      <c r="AC603" s="114"/>
      <c r="AD603" s="114"/>
      <c r="AE603" s="114"/>
      <c r="AF603" s="114"/>
      <c r="AG603" s="114"/>
      <c r="AH603" s="114"/>
      <c r="AI603" s="114"/>
      <c r="AJ603" s="114"/>
      <c r="AK603" s="114"/>
    </row>
    <row r="604" ht="15.75" customHeight="1">
      <c r="A604" s="114"/>
      <c r="B604" s="114"/>
      <c r="C604" s="114"/>
      <c r="D604" s="114"/>
      <c r="E604" s="114"/>
      <c r="F604" s="114"/>
      <c r="G604" s="114"/>
      <c r="H604" s="114"/>
      <c r="I604" s="114"/>
      <c r="J604" s="114"/>
      <c r="K604" s="114"/>
      <c r="L604" s="114"/>
      <c r="M604" s="114"/>
      <c r="N604" s="114"/>
      <c r="O604" s="114"/>
      <c r="P604" s="114"/>
      <c r="Q604" s="114"/>
      <c r="R604" s="114"/>
      <c r="S604" s="114"/>
      <c r="T604" s="114"/>
      <c r="U604" s="114"/>
      <c r="V604" s="114"/>
      <c r="W604" s="114"/>
      <c r="X604" s="114"/>
      <c r="Y604" s="114"/>
      <c r="Z604" s="114"/>
      <c r="AA604" s="114"/>
      <c r="AB604" s="114"/>
      <c r="AC604" s="114"/>
      <c r="AD604" s="114"/>
      <c r="AE604" s="114"/>
      <c r="AF604" s="114"/>
      <c r="AG604" s="114"/>
      <c r="AH604" s="114"/>
      <c r="AI604" s="114"/>
      <c r="AJ604" s="114"/>
      <c r="AK604" s="114"/>
    </row>
    <row r="605" ht="15.75" customHeight="1">
      <c r="A605" s="114"/>
      <c r="B605" s="114"/>
      <c r="C605" s="114"/>
      <c r="D605" s="114"/>
      <c r="E605" s="114"/>
      <c r="F605" s="114"/>
      <c r="G605" s="114"/>
      <c r="H605" s="114"/>
      <c r="I605" s="114"/>
      <c r="J605" s="114"/>
      <c r="K605" s="114"/>
      <c r="L605" s="114"/>
      <c r="M605" s="114"/>
      <c r="N605" s="114"/>
      <c r="O605" s="114"/>
      <c r="P605" s="114"/>
      <c r="Q605" s="114"/>
      <c r="R605" s="114"/>
      <c r="S605" s="114"/>
      <c r="T605" s="114"/>
      <c r="U605" s="114"/>
      <c r="V605" s="114"/>
      <c r="W605" s="114"/>
      <c r="X605" s="114"/>
      <c r="Y605" s="114"/>
      <c r="Z605" s="114"/>
      <c r="AA605" s="114"/>
      <c r="AB605" s="114"/>
      <c r="AC605" s="114"/>
      <c r="AD605" s="114"/>
      <c r="AE605" s="114"/>
      <c r="AF605" s="114"/>
      <c r="AG605" s="114"/>
      <c r="AH605" s="114"/>
      <c r="AI605" s="114"/>
      <c r="AJ605" s="114"/>
      <c r="AK605" s="114"/>
    </row>
    <row r="606" ht="15.75" customHeight="1">
      <c r="A606" s="114"/>
      <c r="B606" s="114"/>
      <c r="C606" s="114"/>
      <c r="D606" s="114"/>
      <c r="E606" s="114"/>
      <c r="F606" s="114"/>
      <c r="G606" s="114"/>
      <c r="H606" s="114"/>
      <c r="I606" s="114"/>
      <c r="J606" s="114"/>
      <c r="K606" s="114"/>
      <c r="L606" s="114"/>
      <c r="M606" s="114"/>
      <c r="N606" s="114"/>
      <c r="O606" s="114"/>
      <c r="P606" s="114"/>
      <c r="Q606" s="114"/>
      <c r="R606" s="114"/>
      <c r="S606" s="114"/>
      <c r="T606" s="114"/>
      <c r="U606" s="114"/>
      <c r="V606" s="114"/>
      <c r="W606" s="114"/>
      <c r="X606" s="114"/>
      <c r="Y606" s="114"/>
      <c r="Z606" s="114"/>
      <c r="AA606" s="114"/>
      <c r="AB606" s="114"/>
      <c r="AC606" s="114"/>
      <c r="AD606" s="114"/>
      <c r="AE606" s="114"/>
      <c r="AF606" s="114"/>
      <c r="AG606" s="114"/>
      <c r="AH606" s="114"/>
      <c r="AI606" s="114"/>
      <c r="AJ606" s="114"/>
      <c r="AK606" s="114"/>
    </row>
    <row r="607" ht="15.75" customHeight="1">
      <c r="A607" s="114"/>
      <c r="B607" s="114"/>
      <c r="C607" s="114"/>
      <c r="D607" s="114"/>
      <c r="E607" s="114"/>
      <c r="F607" s="114"/>
      <c r="G607" s="114"/>
      <c r="H607" s="114"/>
      <c r="I607" s="114"/>
      <c r="J607" s="114"/>
      <c r="K607" s="114"/>
      <c r="L607" s="114"/>
      <c r="M607" s="114"/>
      <c r="N607" s="114"/>
      <c r="O607" s="114"/>
      <c r="P607" s="114"/>
      <c r="Q607" s="114"/>
      <c r="R607" s="114"/>
      <c r="S607" s="114"/>
      <c r="T607" s="114"/>
      <c r="U607" s="114"/>
      <c r="V607" s="114"/>
      <c r="W607" s="114"/>
      <c r="X607" s="114"/>
      <c r="Y607" s="114"/>
      <c r="Z607" s="114"/>
      <c r="AA607" s="114"/>
      <c r="AB607" s="114"/>
      <c r="AC607" s="114"/>
      <c r="AD607" s="114"/>
      <c r="AE607" s="114"/>
      <c r="AF607" s="114"/>
      <c r="AG607" s="114"/>
      <c r="AH607" s="114"/>
      <c r="AI607" s="114"/>
      <c r="AJ607" s="114"/>
      <c r="AK607" s="114"/>
    </row>
    <row r="608" ht="15.75" customHeight="1">
      <c r="A608" s="114"/>
      <c r="B608" s="114"/>
      <c r="C608" s="114"/>
      <c r="D608" s="114"/>
      <c r="E608" s="114"/>
      <c r="F608" s="114"/>
      <c r="G608" s="114"/>
      <c r="H608" s="114"/>
      <c r="I608" s="114"/>
      <c r="J608" s="114"/>
      <c r="K608" s="114"/>
      <c r="L608" s="114"/>
      <c r="M608" s="114"/>
      <c r="N608" s="114"/>
      <c r="O608" s="114"/>
      <c r="P608" s="114"/>
      <c r="Q608" s="114"/>
      <c r="R608" s="114"/>
      <c r="S608" s="114"/>
      <c r="T608" s="114"/>
      <c r="U608" s="114"/>
      <c r="V608" s="114"/>
      <c r="W608" s="114"/>
      <c r="X608" s="114"/>
      <c r="Y608" s="114"/>
      <c r="Z608" s="114"/>
      <c r="AA608" s="114"/>
      <c r="AB608" s="114"/>
      <c r="AC608" s="114"/>
      <c r="AD608" s="114"/>
      <c r="AE608" s="114"/>
      <c r="AF608" s="114"/>
      <c r="AG608" s="114"/>
      <c r="AH608" s="114"/>
      <c r="AI608" s="114"/>
      <c r="AJ608" s="114"/>
      <c r="AK608" s="114"/>
    </row>
    <row r="609" ht="15.75" customHeight="1">
      <c r="A609" s="114"/>
      <c r="B609" s="114"/>
      <c r="C609" s="114"/>
      <c r="D609" s="114"/>
      <c r="E609" s="114"/>
      <c r="F609" s="114"/>
      <c r="G609" s="114"/>
      <c r="H609" s="114"/>
      <c r="I609" s="114"/>
      <c r="J609" s="114"/>
      <c r="K609" s="114"/>
      <c r="L609" s="114"/>
      <c r="M609" s="114"/>
      <c r="N609" s="114"/>
      <c r="O609" s="114"/>
      <c r="P609" s="114"/>
      <c r="Q609" s="114"/>
      <c r="R609" s="114"/>
      <c r="S609" s="114"/>
      <c r="T609" s="114"/>
      <c r="U609" s="114"/>
      <c r="V609" s="114"/>
      <c r="W609" s="114"/>
      <c r="X609" s="114"/>
      <c r="Y609" s="114"/>
      <c r="Z609" s="114"/>
      <c r="AA609" s="114"/>
      <c r="AB609" s="114"/>
      <c r="AC609" s="114"/>
      <c r="AD609" s="114"/>
      <c r="AE609" s="114"/>
      <c r="AF609" s="114"/>
      <c r="AG609" s="114"/>
      <c r="AH609" s="114"/>
      <c r="AI609" s="114"/>
      <c r="AJ609" s="114"/>
      <c r="AK609" s="114"/>
    </row>
    <row r="610" ht="15.75" customHeight="1">
      <c r="A610" s="114"/>
      <c r="B610" s="114"/>
      <c r="C610" s="114"/>
      <c r="D610" s="114"/>
      <c r="E610" s="114"/>
      <c r="F610" s="114"/>
      <c r="G610" s="114"/>
      <c r="H610" s="114"/>
      <c r="I610" s="114"/>
      <c r="J610" s="114"/>
      <c r="K610" s="114"/>
      <c r="L610" s="114"/>
      <c r="M610" s="114"/>
      <c r="N610" s="114"/>
      <c r="O610" s="114"/>
      <c r="P610" s="114"/>
      <c r="Q610" s="114"/>
      <c r="R610" s="114"/>
      <c r="S610" s="114"/>
      <c r="T610" s="114"/>
      <c r="U610" s="114"/>
      <c r="V610" s="114"/>
      <c r="W610" s="114"/>
      <c r="X610" s="114"/>
      <c r="Y610" s="114"/>
      <c r="Z610" s="114"/>
      <c r="AA610" s="114"/>
      <c r="AB610" s="114"/>
      <c r="AC610" s="114"/>
      <c r="AD610" s="114"/>
      <c r="AE610" s="114"/>
      <c r="AF610" s="114"/>
      <c r="AG610" s="114"/>
      <c r="AH610" s="114"/>
      <c r="AI610" s="114"/>
      <c r="AJ610" s="114"/>
      <c r="AK610" s="114"/>
    </row>
    <row r="611" ht="15.75" customHeight="1">
      <c r="A611" s="114"/>
      <c r="B611" s="114"/>
      <c r="C611" s="114"/>
      <c r="D611" s="114"/>
      <c r="E611" s="114"/>
      <c r="F611" s="114"/>
      <c r="G611" s="114"/>
      <c r="H611" s="114"/>
      <c r="I611" s="114"/>
      <c r="J611" s="114"/>
      <c r="K611" s="114"/>
      <c r="L611" s="114"/>
      <c r="M611" s="114"/>
      <c r="N611" s="114"/>
      <c r="O611" s="114"/>
      <c r="P611" s="114"/>
      <c r="Q611" s="114"/>
      <c r="R611" s="114"/>
      <c r="S611" s="114"/>
      <c r="T611" s="114"/>
      <c r="U611" s="114"/>
      <c r="V611" s="114"/>
      <c r="W611" s="114"/>
      <c r="X611" s="114"/>
      <c r="Y611" s="114"/>
      <c r="Z611" s="114"/>
      <c r="AA611" s="114"/>
      <c r="AB611" s="114"/>
      <c r="AC611" s="114"/>
      <c r="AD611" s="114"/>
      <c r="AE611" s="114"/>
      <c r="AF611" s="114"/>
      <c r="AG611" s="114"/>
      <c r="AH611" s="114"/>
      <c r="AI611" s="114"/>
      <c r="AJ611" s="114"/>
      <c r="AK611" s="114"/>
    </row>
    <row r="612" ht="15.75" customHeight="1">
      <c r="A612" s="114"/>
      <c r="B612" s="114"/>
      <c r="C612" s="114"/>
      <c r="D612" s="114"/>
      <c r="E612" s="114"/>
      <c r="F612" s="114"/>
      <c r="G612" s="114"/>
      <c r="H612" s="114"/>
      <c r="I612" s="114"/>
      <c r="J612" s="114"/>
      <c r="K612" s="114"/>
      <c r="L612" s="114"/>
      <c r="M612" s="114"/>
      <c r="N612" s="114"/>
      <c r="O612" s="114"/>
      <c r="P612" s="114"/>
      <c r="Q612" s="114"/>
      <c r="R612" s="114"/>
      <c r="S612" s="114"/>
      <c r="T612" s="114"/>
      <c r="U612" s="114"/>
      <c r="V612" s="114"/>
      <c r="W612" s="114"/>
      <c r="X612" s="114"/>
      <c r="Y612" s="114"/>
      <c r="Z612" s="114"/>
      <c r="AA612" s="114"/>
      <c r="AB612" s="114"/>
      <c r="AC612" s="114"/>
      <c r="AD612" s="114"/>
      <c r="AE612" s="114"/>
      <c r="AF612" s="114"/>
      <c r="AG612" s="114"/>
      <c r="AH612" s="114"/>
      <c r="AI612" s="114"/>
      <c r="AJ612" s="114"/>
      <c r="AK612" s="114"/>
    </row>
    <row r="613" ht="15.75" customHeight="1">
      <c r="A613" s="114"/>
      <c r="B613" s="114"/>
      <c r="C613" s="114"/>
      <c r="D613" s="114"/>
      <c r="E613" s="114"/>
      <c r="F613" s="114"/>
      <c r="G613" s="114"/>
      <c r="H613" s="114"/>
      <c r="I613" s="114"/>
      <c r="J613" s="114"/>
      <c r="K613" s="114"/>
      <c r="L613" s="114"/>
      <c r="M613" s="114"/>
      <c r="N613" s="114"/>
      <c r="O613" s="114"/>
      <c r="P613" s="114"/>
      <c r="Q613" s="114"/>
      <c r="R613" s="114"/>
      <c r="S613" s="114"/>
      <c r="T613" s="114"/>
      <c r="U613" s="114"/>
      <c r="V613" s="114"/>
      <c r="W613" s="114"/>
      <c r="X613" s="114"/>
      <c r="Y613" s="114"/>
      <c r="Z613" s="114"/>
      <c r="AA613" s="114"/>
      <c r="AB613" s="114"/>
      <c r="AC613" s="114"/>
      <c r="AD613" s="114"/>
      <c r="AE613" s="114"/>
      <c r="AF613" s="114"/>
      <c r="AG613" s="114"/>
      <c r="AH613" s="114"/>
      <c r="AI613" s="114"/>
      <c r="AJ613" s="114"/>
      <c r="AK613" s="114"/>
    </row>
    <row r="614" ht="15.75" customHeight="1">
      <c r="A614" s="114"/>
      <c r="B614" s="114"/>
      <c r="C614" s="114"/>
      <c r="D614" s="114"/>
      <c r="E614" s="114"/>
      <c r="F614" s="114"/>
      <c r="G614" s="114"/>
      <c r="H614" s="114"/>
      <c r="I614" s="114"/>
      <c r="J614" s="114"/>
      <c r="K614" s="114"/>
      <c r="L614" s="114"/>
      <c r="M614" s="114"/>
      <c r="N614" s="114"/>
      <c r="O614" s="114"/>
      <c r="P614" s="114"/>
      <c r="Q614" s="114"/>
      <c r="R614" s="114"/>
      <c r="S614" s="114"/>
      <c r="T614" s="114"/>
      <c r="U614" s="114"/>
      <c r="V614" s="114"/>
      <c r="W614" s="114"/>
      <c r="X614" s="114"/>
      <c r="Y614" s="114"/>
      <c r="Z614" s="114"/>
      <c r="AA614" s="114"/>
      <c r="AB614" s="114"/>
      <c r="AC614" s="114"/>
      <c r="AD614" s="114"/>
      <c r="AE614" s="114"/>
      <c r="AF614" s="114"/>
      <c r="AG614" s="114"/>
      <c r="AH614" s="114"/>
      <c r="AI614" s="114"/>
      <c r="AJ614" s="114"/>
      <c r="AK614" s="114"/>
    </row>
    <row r="615" ht="15.75" customHeight="1">
      <c r="A615" s="114"/>
      <c r="B615" s="114"/>
      <c r="C615" s="114"/>
      <c r="D615" s="114"/>
      <c r="E615" s="114"/>
      <c r="F615" s="114"/>
      <c r="G615" s="114"/>
      <c r="H615" s="114"/>
      <c r="I615" s="114"/>
      <c r="J615" s="114"/>
      <c r="K615" s="114"/>
      <c r="L615" s="114"/>
      <c r="M615" s="114"/>
      <c r="N615" s="114"/>
      <c r="O615" s="114"/>
      <c r="P615" s="114"/>
      <c r="Q615" s="114"/>
      <c r="R615" s="114"/>
      <c r="S615" s="114"/>
      <c r="T615" s="114"/>
      <c r="U615" s="114"/>
      <c r="V615" s="114"/>
      <c r="W615" s="114"/>
      <c r="X615" s="114"/>
      <c r="Y615" s="114"/>
      <c r="Z615" s="114"/>
      <c r="AA615" s="114"/>
      <c r="AB615" s="114"/>
      <c r="AC615" s="114"/>
      <c r="AD615" s="114"/>
      <c r="AE615" s="114"/>
      <c r="AF615" s="114"/>
      <c r="AG615" s="114"/>
      <c r="AH615" s="114"/>
      <c r="AI615" s="114"/>
      <c r="AJ615" s="114"/>
      <c r="AK615" s="114"/>
    </row>
    <row r="616" ht="15.75" customHeight="1">
      <c r="A616" s="114"/>
      <c r="B616" s="114"/>
      <c r="C616" s="114"/>
      <c r="D616" s="114"/>
      <c r="E616" s="114"/>
      <c r="F616" s="114"/>
      <c r="G616" s="114"/>
      <c r="H616" s="114"/>
      <c r="I616" s="114"/>
      <c r="J616" s="114"/>
      <c r="K616" s="114"/>
      <c r="L616" s="114"/>
      <c r="M616" s="114"/>
      <c r="N616" s="114"/>
      <c r="O616" s="114"/>
      <c r="P616" s="114"/>
      <c r="Q616" s="114"/>
      <c r="R616" s="114"/>
      <c r="S616" s="114"/>
      <c r="T616" s="114"/>
      <c r="U616" s="114"/>
      <c r="V616" s="114"/>
      <c r="W616" s="114"/>
      <c r="X616" s="114"/>
      <c r="Y616" s="114"/>
      <c r="Z616" s="114"/>
      <c r="AA616" s="114"/>
      <c r="AB616" s="114"/>
      <c r="AC616" s="114"/>
      <c r="AD616" s="114"/>
      <c r="AE616" s="114"/>
      <c r="AF616" s="114"/>
      <c r="AG616" s="114"/>
      <c r="AH616" s="114"/>
      <c r="AI616" s="114"/>
      <c r="AJ616" s="114"/>
      <c r="AK616" s="114"/>
    </row>
    <row r="617" ht="15.75" customHeight="1">
      <c r="A617" s="114"/>
      <c r="B617" s="114"/>
      <c r="C617" s="114"/>
      <c r="D617" s="114"/>
      <c r="E617" s="114"/>
      <c r="F617" s="114"/>
      <c r="G617" s="114"/>
      <c r="H617" s="114"/>
      <c r="I617" s="114"/>
      <c r="J617" s="114"/>
      <c r="K617" s="114"/>
      <c r="L617" s="114"/>
      <c r="M617" s="114"/>
      <c r="N617" s="114"/>
      <c r="O617" s="114"/>
      <c r="P617" s="114"/>
      <c r="Q617" s="114"/>
      <c r="R617" s="114"/>
      <c r="S617" s="114"/>
      <c r="T617" s="114"/>
      <c r="U617" s="114"/>
      <c r="V617" s="114"/>
      <c r="W617" s="114"/>
      <c r="X617" s="114"/>
      <c r="Y617" s="114"/>
      <c r="Z617" s="114"/>
      <c r="AA617" s="114"/>
      <c r="AB617" s="114"/>
      <c r="AC617" s="114"/>
      <c r="AD617" s="114"/>
      <c r="AE617" s="114"/>
      <c r="AF617" s="114"/>
      <c r="AG617" s="114"/>
      <c r="AH617" s="114"/>
      <c r="AI617" s="114"/>
      <c r="AJ617" s="114"/>
      <c r="AK617" s="114"/>
    </row>
    <row r="618" ht="15.75" customHeight="1">
      <c r="A618" s="114"/>
      <c r="B618" s="114"/>
      <c r="C618" s="114"/>
      <c r="D618" s="114"/>
      <c r="E618" s="114"/>
      <c r="F618" s="114"/>
      <c r="G618" s="114"/>
      <c r="H618" s="114"/>
      <c r="I618" s="114"/>
      <c r="J618" s="114"/>
      <c r="K618" s="114"/>
      <c r="L618" s="114"/>
      <c r="M618" s="114"/>
      <c r="N618" s="114"/>
      <c r="O618" s="114"/>
      <c r="P618" s="114"/>
      <c r="Q618" s="114"/>
      <c r="R618" s="114"/>
      <c r="S618" s="114"/>
      <c r="T618" s="114"/>
      <c r="U618" s="114"/>
      <c r="V618" s="114"/>
      <c r="W618" s="114"/>
      <c r="X618" s="114"/>
      <c r="Y618" s="114"/>
      <c r="Z618" s="114"/>
      <c r="AA618" s="114"/>
      <c r="AB618" s="114"/>
      <c r="AC618" s="114"/>
      <c r="AD618" s="114"/>
      <c r="AE618" s="114"/>
      <c r="AF618" s="114"/>
      <c r="AG618" s="114"/>
      <c r="AH618" s="114"/>
      <c r="AI618" s="114"/>
      <c r="AJ618" s="114"/>
      <c r="AK618" s="114"/>
    </row>
    <row r="619" ht="15.75" customHeight="1">
      <c r="A619" s="114"/>
      <c r="B619" s="114"/>
      <c r="C619" s="114"/>
      <c r="D619" s="114"/>
      <c r="E619" s="114"/>
      <c r="F619" s="114"/>
      <c r="G619" s="114"/>
      <c r="H619" s="114"/>
      <c r="I619" s="114"/>
      <c r="J619" s="114"/>
      <c r="K619" s="114"/>
      <c r="L619" s="114"/>
      <c r="M619" s="114"/>
      <c r="N619" s="114"/>
      <c r="O619" s="114"/>
      <c r="P619" s="114"/>
      <c r="Q619" s="114"/>
      <c r="R619" s="114"/>
      <c r="S619" s="114"/>
      <c r="T619" s="114"/>
      <c r="U619" s="114"/>
      <c r="V619" s="114"/>
      <c r="W619" s="114"/>
      <c r="X619" s="114"/>
      <c r="Y619" s="114"/>
      <c r="Z619" s="114"/>
      <c r="AA619" s="114"/>
      <c r="AB619" s="114"/>
      <c r="AC619" s="114"/>
      <c r="AD619" s="114"/>
      <c r="AE619" s="114"/>
      <c r="AF619" s="114"/>
      <c r="AG619" s="114"/>
      <c r="AH619" s="114"/>
      <c r="AI619" s="114"/>
      <c r="AJ619" s="114"/>
      <c r="AK619" s="114"/>
    </row>
    <row r="620" ht="15.75" customHeight="1">
      <c r="A620" s="114"/>
      <c r="B620" s="114"/>
      <c r="C620" s="114"/>
      <c r="D620" s="114"/>
      <c r="E620" s="114"/>
      <c r="F620" s="114"/>
      <c r="G620" s="114"/>
      <c r="H620" s="114"/>
      <c r="I620" s="114"/>
      <c r="J620" s="114"/>
      <c r="K620" s="114"/>
      <c r="L620" s="114"/>
      <c r="M620" s="114"/>
      <c r="N620" s="114"/>
      <c r="O620" s="114"/>
      <c r="P620" s="114"/>
      <c r="Q620" s="114"/>
      <c r="R620" s="114"/>
      <c r="S620" s="114"/>
      <c r="T620" s="114"/>
      <c r="U620" s="114"/>
      <c r="V620" s="114"/>
      <c r="W620" s="114"/>
      <c r="X620" s="114"/>
      <c r="Y620" s="114"/>
      <c r="Z620" s="114"/>
      <c r="AA620" s="114"/>
      <c r="AB620" s="114"/>
      <c r="AC620" s="114"/>
      <c r="AD620" s="114"/>
      <c r="AE620" s="114"/>
      <c r="AF620" s="114"/>
      <c r="AG620" s="114"/>
      <c r="AH620" s="114"/>
      <c r="AI620" s="114"/>
      <c r="AJ620" s="114"/>
      <c r="AK620" s="114"/>
    </row>
    <row r="621" ht="15.75" customHeight="1">
      <c r="A621" s="114"/>
      <c r="B621" s="114"/>
      <c r="C621" s="114"/>
      <c r="D621" s="114"/>
      <c r="E621" s="114"/>
      <c r="F621" s="114"/>
      <c r="G621" s="114"/>
      <c r="H621" s="114"/>
      <c r="I621" s="114"/>
      <c r="J621" s="114"/>
      <c r="K621" s="114"/>
      <c r="L621" s="114"/>
      <c r="M621" s="114"/>
      <c r="N621" s="114"/>
      <c r="O621" s="114"/>
      <c r="P621" s="114"/>
      <c r="Q621" s="114"/>
      <c r="R621" s="114"/>
      <c r="S621" s="114"/>
      <c r="T621" s="114"/>
      <c r="U621" s="114"/>
      <c r="V621" s="114"/>
      <c r="W621" s="114"/>
      <c r="X621" s="114"/>
      <c r="Y621" s="114"/>
      <c r="Z621" s="114"/>
      <c r="AA621" s="114"/>
      <c r="AB621" s="114"/>
      <c r="AC621" s="114"/>
      <c r="AD621" s="114"/>
      <c r="AE621" s="114"/>
      <c r="AF621" s="114"/>
      <c r="AG621" s="114"/>
      <c r="AH621" s="114"/>
      <c r="AI621" s="114"/>
      <c r="AJ621" s="114"/>
      <c r="AK621" s="114"/>
    </row>
    <row r="622" ht="15.75" customHeight="1">
      <c r="A622" s="114"/>
      <c r="B622" s="114"/>
      <c r="C622" s="114"/>
      <c r="D622" s="114"/>
      <c r="E622" s="114"/>
      <c r="F622" s="114"/>
      <c r="G622" s="114"/>
      <c r="H622" s="114"/>
      <c r="I622" s="114"/>
      <c r="J622" s="114"/>
      <c r="K622" s="114"/>
      <c r="L622" s="114"/>
      <c r="M622" s="114"/>
      <c r="N622" s="114"/>
      <c r="O622" s="114"/>
      <c r="P622" s="114"/>
      <c r="Q622" s="114"/>
      <c r="R622" s="114"/>
      <c r="S622" s="114"/>
      <c r="T622" s="114"/>
      <c r="U622" s="114"/>
      <c r="V622" s="114"/>
      <c r="W622" s="114"/>
      <c r="X622" s="114"/>
      <c r="Y622" s="114"/>
      <c r="Z622" s="114"/>
      <c r="AA622" s="114"/>
      <c r="AB622" s="114"/>
      <c r="AC622" s="114"/>
      <c r="AD622" s="114"/>
      <c r="AE622" s="114"/>
      <c r="AF622" s="114"/>
      <c r="AG622" s="114"/>
      <c r="AH622" s="114"/>
      <c r="AI622" s="114"/>
      <c r="AJ622" s="114"/>
      <c r="AK622" s="114"/>
    </row>
    <row r="623" ht="15.75" customHeight="1">
      <c r="A623" s="114"/>
      <c r="B623" s="114"/>
      <c r="C623" s="114"/>
      <c r="D623" s="114"/>
      <c r="E623" s="114"/>
      <c r="F623" s="114"/>
      <c r="G623" s="114"/>
      <c r="H623" s="114"/>
      <c r="I623" s="114"/>
      <c r="J623" s="114"/>
      <c r="K623" s="114"/>
      <c r="L623" s="114"/>
      <c r="M623" s="114"/>
      <c r="N623" s="114"/>
      <c r="O623" s="114"/>
      <c r="P623" s="114"/>
      <c r="Q623" s="114"/>
      <c r="R623" s="114"/>
      <c r="S623" s="114"/>
      <c r="T623" s="114"/>
      <c r="U623" s="114"/>
      <c r="V623" s="114"/>
      <c r="W623" s="114"/>
      <c r="X623" s="114"/>
      <c r="Y623" s="114"/>
      <c r="Z623" s="114"/>
      <c r="AA623" s="114"/>
      <c r="AB623" s="114"/>
      <c r="AC623" s="114"/>
      <c r="AD623" s="114"/>
      <c r="AE623" s="114"/>
      <c r="AF623" s="114"/>
      <c r="AG623" s="114"/>
      <c r="AH623" s="114"/>
      <c r="AI623" s="114"/>
      <c r="AJ623" s="114"/>
      <c r="AK623" s="114"/>
    </row>
    <row r="624" ht="15.75" customHeight="1">
      <c r="A624" s="114"/>
      <c r="B624" s="114"/>
      <c r="C624" s="114"/>
      <c r="D624" s="114"/>
      <c r="E624" s="114"/>
      <c r="F624" s="114"/>
      <c r="G624" s="114"/>
      <c r="H624" s="114"/>
      <c r="I624" s="114"/>
      <c r="J624" s="114"/>
      <c r="K624" s="114"/>
      <c r="L624" s="114"/>
      <c r="M624" s="114"/>
      <c r="N624" s="114"/>
      <c r="O624" s="114"/>
      <c r="P624" s="114"/>
      <c r="Q624" s="114"/>
      <c r="R624" s="114"/>
      <c r="S624" s="114"/>
      <c r="T624" s="114"/>
      <c r="U624" s="114"/>
      <c r="V624" s="114"/>
      <c r="W624" s="114"/>
      <c r="X624" s="114"/>
      <c r="Y624" s="114"/>
      <c r="Z624" s="114"/>
      <c r="AA624" s="114"/>
      <c r="AB624" s="114"/>
      <c r="AC624" s="114"/>
      <c r="AD624" s="114"/>
      <c r="AE624" s="114"/>
      <c r="AF624" s="114"/>
      <c r="AG624" s="114"/>
      <c r="AH624" s="114"/>
      <c r="AI624" s="114"/>
      <c r="AJ624" s="114"/>
      <c r="AK624" s="114"/>
    </row>
    <row r="625" ht="15.75" customHeight="1">
      <c r="A625" s="114"/>
      <c r="B625" s="114"/>
      <c r="C625" s="114"/>
      <c r="D625" s="114"/>
      <c r="E625" s="114"/>
      <c r="F625" s="114"/>
      <c r="G625" s="114"/>
      <c r="H625" s="114"/>
      <c r="I625" s="114"/>
      <c r="J625" s="114"/>
      <c r="K625" s="114"/>
      <c r="L625" s="114"/>
      <c r="M625" s="114"/>
      <c r="N625" s="114"/>
      <c r="O625" s="114"/>
      <c r="P625" s="114"/>
      <c r="Q625" s="114"/>
      <c r="R625" s="114"/>
      <c r="S625" s="114"/>
      <c r="T625" s="114"/>
      <c r="U625" s="114"/>
      <c r="V625" s="114"/>
      <c r="W625" s="114"/>
      <c r="X625" s="114"/>
      <c r="Y625" s="114"/>
      <c r="Z625" s="114"/>
      <c r="AA625" s="114"/>
      <c r="AB625" s="114"/>
      <c r="AC625" s="114"/>
      <c r="AD625" s="114"/>
      <c r="AE625" s="114"/>
      <c r="AF625" s="114"/>
      <c r="AG625" s="114"/>
      <c r="AH625" s="114"/>
      <c r="AI625" s="114"/>
      <c r="AJ625" s="114"/>
      <c r="AK625" s="114"/>
    </row>
    <row r="626" ht="15.75" customHeight="1">
      <c r="A626" s="114"/>
      <c r="B626" s="114"/>
      <c r="C626" s="114"/>
      <c r="D626" s="114"/>
      <c r="E626" s="114"/>
      <c r="F626" s="114"/>
      <c r="G626" s="114"/>
      <c r="H626" s="114"/>
      <c r="I626" s="114"/>
      <c r="J626" s="114"/>
      <c r="K626" s="114"/>
      <c r="L626" s="114"/>
      <c r="M626" s="114"/>
      <c r="N626" s="114"/>
      <c r="O626" s="114"/>
      <c r="P626" s="114"/>
      <c r="Q626" s="114"/>
      <c r="R626" s="114"/>
      <c r="S626" s="114"/>
      <c r="T626" s="114"/>
      <c r="U626" s="114"/>
      <c r="V626" s="114"/>
      <c r="W626" s="114"/>
      <c r="X626" s="114"/>
      <c r="Y626" s="114"/>
      <c r="Z626" s="114"/>
      <c r="AA626" s="114"/>
      <c r="AB626" s="114"/>
      <c r="AC626" s="114"/>
      <c r="AD626" s="114"/>
      <c r="AE626" s="114"/>
      <c r="AF626" s="114"/>
      <c r="AG626" s="114"/>
      <c r="AH626" s="114"/>
      <c r="AI626" s="114"/>
      <c r="AJ626" s="114"/>
      <c r="AK626" s="114"/>
    </row>
    <row r="627" ht="15.75" customHeight="1">
      <c r="A627" s="114"/>
      <c r="B627" s="114"/>
      <c r="C627" s="114"/>
      <c r="D627" s="114"/>
      <c r="E627" s="114"/>
      <c r="F627" s="114"/>
      <c r="G627" s="114"/>
      <c r="H627" s="114"/>
      <c r="I627" s="114"/>
      <c r="J627" s="114"/>
      <c r="K627" s="114"/>
      <c r="L627" s="114"/>
      <c r="M627" s="114"/>
      <c r="N627" s="114"/>
      <c r="O627" s="114"/>
      <c r="P627" s="114"/>
      <c r="Q627" s="114"/>
      <c r="R627" s="114"/>
      <c r="S627" s="114"/>
      <c r="T627" s="114"/>
      <c r="U627" s="114"/>
      <c r="V627" s="114"/>
      <c r="W627" s="114"/>
      <c r="X627" s="114"/>
      <c r="Y627" s="114"/>
      <c r="Z627" s="114"/>
      <c r="AA627" s="114"/>
      <c r="AB627" s="114"/>
      <c r="AC627" s="114"/>
      <c r="AD627" s="114"/>
      <c r="AE627" s="114"/>
      <c r="AF627" s="114"/>
      <c r="AG627" s="114"/>
      <c r="AH627" s="114"/>
      <c r="AI627" s="114"/>
      <c r="AJ627" s="114"/>
      <c r="AK627" s="114"/>
    </row>
    <row r="628" ht="15.75" customHeight="1">
      <c r="A628" s="114"/>
      <c r="B628" s="114"/>
      <c r="C628" s="114"/>
      <c r="D628" s="114"/>
      <c r="E628" s="114"/>
      <c r="F628" s="114"/>
      <c r="G628" s="114"/>
      <c r="H628" s="114"/>
      <c r="I628" s="114"/>
      <c r="J628" s="114"/>
      <c r="K628" s="114"/>
      <c r="L628" s="114"/>
      <c r="M628" s="114"/>
      <c r="N628" s="114"/>
      <c r="O628" s="114"/>
      <c r="P628" s="114"/>
      <c r="Q628" s="114"/>
      <c r="R628" s="114"/>
      <c r="S628" s="114"/>
      <c r="T628" s="114"/>
      <c r="U628" s="114"/>
      <c r="V628" s="114"/>
      <c r="W628" s="114"/>
      <c r="X628" s="114"/>
      <c r="Y628" s="114"/>
      <c r="Z628" s="114"/>
      <c r="AA628" s="114"/>
      <c r="AB628" s="114"/>
      <c r="AC628" s="114"/>
      <c r="AD628" s="114"/>
      <c r="AE628" s="114"/>
      <c r="AF628" s="114"/>
      <c r="AG628" s="114"/>
      <c r="AH628" s="114"/>
      <c r="AI628" s="114"/>
      <c r="AJ628" s="114"/>
      <c r="AK628" s="114"/>
    </row>
    <row r="629" ht="15.75" customHeight="1">
      <c r="A629" s="114"/>
      <c r="B629" s="114"/>
      <c r="C629" s="114"/>
      <c r="D629" s="114"/>
      <c r="E629" s="114"/>
      <c r="F629" s="114"/>
      <c r="G629" s="114"/>
      <c r="H629" s="114"/>
      <c r="I629" s="114"/>
      <c r="J629" s="114"/>
      <c r="K629" s="114"/>
      <c r="L629" s="114"/>
      <c r="M629" s="114"/>
      <c r="N629" s="114"/>
      <c r="O629" s="114"/>
      <c r="P629" s="114"/>
      <c r="Q629" s="114"/>
      <c r="R629" s="114"/>
      <c r="S629" s="114"/>
      <c r="T629" s="114"/>
      <c r="U629" s="114"/>
      <c r="V629" s="114"/>
      <c r="W629" s="114"/>
      <c r="X629" s="114"/>
      <c r="Y629" s="114"/>
      <c r="Z629" s="114"/>
      <c r="AA629" s="114"/>
      <c r="AB629" s="114"/>
      <c r="AC629" s="114"/>
      <c r="AD629" s="114"/>
      <c r="AE629" s="114"/>
      <c r="AF629" s="114"/>
      <c r="AG629" s="114"/>
      <c r="AH629" s="114"/>
      <c r="AI629" s="114"/>
      <c r="AJ629" s="114"/>
      <c r="AK629" s="114"/>
    </row>
    <row r="630" ht="15.75" customHeight="1">
      <c r="A630" s="114"/>
      <c r="B630" s="114"/>
      <c r="C630" s="114"/>
      <c r="D630" s="114"/>
      <c r="E630" s="114"/>
      <c r="F630" s="114"/>
      <c r="G630" s="114"/>
      <c r="H630" s="114"/>
      <c r="I630" s="114"/>
      <c r="J630" s="114"/>
      <c r="K630" s="114"/>
      <c r="L630" s="114"/>
      <c r="M630" s="114"/>
      <c r="N630" s="114"/>
      <c r="O630" s="114"/>
      <c r="P630" s="114"/>
      <c r="Q630" s="114"/>
      <c r="R630" s="114"/>
      <c r="S630" s="114"/>
      <c r="T630" s="114"/>
      <c r="U630" s="114"/>
      <c r="V630" s="114"/>
      <c r="W630" s="114"/>
      <c r="X630" s="114"/>
      <c r="Y630" s="114"/>
      <c r="Z630" s="114"/>
      <c r="AA630" s="114"/>
      <c r="AB630" s="114"/>
      <c r="AC630" s="114"/>
      <c r="AD630" s="114"/>
      <c r="AE630" s="114"/>
      <c r="AF630" s="114"/>
      <c r="AG630" s="114"/>
      <c r="AH630" s="114"/>
      <c r="AI630" s="114"/>
      <c r="AJ630" s="114"/>
      <c r="AK630" s="114"/>
    </row>
    <row r="631" ht="15.75" customHeight="1">
      <c r="A631" s="114"/>
      <c r="B631" s="114"/>
      <c r="C631" s="114"/>
      <c r="D631" s="114"/>
      <c r="E631" s="114"/>
      <c r="F631" s="114"/>
      <c r="G631" s="114"/>
      <c r="H631" s="114"/>
      <c r="I631" s="114"/>
      <c r="J631" s="114"/>
      <c r="K631" s="114"/>
      <c r="L631" s="114"/>
      <c r="M631" s="114"/>
      <c r="N631" s="114"/>
      <c r="O631" s="114"/>
      <c r="P631" s="114"/>
      <c r="Q631" s="114"/>
      <c r="R631" s="114"/>
      <c r="S631" s="114"/>
      <c r="T631" s="114"/>
      <c r="U631" s="114"/>
      <c r="V631" s="114"/>
      <c r="W631" s="114"/>
      <c r="X631" s="114"/>
      <c r="Y631" s="114"/>
      <c r="Z631" s="114"/>
      <c r="AA631" s="114"/>
      <c r="AB631" s="114"/>
      <c r="AC631" s="114"/>
      <c r="AD631" s="114"/>
      <c r="AE631" s="114"/>
      <c r="AF631" s="114"/>
      <c r="AG631" s="114"/>
      <c r="AH631" s="114"/>
      <c r="AI631" s="114"/>
      <c r="AJ631" s="114"/>
      <c r="AK631" s="114"/>
    </row>
    <row r="632" ht="15.75" customHeight="1">
      <c r="A632" s="114"/>
      <c r="B632" s="114"/>
      <c r="C632" s="114"/>
      <c r="D632" s="114"/>
      <c r="E632" s="114"/>
      <c r="F632" s="114"/>
      <c r="G632" s="114"/>
      <c r="H632" s="114"/>
      <c r="I632" s="114"/>
      <c r="J632" s="114"/>
      <c r="K632" s="114"/>
      <c r="L632" s="114"/>
      <c r="M632" s="114"/>
      <c r="N632" s="114"/>
      <c r="O632" s="114"/>
      <c r="P632" s="114"/>
      <c r="Q632" s="114"/>
      <c r="R632" s="114"/>
      <c r="S632" s="114"/>
      <c r="T632" s="114"/>
      <c r="U632" s="114"/>
      <c r="V632" s="114"/>
      <c r="W632" s="114"/>
      <c r="X632" s="114"/>
      <c r="Y632" s="114"/>
      <c r="Z632" s="114"/>
      <c r="AA632" s="114"/>
      <c r="AB632" s="114"/>
      <c r="AC632" s="114"/>
      <c r="AD632" s="114"/>
      <c r="AE632" s="114"/>
      <c r="AF632" s="114"/>
      <c r="AG632" s="114"/>
      <c r="AH632" s="114"/>
      <c r="AI632" s="114"/>
      <c r="AJ632" s="114"/>
      <c r="AK632" s="114"/>
    </row>
    <row r="633" ht="15.75" customHeight="1">
      <c r="A633" s="114"/>
      <c r="B633" s="114"/>
      <c r="C633" s="114"/>
      <c r="D633" s="114"/>
      <c r="E633" s="114"/>
      <c r="F633" s="114"/>
      <c r="G633" s="114"/>
      <c r="H633" s="114"/>
      <c r="I633" s="114"/>
      <c r="J633" s="114"/>
      <c r="K633" s="114"/>
      <c r="L633" s="114"/>
      <c r="M633" s="114"/>
      <c r="N633" s="114"/>
      <c r="O633" s="114"/>
      <c r="P633" s="114"/>
      <c r="Q633" s="114"/>
      <c r="R633" s="114"/>
      <c r="S633" s="114"/>
      <c r="T633" s="114"/>
      <c r="U633" s="114"/>
      <c r="V633" s="114"/>
      <c r="W633" s="114"/>
      <c r="X633" s="114"/>
      <c r="Y633" s="114"/>
      <c r="Z633" s="114"/>
      <c r="AA633" s="114"/>
      <c r="AB633" s="114"/>
      <c r="AC633" s="114"/>
      <c r="AD633" s="114"/>
      <c r="AE633" s="114"/>
      <c r="AF633" s="114"/>
      <c r="AG633" s="114"/>
      <c r="AH633" s="114"/>
      <c r="AI633" s="114"/>
      <c r="AJ633" s="114"/>
      <c r="AK633" s="114"/>
    </row>
    <row r="634" ht="15.75" customHeight="1">
      <c r="A634" s="114"/>
      <c r="B634" s="114"/>
      <c r="C634" s="114"/>
      <c r="D634" s="114"/>
      <c r="E634" s="114"/>
      <c r="F634" s="114"/>
      <c r="G634" s="114"/>
      <c r="H634" s="114"/>
      <c r="I634" s="114"/>
      <c r="J634" s="114"/>
      <c r="K634" s="114"/>
      <c r="L634" s="114"/>
      <c r="M634" s="114"/>
      <c r="N634" s="114"/>
      <c r="O634" s="114"/>
      <c r="P634" s="114"/>
      <c r="Q634" s="114"/>
      <c r="R634" s="114"/>
      <c r="S634" s="114"/>
      <c r="T634" s="114"/>
      <c r="U634" s="114"/>
      <c r="V634" s="114"/>
      <c r="W634" s="114"/>
      <c r="X634" s="114"/>
      <c r="Y634" s="114"/>
      <c r="Z634" s="114"/>
      <c r="AA634" s="114"/>
      <c r="AB634" s="114"/>
      <c r="AC634" s="114"/>
      <c r="AD634" s="114"/>
      <c r="AE634" s="114"/>
      <c r="AF634" s="114"/>
      <c r="AG634" s="114"/>
      <c r="AH634" s="114"/>
      <c r="AI634" s="114"/>
      <c r="AJ634" s="114"/>
      <c r="AK634" s="114"/>
    </row>
    <row r="635" ht="15.75" customHeight="1">
      <c r="A635" s="114"/>
      <c r="B635" s="114"/>
      <c r="C635" s="114"/>
      <c r="D635" s="114"/>
      <c r="E635" s="114"/>
      <c r="F635" s="114"/>
      <c r="G635" s="114"/>
      <c r="H635" s="114"/>
      <c r="I635" s="114"/>
      <c r="J635" s="114"/>
      <c r="K635" s="114"/>
      <c r="L635" s="114"/>
      <c r="M635" s="114"/>
      <c r="N635" s="114"/>
      <c r="O635" s="114"/>
      <c r="P635" s="114"/>
      <c r="Q635" s="114"/>
      <c r="R635" s="114"/>
      <c r="S635" s="114"/>
      <c r="T635" s="114"/>
      <c r="U635" s="114"/>
      <c r="V635" s="114"/>
      <c r="W635" s="114"/>
      <c r="X635" s="114"/>
      <c r="Y635" s="114"/>
      <c r="Z635" s="114"/>
      <c r="AA635" s="114"/>
      <c r="AB635" s="114"/>
      <c r="AC635" s="114"/>
      <c r="AD635" s="114"/>
      <c r="AE635" s="114"/>
      <c r="AF635" s="114"/>
      <c r="AG635" s="114"/>
      <c r="AH635" s="114"/>
      <c r="AI635" s="114"/>
      <c r="AJ635" s="114"/>
      <c r="AK635" s="114"/>
    </row>
    <row r="636" ht="15.75" customHeight="1">
      <c r="A636" s="114"/>
      <c r="B636" s="114"/>
      <c r="C636" s="114"/>
      <c r="D636" s="114"/>
      <c r="E636" s="114"/>
      <c r="F636" s="114"/>
      <c r="G636" s="114"/>
      <c r="H636" s="114"/>
      <c r="I636" s="114"/>
      <c r="J636" s="114"/>
      <c r="K636" s="114"/>
      <c r="L636" s="114"/>
      <c r="M636" s="114"/>
      <c r="N636" s="114"/>
      <c r="O636" s="114"/>
      <c r="P636" s="114"/>
      <c r="Q636" s="114"/>
      <c r="R636" s="114"/>
      <c r="S636" s="114"/>
      <c r="T636" s="114"/>
      <c r="U636" s="114"/>
      <c r="V636" s="114"/>
      <c r="W636" s="114"/>
      <c r="X636" s="114"/>
      <c r="Y636" s="114"/>
      <c r="Z636" s="114"/>
      <c r="AA636" s="114"/>
      <c r="AB636" s="114"/>
      <c r="AC636" s="114"/>
      <c r="AD636" s="114"/>
      <c r="AE636" s="114"/>
      <c r="AF636" s="114"/>
      <c r="AG636" s="114"/>
      <c r="AH636" s="114"/>
      <c r="AI636" s="114"/>
      <c r="AJ636" s="114"/>
      <c r="AK636" s="114"/>
    </row>
    <row r="637" ht="15.75" customHeight="1">
      <c r="A637" s="114"/>
      <c r="B637" s="114"/>
      <c r="C637" s="114"/>
      <c r="D637" s="114"/>
      <c r="E637" s="114"/>
      <c r="F637" s="114"/>
      <c r="G637" s="114"/>
      <c r="H637" s="114"/>
      <c r="I637" s="114"/>
      <c r="J637" s="114"/>
      <c r="K637" s="114"/>
      <c r="L637" s="114"/>
      <c r="M637" s="114"/>
      <c r="N637" s="114"/>
      <c r="O637" s="114"/>
      <c r="P637" s="114"/>
      <c r="Q637" s="114"/>
      <c r="R637" s="114"/>
      <c r="S637" s="114"/>
      <c r="T637" s="114"/>
      <c r="U637" s="114"/>
      <c r="V637" s="114"/>
      <c r="W637" s="114"/>
      <c r="X637" s="114"/>
      <c r="Y637" s="114"/>
      <c r="Z637" s="114"/>
      <c r="AA637" s="114"/>
      <c r="AB637" s="114"/>
      <c r="AC637" s="114"/>
      <c r="AD637" s="114"/>
      <c r="AE637" s="114"/>
      <c r="AF637" s="114"/>
      <c r="AG637" s="114"/>
      <c r="AH637" s="114"/>
      <c r="AI637" s="114"/>
      <c r="AJ637" s="114"/>
      <c r="AK637" s="114"/>
    </row>
    <row r="638" ht="15.75" customHeight="1">
      <c r="A638" s="114"/>
      <c r="B638" s="114"/>
      <c r="C638" s="114"/>
      <c r="D638" s="114"/>
      <c r="E638" s="114"/>
      <c r="F638" s="114"/>
      <c r="G638" s="114"/>
      <c r="H638" s="114"/>
      <c r="I638" s="114"/>
      <c r="J638" s="114"/>
      <c r="K638" s="114"/>
      <c r="L638" s="114"/>
      <c r="M638" s="114"/>
      <c r="N638" s="114"/>
      <c r="O638" s="114"/>
      <c r="P638" s="114"/>
      <c r="Q638" s="114"/>
      <c r="R638" s="114"/>
      <c r="S638" s="114"/>
      <c r="T638" s="114"/>
      <c r="U638" s="114"/>
      <c r="V638" s="114"/>
      <c r="W638" s="114"/>
      <c r="X638" s="114"/>
      <c r="Y638" s="114"/>
      <c r="Z638" s="114"/>
      <c r="AA638" s="114"/>
      <c r="AB638" s="114"/>
      <c r="AC638" s="114"/>
      <c r="AD638" s="114"/>
      <c r="AE638" s="114"/>
      <c r="AF638" s="114"/>
      <c r="AG638" s="114"/>
      <c r="AH638" s="114"/>
      <c r="AI638" s="114"/>
      <c r="AJ638" s="114"/>
      <c r="AK638" s="114"/>
    </row>
    <row r="639" ht="15.75" customHeight="1">
      <c r="A639" s="114"/>
      <c r="B639" s="114"/>
      <c r="C639" s="114"/>
      <c r="D639" s="114"/>
      <c r="E639" s="114"/>
      <c r="F639" s="114"/>
      <c r="G639" s="114"/>
      <c r="H639" s="114"/>
      <c r="I639" s="114"/>
      <c r="J639" s="114"/>
      <c r="K639" s="114"/>
      <c r="L639" s="114"/>
      <c r="M639" s="114"/>
      <c r="N639" s="114"/>
      <c r="O639" s="114"/>
      <c r="P639" s="114"/>
      <c r="Q639" s="114"/>
      <c r="R639" s="114"/>
      <c r="S639" s="114"/>
      <c r="T639" s="114"/>
      <c r="U639" s="114"/>
      <c r="V639" s="114"/>
      <c r="W639" s="114"/>
      <c r="X639" s="114"/>
      <c r="Y639" s="114"/>
      <c r="Z639" s="114"/>
      <c r="AA639" s="114"/>
      <c r="AB639" s="114"/>
      <c r="AC639" s="114"/>
      <c r="AD639" s="114"/>
      <c r="AE639" s="114"/>
      <c r="AF639" s="114"/>
      <c r="AG639" s="114"/>
      <c r="AH639" s="114"/>
      <c r="AI639" s="114"/>
      <c r="AJ639" s="114"/>
      <c r="AK639" s="114"/>
    </row>
    <row r="640" ht="15.75" customHeight="1">
      <c r="A640" s="114"/>
      <c r="B640" s="114"/>
      <c r="C640" s="114"/>
      <c r="D640" s="114"/>
      <c r="E640" s="114"/>
      <c r="F640" s="114"/>
      <c r="G640" s="114"/>
      <c r="H640" s="114"/>
      <c r="I640" s="114"/>
      <c r="J640" s="114"/>
      <c r="K640" s="114"/>
      <c r="L640" s="114"/>
      <c r="M640" s="114"/>
      <c r="N640" s="114"/>
      <c r="O640" s="114"/>
      <c r="P640" s="114"/>
      <c r="Q640" s="114"/>
      <c r="R640" s="114"/>
      <c r="S640" s="114"/>
      <c r="T640" s="114"/>
      <c r="U640" s="114"/>
      <c r="V640" s="114"/>
      <c r="W640" s="114"/>
      <c r="X640" s="114"/>
      <c r="Y640" s="114"/>
      <c r="Z640" s="114"/>
      <c r="AA640" s="114"/>
      <c r="AB640" s="114"/>
      <c r="AC640" s="114"/>
      <c r="AD640" s="114"/>
      <c r="AE640" s="114"/>
      <c r="AF640" s="114"/>
      <c r="AG640" s="114"/>
      <c r="AH640" s="114"/>
      <c r="AI640" s="114"/>
      <c r="AJ640" s="114"/>
      <c r="AK640" s="114"/>
    </row>
    <row r="641" ht="15.75" customHeight="1">
      <c r="A641" s="114"/>
      <c r="B641" s="114"/>
      <c r="C641" s="114"/>
      <c r="D641" s="114"/>
      <c r="E641" s="114"/>
      <c r="F641" s="114"/>
      <c r="G641" s="114"/>
      <c r="H641" s="114"/>
      <c r="I641" s="114"/>
      <c r="J641" s="114"/>
      <c r="K641" s="114"/>
      <c r="L641" s="114"/>
      <c r="M641" s="114"/>
      <c r="N641" s="114"/>
      <c r="O641" s="114"/>
      <c r="P641" s="114"/>
      <c r="Q641" s="114"/>
      <c r="R641" s="114"/>
      <c r="S641" s="114"/>
      <c r="T641" s="114"/>
      <c r="U641" s="114"/>
      <c r="V641" s="114"/>
      <c r="W641" s="114"/>
      <c r="X641" s="114"/>
      <c r="Y641" s="114"/>
      <c r="Z641" s="114"/>
      <c r="AA641" s="114"/>
      <c r="AB641" s="114"/>
      <c r="AC641" s="114"/>
      <c r="AD641" s="114"/>
      <c r="AE641" s="114"/>
      <c r="AF641" s="114"/>
      <c r="AG641" s="114"/>
      <c r="AH641" s="114"/>
      <c r="AI641" s="114"/>
      <c r="AJ641" s="114"/>
      <c r="AK641" s="114"/>
    </row>
    <row r="642" ht="15.75" customHeight="1">
      <c r="A642" s="114"/>
      <c r="B642" s="114"/>
      <c r="C642" s="114"/>
      <c r="D642" s="114"/>
      <c r="E642" s="114"/>
      <c r="F642" s="114"/>
      <c r="G642" s="114"/>
      <c r="H642" s="114"/>
      <c r="I642" s="114"/>
      <c r="J642" s="114"/>
      <c r="K642" s="114"/>
      <c r="L642" s="114"/>
      <c r="M642" s="114"/>
      <c r="N642" s="114"/>
      <c r="O642" s="114"/>
      <c r="P642" s="114"/>
      <c r="Q642" s="114"/>
      <c r="R642" s="114"/>
      <c r="S642" s="114"/>
      <c r="T642" s="114"/>
      <c r="U642" s="114"/>
      <c r="V642" s="114"/>
      <c r="W642" s="114"/>
      <c r="X642" s="114"/>
      <c r="Y642" s="114"/>
      <c r="Z642" s="114"/>
      <c r="AA642" s="114"/>
      <c r="AB642" s="114"/>
      <c r="AC642" s="114"/>
      <c r="AD642" s="114"/>
      <c r="AE642" s="114"/>
      <c r="AF642" s="114"/>
      <c r="AG642" s="114"/>
      <c r="AH642" s="114"/>
      <c r="AI642" s="114"/>
      <c r="AJ642" s="114"/>
      <c r="AK642" s="114"/>
    </row>
    <row r="643" ht="15.75" customHeight="1">
      <c r="A643" s="114"/>
      <c r="B643" s="114"/>
      <c r="C643" s="114"/>
      <c r="D643" s="114"/>
      <c r="E643" s="114"/>
      <c r="F643" s="114"/>
      <c r="G643" s="114"/>
      <c r="H643" s="114"/>
      <c r="I643" s="114"/>
      <c r="J643" s="114"/>
      <c r="K643" s="114"/>
      <c r="L643" s="114"/>
      <c r="M643" s="114"/>
      <c r="N643" s="114"/>
      <c r="O643" s="114"/>
      <c r="P643" s="114"/>
      <c r="Q643" s="114"/>
      <c r="R643" s="114"/>
      <c r="S643" s="114"/>
      <c r="T643" s="114"/>
      <c r="U643" s="114"/>
      <c r="V643" s="114"/>
      <c r="W643" s="114"/>
      <c r="X643" s="114"/>
      <c r="Y643" s="114"/>
      <c r="Z643" s="114"/>
      <c r="AA643" s="114"/>
      <c r="AB643" s="114"/>
      <c r="AC643" s="114"/>
      <c r="AD643" s="114"/>
      <c r="AE643" s="114"/>
      <c r="AF643" s="114"/>
      <c r="AG643" s="114"/>
      <c r="AH643" s="114"/>
      <c r="AI643" s="114"/>
      <c r="AJ643" s="114"/>
      <c r="AK643" s="114"/>
    </row>
    <row r="644" ht="15.75" customHeight="1">
      <c r="A644" s="114"/>
      <c r="B644" s="114"/>
      <c r="C644" s="114"/>
      <c r="D644" s="114"/>
      <c r="E644" s="114"/>
      <c r="F644" s="114"/>
      <c r="G644" s="114"/>
      <c r="H644" s="114"/>
      <c r="I644" s="114"/>
      <c r="J644" s="114"/>
      <c r="K644" s="114"/>
      <c r="L644" s="114"/>
      <c r="M644" s="114"/>
      <c r="N644" s="114"/>
      <c r="O644" s="114"/>
      <c r="P644" s="114"/>
      <c r="Q644" s="114"/>
      <c r="R644" s="114"/>
      <c r="S644" s="114"/>
      <c r="T644" s="114"/>
      <c r="U644" s="114"/>
      <c r="V644" s="114"/>
      <c r="W644" s="114"/>
      <c r="X644" s="114"/>
      <c r="Y644" s="114"/>
      <c r="Z644" s="114"/>
      <c r="AA644" s="114"/>
      <c r="AB644" s="114"/>
      <c r="AC644" s="114"/>
      <c r="AD644" s="114"/>
      <c r="AE644" s="114"/>
      <c r="AF644" s="114"/>
      <c r="AG644" s="114"/>
      <c r="AH644" s="114"/>
      <c r="AI644" s="114"/>
      <c r="AJ644" s="114"/>
      <c r="AK644" s="114"/>
    </row>
    <row r="645" ht="15.75" customHeight="1">
      <c r="A645" s="114"/>
      <c r="B645" s="114"/>
      <c r="C645" s="114"/>
      <c r="D645" s="114"/>
      <c r="E645" s="114"/>
      <c r="F645" s="114"/>
      <c r="G645" s="114"/>
      <c r="H645" s="114"/>
      <c r="I645" s="114"/>
      <c r="J645" s="114"/>
      <c r="K645" s="114"/>
      <c r="L645" s="114"/>
      <c r="M645" s="114"/>
      <c r="N645" s="114"/>
      <c r="O645" s="114"/>
      <c r="P645" s="114"/>
      <c r="Q645" s="114"/>
      <c r="R645" s="114"/>
      <c r="S645" s="114"/>
      <c r="T645" s="114"/>
      <c r="U645" s="114"/>
      <c r="V645" s="114"/>
      <c r="W645" s="114"/>
      <c r="X645" s="114"/>
      <c r="Y645" s="114"/>
      <c r="Z645" s="114"/>
      <c r="AA645" s="114"/>
      <c r="AB645" s="114"/>
      <c r="AC645" s="114"/>
      <c r="AD645" s="114"/>
      <c r="AE645" s="114"/>
      <c r="AF645" s="114"/>
      <c r="AG645" s="114"/>
      <c r="AH645" s="114"/>
      <c r="AI645" s="114"/>
      <c r="AJ645" s="114"/>
      <c r="AK645" s="114"/>
    </row>
    <row r="646" ht="15.75" customHeight="1">
      <c r="A646" s="114"/>
      <c r="B646" s="114"/>
      <c r="C646" s="114"/>
      <c r="D646" s="114"/>
      <c r="E646" s="114"/>
      <c r="F646" s="114"/>
      <c r="G646" s="114"/>
      <c r="H646" s="114"/>
      <c r="I646" s="114"/>
      <c r="J646" s="114"/>
      <c r="K646" s="114"/>
      <c r="L646" s="114"/>
      <c r="M646" s="114"/>
      <c r="N646" s="114"/>
      <c r="O646" s="114"/>
      <c r="P646" s="114"/>
      <c r="Q646" s="114"/>
      <c r="R646" s="114"/>
      <c r="S646" s="114"/>
      <c r="T646" s="114"/>
      <c r="U646" s="114"/>
      <c r="V646" s="114"/>
      <c r="W646" s="114"/>
      <c r="X646" s="114"/>
      <c r="Y646" s="114"/>
      <c r="Z646" s="114"/>
      <c r="AA646" s="114"/>
      <c r="AB646" s="114"/>
      <c r="AC646" s="114"/>
      <c r="AD646" s="114"/>
      <c r="AE646" s="114"/>
      <c r="AF646" s="114"/>
      <c r="AG646" s="114"/>
      <c r="AH646" s="114"/>
      <c r="AI646" s="114"/>
      <c r="AJ646" s="114"/>
      <c r="AK646" s="114"/>
    </row>
    <row r="647" ht="15.75" customHeight="1">
      <c r="A647" s="114"/>
      <c r="B647" s="114"/>
      <c r="C647" s="114"/>
      <c r="D647" s="114"/>
      <c r="E647" s="114"/>
      <c r="F647" s="114"/>
      <c r="G647" s="114"/>
      <c r="H647" s="114"/>
      <c r="I647" s="114"/>
      <c r="J647" s="114"/>
      <c r="K647" s="114"/>
      <c r="L647" s="114"/>
      <c r="M647" s="114"/>
      <c r="N647" s="114"/>
      <c r="O647" s="114"/>
      <c r="P647" s="114"/>
      <c r="Q647" s="114"/>
      <c r="R647" s="114"/>
      <c r="S647" s="114"/>
      <c r="T647" s="114"/>
      <c r="U647" s="114"/>
      <c r="V647" s="114"/>
      <c r="W647" s="114"/>
      <c r="X647" s="114"/>
      <c r="Y647" s="114"/>
      <c r="Z647" s="114"/>
      <c r="AA647" s="114"/>
      <c r="AB647" s="114"/>
      <c r="AC647" s="114"/>
      <c r="AD647" s="114"/>
      <c r="AE647" s="114"/>
      <c r="AF647" s="114"/>
      <c r="AG647" s="114"/>
      <c r="AH647" s="114"/>
      <c r="AI647" s="114"/>
      <c r="AJ647" s="114"/>
      <c r="AK647" s="114"/>
    </row>
    <row r="648" ht="15.75" customHeight="1">
      <c r="A648" s="114"/>
      <c r="B648" s="114"/>
      <c r="C648" s="114"/>
      <c r="D648" s="114"/>
      <c r="E648" s="114"/>
      <c r="F648" s="114"/>
      <c r="G648" s="114"/>
      <c r="H648" s="114"/>
      <c r="I648" s="114"/>
      <c r="J648" s="114"/>
      <c r="K648" s="114"/>
      <c r="L648" s="114"/>
      <c r="M648" s="114"/>
      <c r="N648" s="114"/>
      <c r="O648" s="114"/>
      <c r="P648" s="114"/>
      <c r="Q648" s="114"/>
      <c r="R648" s="114"/>
      <c r="S648" s="114"/>
      <c r="T648" s="114"/>
      <c r="U648" s="114"/>
      <c r="V648" s="114"/>
      <c r="W648" s="114"/>
      <c r="X648" s="114"/>
      <c r="Y648" s="114"/>
      <c r="Z648" s="114"/>
      <c r="AA648" s="114"/>
      <c r="AB648" s="114"/>
      <c r="AC648" s="114"/>
      <c r="AD648" s="114"/>
      <c r="AE648" s="114"/>
      <c r="AF648" s="114"/>
      <c r="AG648" s="114"/>
      <c r="AH648" s="114"/>
      <c r="AI648" s="114"/>
      <c r="AJ648" s="114"/>
      <c r="AK648" s="114"/>
    </row>
    <row r="649" ht="15.75" customHeight="1">
      <c r="A649" s="114"/>
      <c r="B649" s="114"/>
      <c r="C649" s="114"/>
      <c r="D649" s="114"/>
      <c r="E649" s="114"/>
      <c r="F649" s="114"/>
      <c r="G649" s="114"/>
      <c r="H649" s="114"/>
      <c r="I649" s="114"/>
      <c r="J649" s="114"/>
      <c r="K649" s="114"/>
      <c r="L649" s="114"/>
      <c r="M649" s="114"/>
      <c r="N649" s="114"/>
      <c r="O649" s="114"/>
      <c r="P649" s="114"/>
      <c r="Q649" s="114"/>
      <c r="R649" s="114"/>
      <c r="S649" s="114"/>
      <c r="T649" s="114"/>
      <c r="U649" s="114"/>
      <c r="V649" s="114"/>
      <c r="W649" s="114"/>
      <c r="X649" s="114"/>
      <c r="Y649" s="114"/>
      <c r="Z649" s="114"/>
      <c r="AA649" s="114"/>
      <c r="AB649" s="114"/>
      <c r="AC649" s="114"/>
      <c r="AD649" s="114"/>
      <c r="AE649" s="114"/>
      <c r="AF649" s="114"/>
      <c r="AG649" s="114"/>
      <c r="AH649" s="114"/>
      <c r="AI649" s="114"/>
      <c r="AJ649" s="114"/>
      <c r="AK649" s="114"/>
    </row>
    <row r="650" ht="15.75" customHeight="1">
      <c r="A650" s="114"/>
      <c r="B650" s="114"/>
      <c r="C650" s="114"/>
      <c r="D650" s="114"/>
      <c r="E650" s="114"/>
      <c r="F650" s="114"/>
      <c r="G650" s="114"/>
      <c r="H650" s="114"/>
      <c r="I650" s="114"/>
      <c r="J650" s="114"/>
      <c r="K650" s="114"/>
      <c r="L650" s="114"/>
      <c r="M650" s="114"/>
      <c r="N650" s="114"/>
      <c r="O650" s="114"/>
      <c r="P650" s="114"/>
      <c r="Q650" s="114"/>
      <c r="R650" s="114"/>
      <c r="S650" s="114"/>
      <c r="T650" s="114"/>
      <c r="U650" s="114"/>
      <c r="V650" s="114"/>
      <c r="W650" s="114"/>
      <c r="X650" s="114"/>
      <c r="Y650" s="114"/>
      <c r="Z650" s="114"/>
      <c r="AA650" s="114"/>
      <c r="AB650" s="114"/>
      <c r="AC650" s="114"/>
      <c r="AD650" s="114"/>
      <c r="AE650" s="114"/>
      <c r="AF650" s="114"/>
      <c r="AG650" s="114"/>
      <c r="AH650" s="114"/>
      <c r="AI650" s="114"/>
      <c r="AJ650" s="114"/>
      <c r="AK650" s="114"/>
    </row>
    <row r="651" ht="15.75" customHeight="1">
      <c r="A651" s="114"/>
      <c r="B651" s="114"/>
      <c r="C651" s="114"/>
      <c r="D651" s="114"/>
      <c r="E651" s="114"/>
      <c r="F651" s="114"/>
      <c r="G651" s="114"/>
      <c r="H651" s="114"/>
      <c r="I651" s="114"/>
      <c r="J651" s="114"/>
      <c r="K651" s="114"/>
      <c r="L651" s="114"/>
      <c r="M651" s="114"/>
      <c r="N651" s="114"/>
      <c r="O651" s="114"/>
      <c r="P651" s="114"/>
      <c r="Q651" s="114"/>
      <c r="R651" s="114"/>
      <c r="S651" s="114"/>
      <c r="T651" s="114"/>
      <c r="U651" s="114"/>
      <c r="V651" s="114"/>
      <c r="W651" s="114"/>
      <c r="X651" s="114"/>
      <c r="Y651" s="114"/>
      <c r="Z651" s="114"/>
      <c r="AA651" s="114"/>
      <c r="AB651" s="114"/>
      <c r="AC651" s="114"/>
      <c r="AD651" s="114"/>
      <c r="AE651" s="114"/>
      <c r="AF651" s="114"/>
      <c r="AG651" s="114"/>
      <c r="AH651" s="114"/>
      <c r="AI651" s="114"/>
      <c r="AJ651" s="114"/>
      <c r="AK651" s="114"/>
    </row>
    <row r="652" ht="15.75" customHeight="1">
      <c r="A652" s="114"/>
      <c r="B652" s="114"/>
      <c r="C652" s="114"/>
      <c r="D652" s="114"/>
      <c r="E652" s="114"/>
      <c r="F652" s="114"/>
      <c r="G652" s="114"/>
      <c r="H652" s="114"/>
      <c r="I652" s="114"/>
      <c r="J652" s="114"/>
      <c r="K652" s="114"/>
      <c r="L652" s="114"/>
      <c r="M652" s="114"/>
      <c r="N652" s="114"/>
      <c r="O652" s="114"/>
      <c r="P652" s="114"/>
      <c r="Q652" s="114"/>
      <c r="R652" s="114"/>
      <c r="S652" s="114"/>
      <c r="T652" s="114"/>
      <c r="U652" s="114"/>
      <c r="V652" s="114"/>
      <c r="W652" s="114"/>
      <c r="X652" s="114"/>
      <c r="Y652" s="114"/>
      <c r="Z652" s="114"/>
      <c r="AA652" s="114"/>
      <c r="AB652" s="114"/>
      <c r="AC652" s="114"/>
      <c r="AD652" s="114"/>
      <c r="AE652" s="114"/>
      <c r="AF652" s="114"/>
      <c r="AG652" s="114"/>
      <c r="AH652" s="114"/>
      <c r="AI652" s="114"/>
      <c r="AJ652" s="114"/>
      <c r="AK652" s="114"/>
    </row>
    <row r="653" ht="15.75" customHeight="1">
      <c r="A653" s="114"/>
      <c r="B653" s="114"/>
      <c r="C653" s="114"/>
      <c r="D653" s="114"/>
      <c r="E653" s="114"/>
      <c r="F653" s="114"/>
      <c r="G653" s="114"/>
      <c r="H653" s="114"/>
      <c r="I653" s="114"/>
      <c r="J653" s="114"/>
      <c r="K653" s="114"/>
      <c r="L653" s="114"/>
      <c r="M653" s="114"/>
      <c r="N653" s="114"/>
      <c r="O653" s="114"/>
      <c r="P653" s="114"/>
      <c r="Q653" s="114"/>
      <c r="R653" s="114"/>
      <c r="S653" s="114"/>
      <c r="T653" s="114"/>
      <c r="U653" s="114"/>
      <c r="V653" s="114"/>
      <c r="W653" s="114"/>
      <c r="X653" s="114"/>
      <c r="Y653" s="114"/>
      <c r="Z653" s="114"/>
      <c r="AA653" s="114"/>
      <c r="AB653" s="114"/>
      <c r="AC653" s="114"/>
      <c r="AD653" s="114"/>
      <c r="AE653" s="114"/>
      <c r="AF653" s="114"/>
      <c r="AG653" s="114"/>
      <c r="AH653" s="114"/>
      <c r="AI653" s="114"/>
      <c r="AJ653" s="114"/>
      <c r="AK653" s="114"/>
    </row>
    <row r="654" ht="15.75" customHeight="1">
      <c r="A654" s="114"/>
      <c r="B654" s="114"/>
      <c r="C654" s="114"/>
      <c r="D654" s="114"/>
      <c r="E654" s="114"/>
      <c r="F654" s="114"/>
      <c r="G654" s="114"/>
      <c r="H654" s="114"/>
      <c r="I654" s="114"/>
      <c r="J654" s="114"/>
      <c r="K654" s="114"/>
      <c r="L654" s="114"/>
      <c r="M654" s="114"/>
      <c r="N654" s="114"/>
      <c r="O654" s="114"/>
      <c r="P654" s="114"/>
      <c r="Q654" s="114"/>
      <c r="R654" s="114"/>
      <c r="S654" s="114"/>
      <c r="T654" s="114"/>
      <c r="U654" s="114"/>
      <c r="V654" s="114"/>
      <c r="W654" s="114"/>
      <c r="X654" s="114"/>
      <c r="Y654" s="114"/>
      <c r="Z654" s="114"/>
      <c r="AA654" s="114"/>
      <c r="AB654" s="114"/>
      <c r="AC654" s="114"/>
      <c r="AD654" s="114"/>
      <c r="AE654" s="114"/>
      <c r="AF654" s="114"/>
      <c r="AG654" s="114"/>
      <c r="AH654" s="114"/>
      <c r="AI654" s="114"/>
      <c r="AJ654" s="114"/>
      <c r="AK654" s="114"/>
    </row>
    <row r="655" ht="15.75" customHeight="1">
      <c r="A655" s="114"/>
      <c r="B655" s="114"/>
      <c r="C655" s="114"/>
      <c r="D655" s="114"/>
      <c r="E655" s="114"/>
      <c r="F655" s="114"/>
      <c r="G655" s="114"/>
      <c r="H655" s="114"/>
      <c r="I655" s="114"/>
      <c r="J655" s="114"/>
      <c r="K655" s="114"/>
      <c r="L655" s="114"/>
      <c r="M655" s="114"/>
      <c r="N655" s="114"/>
      <c r="O655" s="114"/>
      <c r="P655" s="114"/>
      <c r="Q655" s="114"/>
      <c r="R655" s="114"/>
      <c r="S655" s="114"/>
      <c r="T655" s="114"/>
      <c r="U655" s="114"/>
      <c r="V655" s="114"/>
      <c r="W655" s="114"/>
      <c r="X655" s="114"/>
      <c r="Y655" s="114"/>
      <c r="Z655" s="114"/>
      <c r="AA655" s="114"/>
      <c r="AB655" s="114"/>
      <c r="AC655" s="114"/>
      <c r="AD655" s="114"/>
      <c r="AE655" s="114"/>
      <c r="AF655" s="114"/>
      <c r="AG655" s="114"/>
      <c r="AH655" s="114"/>
      <c r="AI655" s="114"/>
      <c r="AJ655" s="114"/>
      <c r="AK655" s="114"/>
    </row>
    <row r="656" ht="15.75" customHeight="1">
      <c r="A656" s="114"/>
      <c r="B656" s="114"/>
      <c r="C656" s="114"/>
      <c r="D656" s="114"/>
      <c r="E656" s="114"/>
      <c r="F656" s="114"/>
      <c r="G656" s="114"/>
      <c r="H656" s="114"/>
      <c r="I656" s="114"/>
      <c r="J656" s="114"/>
      <c r="K656" s="114"/>
      <c r="L656" s="114"/>
      <c r="M656" s="114"/>
      <c r="N656" s="114"/>
      <c r="O656" s="114"/>
      <c r="P656" s="114"/>
      <c r="Q656" s="114"/>
      <c r="R656" s="114"/>
      <c r="S656" s="114"/>
      <c r="T656" s="114"/>
      <c r="U656" s="114"/>
      <c r="V656" s="114"/>
      <c r="W656" s="114"/>
      <c r="X656" s="114"/>
      <c r="Y656" s="114"/>
      <c r="Z656" s="114"/>
      <c r="AA656" s="114"/>
      <c r="AB656" s="114"/>
      <c r="AC656" s="114"/>
      <c r="AD656" s="114"/>
      <c r="AE656" s="114"/>
      <c r="AF656" s="114"/>
      <c r="AG656" s="114"/>
      <c r="AH656" s="114"/>
      <c r="AI656" s="114"/>
      <c r="AJ656" s="114"/>
      <c r="AK656" s="114"/>
    </row>
    <row r="657" ht="15.75" customHeight="1">
      <c r="A657" s="114"/>
      <c r="B657" s="114"/>
      <c r="C657" s="114"/>
      <c r="D657" s="114"/>
      <c r="E657" s="114"/>
      <c r="F657" s="114"/>
      <c r="G657" s="114"/>
      <c r="H657" s="114"/>
      <c r="I657" s="114"/>
      <c r="J657" s="114"/>
      <c r="K657" s="114"/>
      <c r="L657" s="114"/>
      <c r="M657" s="114"/>
      <c r="N657" s="114"/>
      <c r="O657" s="114"/>
      <c r="P657" s="114"/>
      <c r="Q657" s="114"/>
      <c r="R657" s="114"/>
      <c r="S657" s="114"/>
      <c r="T657" s="114"/>
      <c r="U657" s="114"/>
      <c r="V657" s="114"/>
      <c r="W657" s="114"/>
      <c r="X657" s="114"/>
      <c r="Y657" s="114"/>
      <c r="Z657" s="114"/>
      <c r="AA657" s="114"/>
      <c r="AB657" s="114"/>
      <c r="AC657" s="114"/>
      <c r="AD657" s="114"/>
      <c r="AE657" s="114"/>
      <c r="AF657" s="114"/>
      <c r="AG657" s="114"/>
      <c r="AH657" s="114"/>
      <c r="AI657" s="114"/>
      <c r="AJ657" s="114"/>
      <c r="AK657" s="114"/>
    </row>
    <row r="658" ht="15.75" customHeight="1">
      <c r="A658" s="114"/>
      <c r="B658" s="114"/>
      <c r="C658" s="114"/>
      <c r="D658" s="114"/>
      <c r="E658" s="114"/>
      <c r="F658" s="114"/>
      <c r="G658" s="114"/>
      <c r="H658" s="114"/>
      <c r="I658" s="114"/>
      <c r="J658" s="114"/>
      <c r="K658" s="114"/>
      <c r="L658" s="114"/>
      <c r="M658" s="114"/>
      <c r="N658" s="114"/>
      <c r="O658" s="114"/>
      <c r="P658" s="114"/>
      <c r="Q658" s="114"/>
      <c r="R658" s="114"/>
      <c r="S658" s="114"/>
      <c r="T658" s="114"/>
      <c r="U658" s="114"/>
      <c r="V658" s="114"/>
      <c r="W658" s="114"/>
      <c r="X658" s="114"/>
      <c r="Y658" s="114"/>
      <c r="Z658" s="114"/>
      <c r="AA658" s="114"/>
      <c r="AB658" s="114"/>
      <c r="AC658" s="114"/>
      <c r="AD658" s="114"/>
      <c r="AE658" s="114"/>
      <c r="AF658" s="114"/>
      <c r="AG658" s="114"/>
      <c r="AH658" s="114"/>
      <c r="AI658" s="114"/>
      <c r="AJ658" s="114"/>
      <c r="AK658" s="114"/>
    </row>
    <row r="659" ht="15.75" customHeight="1">
      <c r="A659" s="114"/>
      <c r="B659" s="114"/>
      <c r="C659" s="114"/>
      <c r="D659" s="114"/>
      <c r="E659" s="114"/>
      <c r="F659" s="114"/>
      <c r="G659" s="114"/>
      <c r="H659" s="114"/>
      <c r="I659" s="114"/>
      <c r="J659" s="114"/>
      <c r="K659" s="114"/>
      <c r="L659" s="114"/>
      <c r="M659" s="114"/>
      <c r="N659" s="114"/>
      <c r="O659" s="114"/>
      <c r="P659" s="114"/>
      <c r="Q659" s="114"/>
      <c r="R659" s="114"/>
      <c r="S659" s="114"/>
      <c r="T659" s="114"/>
      <c r="U659" s="114"/>
      <c r="V659" s="114"/>
      <c r="W659" s="114"/>
      <c r="X659" s="114"/>
      <c r="Y659" s="114"/>
      <c r="Z659" s="114"/>
      <c r="AA659" s="114"/>
      <c r="AB659" s="114"/>
      <c r="AC659" s="114"/>
      <c r="AD659" s="114"/>
      <c r="AE659" s="114"/>
      <c r="AF659" s="114"/>
      <c r="AG659" s="114"/>
      <c r="AH659" s="114"/>
      <c r="AI659" s="114"/>
      <c r="AJ659" s="114"/>
      <c r="AK659" s="114"/>
    </row>
    <row r="660" ht="15.75" customHeight="1">
      <c r="A660" s="114"/>
      <c r="B660" s="114"/>
      <c r="C660" s="114"/>
      <c r="D660" s="114"/>
      <c r="E660" s="114"/>
      <c r="F660" s="114"/>
      <c r="G660" s="114"/>
      <c r="H660" s="114"/>
      <c r="I660" s="114"/>
      <c r="J660" s="114"/>
      <c r="K660" s="114"/>
      <c r="L660" s="114"/>
      <c r="M660" s="114"/>
      <c r="N660" s="114"/>
      <c r="O660" s="114"/>
      <c r="P660" s="114"/>
      <c r="Q660" s="114"/>
      <c r="R660" s="114"/>
      <c r="S660" s="114"/>
      <c r="T660" s="114"/>
      <c r="U660" s="114"/>
      <c r="V660" s="114"/>
      <c r="W660" s="114"/>
      <c r="X660" s="114"/>
      <c r="Y660" s="114"/>
      <c r="Z660" s="114"/>
      <c r="AA660" s="114"/>
      <c r="AB660" s="114"/>
      <c r="AC660" s="114"/>
      <c r="AD660" s="114"/>
      <c r="AE660" s="114"/>
      <c r="AF660" s="114"/>
      <c r="AG660" s="114"/>
      <c r="AH660" s="114"/>
      <c r="AI660" s="114"/>
      <c r="AJ660" s="114"/>
      <c r="AK660" s="114"/>
    </row>
    <row r="661" ht="15.75" customHeight="1">
      <c r="A661" s="114"/>
      <c r="B661" s="114"/>
      <c r="C661" s="114"/>
      <c r="D661" s="114"/>
      <c r="E661" s="114"/>
      <c r="F661" s="114"/>
      <c r="G661" s="114"/>
      <c r="H661" s="114"/>
      <c r="I661" s="114"/>
      <c r="J661" s="114"/>
      <c r="K661" s="114"/>
      <c r="L661" s="114"/>
      <c r="M661" s="114"/>
      <c r="N661" s="114"/>
      <c r="O661" s="114"/>
      <c r="P661" s="114"/>
      <c r="Q661" s="114"/>
      <c r="R661" s="114"/>
      <c r="S661" s="114"/>
      <c r="T661" s="114"/>
      <c r="U661" s="114"/>
      <c r="V661" s="114"/>
      <c r="W661" s="114"/>
      <c r="X661" s="114"/>
      <c r="Y661" s="114"/>
      <c r="Z661" s="114"/>
      <c r="AA661" s="114"/>
      <c r="AB661" s="114"/>
      <c r="AC661" s="114"/>
      <c r="AD661" s="114"/>
      <c r="AE661" s="114"/>
      <c r="AF661" s="114"/>
      <c r="AG661" s="114"/>
      <c r="AH661" s="114"/>
      <c r="AI661" s="114"/>
      <c r="AJ661" s="114"/>
      <c r="AK661" s="114"/>
    </row>
    <row r="662" ht="15.75" customHeight="1">
      <c r="A662" s="114"/>
      <c r="B662" s="114"/>
      <c r="C662" s="114"/>
      <c r="D662" s="114"/>
      <c r="E662" s="114"/>
      <c r="F662" s="114"/>
      <c r="G662" s="114"/>
      <c r="H662" s="114"/>
      <c r="I662" s="114"/>
      <c r="J662" s="114"/>
      <c r="K662" s="114"/>
      <c r="L662" s="114"/>
      <c r="M662" s="114"/>
      <c r="N662" s="114"/>
      <c r="O662" s="114"/>
      <c r="P662" s="114"/>
      <c r="Q662" s="114"/>
      <c r="R662" s="114"/>
      <c r="S662" s="114"/>
      <c r="T662" s="114"/>
      <c r="U662" s="114"/>
      <c r="V662" s="114"/>
      <c r="W662" s="114"/>
      <c r="X662" s="114"/>
      <c r="Y662" s="114"/>
      <c r="Z662" s="114"/>
      <c r="AA662" s="114"/>
      <c r="AB662" s="114"/>
      <c r="AC662" s="114"/>
      <c r="AD662" s="114"/>
      <c r="AE662" s="114"/>
      <c r="AF662" s="114"/>
      <c r="AG662" s="114"/>
      <c r="AH662" s="114"/>
      <c r="AI662" s="114"/>
      <c r="AJ662" s="114"/>
      <c r="AK662" s="114"/>
    </row>
    <row r="663" ht="15.75" customHeight="1">
      <c r="A663" s="114"/>
      <c r="B663" s="114"/>
      <c r="C663" s="114"/>
      <c r="D663" s="114"/>
      <c r="E663" s="114"/>
      <c r="F663" s="114"/>
      <c r="G663" s="114"/>
      <c r="H663" s="114"/>
      <c r="I663" s="114"/>
      <c r="J663" s="114"/>
      <c r="K663" s="114"/>
      <c r="L663" s="114"/>
      <c r="M663" s="114"/>
      <c r="N663" s="114"/>
      <c r="O663" s="114"/>
      <c r="P663" s="114"/>
      <c r="Q663" s="114"/>
      <c r="R663" s="114"/>
      <c r="S663" s="114"/>
      <c r="T663" s="114"/>
      <c r="U663" s="114"/>
      <c r="V663" s="114"/>
      <c r="W663" s="114"/>
      <c r="X663" s="114"/>
      <c r="Y663" s="114"/>
      <c r="Z663" s="114"/>
      <c r="AA663" s="114"/>
      <c r="AB663" s="114"/>
      <c r="AC663" s="114"/>
      <c r="AD663" s="114"/>
      <c r="AE663" s="114"/>
      <c r="AF663" s="114"/>
      <c r="AG663" s="114"/>
      <c r="AH663" s="114"/>
      <c r="AI663" s="114"/>
      <c r="AJ663" s="114"/>
      <c r="AK663" s="114"/>
    </row>
    <row r="664" ht="15.75" customHeight="1">
      <c r="A664" s="114"/>
      <c r="B664" s="114"/>
      <c r="C664" s="114"/>
      <c r="D664" s="114"/>
      <c r="E664" s="114"/>
      <c r="F664" s="114"/>
      <c r="G664" s="114"/>
      <c r="H664" s="114"/>
      <c r="I664" s="114"/>
      <c r="J664" s="114"/>
      <c r="K664" s="114"/>
      <c r="L664" s="114"/>
      <c r="M664" s="114"/>
      <c r="N664" s="114"/>
      <c r="O664" s="114"/>
      <c r="P664" s="114"/>
      <c r="Q664" s="114"/>
      <c r="R664" s="114"/>
      <c r="S664" s="114"/>
      <c r="T664" s="114"/>
      <c r="U664" s="114"/>
      <c r="V664" s="114"/>
      <c r="W664" s="114"/>
      <c r="X664" s="114"/>
      <c r="Y664" s="114"/>
      <c r="Z664" s="114"/>
      <c r="AA664" s="114"/>
      <c r="AB664" s="114"/>
      <c r="AC664" s="114"/>
      <c r="AD664" s="114"/>
      <c r="AE664" s="114"/>
      <c r="AF664" s="114"/>
      <c r="AG664" s="114"/>
      <c r="AH664" s="114"/>
      <c r="AI664" s="114"/>
      <c r="AJ664" s="114"/>
      <c r="AK664" s="114"/>
    </row>
    <row r="665" ht="15.75" customHeight="1">
      <c r="A665" s="114"/>
      <c r="B665" s="114"/>
      <c r="C665" s="114"/>
      <c r="D665" s="114"/>
      <c r="E665" s="114"/>
      <c r="F665" s="114"/>
      <c r="G665" s="114"/>
      <c r="H665" s="114"/>
      <c r="I665" s="114"/>
      <c r="J665" s="114"/>
      <c r="K665" s="114"/>
      <c r="L665" s="114"/>
      <c r="M665" s="114"/>
      <c r="N665" s="114"/>
      <c r="O665" s="114"/>
      <c r="P665" s="114"/>
      <c r="Q665" s="114"/>
      <c r="R665" s="114"/>
      <c r="S665" s="114"/>
      <c r="T665" s="114"/>
      <c r="U665" s="114"/>
      <c r="V665" s="114"/>
      <c r="W665" s="114"/>
      <c r="X665" s="114"/>
      <c r="Y665" s="114"/>
      <c r="Z665" s="114"/>
      <c r="AA665" s="114"/>
      <c r="AB665" s="114"/>
      <c r="AC665" s="114"/>
      <c r="AD665" s="114"/>
      <c r="AE665" s="114"/>
      <c r="AF665" s="114"/>
      <c r="AG665" s="114"/>
      <c r="AH665" s="114"/>
      <c r="AI665" s="114"/>
      <c r="AJ665" s="114"/>
      <c r="AK665" s="114"/>
    </row>
    <row r="666" ht="15.75" customHeight="1">
      <c r="A666" s="114"/>
      <c r="B666" s="114"/>
      <c r="C666" s="114"/>
      <c r="D666" s="114"/>
      <c r="E666" s="114"/>
      <c r="F666" s="114"/>
      <c r="G666" s="114"/>
      <c r="H666" s="114"/>
      <c r="I666" s="114"/>
      <c r="J666" s="114"/>
      <c r="K666" s="114"/>
      <c r="L666" s="114"/>
      <c r="M666" s="114"/>
      <c r="N666" s="114"/>
      <c r="O666" s="114"/>
      <c r="P666" s="114"/>
      <c r="Q666" s="114"/>
      <c r="R666" s="114"/>
      <c r="S666" s="114"/>
      <c r="T666" s="114"/>
      <c r="U666" s="114"/>
      <c r="V666" s="114"/>
      <c r="W666" s="114"/>
      <c r="X666" s="114"/>
      <c r="Y666" s="114"/>
      <c r="Z666" s="114"/>
      <c r="AA666" s="114"/>
      <c r="AB666" s="114"/>
      <c r="AC666" s="114"/>
      <c r="AD666" s="114"/>
      <c r="AE666" s="114"/>
      <c r="AF666" s="114"/>
      <c r="AG666" s="114"/>
      <c r="AH666" s="114"/>
      <c r="AI666" s="114"/>
      <c r="AJ666" s="114"/>
      <c r="AK666" s="114"/>
    </row>
    <row r="667" ht="15.75" customHeight="1">
      <c r="A667" s="114"/>
      <c r="B667" s="114"/>
      <c r="C667" s="114"/>
      <c r="D667" s="114"/>
      <c r="E667" s="114"/>
      <c r="F667" s="114"/>
      <c r="G667" s="114"/>
      <c r="H667" s="114"/>
      <c r="I667" s="114"/>
      <c r="J667" s="114"/>
      <c r="K667" s="114"/>
      <c r="L667" s="114"/>
      <c r="M667" s="114"/>
      <c r="N667" s="114"/>
      <c r="O667" s="114"/>
      <c r="P667" s="114"/>
      <c r="Q667" s="114"/>
      <c r="R667" s="114"/>
      <c r="S667" s="114"/>
      <c r="T667" s="114"/>
      <c r="U667" s="114"/>
      <c r="V667" s="114"/>
      <c r="W667" s="114"/>
      <c r="X667" s="114"/>
      <c r="Y667" s="114"/>
      <c r="Z667" s="114"/>
      <c r="AA667" s="114"/>
      <c r="AB667" s="114"/>
      <c r="AC667" s="114"/>
      <c r="AD667" s="114"/>
      <c r="AE667" s="114"/>
      <c r="AF667" s="114"/>
      <c r="AG667" s="114"/>
      <c r="AH667" s="114"/>
      <c r="AI667" s="114"/>
      <c r="AJ667" s="114"/>
      <c r="AK667" s="114"/>
    </row>
    <row r="668" ht="15.75" customHeight="1">
      <c r="A668" s="114"/>
      <c r="B668" s="114"/>
      <c r="C668" s="114"/>
      <c r="D668" s="114"/>
      <c r="E668" s="114"/>
      <c r="F668" s="114"/>
      <c r="G668" s="114"/>
      <c r="H668" s="114"/>
      <c r="I668" s="114"/>
      <c r="J668" s="114"/>
      <c r="K668" s="114"/>
      <c r="L668" s="114"/>
      <c r="M668" s="114"/>
      <c r="N668" s="114"/>
      <c r="O668" s="114"/>
      <c r="P668" s="114"/>
      <c r="Q668" s="114"/>
      <c r="R668" s="114"/>
      <c r="S668" s="114"/>
      <c r="T668" s="114"/>
      <c r="U668" s="114"/>
      <c r="V668" s="114"/>
      <c r="W668" s="114"/>
      <c r="X668" s="114"/>
      <c r="Y668" s="114"/>
      <c r="Z668" s="114"/>
      <c r="AA668" s="114"/>
      <c r="AB668" s="114"/>
      <c r="AC668" s="114"/>
      <c r="AD668" s="114"/>
      <c r="AE668" s="114"/>
      <c r="AF668" s="114"/>
      <c r="AG668" s="114"/>
      <c r="AH668" s="114"/>
      <c r="AI668" s="114"/>
      <c r="AJ668" s="114"/>
      <c r="AK668" s="114"/>
    </row>
    <row r="669" ht="15.75" customHeight="1">
      <c r="A669" s="114"/>
      <c r="B669" s="114"/>
      <c r="C669" s="114"/>
      <c r="D669" s="114"/>
      <c r="E669" s="114"/>
      <c r="F669" s="114"/>
      <c r="G669" s="114"/>
      <c r="H669" s="114"/>
      <c r="I669" s="114"/>
      <c r="J669" s="114"/>
      <c r="K669" s="114"/>
      <c r="L669" s="114"/>
      <c r="M669" s="114"/>
      <c r="N669" s="114"/>
      <c r="O669" s="114"/>
      <c r="P669" s="114"/>
      <c r="Q669" s="114"/>
      <c r="R669" s="114"/>
      <c r="S669" s="114"/>
      <c r="T669" s="114"/>
      <c r="U669" s="114"/>
      <c r="V669" s="114"/>
      <c r="W669" s="114"/>
      <c r="X669" s="114"/>
      <c r="Y669" s="114"/>
      <c r="Z669" s="114"/>
      <c r="AA669" s="114"/>
      <c r="AB669" s="114"/>
      <c r="AC669" s="114"/>
      <c r="AD669" s="114"/>
      <c r="AE669" s="114"/>
      <c r="AF669" s="114"/>
      <c r="AG669" s="114"/>
      <c r="AH669" s="114"/>
      <c r="AI669" s="114"/>
      <c r="AJ669" s="114"/>
      <c r="AK669" s="114"/>
    </row>
    <row r="670" ht="15.75" customHeight="1">
      <c r="A670" s="114"/>
      <c r="B670" s="114"/>
      <c r="C670" s="114"/>
      <c r="D670" s="114"/>
      <c r="E670" s="114"/>
      <c r="F670" s="114"/>
      <c r="G670" s="114"/>
      <c r="H670" s="114"/>
      <c r="I670" s="114"/>
      <c r="J670" s="114"/>
      <c r="K670" s="114"/>
      <c r="L670" s="114"/>
      <c r="M670" s="114"/>
      <c r="N670" s="114"/>
      <c r="O670" s="114"/>
      <c r="P670" s="114"/>
      <c r="Q670" s="114"/>
      <c r="R670" s="114"/>
      <c r="S670" s="114"/>
      <c r="T670" s="114"/>
      <c r="U670" s="114"/>
      <c r="V670" s="114"/>
      <c r="W670" s="114"/>
      <c r="X670" s="114"/>
      <c r="Y670" s="114"/>
      <c r="Z670" s="114"/>
      <c r="AA670" s="114"/>
      <c r="AB670" s="114"/>
      <c r="AC670" s="114"/>
      <c r="AD670" s="114"/>
      <c r="AE670" s="114"/>
      <c r="AF670" s="114"/>
      <c r="AG670" s="114"/>
      <c r="AH670" s="114"/>
      <c r="AI670" s="114"/>
      <c r="AJ670" s="114"/>
      <c r="AK670" s="114"/>
    </row>
    <row r="671" ht="15.75" customHeight="1">
      <c r="A671" s="114"/>
      <c r="B671" s="114"/>
      <c r="C671" s="114"/>
      <c r="D671" s="114"/>
      <c r="E671" s="114"/>
      <c r="F671" s="114"/>
      <c r="G671" s="114"/>
      <c r="H671" s="114"/>
      <c r="I671" s="114"/>
      <c r="J671" s="114"/>
      <c r="K671" s="114"/>
      <c r="L671" s="114"/>
      <c r="M671" s="114"/>
      <c r="N671" s="114"/>
      <c r="O671" s="114"/>
      <c r="P671" s="114"/>
      <c r="Q671" s="114"/>
      <c r="R671" s="114"/>
      <c r="S671" s="114"/>
      <c r="T671" s="114"/>
      <c r="U671" s="114"/>
      <c r="V671" s="114"/>
      <c r="W671" s="114"/>
      <c r="X671" s="114"/>
      <c r="Y671" s="114"/>
      <c r="Z671" s="114"/>
      <c r="AA671" s="114"/>
      <c r="AB671" s="114"/>
      <c r="AC671" s="114"/>
      <c r="AD671" s="114"/>
      <c r="AE671" s="114"/>
      <c r="AF671" s="114"/>
      <c r="AG671" s="114"/>
      <c r="AH671" s="114"/>
      <c r="AI671" s="114"/>
      <c r="AJ671" s="114"/>
      <c r="AK671" s="114"/>
    </row>
    <row r="672" ht="15.75" customHeight="1">
      <c r="A672" s="114"/>
      <c r="B672" s="114"/>
      <c r="C672" s="114"/>
      <c r="D672" s="114"/>
      <c r="E672" s="114"/>
      <c r="F672" s="114"/>
      <c r="G672" s="114"/>
      <c r="H672" s="114"/>
      <c r="I672" s="114"/>
      <c r="J672" s="114"/>
      <c r="K672" s="114"/>
      <c r="L672" s="114"/>
      <c r="M672" s="114"/>
      <c r="N672" s="114"/>
      <c r="O672" s="114"/>
      <c r="P672" s="114"/>
      <c r="Q672" s="114"/>
      <c r="R672" s="114"/>
      <c r="S672" s="114"/>
      <c r="T672" s="114"/>
      <c r="U672" s="114"/>
      <c r="V672" s="114"/>
      <c r="W672" s="114"/>
      <c r="X672" s="114"/>
      <c r="Y672" s="114"/>
      <c r="Z672" s="114"/>
      <c r="AA672" s="114"/>
      <c r="AB672" s="114"/>
      <c r="AC672" s="114"/>
      <c r="AD672" s="114"/>
      <c r="AE672" s="114"/>
      <c r="AF672" s="114"/>
      <c r="AG672" s="114"/>
      <c r="AH672" s="114"/>
      <c r="AI672" s="114"/>
      <c r="AJ672" s="114"/>
      <c r="AK672" s="114"/>
    </row>
    <row r="673" ht="15.75" customHeight="1">
      <c r="A673" s="114"/>
      <c r="B673" s="114"/>
      <c r="C673" s="114"/>
      <c r="D673" s="114"/>
      <c r="E673" s="114"/>
      <c r="F673" s="114"/>
      <c r="G673" s="114"/>
      <c r="H673" s="114"/>
      <c r="I673" s="114"/>
      <c r="J673" s="114"/>
      <c r="K673" s="114"/>
      <c r="L673" s="114"/>
      <c r="M673" s="114"/>
      <c r="N673" s="114"/>
      <c r="O673" s="114"/>
      <c r="P673" s="114"/>
      <c r="Q673" s="114"/>
      <c r="R673" s="114"/>
      <c r="S673" s="114"/>
      <c r="T673" s="114"/>
      <c r="U673" s="114"/>
      <c r="V673" s="114"/>
      <c r="W673" s="114"/>
      <c r="X673" s="114"/>
      <c r="Y673" s="114"/>
      <c r="Z673" s="114"/>
      <c r="AA673" s="114"/>
      <c r="AB673" s="114"/>
      <c r="AC673" s="114"/>
      <c r="AD673" s="114"/>
      <c r="AE673" s="114"/>
      <c r="AF673" s="114"/>
      <c r="AG673" s="114"/>
      <c r="AH673" s="114"/>
      <c r="AI673" s="114"/>
      <c r="AJ673" s="114"/>
      <c r="AK673" s="114"/>
    </row>
    <row r="674" ht="15.75" customHeight="1">
      <c r="A674" s="114"/>
      <c r="B674" s="114"/>
      <c r="C674" s="114"/>
      <c r="D674" s="114"/>
      <c r="E674" s="114"/>
      <c r="F674" s="114"/>
      <c r="G674" s="114"/>
      <c r="H674" s="114"/>
      <c r="I674" s="114"/>
      <c r="J674" s="114"/>
      <c r="K674" s="114"/>
      <c r="L674" s="114"/>
      <c r="M674" s="114"/>
      <c r="N674" s="114"/>
      <c r="O674" s="114"/>
      <c r="P674" s="114"/>
      <c r="Q674" s="114"/>
      <c r="R674" s="114"/>
      <c r="S674" s="114"/>
      <c r="T674" s="114"/>
      <c r="U674" s="114"/>
      <c r="V674" s="114"/>
      <c r="W674" s="114"/>
      <c r="X674" s="114"/>
      <c r="Y674" s="114"/>
      <c r="Z674" s="114"/>
      <c r="AA674" s="114"/>
      <c r="AB674" s="114"/>
      <c r="AC674" s="114"/>
      <c r="AD674" s="114"/>
      <c r="AE674" s="114"/>
      <c r="AF674" s="114"/>
      <c r="AG674" s="114"/>
      <c r="AH674" s="114"/>
      <c r="AI674" s="114"/>
      <c r="AJ674" s="114"/>
      <c r="AK674" s="114"/>
    </row>
    <row r="675" ht="15.75" customHeight="1">
      <c r="A675" s="114"/>
      <c r="B675" s="114"/>
      <c r="C675" s="114"/>
      <c r="D675" s="114"/>
      <c r="E675" s="114"/>
      <c r="F675" s="114"/>
      <c r="G675" s="114"/>
      <c r="H675" s="114"/>
      <c r="I675" s="114"/>
      <c r="J675" s="114"/>
      <c r="K675" s="114"/>
      <c r="L675" s="114"/>
      <c r="M675" s="114"/>
      <c r="N675" s="114"/>
      <c r="O675" s="114"/>
      <c r="P675" s="114"/>
      <c r="Q675" s="114"/>
      <c r="R675" s="114"/>
      <c r="S675" s="114"/>
      <c r="T675" s="114"/>
      <c r="U675" s="114"/>
      <c r="V675" s="114"/>
      <c r="W675" s="114"/>
      <c r="X675" s="114"/>
      <c r="Y675" s="114"/>
      <c r="Z675" s="114"/>
      <c r="AA675" s="114"/>
      <c r="AB675" s="114"/>
      <c r="AC675" s="114"/>
      <c r="AD675" s="114"/>
      <c r="AE675" s="114"/>
      <c r="AF675" s="114"/>
      <c r="AG675" s="114"/>
      <c r="AH675" s="114"/>
      <c r="AI675" s="114"/>
      <c r="AJ675" s="114"/>
      <c r="AK675" s="114"/>
    </row>
    <row r="676" ht="15.75" customHeight="1">
      <c r="A676" s="114"/>
      <c r="B676" s="114"/>
      <c r="C676" s="114"/>
      <c r="D676" s="114"/>
      <c r="E676" s="114"/>
      <c r="F676" s="114"/>
      <c r="G676" s="114"/>
      <c r="H676" s="114"/>
      <c r="I676" s="114"/>
      <c r="J676" s="114"/>
      <c r="K676" s="114"/>
      <c r="L676" s="114"/>
      <c r="M676" s="114"/>
      <c r="N676" s="114"/>
      <c r="O676" s="114"/>
      <c r="P676" s="114"/>
      <c r="Q676" s="114"/>
      <c r="R676" s="114"/>
      <c r="S676" s="114"/>
      <c r="T676" s="114"/>
      <c r="U676" s="114"/>
      <c r="V676" s="114"/>
      <c r="W676" s="114"/>
      <c r="X676" s="114"/>
      <c r="Y676" s="114"/>
      <c r="Z676" s="114"/>
      <c r="AA676" s="114"/>
      <c r="AB676" s="114"/>
      <c r="AC676" s="114"/>
      <c r="AD676" s="114"/>
      <c r="AE676" s="114"/>
      <c r="AF676" s="114"/>
      <c r="AG676" s="114"/>
      <c r="AH676" s="114"/>
      <c r="AI676" s="114"/>
      <c r="AJ676" s="114"/>
      <c r="AK676" s="114"/>
    </row>
    <row r="677" ht="15.75" customHeight="1">
      <c r="A677" s="114"/>
      <c r="B677" s="114"/>
      <c r="C677" s="114"/>
      <c r="D677" s="114"/>
      <c r="E677" s="114"/>
      <c r="F677" s="114"/>
      <c r="G677" s="114"/>
      <c r="H677" s="114"/>
      <c r="I677" s="114"/>
      <c r="J677" s="114"/>
      <c r="K677" s="114"/>
      <c r="L677" s="114"/>
      <c r="M677" s="114"/>
      <c r="N677" s="114"/>
      <c r="O677" s="114"/>
      <c r="P677" s="114"/>
      <c r="Q677" s="114"/>
      <c r="R677" s="114"/>
      <c r="S677" s="114"/>
      <c r="T677" s="114"/>
      <c r="U677" s="114"/>
      <c r="V677" s="114"/>
      <c r="W677" s="114"/>
      <c r="X677" s="114"/>
      <c r="Y677" s="114"/>
      <c r="Z677" s="114"/>
      <c r="AA677" s="114"/>
      <c r="AB677" s="114"/>
      <c r="AC677" s="114"/>
      <c r="AD677" s="114"/>
      <c r="AE677" s="114"/>
      <c r="AF677" s="114"/>
      <c r="AG677" s="114"/>
      <c r="AH677" s="114"/>
      <c r="AI677" s="114"/>
      <c r="AJ677" s="114"/>
      <c r="AK677" s="114"/>
    </row>
    <row r="678" ht="15.75" customHeight="1">
      <c r="A678" s="114"/>
      <c r="B678" s="114"/>
      <c r="C678" s="114"/>
      <c r="D678" s="114"/>
      <c r="E678" s="114"/>
      <c r="F678" s="114"/>
      <c r="G678" s="114"/>
      <c r="H678" s="114"/>
      <c r="I678" s="114"/>
      <c r="J678" s="114"/>
      <c r="K678" s="114"/>
      <c r="L678" s="114"/>
      <c r="M678" s="114"/>
      <c r="N678" s="114"/>
      <c r="O678" s="114"/>
      <c r="P678" s="114"/>
      <c r="Q678" s="114"/>
      <c r="R678" s="114"/>
      <c r="S678" s="114"/>
      <c r="T678" s="114"/>
      <c r="U678" s="114"/>
      <c r="V678" s="114"/>
      <c r="W678" s="114"/>
      <c r="X678" s="114"/>
      <c r="Y678" s="114"/>
      <c r="Z678" s="114"/>
      <c r="AA678" s="114"/>
      <c r="AB678" s="114"/>
      <c r="AC678" s="114"/>
      <c r="AD678" s="114"/>
      <c r="AE678" s="114"/>
      <c r="AF678" s="114"/>
      <c r="AG678" s="114"/>
      <c r="AH678" s="114"/>
      <c r="AI678" s="114"/>
      <c r="AJ678" s="114"/>
      <c r="AK678" s="114"/>
    </row>
    <row r="679" ht="15.75" customHeight="1">
      <c r="A679" s="114"/>
      <c r="B679" s="114"/>
      <c r="C679" s="114"/>
      <c r="D679" s="114"/>
      <c r="E679" s="114"/>
      <c r="F679" s="114"/>
      <c r="G679" s="114"/>
      <c r="H679" s="114"/>
      <c r="I679" s="114"/>
      <c r="J679" s="114"/>
      <c r="K679" s="114"/>
      <c r="L679" s="114"/>
      <c r="M679" s="114"/>
      <c r="N679" s="114"/>
      <c r="O679" s="114"/>
      <c r="P679" s="114"/>
      <c r="Q679" s="114"/>
      <c r="R679" s="114"/>
      <c r="S679" s="114"/>
      <c r="T679" s="114"/>
      <c r="U679" s="114"/>
      <c r="V679" s="114"/>
      <c r="W679" s="114"/>
      <c r="X679" s="114"/>
      <c r="Y679" s="114"/>
      <c r="Z679" s="114"/>
      <c r="AA679" s="114"/>
      <c r="AB679" s="114"/>
      <c r="AC679" s="114"/>
      <c r="AD679" s="114"/>
      <c r="AE679" s="114"/>
      <c r="AF679" s="114"/>
      <c r="AG679" s="114"/>
      <c r="AH679" s="114"/>
      <c r="AI679" s="114"/>
      <c r="AJ679" s="114"/>
      <c r="AK679" s="114"/>
    </row>
    <row r="680" ht="15.75" customHeight="1">
      <c r="A680" s="114"/>
      <c r="B680" s="114"/>
      <c r="C680" s="114"/>
      <c r="D680" s="114"/>
      <c r="E680" s="114"/>
      <c r="F680" s="114"/>
      <c r="G680" s="114"/>
      <c r="H680" s="114"/>
      <c r="I680" s="114"/>
      <c r="J680" s="114"/>
      <c r="K680" s="114"/>
      <c r="L680" s="114"/>
      <c r="M680" s="114"/>
      <c r="N680" s="114"/>
      <c r="O680" s="114"/>
      <c r="P680" s="114"/>
      <c r="Q680" s="114"/>
      <c r="R680" s="114"/>
      <c r="S680" s="114"/>
      <c r="T680" s="114"/>
      <c r="U680" s="114"/>
      <c r="V680" s="114"/>
      <c r="W680" s="114"/>
      <c r="X680" s="114"/>
      <c r="Y680" s="114"/>
      <c r="Z680" s="114"/>
      <c r="AA680" s="114"/>
      <c r="AB680" s="114"/>
      <c r="AC680" s="114"/>
      <c r="AD680" s="114"/>
      <c r="AE680" s="114"/>
      <c r="AF680" s="114"/>
      <c r="AG680" s="114"/>
      <c r="AH680" s="114"/>
      <c r="AI680" s="114"/>
      <c r="AJ680" s="114"/>
      <c r="AK680" s="114"/>
    </row>
    <row r="681" ht="15.75" customHeight="1">
      <c r="A681" s="114"/>
      <c r="B681" s="114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M681" s="114"/>
      <c r="N681" s="114"/>
      <c r="O681" s="114"/>
      <c r="P681" s="114"/>
      <c r="Q681" s="114"/>
      <c r="R681" s="114"/>
      <c r="S681" s="114"/>
      <c r="T681" s="114"/>
      <c r="U681" s="114"/>
      <c r="V681" s="114"/>
      <c r="W681" s="114"/>
      <c r="X681" s="114"/>
      <c r="Y681" s="114"/>
      <c r="Z681" s="114"/>
      <c r="AA681" s="114"/>
      <c r="AB681" s="114"/>
      <c r="AC681" s="114"/>
      <c r="AD681" s="114"/>
      <c r="AE681" s="114"/>
      <c r="AF681" s="114"/>
      <c r="AG681" s="114"/>
      <c r="AH681" s="114"/>
      <c r="AI681" s="114"/>
      <c r="AJ681" s="114"/>
      <c r="AK681" s="114"/>
    </row>
    <row r="682" ht="15.75" customHeight="1">
      <c r="A682" s="114"/>
      <c r="B682" s="114"/>
      <c r="C682" s="114"/>
      <c r="D682" s="114"/>
      <c r="E682" s="114"/>
      <c r="F682" s="114"/>
      <c r="G682" s="114"/>
      <c r="H682" s="114"/>
      <c r="I682" s="114"/>
      <c r="J682" s="114"/>
      <c r="K682" s="114"/>
      <c r="L682" s="114"/>
      <c r="M682" s="114"/>
      <c r="N682" s="114"/>
      <c r="O682" s="114"/>
      <c r="P682" s="114"/>
      <c r="Q682" s="114"/>
      <c r="R682" s="114"/>
      <c r="S682" s="114"/>
      <c r="T682" s="114"/>
      <c r="U682" s="114"/>
      <c r="V682" s="114"/>
      <c r="W682" s="114"/>
      <c r="X682" s="114"/>
      <c r="Y682" s="114"/>
      <c r="Z682" s="114"/>
      <c r="AA682" s="114"/>
      <c r="AB682" s="114"/>
      <c r="AC682" s="114"/>
      <c r="AD682" s="114"/>
      <c r="AE682" s="114"/>
      <c r="AF682" s="114"/>
      <c r="AG682" s="114"/>
      <c r="AH682" s="114"/>
      <c r="AI682" s="114"/>
      <c r="AJ682" s="114"/>
      <c r="AK682" s="114"/>
    </row>
    <row r="683" ht="15.75" customHeight="1">
      <c r="A683" s="114"/>
      <c r="B683" s="114"/>
      <c r="C683" s="114"/>
      <c r="D683" s="114"/>
      <c r="E683" s="114"/>
      <c r="F683" s="114"/>
      <c r="G683" s="114"/>
      <c r="H683" s="114"/>
      <c r="I683" s="114"/>
      <c r="J683" s="114"/>
      <c r="K683" s="114"/>
      <c r="L683" s="114"/>
      <c r="M683" s="114"/>
      <c r="N683" s="114"/>
      <c r="O683" s="114"/>
      <c r="P683" s="114"/>
      <c r="Q683" s="114"/>
      <c r="R683" s="114"/>
      <c r="S683" s="114"/>
      <c r="T683" s="114"/>
      <c r="U683" s="114"/>
      <c r="V683" s="114"/>
      <c r="W683" s="114"/>
      <c r="X683" s="114"/>
      <c r="Y683" s="114"/>
      <c r="Z683" s="114"/>
      <c r="AA683" s="114"/>
      <c r="AB683" s="114"/>
      <c r="AC683" s="114"/>
      <c r="AD683" s="114"/>
      <c r="AE683" s="114"/>
      <c r="AF683" s="114"/>
      <c r="AG683" s="114"/>
      <c r="AH683" s="114"/>
      <c r="AI683" s="114"/>
      <c r="AJ683" s="114"/>
      <c r="AK683" s="114"/>
    </row>
    <row r="684" ht="15.75" customHeight="1">
      <c r="A684" s="114"/>
      <c r="B684" s="114"/>
      <c r="C684" s="114"/>
      <c r="D684" s="114"/>
      <c r="E684" s="114"/>
      <c r="F684" s="114"/>
      <c r="G684" s="114"/>
      <c r="H684" s="114"/>
      <c r="I684" s="114"/>
      <c r="J684" s="114"/>
      <c r="K684" s="114"/>
      <c r="L684" s="114"/>
      <c r="M684" s="114"/>
      <c r="N684" s="114"/>
      <c r="O684" s="114"/>
      <c r="P684" s="114"/>
      <c r="Q684" s="114"/>
      <c r="R684" s="114"/>
      <c r="S684" s="114"/>
      <c r="T684" s="114"/>
      <c r="U684" s="114"/>
      <c r="V684" s="114"/>
      <c r="W684" s="114"/>
      <c r="X684" s="114"/>
      <c r="Y684" s="114"/>
      <c r="Z684" s="114"/>
      <c r="AA684" s="114"/>
      <c r="AB684" s="114"/>
      <c r="AC684" s="114"/>
      <c r="AD684" s="114"/>
      <c r="AE684" s="114"/>
      <c r="AF684" s="114"/>
      <c r="AG684" s="114"/>
      <c r="AH684" s="114"/>
      <c r="AI684" s="114"/>
      <c r="AJ684" s="114"/>
      <c r="AK684" s="114"/>
    </row>
    <row r="685" ht="15.75" customHeight="1">
      <c r="A685" s="114"/>
      <c r="B685" s="114"/>
      <c r="C685" s="114"/>
      <c r="D685" s="114"/>
      <c r="E685" s="114"/>
      <c r="F685" s="114"/>
      <c r="G685" s="114"/>
      <c r="H685" s="114"/>
      <c r="I685" s="114"/>
      <c r="J685" s="114"/>
      <c r="K685" s="114"/>
      <c r="L685" s="114"/>
      <c r="M685" s="114"/>
      <c r="N685" s="114"/>
      <c r="O685" s="114"/>
      <c r="P685" s="114"/>
      <c r="Q685" s="114"/>
      <c r="R685" s="114"/>
      <c r="S685" s="114"/>
      <c r="T685" s="114"/>
      <c r="U685" s="114"/>
      <c r="V685" s="114"/>
      <c r="W685" s="114"/>
      <c r="X685" s="114"/>
      <c r="Y685" s="114"/>
      <c r="Z685" s="114"/>
      <c r="AA685" s="114"/>
      <c r="AB685" s="114"/>
      <c r="AC685" s="114"/>
      <c r="AD685" s="114"/>
      <c r="AE685" s="114"/>
      <c r="AF685" s="114"/>
      <c r="AG685" s="114"/>
      <c r="AH685" s="114"/>
      <c r="AI685" s="114"/>
      <c r="AJ685" s="114"/>
      <c r="AK685" s="114"/>
    </row>
    <row r="686" ht="15.75" customHeight="1">
      <c r="A686" s="114"/>
      <c r="B686" s="114"/>
      <c r="C686" s="114"/>
      <c r="D686" s="114"/>
      <c r="E686" s="114"/>
      <c r="F686" s="114"/>
      <c r="G686" s="114"/>
      <c r="H686" s="114"/>
      <c r="I686" s="114"/>
      <c r="J686" s="114"/>
      <c r="K686" s="114"/>
      <c r="L686" s="114"/>
      <c r="M686" s="114"/>
      <c r="N686" s="114"/>
      <c r="O686" s="114"/>
      <c r="P686" s="114"/>
      <c r="Q686" s="114"/>
      <c r="R686" s="114"/>
      <c r="S686" s="114"/>
      <c r="T686" s="114"/>
      <c r="U686" s="114"/>
      <c r="V686" s="114"/>
      <c r="W686" s="114"/>
      <c r="X686" s="114"/>
      <c r="Y686" s="114"/>
      <c r="Z686" s="114"/>
      <c r="AA686" s="114"/>
      <c r="AB686" s="114"/>
      <c r="AC686" s="114"/>
      <c r="AD686" s="114"/>
      <c r="AE686" s="114"/>
      <c r="AF686" s="114"/>
      <c r="AG686" s="114"/>
      <c r="AH686" s="114"/>
      <c r="AI686" s="114"/>
      <c r="AJ686" s="114"/>
      <c r="AK686" s="114"/>
    </row>
    <row r="687" ht="15.75" customHeight="1">
      <c r="A687" s="114"/>
      <c r="B687" s="114"/>
      <c r="C687" s="114"/>
      <c r="D687" s="114"/>
      <c r="E687" s="114"/>
      <c r="F687" s="114"/>
      <c r="G687" s="114"/>
      <c r="H687" s="114"/>
      <c r="I687" s="114"/>
      <c r="J687" s="114"/>
      <c r="K687" s="114"/>
      <c r="L687" s="114"/>
      <c r="M687" s="114"/>
      <c r="N687" s="114"/>
      <c r="O687" s="114"/>
      <c r="P687" s="114"/>
      <c r="Q687" s="114"/>
      <c r="R687" s="114"/>
      <c r="S687" s="114"/>
      <c r="T687" s="114"/>
      <c r="U687" s="114"/>
      <c r="V687" s="114"/>
      <c r="W687" s="114"/>
      <c r="X687" s="114"/>
      <c r="Y687" s="114"/>
      <c r="Z687" s="114"/>
      <c r="AA687" s="114"/>
      <c r="AB687" s="114"/>
      <c r="AC687" s="114"/>
      <c r="AD687" s="114"/>
      <c r="AE687" s="114"/>
      <c r="AF687" s="114"/>
      <c r="AG687" s="114"/>
      <c r="AH687" s="114"/>
      <c r="AI687" s="114"/>
      <c r="AJ687" s="114"/>
      <c r="AK687" s="114"/>
    </row>
    <row r="688" ht="15.75" customHeight="1">
      <c r="A688" s="114"/>
      <c r="B688" s="114"/>
      <c r="C688" s="114"/>
      <c r="D688" s="114"/>
      <c r="E688" s="114"/>
      <c r="F688" s="114"/>
      <c r="G688" s="114"/>
      <c r="H688" s="114"/>
      <c r="I688" s="114"/>
      <c r="J688" s="114"/>
      <c r="K688" s="114"/>
      <c r="L688" s="114"/>
      <c r="M688" s="114"/>
      <c r="N688" s="114"/>
      <c r="O688" s="114"/>
      <c r="P688" s="114"/>
      <c r="Q688" s="114"/>
      <c r="R688" s="114"/>
      <c r="S688" s="114"/>
      <c r="T688" s="114"/>
      <c r="U688" s="114"/>
      <c r="V688" s="114"/>
      <c r="W688" s="114"/>
      <c r="X688" s="114"/>
      <c r="Y688" s="114"/>
      <c r="Z688" s="114"/>
      <c r="AA688" s="114"/>
      <c r="AB688" s="114"/>
      <c r="AC688" s="114"/>
      <c r="AD688" s="114"/>
      <c r="AE688" s="114"/>
      <c r="AF688" s="114"/>
      <c r="AG688" s="114"/>
      <c r="AH688" s="114"/>
      <c r="AI688" s="114"/>
      <c r="AJ688" s="114"/>
      <c r="AK688" s="114"/>
    </row>
    <row r="689" ht="15.75" customHeight="1">
      <c r="A689" s="114"/>
      <c r="B689" s="114"/>
      <c r="C689" s="114"/>
      <c r="D689" s="114"/>
      <c r="E689" s="114"/>
      <c r="F689" s="114"/>
      <c r="G689" s="114"/>
      <c r="H689" s="114"/>
      <c r="I689" s="114"/>
      <c r="J689" s="114"/>
      <c r="K689" s="114"/>
      <c r="L689" s="114"/>
      <c r="M689" s="114"/>
      <c r="N689" s="114"/>
      <c r="O689" s="114"/>
      <c r="P689" s="114"/>
      <c r="Q689" s="114"/>
      <c r="R689" s="114"/>
      <c r="S689" s="114"/>
      <c r="T689" s="114"/>
      <c r="U689" s="114"/>
      <c r="V689" s="114"/>
      <c r="W689" s="114"/>
      <c r="X689" s="114"/>
      <c r="Y689" s="114"/>
      <c r="Z689" s="114"/>
      <c r="AA689" s="114"/>
      <c r="AB689" s="114"/>
      <c r="AC689" s="114"/>
      <c r="AD689" s="114"/>
      <c r="AE689" s="114"/>
      <c r="AF689" s="114"/>
      <c r="AG689" s="114"/>
      <c r="AH689" s="114"/>
      <c r="AI689" s="114"/>
      <c r="AJ689" s="114"/>
      <c r="AK689" s="114"/>
    </row>
    <row r="690" ht="15.75" customHeight="1">
      <c r="A690" s="114"/>
      <c r="B690" s="114"/>
      <c r="C690" s="114"/>
      <c r="D690" s="114"/>
      <c r="E690" s="114"/>
      <c r="F690" s="114"/>
      <c r="G690" s="114"/>
      <c r="H690" s="114"/>
      <c r="I690" s="114"/>
      <c r="J690" s="114"/>
      <c r="K690" s="114"/>
      <c r="L690" s="114"/>
      <c r="M690" s="114"/>
      <c r="N690" s="114"/>
      <c r="O690" s="114"/>
      <c r="P690" s="114"/>
      <c r="Q690" s="114"/>
      <c r="R690" s="114"/>
      <c r="S690" s="114"/>
      <c r="T690" s="114"/>
      <c r="U690" s="114"/>
      <c r="V690" s="114"/>
      <c r="W690" s="114"/>
      <c r="X690" s="114"/>
      <c r="Y690" s="114"/>
      <c r="Z690" s="114"/>
      <c r="AA690" s="114"/>
      <c r="AB690" s="114"/>
      <c r="AC690" s="114"/>
      <c r="AD690" s="114"/>
      <c r="AE690" s="114"/>
      <c r="AF690" s="114"/>
      <c r="AG690" s="114"/>
      <c r="AH690" s="114"/>
      <c r="AI690" s="114"/>
      <c r="AJ690" s="114"/>
      <c r="AK690" s="114"/>
    </row>
    <row r="691" ht="15.75" customHeight="1">
      <c r="A691" s="114"/>
      <c r="B691" s="114"/>
      <c r="C691" s="114"/>
      <c r="D691" s="114"/>
      <c r="E691" s="114"/>
      <c r="F691" s="114"/>
      <c r="G691" s="114"/>
      <c r="H691" s="114"/>
      <c r="I691" s="114"/>
      <c r="J691" s="114"/>
      <c r="K691" s="114"/>
      <c r="L691" s="114"/>
      <c r="M691" s="114"/>
      <c r="N691" s="114"/>
      <c r="O691" s="114"/>
      <c r="P691" s="114"/>
      <c r="Q691" s="114"/>
      <c r="R691" s="114"/>
      <c r="S691" s="114"/>
      <c r="T691" s="114"/>
      <c r="U691" s="114"/>
      <c r="V691" s="114"/>
      <c r="W691" s="114"/>
      <c r="X691" s="114"/>
      <c r="Y691" s="114"/>
      <c r="Z691" s="114"/>
      <c r="AA691" s="114"/>
      <c r="AB691" s="114"/>
      <c r="AC691" s="114"/>
      <c r="AD691" s="114"/>
      <c r="AE691" s="114"/>
      <c r="AF691" s="114"/>
      <c r="AG691" s="114"/>
      <c r="AH691" s="114"/>
      <c r="AI691" s="114"/>
      <c r="AJ691" s="114"/>
      <c r="AK691" s="114"/>
    </row>
    <row r="692" ht="15.75" customHeight="1">
      <c r="A692" s="114"/>
      <c r="B692" s="114"/>
      <c r="C692" s="114"/>
      <c r="D692" s="114"/>
      <c r="E692" s="114"/>
      <c r="F692" s="114"/>
      <c r="G692" s="114"/>
      <c r="H692" s="114"/>
      <c r="I692" s="114"/>
      <c r="J692" s="114"/>
      <c r="K692" s="114"/>
      <c r="L692" s="114"/>
      <c r="M692" s="114"/>
      <c r="N692" s="114"/>
      <c r="O692" s="114"/>
      <c r="P692" s="114"/>
      <c r="Q692" s="114"/>
      <c r="R692" s="114"/>
      <c r="S692" s="114"/>
      <c r="T692" s="114"/>
      <c r="U692" s="114"/>
      <c r="V692" s="114"/>
      <c r="W692" s="114"/>
      <c r="X692" s="114"/>
      <c r="Y692" s="114"/>
      <c r="Z692" s="114"/>
      <c r="AA692" s="114"/>
      <c r="AB692" s="114"/>
      <c r="AC692" s="114"/>
      <c r="AD692" s="114"/>
      <c r="AE692" s="114"/>
      <c r="AF692" s="114"/>
      <c r="AG692" s="114"/>
      <c r="AH692" s="114"/>
      <c r="AI692" s="114"/>
      <c r="AJ692" s="114"/>
      <c r="AK692" s="114"/>
    </row>
    <row r="693" ht="15.75" customHeight="1">
      <c r="A693" s="114"/>
      <c r="B693" s="114"/>
      <c r="C693" s="114"/>
      <c r="D693" s="114"/>
      <c r="E693" s="114"/>
      <c r="F693" s="114"/>
      <c r="G693" s="114"/>
      <c r="H693" s="114"/>
      <c r="I693" s="114"/>
      <c r="J693" s="114"/>
      <c r="K693" s="114"/>
      <c r="L693" s="114"/>
      <c r="M693" s="114"/>
      <c r="N693" s="114"/>
      <c r="O693" s="114"/>
      <c r="P693" s="114"/>
      <c r="Q693" s="114"/>
      <c r="R693" s="114"/>
      <c r="S693" s="114"/>
      <c r="T693" s="114"/>
      <c r="U693" s="114"/>
      <c r="V693" s="114"/>
      <c r="W693" s="114"/>
      <c r="X693" s="114"/>
      <c r="Y693" s="114"/>
      <c r="Z693" s="114"/>
      <c r="AA693" s="114"/>
      <c r="AB693" s="114"/>
      <c r="AC693" s="114"/>
      <c r="AD693" s="114"/>
      <c r="AE693" s="114"/>
      <c r="AF693" s="114"/>
      <c r="AG693" s="114"/>
      <c r="AH693" s="114"/>
      <c r="AI693" s="114"/>
      <c r="AJ693" s="114"/>
      <c r="AK693" s="114"/>
    </row>
    <row r="694" ht="15.75" customHeight="1">
      <c r="A694" s="114"/>
      <c r="B694" s="114"/>
      <c r="C694" s="114"/>
      <c r="D694" s="114"/>
      <c r="E694" s="114"/>
      <c r="F694" s="114"/>
      <c r="G694" s="114"/>
      <c r="H694" s="114"/>
      <c r="I694" s="114"/>
      <c r="J694" s="114"/>
      <c r="K694" s="114"/>
      <c r="L694" s="114"/>
      <c r="M694" s="114"/>
      <c r="N694" s="114"/>
      <c r="O694" s="114"/>
      <c r="P694" s="114"/>
      <c r="Q694" s="114"/>
      <c r="R694" s="114"/>
      <c r="S694" s="114"/>
      <c r="T694" s="114"/>
      <c r="U694" s="114"/>
      <c r="V694" s="114"/>
      <c r="W694" s="114"/>
      <c r="X694" s="114"/>
      <c r="Y694" s="114"/>
      <c r="Z694" s="114"/>
      <c r="AA694" s="114"/>
      <c r="AB694" s="114"/>
      <c r="AC694" s="114"/>
      <c r="AD694" s="114"/>
      <c r="AE694" s="114"/>
      <c r="AF694" s="114"/>
      <c r="AG694" s="114"/>
      <c r="AH694" s="114"/>
      <c r="AI694" s="114"/>
      <c r="AJ694" s="114"/>
      <c r="AK694" s="114"/>
    </row>
    <row r="695" ht="15.75" customHeight="1">
      <c r="A695" s="114"/>
      <c r="B695" s="114"/>
      <c r="C695" s="114"/>
      <c r="D695" s="114"/>
      <c r="E695" s="114"/>
      <c r="F695" s="114"/>
      <c r="G695" s="114"/>
      <c r="H695" s="114"/>
      <c r="I695" s="114"/>
      <c r="J695" s="114"/>
      <c r="K695" s="114"/>
      <c r="L695" s="114"/>
      <c r="M695" s="114"/>
      <c r="N695" s="114"/>
      <c r="O695" s="114"/>
      <c r="P695" s="114"/>
      <c r="Q695" s="114"/>
      <c r="R695" s="114"/>
      <c r="S695" s="114"/>
      <c r="T695" s="114"/>
      <c r="U695" s="114"/>
      <c r="V695" s="114"/>
      <c r="W695" s="114"/>
      <c r="X695" s="114"/>
      <c r="Y695" s="114"/>
      <c r="Z695" s="114"/>
      <c r="AA695" s="114"/>
      <c r="AB695" s="114"/>
      <c r="AC695" s="114"/>
      <c r="AD695" s="114"/>
      <c r="AE695" s="114"/>
      <c r="AF695" s="114"/>
      <c r="AG695" s="114"/>
      <c r="AH695" s="114"/>
      <c r="AI695" s="114"/>
      <c r="AJ695" s="114"/>
      <c r="AK695" s="114"/>
    </row>
    <row r="696" ht="15.75" customHeight="1">
      <c r="A696" s="114"/>
      <c r="B696" s="114"/>
      <c r="C696" s="114"/>
      <c r="D696" s="114"/>
      <c r="E696" s="114"/>
      <c r="F696" s="114"/>
      <c r="G696" s="114"/>
      <c r="H696" s="114"/>
      <c r="I696" s="114"/>
      <c r="J696" s="114"/>
      <c r="K696" s="114"/>
      <c r="L696" s="114"/>
      <c r="M696" s="114"/>
      <c r="N696" s="114"/>
      <c r="O696" s="114"/>
      <c r="P696" s="114"/>
      <c r="Q696" s="114"/>
      <c r="R696" s="114"/>
      <c r="S696" s="114"/>
      <c r="T696" s="114"/>
      <c r="U696" s="114"/>
      <c r="V696" s="114"/>
      <c r="W696" s="114"/>
      <c r="X696" s="114"/>
      <c r="Y696" s="114"/>
      <c r="Z696" s="114"/>
      <c r="AA696" s="114"/>
      <c r="AB696" s="114"/>
      <c r="AC696" s="114"/>
      <c r="AD696" s="114"/>
      <c r="AE696" s="114"/>
      <c r="AF696" s="114"/>
      <c r="AG696" s="114"/>
      <c r="AH696" s="114"/>
      <c r="AI696" s="114"/>
      <c r="AJ696" s="114"/>
      <c r="AK696" s="114"/>
    </row>
    <row r="697" ht="15.75" customHeight="1">
      <c r="A697" s="114"/>
      <c r="B697" s="114"/>
      <c r="C697" s="114"/>
      <c r="D697" s="114"/>
      <c r="E697" s="114"/>
      <c r="F697" s="114"/>
      <c r="G697" s="114"/>
      <c r="H697" s="114"/>
      <c r="I697" s="114"/>
      <c r="J697" s="114"/>
      <c r="K697" s="114"/>
      <c r="L697" s="114"/>
      <c r="M697" s="114"/>
      <c r="N697" s="114"/>
      <c r="O697" s="114"/>
      <c r="P697" s="114"/>
      <c r="Q697" s="114"/>
      <c r="R697" s="114"/>
      <c r="S697" s="114"/>
      <c r="T697" s="114"/>
      <c r="U697" s="114"/>
      <c r="V697" s="114"/>
      <c r="W697" s="114"/>
      <c r="X697" s="114"/>
      <c r="Y697" s="114"/>
      <c r="Z697" s="114"/>
      <c r="AA697" s="114"/>
      <c r="AB697" s="114"/>
      <c r="AC697" s="114"/>
      <c r="AD697" s="114"/>
      <c r="AE697" s="114"/>
      <c r="AF697" s="114"/>
      <c r="AG697" s="114"/>
      <c r="AH697" s="114"/>
      <c r="AI697" s="114"/>
      <c r="AJ697" s="114"/>
      <c r="AK697" s="114"/>
    </row>
    <row r="698" ht="15.75" customHeight="1">
      <c r="A698" s="114"/>
      <c r="B698" s="114"/>
      <c r="C698" s="114"/>
      <c r="D698" s="114"/>
      <c r="E698" s="114"/>
      <c r="F698" s="114"/>
      <c r="G698" s="114"/>
      <c r="H698" s="114"/>
      <c r="I698" s="114"/>
      <c r="J698" s="114"/>
      <c r="K698" s="114"/>
      <c r="L698" s="114"/>
      <c r="M698" s="114"/>
      <c r="N698" s="114"/>
      <c r="O698" s="114"/>
      <c r="P698" s="114"/>
      <c r="Q698" s="114"/>
      <c r="R698" s="114"/>
      <c r="S698" s="114"/>
      <c r="T698" s="114"/>
      <c r="U698" s="114"/>
      <c r="V698" s="114"/>
      <c r="W698" s="114"/>
      <c r="X698" s="114"/>
      <c r="Y698" s="114"/>
      <c r="Z698" s="114"/>
      <c r="AA698" s="114"/>
      <c r="AB698" s="114"/>
      <c r="AC698" s="114"/>
      <c r="AD698" s="114"/>
      <c r="AE698" s="114"/>
      <c r="AF698" s="114"/>
      <c r="AG698" s="114"/>
      <c r="AH698" s="114"/>
      <c r="AI698" s="114"/>
      <c r="AJ698" s="114"/>
      <c r="AK698" s="114"/>
    </row>
    <row r="699" ht="15.75" customHeight="1">
      <c r="A699" s="114"/>
      <c r="B699" s="114"/>
      <c r="C699" s="114"/>
      <c r="D699" s="114"/>
      <c r="E699" s="114"/>
      <c r="F699" s="114"/>
      <c r="G699" s="114"/>
      <c r="H699" s="114"/>
      <c r="I699" s="114"/>
      <c r="J699" s="114"/>
      <c r="K699" s="114"/>
      <c r="L699" s="114"/>
      <c r="M699" s="114"/>
      <c r="N699" s="114"/>
      <c r="O699" s="114"/>
      <c r="P699" s="114"/>
      <c r="Q699" s="114"/>
      <c r="R699" s="114"/>
      <c r="S699" s="114"/>
      <c r="T699" s="114"/>
      <c r="U699" s="114"/>
      <c r="V699" s="114"/>
      <c r="W699" s="114"/>
      <c r="X699" s="114"/>
      <c r="Y699" s="114"/>
      <c r="Z699" s="114"/>
      <c r="AA699" s="114"/>
      <c r="AB699" s="114"/>
      <c r="AC699" s="114"/>
      <c r="AD699" s="114"/>
      <c r="AE699" s="114"/>
      <c r="AF699" s="114"/>
      <c r="AG699" s="114"/>
      <c r="AH699" s="114"/>
      <c r="AI699" s="114"/>
      <c r="AJ699" s="114"/>
      <c r="AK699" s="114"/>
    </row>
    <row r="700" ht="15.75" customHeight="1">
      <c r="A700" s="114"/>
      <c r="B700" s="114"/>
      <c r="C700" s="114"/>
      <c r="D700" s="114"/>
      <c r="E700" s="114"/>
      <c r="F700" s="114"/>
      <c r="G700" s="114"/>
      <c r="H700" s="114"/>
      <c r="I700" s="114"/>
      <c r="J700" s="114"/>
      <c r="K700" s="114"/>
      <c r="L700" s="114"/>
      <c r="M700" s="114"/>
      <c r="N700" s="114"/>
      <c r="O700" s="114"/>
      <c r="P700" s="114"/>
      <c r="Q700" s="114"/>
      <c r="R700" s="114"/>
      <c r="S700" s="114"/>
      <c r="T700" s="114"/>
      <c r="U700" s="114"/>
      <c r="V700" s="114"/>
      <c r="W700" s="114"/>
      <c r="X700" s="114"/>
      <c r="Y700" s="114"/>
      <c r="Z700" s="114"/>
      <c r="AA700" s="114"/>
      <c r="AB700" s="114"/>
      <c r="AC700" s="114"/>
      <c r="AD700" s="114"/>
      <c r="AE700" s="114"/>
      <c r="AF700" s="114"/>
      <c r="AG700" s="114"/>
      <c r="AH700" s="114"/>
      <c r="AI700" s="114"/>
      <c r="AJ700" s="114"/>
      <c r="AK700" s="114"/>
    </row>
    <row r="701" ht="15.75" customHeight="1">
      <c r="A701" s="114"/>
      <c r="B701" s="114"/>
      <c r="C701" s="114"/>
      <c r="D701" s="114"/>
      <c r="E701" s="114"/>
      <c r="F701" s="114"/>
      <c r="G701" s="114"/>
      <c r="H701" s="114"/>
      <c r="I701" s="114"/>
      <c r="J701" s="114"/>
      <c r="K701" s="114"/>
      <c r="L701" s="114"/>
      <c r="M701" s="114"/>
      <c r="N701" s="114"/>
      <c r="O701" s="114"/>
      <c r="P701" s="114"/>
      <c r="Q701" s="114"/>
      <c r="R701" s="114"/>
      <c r="S701" s="114"/>
      <c r="T701" s="114"/>
      <c r="U701" s="114"/>
      <c r="V701" s="114"/>
      <c r="W701" s="114"/>
      <c r="X701" s="114"/>
      <c r="Y701" s="114"/>
      <c r="Z701" s="114"/>
      <c r="AA701" s="114"/>
      <c r="AB701" s="114"/>
      <c r="AC701" s="114"/>
      <c r="AD701" s="114"/>
      <c r="AE701" s="114"/>
      <c r="AF701" s="114"/>
      <c r="AG701" s="114"/>
      <c r="AH701" s="114"/>
      <c r="AI701" s="114"/>
      <c r="AJ701" s="114"/>
      <c r="AK701" s="114"/>
    </row>
    <row r="702" ht="15.75" customHeight="1">
      <c r="A702" s="114"/>
      <c r="B702" s="114"/>
      <c r="C702" s="114"/>
      <c r="D702" s="114"/>
      <c r="E702" s="114"/>
      <c r="F702" s="114"/>
      <c r="G702" s="114"/>
      <c r="H702" s="114"/>
      <c r="I702" s="114"/>
      <c r="J702" s="114"/>
      <c r="K702" s="114"/>
      <c r="L702" s="114"/>
      <c r="M702" s="114"/>
      <c r="N702" s="114"/>
      <c r="O702" s="114"/>
      <c r="P702" s="114"/>
      <c r="Q702" s="114"/>
      <c r="R702" s="114"/>
      <c r="S702" s="114"/>
      <c r="T702" s="114"/>
      <c r="U702" s="114"/>
      <c r="V702" s="114"/>
      <c r="W702" s="114"/>
      <c r="X702" s="114"/>
      <c r="Y702" s="114"/>
      <c r="Z702" s="114"/>
      <c r="AA702" s="114"/>
      <c r="AB702" s="114"/>
      <c r="AC702" s="114"/>
      <c r="AD702" s="114"/>
      <c r="AE702" s="114"/>
      <c r="AF702" s="114"/>
      <c r="AG702" s="114"/>
      <c r="AH702" s="114"/>
      <c r="AI702" s="114"/>
      <c r="AJ702" s="114"/>
      <c r="AK702" s="114"/>
    </row>
    <row r="703" ht="15.75" customHeight="1">
      <c r="A703" s="114"/>
      <c r="B703" s="114"/>
      <c r="C703" s="114"/>
      <c r="D703" s="114"/>
      <c r="E703" s="114"/>
      <c r="F703" s="114"/>
      <c r="G703" s="114"/>
      <c r="H703" s="114"/>
      <c r="I703" s="114"/>
      <c r="J703" s="114"/>
      <c r="K703" s="114"/>
      <c r="L703" s="114"/>
      <c r="M703" s="114"/>
      <c r="N703" s="114"/>
      <c r="O703" s="114"/>
      <c r="P703" s="114"/>
      <c r="Q703" s="114"/>
      <c r="R703" s="114"/>
      <c r="S703" s="114"/>
      <c r="T703" s="114"/>
      <c r="U703" s="114"/>
      <c r="V703" s="114"/>
      <c r="W703" s="114"/>
      <c r="X703" s="114"/>
      <c r="Y703" s="114"/>
      <c r="Z703" s="114"/>
      <c r="AA703" s="114"/>
      <c r="AB703" s="114"/>
      <c r="AC703" s="114"/>
      <c r="AD703" s="114"/>
      <c r="AE703" s="114"/>
      <c r="AF703" s="114"/>
      <c r="AG703" s="114"/>
      <c r="AH703" s="114"/>
      <c r="AI703" s="114"/>
      <c r="AJ703" s="114"/>
      <c r="AK703" s="114"/>
    </row>
    <row r="704" ht="15.75" customHeight="1">
      <c r="A704" s="114"/>
      <c r="B704" s="114"/>
      <c r="C704" s="114"/>
      <c r="D704" s="114"/>
      <c r="E704" s="114"/>
      <c r="F704" s="114"/>
      <c r="G704" s="114"/>
      <c r="H704" s="114"/>
      <c r="I704" s="114"/>
      <c r="J704" s="114"/>
      <c r="K704" s="114"/>
      <c r="L704" s="114"/>
      <c r="M704" s="114"/>
      <c r="N704" s="114"/>
      <c r="O704" s="114"/>
      <c r="P704" s="114"/>
      <c r="Q704" s="114"/>
      <c r="R704" s="114"/>
      <c r="S704" s="114"/>
      <c r="T704" s="114"/>
      <c r="U704" s="114"/>
      <c r="V704" s="114"/>
      <c r="W704" s="114"/>
      <c r="X704" s="114"/>
      <c r="Y704" s="114"/>
      <c r="Z704" s="114"/>
      <c r="AA704" s="114"/>
      <c r="AB704" s="114"/>
      <c r="AC704" s="114"/>
      <c r="AD704" s="114"/>
      <c r="AE704" s="114"/>
      <c r="AF704" s="114"/>
      <c r="AG704" s="114"/>
      <c r="AH704" s="114"/>
      <c r="AI704" s="114"/>
      <c r="AJ704" s="114"/>
      <c r="AK704" s="114"/>
    </row>
    <row r="705" ht="15.75" customHeight="1">
      <c r="A705" s="114"/>
      <c r="B705" s="114"/>
      <c r="C705" s="114"/>
      <c r="D705" s="114"/>
      <c r="E705" s="114"/>
      <c r="F705" s="114"/>
      <c r="G705" s="114"/>
      <c r="H705" s="114"/>
      <c r="I705" s="114"/>
      <c r="J705" s="114"/>
      <c r="K705" s="114"/>
      <c r="L705" s="114"/>
      <c r="M705" s="114"/>
      <c r="N705" s="114"/>
      <c r="O705" s="114"/>
      <c r="P705" s="114"/>
      <c r="Q705" s="114"/>
      <c r="R705" s="114"/>
      <c r="S705" s="114"/>
      <c r="T705" s="114"/>
      <c r="U705" s="114"/>
      <c r="V705" s="114"/>
      <c r="W705" s="114"/>
      <c r="X705" s="114"/>
      <c r="Y705" s="114"/>
      <c r="Z705" s="114"/>
      <c r="AA705" s="114"/>
      <c r="AB705" s="114"/>
      <c r="AC705" s="114"/>
      <c r="AD705" s="114"/>
      <c r="AE705" s="114"/>
      <c r="AF705" s="114"/>
      <c r="AG705" s="114"/>
      <c r="AH705" s="114"/>
      <c r="AI705" s="114"/>
      <c r="AJ705" s="114"/>
      <c r="AK705" s="114"/>
    </row>
    <row r="706" ht="15.75" customHeight="1">
      <c r="A706" s="114"/>
      <c r="B706" s="114"/>
      <c r="C706" s="114"/>
      <c r="D706" s="114"/>
      <c r="E706" s="114"/>
      <c r="F706" s="114"/>
      <c r="G706" s="114"/>
      <c r="H706" s="114"/>
      <c r="I706" s="114"/>
      <c r="J706" s="114"/>
      <c r="K706" s="114"/>
      <c r="L706" s="114"/>
      <c r="M706" s="114"/>
      <c r="N706" s="114"/>
      <c r="O706" s="114"/>
      <c r="P706" s="114"/>
      <c r="Q706" s="114"/>
      <c r="R706" s="114"/>
      <c r="S706" s="114"/>
      <c r="T706" s="114"/>
      <c r="U706" s="114"/>
      <c r="V706" s="114"/>
      <c r="W706" s="114"/>
      <c r="X706" s="114"/>
      <c r="Y706" s="114"/>
      <c r="Z706" s="114"/>
      <c r="AA706" s="114"/>
      <c r="AB706" s="114"/>
      <c r="AC706" s="114"/>
      <c r="AD706" s="114"/>
      <c r="AE706" s="114"/>
      <c r="AF706" s="114"/>
      <c r="AG706" s="114"/>
      <c r="AH706" s="114"/>
      <c r="AI706" s="114"/>
      <c r="AJ706" s="114"/>
      <c r="AK706" s="114"/>
    </row>
    <row r="707" ht="15.75" customHeight="1">
      <c r="A707" s="114"/>
      <c r="B707" s="114"/>
      <c r="C707" s="114"/>
      <c r="D707" s="114"/>
      <c r="E707" s="114"/>
      <c r="F707" s="114"/>
      <c r="G707" s="114"/>
      <c r="H707" s="114"/>
      <c r="I707" s="114"/>
      <c r="J707" s="114"/>
      <c r="K707" s="114"/>
      <c r="L707" s="114"/>
      <c r="M707" s="114"/>
      <c r="N707" s="114"/>
      <c r="O707" s="114"/>
      <c r="P707" s="114"/>
      <c r="Q707" s="114"/>
      <c r="R707" s="114"/>
      <c r="S707" s="114"/>
      <c r="T707" s="114"/>
      <c r="U707" s="114"/>
      <c r="V707" s="114"/>
      <c r="W707" s="114"/>
      <c r="X707" s="114"/>
      <c r="Y707" s="114"/>
      <c r="Z707" s="114"/>
      <c r="AA707" s="114"/>
      <c r="AB707" s="114"/>
      <c r="AC707" s="114"/>
      <c r="AD707" s="114"/>
      <c r="AE707" s="114"/>
      <c r="AF707" s="114"/>
      <c r="AG707" s="114"/>
      <c r="AH707" s="114"/>
      <c r="AI707" s="114"/>
      <c r="AJ707" s="114"/>
      <c r="AK707" s="114"/>
    </row>
    <row r="708" ht="15.75" customHeight="1">
      <c r="A708" s="114"/>
      <c r="B708" s="114"/>
      <c r="C708" s="114"/>
      <c r="D708" s="114"/>
      <c r="E708" s="114"/>
      <c r="F708" s="114"/>
      <c r="G708" s="114"/>
      <c r="H708" s="114"/>
      <c r="I708" s="114"/>
      <c r="J708" s="114"/>
      <c r="K708" s="114"/>
      <c r="L708" s="114"/>
      <c r="M708" s="114"/>
      <c r="N708" s="114"/>
      <c r="O708" s="114"/>
      <c r="P708" s="114"/>
      <c r="Q708" s="114"/>
      <c r="R708" s="114"/>
      <c r="S708" s="114"/>
      <c r="T708" s="114"/>
      <c r="U708" s="114"/>
      <c r="V708" s="114"/>
      <c r="W708" s="114"/>
      <c r="X708" s="114"/>
      <c r="Y708" s="114"/>
      <c r="Z708" s="114"/>
      <c r="AA708" s="114"/>
      <c r="AB708" s="114"/>
      <c r="AC708" s="114"/>
      <c r="AD708" s="114"/>
      <c r="AE708" s="114"/>
      <c r="AF708" s="114"/>
      <c r="AG708" s="114"/>
      <c r="AH708" s="114"/>
      <c r="AI708" s="114"/>
      <c r="AJ708" s="114"/>
      <c r="AK708" s="114"/>
    </row>
    <row r="709" ht="15.75" customHeight="1">
      <c r="A709" s="114"/>
      <c r="B709" s="114"/>
      <c r="C709" s="114"/>
      <c r="D709" s="114"/>
      <c r="E709" s="114"/>
      <c r="F709" s="114"/>
      <c r="G709" s="114"/>
      <c r="H709" s="114"/>
      <c r="I709" s="114"/>
      <c r="J709" s="114"/>
      <c r="K709" s="114"/>
      <c r="L709" s="114"/>
      <c r="M709" s="114"/>
      <c r="N709" s="114"/>
      <c r="O709" s="114"/>
      <c r="P709" s="114"/>
      <c r="Q709" s="114"/>
      <c r="R709" s="114"/>
      <c r="S709" s="114"/>
      <c r="T709" s="114"/>
      <c r="U709" s="114"/>
      <c r="V709" s="114"/>
      <c r="W709" s="114"/>
      <c r="X709" s="114"/>
      <c r="Y709" s="114"/>
      <c r="Z709" s="114"/>
      <c r="AA709" s="114"/>
      <c r="AB709" s="114"/>
      <c r="AC709" s="114"/>
      <c r="AD709" s="114"/>
      <c r="AE709" s="114"/>
      <c r="AF709" s="114"/>
      <c r="AG709" s="114"/>
      <c r="AH709" s="114"/>
      <c r="AI709" s="114"/>
      <c r="AJ709" s="114"/>
      <c r="AK709" s="114"/>
    </row>
    <row r="710" ht="15.75" customHeight="1">
      <c r="A710" s="114"/>
      <c r="B710" s="114"/>
      <c r="C710" s="114"/>
      <c r="D710" s="114"/>
      <c r="E710" s="114"/>
      <c r="F710" s="114"/>
      <c r="G710" s="114"/>
      <c r="H710" s="114"/>
      <c r="I710" s="114"/>
      <c r="J710" s="114"/>
      <c r="K710" s="114"/>
      <c r="L710" s="114"/>
      <c r="M710" s="114"/>
      <c r="N710" s="114"/>
      <c r="O710" s="114"/>
      <c r="P710" s="114"/>
      <c r="Q710" s="114"/>
      <c r="R710" s="114"/>
      <c r="S710" s="114"/>
      <c r="T710" s="114"/>
      <c r="U710" s="114"/>
      <c r="V710" s="114"/>
      <c r="W710" s="114"/>
      <c r="X710" s="114"/>
      <c r="Y710" s="114"/>
      <c r="Z710" s="114"/>
      <c r="AA710" s="114"/>
      <c r="AB710" s="114"/>
      <c r="AC710" s="114"/>
      <c r="AD710" s="114"/>
      <c r="AE710" s="114"/>
      <c r="AF710" s="114"/>
      <c r="AG710" s="114"/>
      <c r="AH710" s="114"/>
      <c r="AI710" s="114"/>
      <c r="AJ710" s="114"/>
      <c r="AK710" s="114"/>
    </row>
    <row r="711" ht="15.75" customHeight="1">
      <c r="A711" s="114"/>
      <c r="B711" s="114"/>
      <c r="C711" s="114"/>
      <c r="D711" s="114"/>
      <c r="E711" s="114"/>
      <c r="F711" s="114"/>
      <c r="G711" s="114"/>
      <c r="H711" s="114"/>
      <c r="I711" s="114"/>
      <c r="J711" s="114"/>
      <c r="K711" s="114"/>
      <c r="L711" s="114"/>
      <c r="M711" s="114"/>
      <c r="N711" s="114"/>
      <c r="O711" s="114"/>
      <c r="P711" s="114"/>
      <c r="Q711" s="114"/>
      <c r="R711" s="114"/>
      <c r="S711" s="114"/>
      <c r="T711" s="114"/>
      <c r="U711" s="114"/>
      <c r="V711" s="114"/>
      <c r="W711" s="114"/>
      <c r="X711" s="114"/>
      <c r="Y711" s="114"/>
      <c r="Z711" s="114"/>
      <c r="AA711" s="114"/>
      <c r="AB711" s="114"/>
      <c r="AC711" s="114"/>
      <c r="AD711" s="114"/>
      <c r="AE711" s="114"/>
      <c r="AF711" s="114"/>
      <c r="AG711" s="114"/>
      <c r="AH711" s="114"/>
      <c r="AI711" s="114"/>
      <c r="AJ711" s="114"/>
      <c r="AK711" s="114"/>
    </row>
    <row r="712" ht="15.75" customHeight="1">
      <c r="A712" s="114"/>
      <c r="B712" s="114"/>
      <c r="C712" s="114"/>
      <c r="D712" s="114"/>
      <c r="E712" s="114"/>
      <c r="F712" s="114"/>
      <c r="G712" s="114"/>
      <c r="H712" s="114"/>
      <c r="I712" s="114"/>
      <c r="J712" s="114"/>
      <c r="K712" s="114"/>
      <c r="L712" s="114"/>
      <c r="M712" s="114"/>
      <c r="N712" s="114"/>
      <c r="O712" s="114"/>
      <c r="P712" s="114"/>
      <c r="Q712" s="114"/>
      <c r="R712" s="114"/>
      <c r="S712" s="114"/>
      <c r="T712" s="114"/>
      <c r="U712" s="114"/>
      <c r="V712" s="114"/>
      <c r="W712" s="114"/>
      <c r="X712" s="114"/>
      <c r="Y712" s="114"/>
      <c r="Z712" s="114"/>
      <c r="AA712" s="114"/>
      <c r="AB712" s="114"/>
      <c r="AC712" s="114"/>
      <c r="AD712" s="114"/>
      <c r="AE712" s="114"/>
      <c r="AF712" s="114"/>
      <c r="AG712" s="114"/>
      <c r="AH712" s="114"/>
      <c r="AI712" s="114"/>
      <c r="AJ712" s="114"/>
      <c r="AK712" s="114"/>
    </row>
    <row r="713" ht="15.75" customHeight="1">
      <c r="A713" s="114"/>
      <c r="B713" s="114"/>
      <c r="C713" s="114"/>
      <c r="D713" s="114"/>
      <c r="E713" s="114"/>
      <c r="F713" s="114"/>
      <c r="G713" s="114"/>
      <c r="H713" s="114"/>
      <c r="I713" s="114"/>
      <c r="J713" s="114"/>
      <c r="K713" s="114"/>
      <c r="L713" s="114"/>
      <c r="M713" s="114"/>
      <c r="N713" s="114"/>
      <c r="O713" s="114"/>
      <c r="P713" s="114"/>
      <c r="Q713" s="114"/>
      <c r="R713" s="114"/>
      <c r="S713" s="114"/>
      <c r="T713" s="114"/>
      <c r="U713" s="114"/>
      <c r="V713" s="114"/>
      <c r="W713" s="114"/>
      <c r="X713" s="114"/>
      <c r="Y713" s="114"/>
      <c r="Z713" s="114"/>
      <c r="AA713" s="114"/>
      <c r="AB713" s="114"/>
      <c r="AC713" s="114"/>
      <c r="AD713" s="114"/>
      <c r="AE713" s="114"/>
      <c r="AF713" s="114"/>
      <c r="AG713" s="114"/>
      <c r="AH713" s="114"/>
      <c r="AI713" s="114"/>
      <c r="AJ713" s="114"/>
      <c r="AK713" s="114"/>
    </row>
    <row r="714" ht="15.75" customHeight="1">
      <c r="A714" s="114"/>
      <c r="B714" s="114"/>
      <c r="C714" s="114"/>
      <c r="D714" s="114"/>
      <c r="E714" s="114"/>
      <c r="F714" s="114"/>
      <c r="G714" s="114"/>
      <c r="H714" s="114"/>
      <c r="I714" s="114"/>
      <c r="J714" s="114"/>
      <c r="K714" s="114"/>
      <c r="L714" s="114"/>
      <c r="M714" s="114"/>
      <c r="N714" s="114"/>
      <c r="O714" s="114"/>
      <c r="P714" s="114"/>
      <c r="Q714" s="114"/>
      <c r="R714" s="114"/>
      <c r="S714" s="114"/>
      <c r="T714" s="114"/>
      <c r="U714" s="114"/>
      <c r="V714" s="114"/>
      <c r="W714" s="114"/>
      <c r="X714" s="114"/>
      <c r="Y714" s="114"/>
      <c r="Z714" s="114"/>
      <c r="AA714" s="114"/>
      <c r="AB714" s="114"/>
      <c r="AC714" s="114"/>
      <c r="AD714" s="114"/>
      <c r="AE714" s="114"/>
      <c r="AF714" s="114"/>
      <c r="AG714" s="114"/>
      <c r="AH714" s="114"/>
      <c r="AI714" s="114"/>
      <c r="AJ714" s="114"/>
      <c r="AK714" s="114"/>
    </row>
    <row r="715" ht="15.75" customHeight="1">
      <c r="A715" s="114"/>
      <c r="B715" s="114"/>
      <c r="C715" s="114"/>
      <c r="D715" s="114"/>
      <c r="E715" s="114"/>
      <c r="F715" s="114"/>
      <c r="G715" s="114"/>
      <c r="H715" s="114"/>
      <c r="I715" s="114"/>
      <c r="J715" s="114"/>
      <c r="K715" s="114"/>
      <c r="L715" s="114"/>
      <c r="M715" s="114"/>
      <c r="N715" s="114"/>
      <c r="O715" s="114"/>
      <c r="P715" s="114"/>
      <c r="Q715" s="114"/>
      <c r="R715" s="114"/>
      <c r="S715" s="114"/>
      <c r="T715" s="114"/>
      <c r="U715" s="114"/>
      <c r="V715" s="114"/>
      <c r="W715" s="114"/>
      <c r="X715" s="114"/>
      <c r="Y715" s="114"/>
      <c r="Z715" s="114"/>
      <c r="AA715" s="114"/>
      <c r="AB715" s="114"/>
      <c r="AC715" s="114"/>
      <c r="AD715" s="114"/>
      <c r="AE715" s="114"/>
      <c r="AF715" s="114"/>
      <c r="AG715" s="114"/>
      <c r="AH715" s="114"/>
      <c r="AI715" s="114"/>
      <c r="AJ715" s="114"/>
      <c r="AK715" s="114"/>
    </row>
    <row r="716" ht="15.75" customHeight="1">
      <c r="A716" s="114"/>
      <c r="B716" s="114"/>
      <c r="C716" s="114"/>
      <c r="D716" s="114"/>
      <c r="E716" s="114"/>
      <c r="F716" s="114"/>
      <c r="G716" s="114"/>
      <c r="H716" s="114"/>
      <c r="I716" s="114"/>
      <c r="J716" s="114"/>
      <c r="K716" s="114"/>
      <c r="L716" s="114"/>
      <c r="M716" s="114"/>
      <c r="N716" s="114"/>
      <c r="O716" s="114"/>
      <c r="P716" s="114"/>
      <c r="Q716" s="114"/>
      <c r="R716" s="114"/>
      <c r="S716" s="114"/>
      <c r="T716" s="114"/>
      <c r="U716" s="114"/>
      <c r="V716" s="114"/>
      <c r="W716" s="114"/>
      <c r="X716" s="114"/>
      <c r="Y716" s="114"/>
      <c r="Z716" s="114"/>
      <c r="AA716" s="114"/>
      <c r="AB716" s="114"/>
      <c r="AC716" s="114"/>
      <c r="AD716" s="114"/>
      <c r="AE716" s="114"/>
      <c r="AF716" s="114"/>
      <c r="AG716" s="114"/>
      <c r="AH716" s="114"/>
      <c r="AI716" s="114"/>
      <c r="AJ716" s="114"/>
      <c r="AK716" s="114"/>
    </row>
    <row r="717" ht="15.75" customHeight="1">
      <c r="A717" s="114"/>
      <c r="B717" s="114"/>
      <c r="C717" s="114"/>
      <c r="D717" s="114"/>
      <c r="E717" s="114"/>
      <c r="F717" s="114"/>
      <c r="G717" s="114"/>
      <c r="H717" s="114"/>
      <c r="I717" s="114"/>
      <c r="J717" s="114"/>
      <c r="K717" s="114"/>
      <c r="L717" s="114"/>
      <c r="M717" s="114"/>
      <c r="N717" s="114"/>
      <c r="O717" s="114"/>
      <c r="P717" s="114"/>
      <c r="Q717" s="114"/>
      <c r="R717" s="114"/>
      <c r="S717" s="114"/>
      <c r="T717" s="114"/>
      <c r="U717" s="114"/>
      <c r="V717" s="114"/>
      <c r="W717" s="114"/>
      <c r="X717" s="114"/>
      <c r="Y717" s="114"/>
      <c r="Z717" s="114"/>
      <c r="AA717" s="114"/>
      <c r="AB717" s="114"/>
      <c r="AC717" s="114"/>
      <c r="AD717" s="114"/>
      <c r="AE717" s="114"/>
      <c r="AF717" s="114"/>
      <c r="AG717" s="114"/>
      <c r="AH717" s="114"/>
      <c r="AI717" s="114"/>
      <c r="AJ717" s="114"/>
      <c r="AK717" s="114"/>
    </row>
    <row r="718" ht="15.75" customHeight="1">
      <c r="A718" s="114"/>
      <c r="B718" s="114"/>
      <c r="C718" s="114"/>
      <c r="D718" s="114"/>
      <c r="E718" s="114"/>
      <c r="F718" s="114"/>
      <c r="G718" s="114"/>
      <c r="H718" s="114"/>
      <c r="I718" s="114"/>
      <c r="J718" s="114"/>
      <c r="K718" s="114"/>
      <c r="L718" s="114"/>
      <c r="M718" s="114"/>
      <c r="N718" s="114"/>
      <c r="O718" s="114"/>
      <c r="P718" s="114"/>
      <c r="Q718" s="114"/>
      <c r="R718" s="114"/>
      <c r="S718" s="114"/>
      <c r="T718" s="114"/>
      <c r="U718" s="114"/>
      <c r="V718" s="114"/>
      <c r="W718" s="114"/>
      <c r="X718" s="114"/>
      <c r="Y718" s="114"/>
      <c r="Z718" s="114"/>
      <c r="AA718" s="114"/>
      <c r="AB718" s="114"/>
      <c r="AC718" s="114"/>
      <c r="AD718" s="114"/>
      <c r="AE718" s="114"/>
      <c r="AF718" s="114"/>
      <c r="AG718" s="114"/>
      <c r="AH718" s="114"/>
      <c r="AI718" s="114"/>
      <c r="AJ718" s="114"/>
      <c r="AK718" s="114"/>
    </row>
    <row r="719" ht="15.75" customHeight="1">
      <c r="A719" s="114"/>
      <c r="B719" s="114"/>
      <c r="C719" s="114"/>
      <c r="D719" s="114"/>
      <c r="E719" s="114"/>
      <c r="F719" s="114"/>
      <c r="G719" s="114"/>
      <c r="H719" s="114"/>
      <c r="I719" s="114"/>
      <c r="J719" s="114"/>
      <c r="K719" s="114"/>
      <c r="L719" s="114"/>
      <c r="M719" s="114"/>
      <c r="N719" s="114"/>
      <c r="O719" s="114"/>
      <c r="P719" s="114"/>
      <c r="Q719" s="114"/>
      <c r="R719" s="114"/>
      <c r="S719" s="114"/>
      <c r="T719" s="114"/>
      <c r="U719" s="114"/>
      <c r="V719" s="114"/>
      <c r="W719" s="114"/>
      <c r="X719" s="114"/>
      <c r="Y719" s="114"/>
      <c r="Z719" s="114"/>
      <c r="AA719" s="114"/>
      <c r="AB719" s="114"/>
      <c r="AC719" s="114"/>
      <c r="AD719" s="114"/>
      <c r="AE719" s="114"/>
      <c r="AF719" s="114"/>
      <c r="AG719" s="114"/>
      <c r="AH719" s="114"/>
      <c r="AI719" s="114"/>
      <c r="AJ719" s="114"/>
      <c r="AK719" s="114"/>
    </row>
    <row r="720" ht="15.75" customHeight="1">
      <c r="A720" s="114"/>
      <c r="B720" s="114"/>
      <c r="C720" s="114"/>
      <c r="D720" s="114"/>
      <c r="E720" s="114"/>
      <c r="F720" s="114"/>
      <c r="G720" s="114"/>
      <c r="H720" s="114"/>
      <c r="I720" s="114"/>
      <c r="J720" s="114"/>
      <c r="K720" s="114"/>
      <c r="L720" s="114"/>
      <c r="M720" s="114"/>
      <c r="N720" s="114"/>
      <c r="O720" s="114"/>
      <c r="P720" s="114"/>
      <c r="Q720" s="114"/>
      <c r="R720" s="114"/>
      <c r="S720" s="114"/>
      <c r="T720" s="114"/>
      <c r="U720" s="114"/>
      <c r="V720" s="114"/>
      <c r="W720" s="114"/>
      <c r="X720" s="114"/>
      <c r="Y720" s="114"/>
      <c r="Z720" s="114"/>
      <c r="AA720" s="114"/>
      <c r="AB720" s="114"/>
      <c r="AC720" s="114"/>
      <c r="AD720" s="114"/>
      <c r="AE720" s="114"/>
      <c r="AF720" s="114"/>
      <c r="AG720" s="114"/>
      <c r="AH720" s="114"/>
      <c r="AI720" s="114"/>
      <c r="AJ720" s="114"/>
      <c r="AK720" s="114"/>
    </row>
    <row r="721" ht="15.75" customHeight="1">
      <c r="A721" s="114"/>
      <c r="B721" s="114"/>
      <c r="C721" s="114"/>
      <c r="D721" s="114"/>
      <c r="E721" s="114"/>
      <c r="F721" s="114"/>
      <c r="G721" s="114"/>
      <c r="H721" s="114"/>
      <c r="I721" s="114"/>
      <c r="J721" s="114"/>
      <c r="K721" s="114"/>
      <c r="L721" s="114"/>
      <c r="M721" s="114"/>
      <c r="N721" s="114"/>
      <c r="O721" s="114"/>
      <c r="P721" s="114"/>
      <c r="Q721" s="114"/>
      <c r="R721" s="114"/>
      <c r="S721" s="114"/>
      <c r="T721" s="114"/>
      <c r="U721" s="114"/>
      <c r="V721" s="114"/>
      <c r="W721" s="114"/>
      <c r="X721" s="114"/>
      <c r="Y721" s="114"/>
      <c r="Z721" s="114"/>
      <c r="AA721" s="114"/>
      <c r="AB721" s="114"/>
      <c r="AC721" s="114"/>
      <c r="AD721" s="114"/>
      <c r="AE721" s="114"/>
      <c r="AF721" s="114"/>
      <c r="AG721" s="114"/>
      <c r="AH721" s="114"/>
      <c r="AI721" s="114"/>
      <c r="AJ721" s="114"/>
      <c r="AK721" s="114"/>
    </row>
    <row r="722" ht="15.75" customHeight="1">
      <c r="A722" s="114"/>
      <c r="B722" s="114"/>
      <c r="C722" s="114"/>
      <c r="D722" s="114"/>
      <c r="E722" s="114"/>
      <c r="F722" s="114"/>
      <c r="G722" s="114"/>
      <c r="H722" s="114"/>
      <c r="I722" s="114"/>
      <c r="J722" s="114"/>
      <c r="K722" s="114"/>
      <c r="L722" s="114"/>
      <c r="M722" s="114"/>
      <c r="N722" s="114"/>
      <c r="O722" s="114"/>
      <c r="P722" s="114"/>
      <c r="Q722" s="114"/>
      <c r="R722" s="114"/>
      <c r="S722" s="114"/>
      <c r="T722" s="114"/>
      <c r="U722" s="114"/>
      <c r="V722" s="114"/>
      <c r="W722" s="114"/>
      <c r="X722" s="114"/>
      <c r="Y722" s="114"/>
      <c r="Z722" s="114"/>
      <c r="AA722" s="114"/>
      <c r="AB722" s="114"/>
      <c r="AC722" s="114"/>
      <c r="AD722" s="114"/>
      <c r="AE722" s="114"/>
      <c r="AF722" s="114"/>
      <c r="AG722" s="114"/>
      <c r="AH722" s="114"/>
      <c r="AI722" s="114"/>
      <c r="AJ722" s="114"/>
      <c r="AK722" s="114"/>
    </row>
    <row r="723" ht="15.75" customHeight="1">
      <c r="A723" s="114"/>
      <c r="B723" s="114"/>
      <c r="C723" s="114"/>
      <c r="D723" s="114"/>
      <c r="E723" s="114"/>
      <c r="F723" s="114"/>
      <c r="G723" s="114"/>
      <c r="H723" s="114"/>
      <c r="I723" s="114"/>
      <c r="J723" s="114"/>
      <c r="K723" s="114"/>
      <c r="L723" s="114"/>
      <c r="M723" s="114"/>
      <c r="N723" s="114"/>
      <c r="O723" s="114"/>
      <c r="P723" s="114"/>
      <c r="Q723" s="114"/>
      <c r="R723" s="114"/>
      <c r="S723" s="114"/>
      <c r="T723" s="114"/>
      <c r="U723" s="114"/>
      <c r="V723" s="114"/>
      <c r="W723" s="114"/>
      <c r="X723" s="114"/>
      <c r="Y723" s="114"/>
      <c r="Z723" s="114"/>
      <c r="AA723" s="114"/>
      <c r="AB723" s="114"/>
      <c r="AC723" s="114"/>
      <c r="AD723" s="114"/>
      <c r="AE723" s="114"/>
      <c r="AF723" s="114"/>
      <c r="AG723" s="114"/>
      <c r="AH723" s="114"/>
      <c r="AI723" s="114"/>
      <c r="AJ723" s="114"/>
      <c r="AK723" s="114"/>
    </row>
    <row r="724" ht="15.75" customHeight="1">
      <c r="A724" s="114"/>
      <c r="B724" s="114"/>
      <c r="C724" s="114"/>
      <c r="D724" s="114"/>
      <c r="E724" s="114"/>
      <c r="F724" s="114"/>
      <c r="G724" s="114"/>
      <c r="H724" s="114"/>
      <c r="I724" s="114"/>
      <c r="J724" s="114"/>
      <c r="K724" s="114"/>
      <c r="L724" s="114"/>
      <c r="M724" s="114"/>
      <c r="N724" s="114"/>
      <c r="O724" s="114"/>
      <c r="P724" s="114"/>
      <c r="Q724" s="114"/>
      <c r="R724" s="114"/>
      <c r="S724" s="114"/>
      <c r="T724" s="114"/>
      <c r="U724" s="114"/>
      <c r="V724" s="114"/>
      <c r="W724" s="114"/>
      <c r="X724" s="114"/>
      <c r="Y724" s="114"/>
      <c r="Z724" s="114"/>
      <c r="AA724" s="114"/>
      <c r="AB724" s="114"/>
      <c r="AC724" s="114"/>
      <c r="AD724" s="114"/>
      <c r="AE724" s="114"/>
      <c r="AF724" s="114"/>
      <c r="AG724" s="114"/>
      <c r="AH724" s="114"/>
      <c r="AI724" s="114"/>
      <c r="AJ724" s="114"/>
      <c r="AK724" s="114"/>
    </row>
    <row r="725" ht="15.75" customHeight="1">
      <c r="A725" s="114"/>
      <c r="B725" s="114"/>
      <c r="C725" s="114"/>
      <c r="D725" s="114"/>
      <c r="E725" s="114"/>
      <c r="F725" s="114"/>
      <c r="G725" s="114"/>
      <c r="H725" s="114"/>
      <c r="I725" s="114"/>
      <c r="J725" s="114"/>
      <c r="K725" s="114"/>
      <c r="L725" s="114"/>
      <c r="M725" s="114"/>
      <c r="N725" s="114"/>
      <c r="O725" s="114"/>
      <c r="P725" s="114"/>
      <c r="Q725" s="114"/>
      <c r="R725" s="114"/>
      <c r="S725" s="114"/>
      <c r="T725" s="114"/>
      <c r="U725" s="114"/>
      <c r="V725" s="114"/>
      <c r="W725" s="114"/>
      <c r="X725" s="114"/>
      <c r="Y725" s="114"/>
      <c r="Z725" s="114"/>
      <c r="AA725" s="114"/>
      <c r="AB725" s="114"/>
      <c r="AC725" s="114"/>
      <c r="AD725" s="114"/>
      <c r="AE725" s="114"/>
      <c r="AF725" s="114"/>
      <c r="AG725" s="114"/>
      <c r="AH725" s="114"/>
      <c r="AI725" s="114"/>
      <c r="AJ725" s="114"/>
      <c r="AK725" s="114"/>
    </row>
    <row r="726" ht="15.75" customHeight="1">
      <c r="A726" s="114"/>
      <c r="B726" s="114"/>
      <c r="C726" s="114"/>
      <c r="D726" s="114"/>
      <c r="E726" s="114"/>
      <c r="F726" s="114"/>
      <c r="G726" s="114"/>
      <c r="H726" s="114"/>
      <c r="I726" s="114"/>
      <c r="J726" s="114"/>
      <c r="K726" s="114"/>
      <c r="L726" s="114"/>
      <c r="M726" s="114"/>
      <c r="N726" s="114"/>
      <c r="O726" s="114"/>
      <c r="P726" s="114"/>
      <c r="Q726" s="114"/>
      <c r="R726" s="114"/>
      <c r="S726" s="114"/>
      <c r="T726" s="114"/>
      <c r="U726" s="114"/>
      <c r="V726" s="114"/>
      <c r="W726" s="114"/>
      <c r="X726" s="114"/>
      <c r="Y726" s="114"/>
      <c r="Z726" s="114"/>
      <c r="AA726" s="114"/>
      <c r="AB726" s="114"/>
      <c r="AC726" s="114"/>
      <c r="AD726" s="114"/>
      <c r="AE726" s="114"/>
      <c r="AF726" s="114"/>
      <c r="AG726" s="114"/>
      <c r="AH726" s="114"/>
      <c r="AI726" s="114"/>
      <c r="AJ726" s="114"/>
      <c r="AK726" s="114"/>
    </row>
    <row r="727" ht="15.75" customHeight="1">
      <c r="A727" s="114"/>
      <c r="B727" s="114"/>
      <c r="C727" s="114"/>
      <c r="D727" s="114"/>
      <c r="E727" s="114"/>
      <c r="F727" s="114"/>
      <c r="G727" s="114"/>
      <c r="H727" s="114"/>
      <c r="I727" s="114"/>
      <c r="J727" s="114"/>
      <c r="K727" s="114"/>
      <c r="L727" s="114"/>
      <c r="M727" s="114"/>
      <c r="N727" s="114"/>
      <c r="O727" s="114"/>
      <c r="P727" s="114"/>
      <c r="Q727" s="114"/>
      <c r="R727" s="114"/>
      <c r="S727" s="114"/>
      <c r="T727" s="114"/>
      <c r="U727" s="114"/>
      <c r="V727" s="114"/>
      <c r="W727" s="114"/>
      <c r="X727" s="114"/>
      <c r="Y727" s="114"/>
      <c r="Z727" s="114"/>
      <c r="AA727" s="114"/>
      <c r="AB727" s="114"/>
      <c r="AC727" s="114"/>
      <c r="AD727" s="114"/>
      <c r="AE727" s="114"/>
      <c r="AF727" s="114"/>
      <c r="AG727" s="114"/>
      <c r="AH727" s="114"/>
      <c r="AI727" s="114"/>
      <c r="AJ727" s="114"/>
      <c r="AK727" s="114"/>
    </row>
    <row r="728" ht="15.75" customHeight="1">
      <c r="A728" s="114"/>
      <c r="B728" s="114"/>
      <c r="C728" s="114"/>
      <c r="D728" s="114"/>
      <c r="E728" s="114"/>
      <c r="F728" s="114"/>
      <c r="G728" s="114"/>
      <c r="H728" s="114"/>
      <c r="I728" s="114"/>
      <c r="J728" s="114"/>
      <c r="K728" s="114"/>
      <c r="L728" s="114"/>
      <c r="M728" s="114"/>
      <c r="N728" s="114"/>
      <c r="O728" s="114"/>
      <c r="P728" s="114"/>
      <c r="Q728" s="114"/>
      <c r="R728" s="114"/>
      <c r="S728" s="114"/>
      <c r="T728" s="114"/>
      <c r="U728" s="114"/>
      <c r="V728" s="114"/>
      <c r="W728" s="114"/>
      <c r="X728" s="114"/>
      <c r="Y728" s="114"/>
      <c r="Z728" s="114"/>
      <c r="AA728" s="114"/>
      <c r="AB728" s="114"/>
      <c r="AC728" s="114"/>
      <c r="AD728" s="114"/>
      <c r="AE728" s="114"/>
      <c r="AF728" s="114"/>
      <c r="AG728" s="114"/>
      <c r="AH728" s="114"/>
      <c r="AI728" s="114"/>
      <c r="AJ728" s="114"/>
      <c r="AK728" s="114"/>
    </row>
    <row r="729" ht="15.75" customHeight="1">
      <c r="A729" s="114"/>
      <c r="B729" s="114"/>
      <c r="C729" s="114"/>
      <c r="D729" s="114"/>
      <c r="E729" s="114"/>
      <c r="F729" s="114"/>
      <c r="G729" s="114"/>
      <c r="H729" s="114"/>
      <c r="I729" s="114"/>
      <c r="J729" s="114"/>
      <c r="K729" s="114"/>
      <c r="L729" s="114"/>
      <c r="M729" s="114"/>
      <c r="N729" s="114"/>
      <c r="O729" s="114"/>
      <c r="P729" s="114"/>
      <c r="Q729" s="114"/>
      <c r="R729" s="114"/>
      <c r="S729" s="114"/>
      <c r="T729" s="114"/>
      <c r="U729" s="114"/>
      <c r="V729" s="114"/>
      <c r="W729" s="114"/>
      <c r="X729" s="114"/>
      <c r="Y729" s="114"/>
      <c r="Z729" s="114"/>
      <c r="AA729" s="114"/>
      <c r="AB729" s="114"/>
      <c r="AC729" s="114"/>
      <c r="AD729" s="114"/>
      <c r="AE729" s="114"/>
      <c r="AF729" s="114"/>
      <c r="AG729" s="114"/>
      <c r="AH729" s="114"/>
      <c r="AI729" s="114"/>
      <c r="AJ729" s="114"/>
      <c r="AK729" s="114"/>
    </row>
    <row r="730" ht="15.75" customHeight="1">
      <c r="A730" s="114"/>
      <c r="B730" s="114"/>
      <c r="C730" s="114"/>
      <c r="D730" s="114"/>
      <c r="E730" s="114"/>
      <c r="F730" s="114"/>
      <c r="G730" s="114"/>
      <c r="H730" s="114"/>
      <c r="I730" s="114"/>
      <c r="J730" s="114"/>
      <c r="K730" s="114"/>
      <c r="L730" s="114"/>
      <c r="M730" s="114"/>
      <c r="N730" s="114"/>
      <c r="O730" s="114"/>
      <c r="P730" s="114"/>
      <c r="Q730" s="114"/>
      <c r="R730" s="114"/>
      <c r="S730" s="114"/>
      <c r="T730" s="114"/>
      <c r="U730" s="114"/>
      <c r="V730" s="114"/>
      <c r="W730" s="114"/>
      <c r="X730" s="114"/>
      <c r="Y730" s="114"/>
      <c r="Z730" s="114"/>
      <c r="AA730" s="114"/>
      <c r="AB730" s="114"/>
      <c r="AC730" s="114"/>
      <c r="AD730" s="114"/>
      <c r="AE730" s="114"/>
      <c r="AF730" s="114"/>
      <c r="AG730" s="114"/>
      <c r="AH730" s="114"/>
      <c r="AI730" s="114"/>
      <c r="AJ730" s="114"/>
      <c r="AK730" s="114"/>
    </row>
    <row r="731" ht="15.75" customHeight="1">
      <c r="A731" s="114"/>
      <c r="B731" s="114"/>
      <c r="C731" s="114"/>
      <c r="D731" s="114"/>
      <c r="E731" s="114"/>
      <c r="F731" s="114"/>
      <c r="G731" s="114"/>
      <c r="H731" s="114"/>
      <c r="I731" s="114"/>
      <c r="J731" s="114"/>
      <c r="K731" s="114"/>
      <c r="L731" s="114"/>
      <c r="M731" s="114"/>
      <c r="N731" s="114"/>
      <c r="O731" s="114"/>
      <c r="P731" s="114"/>
      <c r="Q731" s="114"/>
      <c r="R731" s="114"/>
      <c r="S731" s="114"/>
      <c r="T731" s="114"/>
      <c r="U731" s="114"/>
      <c r="V731" s="114"/>
      <c r="W731" s="114"/>
      <c r="X731" s="114"/>
      <c r="Y731" s="114"/>
      <c r="Z731" s="114"/>
      <c r="AA731" s="114"/>
      <c r="AB731" s="114"/>
      <c r="AC731" s="114"/>
      <c r="AD731" s="114"/>
      <c r="AE731" s="114"/>
      <c r="AF731" s="114"/>
      <c r="AG731" s="114"/>
      <c r="AH731" s="114"/>
      <c r="AI731" s="114"/>
      <c r="AJ731" s="114"/>
      <c r="AK731" s="114"/>
    </row>
    <row r="732" ht="15.75" customHeight="1">
      <c r="A732" s="114"/>
      <c r="B732" s="114"/>
      <c r="C732" s="114"/>
      <c r="D732" s="114"/>
      <c r="E732" s="114"/>
      <c r="F732" s="114"/>
      <c r="G732" s="114"/>
      <c r="H732" s="114"/>
      <c r="I732" s="114"/>
      <c r="J732" s="114"/>
      <c r="K732" s="114"/>
      <c r="L732" s="114"/>
      <c r="M732" s="114"/>
      <c r="N732" s="114"/>
      <c r="O732" s="114"/>
      <c r="P732" s="114"/>
      <c r="Q732" s="114"/>
      <c r="R732" s="114"/>
      <c r="S732" s="114"/>
      <c r="T732" s="114"/>
      <c r="U732" s="114"/>
      <c r="V732" s="114"/>
      <c r="W732" s="114"/>
      <c r="X732" s="114"/>
      <c r="Y732" s="114"/>
      <c r="Z732" s="114"/>
      <c r="AA732" s="114"/>
      <c r="AB732" s="114"/>
      <c r="AC732" s="114"/>
      <c r="AD732" s="114"/>
      <c r="AE732" s="114"/>
      <c r="AF732" s="114"/>
      <c r="AG732" s="114"/>
      <c r="AH732" s="114"/>
      <c r="AI732" s="114"/>
      <c r="AJ732" s="114"/>
      <c r="AK732" s="114"/>
    </row>
    <row r="733" ht="15.75" customHeight="1">
      <c r="A733" s="114"/>
      <c r="B733" s="114"/>
      <c r="C733" s="114"/>
      <c r="D733" s="114"/>
      <c r="E733" s="114"/>
      <c r="F733" s="114"/>
      <c r="G733" s="114"/>
      <c r="H733" s="114"/>
      <c r="I733" s="114"/>
      <c r="J733" s="114"/>
      <c r="K733" s="114"/>
      <c r="L733" s="114"/>
      <c r="M733" s="114"/>
      <c r="N733" s="114"/>
      <c r="O733" s="114"/>
      <c r="P733" s="114"/>
      <c r="Q733" s="114"/>
      <c r="R733" s="114"/>
      <c r="S733" s="114"/>
      <c r="T733" s="114"/>
      <c r="U733" s="114"/>
      <c r="V733" s="114"/>
      <c r="W733" s="114"/>
      <c r="X733" s="114"/>
      <c r="Y733" s="114"/>
      <c r="Z733" s="114"/>
      <c r="AA733" s="114"/>
      <c r="AB733" s="114"/>
      <c r="AC733" s="114"/>
      <c r="AD733" s="114"/>
      <c r="AE733" s="114"/>
      <c r="AF733" s="114"/>
      <c r="AG733" s="114"/>
      <c r="AH733" s="114"/>
      <c r="AI733" s="114"/>
      <c r="AJ733" s="114"/>
      <c r="AK733" s="114"/>
    </row>
    <row r="734" ht="15.75" customHeight="1">
      <c r="A734" s="114"/>
      <c r="B734" s="114"/>
      <c r="C734" s="114"/>
      <c r="D734" s="114"/>
      <c r="E734" s="114"/>
      <c r="F734" s="114"/>
      <c r="G734" s="114"/>
      <c r="H734" s="114"/>
      <c r="I734" s="114"/>
      <c r="J734" s="114"/>
      <c r="K734" s="114"/>
      <c r="L734" s="114"/>
      <c r="M734" s="114"/>
      <c r="N734" s="114"/>
      <c r="O734" s="114"/>
      <c r="P734" s="114"/>
      <c r="Q734" s="114"/>
      <c r="R734" s="114"/>
      <c r="S734" s="114"/>
      <c r="T734" s="114"/>
      <c r="U734" s="114"/>
      <c r="V734" s="114"/>
      <c r="W734" s="114"/>
      <c r="X734" s="114"/>
      <c r="Y734" s="114"/>
      <c r="Z734" s="114"/>
      <c r="AA734" s="114"/>
      <c r="AB734" s="114"/>
      <c r="AC734" s="114"/>
      <c r="AD734" s="114"/>
      <c r="AE734" s="114"/>
      <c r="AF734" s="114"/>
      <c r="AG734" s="114"/>
      <c r="AH734" s="114"/>
      <c r="AI734" s="114"/>
      <c r="AJ734" s="114"/>
      <c r="AK734" s="114"/>
    </row>
    <row r="735" ht="15.75" customHeight="1">
      <c r="A735" s="114"/>
      <c r="B735" s="114"/>
      <c r="C735" s="114"/>
      <c r="D735" s="114"/>
      <c r="E735" s="114"/>
      <c r="F735" s="114"/>
      <c r="G735" s="114"/>
      <c r="H735" s="114"/>
      <c r="I735" s="114"/>
      <c r="J735" s="114"/>
      <c r="K735" s="114"/>
      <c r="L735" s="114"/>
      <c r="M735" s="114"/>
      <c r="N735" s="114"/>
      <c r="O735" s="114"/>
      <c r="P735" s="114"/>
      <c r="Q735" s="114"/>
      <c r="R735" s="114"/>
      <c r="S735" s="114"/>
      <c r="T735" s="114"/>
      <c r="U735" s="114"/>
      <c r="V735" s="114"/>
      <c r="W735" s="114"/>
      <c r="X735" s="114"/>
      <c r="Y735" s="114"/>
      <c r="Z735" s="114"/>
      <c r="AA735" s="114"/>
      <c r="AB735" s="114"/>
      <c r="AC735" s="114"/>
      <c r="AD735" s="114"/>
      <c r="AE735" s="114"/>
      <c r="AF735" s="114"/>
      <c r="AG735" s="114"/>
      <c r="AH735" s="114"/>
      <c r="AI735" s="114"/>
      <c r="AJ735" s="114"/>
      <c r="AK735" s="114"/>
    </row>
    <row r="736" ht="15.75" customHeight="1">
      <c r="A736" s="114"/>
      <c r="B736" s="114"/>
      <c r="C736" s="114"/>
      <c r="D736" s="114"/>
      <c r="E736" s="114"/>
      <c r="F736" s="114"/>
      <c r="G736" s="114"/>
      <c r="H736" s="114"/>
      <c r="I736" s="114"/>
      <c r="J736" s="114"/>
      <c r="K736" s="114"/>
      <c r="L736" s="114"/>
      <c r="M736" s="114"/>
      <c r="N736" s="114"/>
      <c r="O736" s="114"/>
      <c r="P736" s="114"/>
      <c r="Q736" s="114"/>
      <c r="R736" s="114"/>
      <c r="S736" s="114"/>
      <c r="T736" s="114"/>
      <c r="U736" s="114"/>
      <c r="V736" s="114"/>
      <c r="W736" s="114"/>
      <c r="X736" s="114"/>
      <c r="Y736" s="114"/>
      <c r="Z736" s="114"/>
      <c r="AA736" s="114"/>
      <c r="AB736" s="114"/>
      <c r="AC736" s="114"/>
      <c r="AD736" s="114"/>
      <c r="AE736" s="114"/>
      <c r="AF736" s="114"/>
      <c r="AG736" s="114"/>
      <c r="AH736" s="114"/>
      <c r="AI736" s="114"/>
      <c r="AJ736" s="114"/>
      <c r="AK736" s="114"/>
    </row>
    <row r="737" ht="15.75" customHeight="1">
      <c r="A737" s="114"/>
      <c r="B737" s="114"/>
      <c r="C737" s="114"/>
      <c r="D737" s="114"/>
      <c r="E737" s="114"/>
      <c r="F737" s="114"/>
      <c r="G737" s="114"/>
      <c r="H737" s="114"/>
      <c r="I737" s="114"/>
      <c r="J737" s="114"/>
      <c r="K737" s="114"/>
      <c r="L737" s="114"/>
      <c r="M737" s="114"/>
      <c r="N737" s="114"/>
      <c r="O737" s="114"/>
      <c r="P737" s="114"/>
      <c r="Q737" s="114"/>
      <c r="R737" s="114"/>
      <c r="S737" s="114"/>
      <c r="T737" s="114"/>
      <c r="U737" s="114"/>
      <c r="V737" s="114"/>
      <c r="W737" s="114"/>
      <c r="X737" s="114"/>
      <c r="Y737" s="114"/>
      <c r="Z737" s="114"/>
      <c r="AA737" s="114"/>
      <c r="AB737" s="114"/>
      <c r="AC737" s="114"/>
      <c r="AD737" s="114"/>
      <c r="AE737" s="114"/>
      <c r="AF737" s="114"/>
      <c r="AG737" s="114"/>
      <c r="AH737" s="114"/>
      <c r="AI737" s="114"/>
      <c r="AJ737" s="114"/>
      <c r="AK737" s="114"/>
    </row>
    <row r="738" ht="15.75" customHeight="1">
      <c r="A738" s="114"/>
      <c r="B738" s="114"/>
      <c r="C738" s="114"/>
      <c r="D738" s="114"/>
      <c r="E738" s="114"/>
      <c r="F738" s="114"/>
      <c r="G738" s="114"/>
      <c r="H738" s="114"/>
      <c r="I738" s="114"/>
      <c r="J738" s="114"/>
      <c r="K738" s="114"/>
      <c r="L738" s="114"/>
      <c r="M738" s="114"/>
      <c r="N738" s="114"/>
      <c r="O738" s="114"/>
      <c r="P738" s="114"/>
      <c r="Q738" s="114"/>
      <c r="R738" s="114"/>
      <c r="S738" s="114"/>
      <c r="T738" s="114"/>
      <c r="U738" s="114"/>
      <c r="V738" s="114"/>
      <c r="W738" s="114"/>
      <c r="X738" s="114"/>
      <c r="Y738" s="114"/>
      <c r="Z738" s="114"/>
      <c r="AA738" s="114"/>
      <c r="AB738" s="114"/>
      <c r="AC738" s="114"/>
      <c r="AD738" s="114"/>
      <c r="AE738" s="114"/>
      <c r="AF738" s="114"/>
      <c r="AG738" s="114"/>
      <c r="AH738" s="114"/>
      <c r="AI738" s="114"/>
      <c r="AJ738" s="114"/>
      <c r="AK738" s="114"/>
    </row>
    <row r="739" ht="15.75" customHeight="1">
      <c r="A739" s="114"/>
      <c r="B739" s="114"/>
      <c r="C739" s="114"/>
      <c r="D739" s="114"/>
      <c r="E739" s="114"/>
      <c r="F739" s="114"/>
      <c r="G739" s="114"/>
      <c r="H739" s="114"/>
      <c r="I739" s="114"/>
      <c r="J739" s="114"/>
      <c r="K739" s="114"/>
      <c r="L739" s="114"/>
      <c r="M739" s="114"/>
      <c r="N739" s="114"/>
      <c r="O739" s="114"/>
      <c r="P739" s="114"/>
      <c r="Q739" s="114"/>
      <c r="R739" s="114"/>
      <c r="S739" s="114"/>
      <c r="T739" s="114"/>
      <c r="U739" s="114"/>
      <c r="V739" s="114"/>
      <c r="W739" s="114"/>
      <c r="X739" s="114"/>
      <c r="Y739" s="114"/>
      <c r="Z739" s="114"/>
      <c r="AA739" s="114"/>
      <c r="AB739" s="114"/>
      <c r="AC739" s="114"/>
      <c r="AD739" s="114"/>
      <c r="AE739" s="114"/>
      <c r="AF739" s="114"/>
      <c r="AG739" s="114"/>
      <c r="AH739" s="114"/>
      <c r="AI739" s="114"/>
      <c r="AJ739" s="114"/>
      <c r="AK739" s="114"/>
    </row>
    <row r="740" ht="15.75" customHeight="1">
      <c r="A740" s="114"/>
      <c r="B740" s="114"/>
      <c r="C740" s="114"/>
      <c r="D740" s="114"/>
      <c r="E740" s="114"/>
      <c r="F740" s="114"/>
      <c r="G740" s="114"/>
      <c r="H740" s="114"/>
      <c r="I740" s="114"/>
      <c r="J740" s="114"/>
      <c r="K740" s="114"/>
      <c r="L740" s="114"/>
      <c r="M740" s="114"/>
      <c r="N740" s="114"/>
      <c r="O740" s="114"/>
      <c r="P740" s="114"/>
      <c r="Q740" s="114"/>
      <c r="R740" s="114"/>
      <c r="S740" s="114"/>
      <c r="T740" s="114"/>
      <c r="U740" s="114"/>
      <c r="V740" s="114"/>
      <c r="W740" s="114"/>
      <c r="X740" s="114"/>
      <c r="Y740" s="114"/>
      <c r="Z740" s="114"/>
      <c r="AA740" s="114"/>
      <c r="AB740" s="114"/>
      <c r="AC740" s="114"/>
      <c r="AD740" s="114"/>
      <c r="AE740" s="114"/>
      <c r="AF740" s="114"/>
      <c r="AG740" s="114"/>
      <c r="AH740" s="114"/>
      <c r="AI740" s="114"/>
      <c r="AJ740" s="114"/>
      <c r="AK740" s="114"/>
    </row>
    <row r="741" ht="15.75" customHeight="1">
      <c r="A741" s="114"/>
      <c r="B741" s="114"/>
      <c r="C741" s="114"/>
      <c r="D741" s="114"/>
      <c r="E741" s="114"/>
      <c r="F741" s="114"/>
      <c r="G741" s="114"/>
      <c r="H741" s="114"/>
      <c r="I741" s="114"/>
      <c r="J741" s="114"/>
      <c r="K741" s="114"/>
      <c r="L741" s="114"/>
      <c r="M741" s="114"/>
      <c r="N741" s="114"/>
      <c r="O741" s="114"/>
      <c r="P741" s="114"/>
      <c r="Q741" s="114"/>
      <c r="R741" s="114"/>
      <c r="S741" s="114"/>
      <c r="T741" s="114"/>
      <c r="U741" s="114"/>
      <c r="V741" s="114"/>
      <c r="W741" s="114"/>
      <c r="X741" s="114"/>
      <c r="Y741" s="114"/>
      <c r="Z741" s="114"/>
      <c r="AA741" s="114"/>
      <c r="AB741" s="114"/>
      <c r="AC741" s="114"/>
      <c r="AD741" s="114"/>
      <c r="AE741" s="114"/>
      <c r="AF741" s="114"/>
      <c r="AG741" s="114"/>
      <c r="AH741" s="114"/>
      <c r="AI741" s="114"/>
      <c r="AJ741" s="114"/>
      <c r="AK741" s="114"/>
    </row>
    <row r="742" ht="15.75" customHeight="1">
      <c r="A742" s="114"/>
      <c r="B742" s="114"/>
      <c r="C742" s="114"/>
      <c r="D742" s="114"/>
      <c r="E742" s="114"/>
      <c r="F742" s="114"/>
      <c r="G742" s="114"/>
      <c r="H742" s="114"/>
      <c r="I742" s="114"/>
      <c r="J742" s="114"/>
      <c r="K742" s="114"/>
      <c r="L742" s="114"/>
      <c r="M742" s="114"/>
      <c r="N742" s="114"/>
      <c r="O742" s="114"/>
      <c r="P742" s="114"/>
      <c r="Q742" s="114"/>
      <c r="R742" s="114"/>
      <c r="S742" s="114"/>
      <c r="T742" s="114"/>
      <c r="U742" s="114"/>
      <c r="V742" s="114"/>
      <c r="W742" s="114"/>
      <c r="X742" s="114"/>
      <c r="Y742" s="114"/>
      <c r="Z742" s="114"/>
      <c r="AA742" s="114"/>
      <c r="AB742" s="114"/>
      <c r="AC742" s="114"/>
      <c r="AD742" s="114"/>
      <c r="AE742" s="114"/>
      <c r="AF742" s="114"/>
      <c r="AG742" s="114"/>
      <c r="AH742" s="114"/>
      <c r="AI742" s="114"/>
      <c r="AJ742" s="114"/>
      <c r="AK742" s="114"/>
    </row>
    <row r="743" ht="15.75" customHeight="1">
      <c r="A743" s="114"/>
      <c r="B743" s="114"/>
      <c r="C743" s="114"/>
      <c r="D743" s="114"/>
      <c r="E743" s="114"/>
      <c r="F743" s="114"/>
      <c r="G743" s="114"/>
      <c r="H743" s="114"/>
      <c r="I743" s="114"/>
      <c r="J743" s="114"/>
      <c r="K743" s="114"/>
      <c r="L743" s="114"/>
      <c r="M743" s="114"/>
      <c r="N743" s="114"/>
      <c r="O743" s="114"/>
      <c r="P743" s="114"/>
      <c r="Q743" s="114"/>
      <c r="R743" s="114"/>
      <c r="S743" s="114"/>
      <c r="T743" s="114"/>
      <c r="U743" s="114"/>
      <c r="V743" s="114"/>
      <c r="W743" s="114"/>
      <c r="X743" s="114"/>
      <c r="Y743" s="114"/>
      <c r="Z743" s="114"/>
      <c r="AA743" s="114"/>
      <c r="AB743" s="114"/>
      <c r="AC743" s="114"/>
      <c r="AD743" s="114"/>
      <c r="AE743" s="114"/>
      <c r="AF743" s="114"/>
      <c r="AG743" s="114"/>
      <c r="AH743" s="114"/>
      <c r="AI743" s="114"/>
      <c r="AJ743" s="114"/>
      <c r="AK743" s="114"/>
    </row>
    <row r="744" ht="15.75" customHeight="1">
      <c r="A744" s="114"/>
      <c r="B744" s="114"/>
      <c r="C744" s="114"/>
      <c r="D744" s="114"/>
      <c r="E744" s="114"/>
      <c r="F744" s="114"/>
      <c r="G744" s="114"/>
      <c r="H744" s="114"/>
      <c r="I744" s="114"/>
      <c r="J744" s="114"/>
      <c r="K744" s="114"/>
      <c r="L744" s="114"/>
      <c r="M744" s="114"/>
      <c r="N744" s="114"/>
      <c r="O744" s="114"/>
      <c r="P744" s="114"/>
      <c r="Q744" s="114"/>
      <c r="R744" s="114"/>
      <c r="S744" s="114"/>
      <c r="T744" s="114"/>
      <c r="U744" s="114"/>
      <c r="V744" s="114"/>
      <c r="W744" s="114"/>
      <c r="X744" s="114"/>
      <c r="Y744" s="114"/>
      <c r="Z744" s="114"/>
      <c r="AA744" s="114"/>
      <c r="AB744" s="114"/>
      <c r="AC744" s="114"/>
      <c r="AD744" s="114"/>
      <c r="AE744" s="114"/>
      <c r="AF744" s="114"/>
      <c r="AG744" s="114"/>
      <c r="AH744" s="114"/>
      <c r="AI744" s="114"/>
      <c r="AJ744" s="114"/>
      <c r="AK744" s="114"/>
    </row>
    <row r="745" ht="15.75" customHeight="1">
      <c r="A745" s="114"/>
      <c r="B745" s="114"/>
      <c r="C745" s="114"/>
      <c r="D745" s="114"/>
      <c r="E745" s="114"/>
      <c r="F745" s="114"/>
      <c r="G745" s="114"/>
      <c r="H745" s="114"/>
      <c r="I745" s="114"/>
      <c r="J745" s="114"/>
      <c r="K745" s="114"/>
      <c r="L745" s="114"/>
      <c r="M745" s="114"/>
      <c r="N745" s="114"/>
      <c r="O745" s="114"/>
      <c r="P745" s="114"/>
      <c r="Q745" s="114"/>
      <c r="R745" s="114"/>
      <c r="S745" s="114"/>
      <c r="T745" s="114"/>
      <c r="U745" s="114"/>
      <c r="V745" s="114"/>
      <c r="W745" s="114"/>
      <c r="X745" s="114"/>
      <c r="Y745" s="114"/>
      <c r="Z745" s="114"/>
      <c r="AA745" s="114"/>
      <c r="AB745" s="114"/>
      <c r="AC745" s="114"/>
      <c r="AD745" s="114"/>
      <c r="AE745" s="114"/>
      <c r="AF745" s="114"/>
      <c r="AG745" s="114"/>
      <c r="AH745" s="114"/>
      <c r="AI745" s="114"/>
      <c r="AJ745" s="114"/>
      <c r="AK745" s="114"/>
    </row>
    <row r="746" ht="15.75" customHeight="1">
      <c r="A746" s="114"/>
      <c r="B746" s="114"/>
      <c r="C746" s="114"/>
      <c r="D746" s="114"/>
      <c r="E746" s="114"/>
      <c r="F746" s="114"/>
      <c r="G746" s="114"/>
      <c r="H746" s="114"/>
      <c r="I746" s="114"/>
      <c r="J746" s="114"/>
      <c r="K746" s="114"/>
      <c r="L746" s="114"/>
      <c r="M746" s="114"/>
      <c r="N746" s="114"/>
      <c r="O746" s="114"/>
      <c r="P746" s="114"/>
      <c r="Q746" s="114"/>
      <c r="R746" s="114"/>
      <c r="S746" s="114"/>
      <c r="T746" s="114"/>
      <c r="U746" s="114"/>
      <c r="V746" s="114"/>
      <c r="W746" s="114"/>
      <c r="X746" s="114"/>
      <c r="Y746" s="114"/>
      <c r="Z746" s="114"/>
      <c r="AA746" s="114"/>
      <c r="AB746" s="114"/>
      <c r="AC746" s="114"/>
      <c r="AD746" s="114"/>
      <c r="AE746" s="114"/>
      <c r="AF746" s="114"/>
      <c r="AG746" s="114"/>
      <c r="AH746" s="114"/>
      <c r="AI746" s="114"/>
      <c r="AJ746" s="114"/>
      <c r="AK746" s="114"/>
    </row>
    <row r="747" ht="15.75" customHeight="1">
      <c r="A747" s="114"/>
      <c r="B747" s="114"/>
      <c r="C747" s="114"/>
      <c r="D747" s="114"/>
      <c r="E747" s="114"/>
      <c r="F747" s="114"/>
      <c r="G747" s="114"/>
      <c r="H747" s="114"/>
      <c r="I747" s="114"/>
      <c r="J747" s="114"/>
      <c r="K747" s="114"/>
      <c r="L747" s="114"/>
      <c r="M747" s="114"/>
      <c r="N747" s="114"/>
      <c r="O747" s="114"/>
      <c r="P747" s="114"/>
      <c r="Q747" s="114"/>
      <c r="R747" s="114"/>
      <c r="S747" s="114"/>
      <c r="T747" s="114"/>
      <c r="U747" s="114"/>
      <c r="V747" s="114"/>
      <c r="W747" s="114"/>
      <c r="X747" s="114"/>
      <c r="Y747" s="114"/>
      <c r="Z747" s="114"/>
      <c r="AA747" s="114"/>
      <c r="AB747" s="114"/>
      <c r="AC747" s="114"/>
      <c r="AD747" s="114"/>
      <c r="AE747" s="114"/>
      <c r="AF747" s="114"/>
      <c r="AG747" s="114"/>
      <c r="AH747" s="114"/>
      <c r="AI747" s="114"/>
      <c r="AJ747" s="114"/>
      <c r="AK747" s="114"/>
    </row>
    <row r="748" ht="15.75" customHeight="1">
      <c r="A748" s="114"/>
      <c r="B748" s="114"/>
      <c r="C748" s="114"/>
      <c r="D748" s="114"/>
      <c r="E748" s="114"/>
      <c r="F748" s="114"/>
      <c r="G748" s="114"/>
      <c r="H748" s="114"/>
      <c r="I748" s="114"/>
      <c r="J748" s="114"/>
      <c r="K748" s="114"/>
      <c r="L748" s="114"/>
      <c r="M748" s="114"/>
      <c r="N748" s="114"/>
      <c r="O748" s="114"/>
      <c r="P748" s="114"/>
      <c r="Q748" s="114"/>
      <c r="R748" s="114"/>
      <c r="S748" s="114"/>
      <c r="T748" s="114"/>
      <c r="U748" s="114"/>
      <c r="V748" s="114"/>
      <c r="W748" s="114"/>
      <c r="X748" s="114"/>
      <c r="Y748" s="114"/>
      <c r="Z748" s="114"/>
      <c r="AA748" s="114"/>
      <c r="AB748" s="114"/>
      <c r="AC748" s="114"/>
      <c r="AD748" s="114"/>
      <c r="AE748" s="114"/>
      <c r="AF748" s="114"/>
      <c r="AG748" s="114"/>
      <c r="AH748" s="114"/>
      <c r="AI748" s="114"/>
      <c r="AJ748" s="114"/>
      <c r="AK748" s="114"/>
    </row>
    <row r="749" ht="15.75" customHeight="1">
      <c r="A749" s="114"/>
      <c r="B749" s="114"/>
      <c r="C749" s="114"/>
      <c r="D749" s="114"/>
      <c r="E749" s="114"/>
      <c r="F749" s="114"/>
      <c r="G749" s="114"/>
      <c r="H749" s="114"/>
      <c r="I749" s="114"/>
      <c r="J749" s="114"/>
      <c r="K749" s="114"/>
      <c r="L749" s="114"/>
      <c r="M749" s="114"/>
      <c r="N749" s="114"/>
      <c r="O749" s="114"/>
      <c r="P749" s="114"/>
      <c r="Q749" s="114"/>
      <c r="R749" s="114"/>
      <c r="S749" s="114"/>
      <c r="T749" s="114"/>
      <c r="U749" s="114"/>
      <c r="V749" s="114"/>
      <c r="W749" s="114"/>
      <c r="X749" s="114"/>
      <c r="Y749" s="114"/>
      <c r="Z749" s="114"/>
      <c r="AA749" s="114"/>
      <c r="AB749" s="114"/>
      <c r="AC749" s="114"/>
      <c r="AD749" s="114"/>
      <c r="AE749" s="114"/>
      <c r="AF749" s="114"/>
      <c r="AG749" s="114"/>
      <c r="AH749" s="114"/>
      <c r="AI749" s="114"/>
      <c r="AJ749" s="114"/>
      <c r="AK749" s="114"/>
    </row>
    <row r="750" ht="15.75" customHeight="1">
      <c r="A750" s="114"/>
      <c r="B750" s="114"/>
      <c r="C750" s="114"/>
      <c r="D750" s="114"/>
      <c r="E750" s="114"/>
      <c r="F750" s="114"/>
      <c r="G750" s="114"/>
      <c r="H750" s="114"/>
      <c r="I750" s="114"/>
      <c r="J750" s="114"/>
      <c r="K750" s="114"/>
      <c r="L750" s="114"/>
      <c r="M750" s="114"/>
      <c r="N750" s="114"/>
      <c r="O750" s="114"/>
      <c r="P750" s="114"/>
      <c r="Q750" s="114"/>
      <c r="R750" s="114"/>
      <c r="S750" s="114"/>
      <c r="T750" s="114"/>
      <c r="U750" s="114"/>
      <c r="V750" s="114"/>
      <c r="W750" s="114"/>
      <c r="X750" s="114"/>
      <c r="Y750" s="114"/>
      <c r="Z750" s="114"/>
      <c r="AA750" s="114"/>
      <c r="AB750" s="114"/>
      <c r="AC750" s="114"/>
      <c r="AD750" s="114"/>
      <c r="AE750" s="114"/>
      <c r="AF750" s="114"/>
      <c r="AG750" s="114"/>
      <c r="AH750" s="114"/>
      <c r="AI750" s="114"/>
      <c r="AJ750" s="114"/>
      <c r="AK750" s="114"/>
    </row>
    <row r="751" ht="15.75" customHeight="1">
      <c r="A751" s="114"/>
      <c r="B751" s="114"/>
      <c r="C751" s="114"/>
      <c r="D751" s="114"/>
      <c r="E751" s="114"/>
      <c r="F751" s="114"/>
      <c r="G751" s="114"/>
      <c r="H751" s="114"/>
      <c r="I751" s="114"/>
      <c r="J751" s="114"/>
      <c r="K751" s="114"/>
      <c r="L751" s="114"/>
      <c r="M751" s="114"/>
      <c r="N751" s="114"/>
      <c r="O751" s="114"/>
      <c r="P751" s="114"/>
      <c r="Q751" s="114"/>
      <c r="R751" s="114"/>
      <c r="S751" s="114"/>
      <c r="T751" s="114"/>
      <c r="U751" s="114"/>
      <c r="V751" s="114"/>
      <c r="W751" s="114"/>
      <c r="X751" s="114"/>
      <c r="Y751" s="114"/>
      <c r="Z751" s="114"/>
      <c r="AA751" s="114"/>
      <c r="AB751" s="114"/>
      <c r="AC751" s="114"/>
      <c r="AD751" s="114"/>
      <c r="AE751" s="114"/>
      <c r="AF751" s="114"/>
      <c r="AG751" s="114"/>
      <c r="AH751" s="114"/>
      <c r="AI751" s="114"/>
      <c r="AJ751" s="114"/>
      <c r="AK751" s="114"/>
    </row>
    <row r="752" ht="15.75" customHeight="1">
      <c r="A752" s="114"/>
      <c r="B752" s="114"/>
      <c r="C752" s="114"/>
      <c r="D752" s="114"/>
      <c r="E752" s="114"/>
      <c r="F752" s="114"/>
      <c r="G752" s="114"/>
      <c r="H752" s="114"/>
      <c r="I752" s="114"/>
      <c r="J752" s="114"/>
      <c r="K752" s="114"/>
      <c r="L752" s="114"/>
      <c r="M752" s="114"/>
      <c r="N752" s="114"/>
      <c r="O752" s="114"/>
      <c r="P752" s="114"/>
      <c r="Q752" s="114"/>
      <c r="R752" s="114"/>
      <c r="S752" s="114"/>
      <c r="T752" s="114"/>
      <c r="U752" s="114"/>
      <c r="V752" s="114"/>
      <c r="W752" s="114"/>
      <c r="X752" s="114"/>
      <c r="Y752" s="114"/>
      <c r="Z752" s="114"/>
      <c r="AA752" s="114"/>
      <c r="AB752" s="114"/>
      <c r="AC752" s="114"/>
      <c r="AD752" s="114"/>
      <c r="AE752" s="114"/>
      <c r="AF752" s="114"/>
      <c r="AG752" s="114"/>
      <c r="AH752" s="114"/>
      <c r="AI752" s="114"/>
      <c r="AJ752" s="114"/>
      <c r="AK752" s="114"/>
    </row>
    <row r="753" ht="15.75" customHeight="1">
      <c r="A753" s="114"/>
      <c r="B753" s="114"/>
      <c r="C753" s="114"/>
      <c r="D753" s="114"/>
      <c r="E753" s="114"/>
      <c r="F753" s="114"/>
      <c r="G753" s="114"/>
      <c r="H753" s="114"/>
      <c r="I753" s="114"/>
      <c r="J753" s="114"/>
      <c r="K753" s="114"/>
      <c r="L753" s="114"/>
      <c r="M753" s="114"/>
      <c r="N753" s="114"/>
      <c r="O753" s="114"/>
      <c r="P753" s="114"/>
      <c r="Q753" s="114"/>
      <c r="R753" s="114"/>
      <c r="S753" s="114"/>
      <c r="T753" s="114"/>
      <c r="U753" s="114"/>
      <c r="V753" s="114"/>
      <c r="W753" s="114"/>
      <c r="X753" s="114"/>
      <c r="Y753" s="114"/>
      <c r="Z753" s="114"/>
      <c r="AA753" s="114"/>
      <c r="AB753" s="114"/>
      <c r="AC753" s="114"/>
      <c r="AD753" s="114"/>
      <c r="AE753" s="114"/>
      <c r="AF753" s="114"/>
      <c r="AG753" s="114"/>
      <c r="AH753" s="114"/>
      <c r="AI753" s="114"/>
      <c r="AJ753" s="114"/>
      <c r="AK753" s="114"/>
    </row>
    <row r="754" ht="15.75" customHeight="1">
      <c r="A754" s="114"/>
      <c r="B754" s="114"/>
      <c r="C754" s="114"/>
      <c r="D754" s="114"/>
      <c r="E754" s="114"/>
      <c r="F754" s="114"/>
      <c r="G754" s="114"/>
      <c r="H754" s="114"/>
      <c r="I754" s="114"/>
      <c r="J754" s="114"/>
      <c r="K754" s="114"/>
      <c r="L754" s="114"/>
      <c r="M754" s="114"/>
      <c r="N754" s="114"/>
      <c r="O754" s="114"/>
      <c r="P754" s="114"/>
      <c r="Q754" s="114"/>
      <c r="R754" s="114"/>
      <c r="S754" s="114"/>
      <c r="T754" s="114"/>
      <c r="U754" s="114"/>
      <c r="V754" s="114"/>
      <c r="W754" s="114"/>
      <c r="X754" s="114"/>
      <c r="Y754" s="114"/>
      <c r="Z754" s="114"/>
      <c r="AA754" s="114"/>
      <c r="AB754" s="114"/>
      <c r="AC754" s="114"/>
      <c r="AD754" s="114"/>
      <c r="AE754" s="114"/>
      <c r="AF754" s="114"/>
      <c r="AG754" s="114"/>
      <c r="AH754" s="114"/>
      <c r="AI754" s="114"/>
      <c r="AJ754" s="114"/>
      <c r="AK754" s="114"/>
    </row>
    <row r="755" ht="15.75" customHeight="1">
      <c r="A755" s="114"/>
      <c r="B755" s="114"/>
      <c r="C755" s="114"/>
      <c r="D755" s="114"/>
      <c r="E755" s="114"/>
      <c r="F755" s="114"/>
      <c r="G755" s="114"/>
      <c r="H755" s="114"/>
      <c r="I755" s="114"/>
      <c r="J755" s="114"/>
      <c r="K755" s="114"/>
      <c r="L755" s="114"/>
      <c r="M755" s="114"/>
      <c r="N755" s="114"/>
      <c r="O755" s="114"/>
      <c r="P755" s="114"/>
      <c r="Q755" s="114"/>
      <c r="R755" s="114"/>
      <c r="S755" s="114"/>
      <c r="T755" s="114"/>
      <c r="U755" s="114"/>
      <c r="V755" s="114"/>
      <c r="W755" s="114"/>
      <c r="X755" s="114"/>
      <c r="Y755" s="114"/>
      <c r="Z755" s="114"/>
      <c r="AA755" s="114"/>
      <c r="AB755" s="114"/>
      <c r="AC755" s="114"/>
      <c r="AD755" s="114"/>
      <c r="AE755" s="114"/>
      <c r="AF755" s="114"/>
      <c r="AG755" s="114"/>
      <c r="AH755" s="114"/>
      <c r="AI755" s="114"/>
      <c r="AJ755" s="114"/>
      <c r="AK755" s="114"/>
    </row>
    <row r="756" ht="15.75" customHeight="1">
      <c r="A756" s="114"/>
      <c r="B756" s="114"/>
      <c r="C756" s="114"/>
      <c r="D756" s="114"/>
      <c r="E756" s="114"/>
      <c r="F756" s="114"/>
      <c r="G756" s="114"/>
      <c r="H756" s="114"/>
      <c r="I756" s="114"/>
      <c r="J756" s="114"/>
      <c r="K756" s="114"/>
      <c r="L756" s="114"/>
      <c r="M756" s="114"/>
      <c r="N756" s="114"/>
      <c r="O756" s="114"/>
      <c r="P756" s="114"/>
      <c r="Q756" s="114"/>
      <c r="R756" s="114"/>
      <c r="S756" s="114"/>
      <c r="T756" s="114"/>
      <c r="U756" s="114"/>
      <c r="V756" s="114"/>
      <c r="W756" s="114"/>
      <c r="X756" s="114"/>
      <c r="Y756" s="114"/>
      <c r="Z756" s="114"/>
      <c r="AA756" s="114"/>
      <c r="AB756" s="114"/>
      <c r="AC756" s="114"/>
      <c r="AD756" s="114"/>
      <c r="AE756" s="114"/>
      <c r="AF756" s="114"/>
      <c r="AG756" s="114"/>
      <c r="AH756" s="114"/>
      <c r="AI756" s="114"/>
      <c r="AJ756" s="114"/>
      <c r="AK756" s="114"/>
    </row>
    <row r="757" ht="15.75" customHeight="1">
      <c r="A757" s="114"/>
      <c r="B757" s="114"/>
      <c r="C757" s="114"/>
      <c r="D757" s="114"/>
      <c r="E757" s="114"/>
      <c r="F757" s="114"/>
      <c r="G757" s="114"/>
      <c r="H757" s="114"/>
      <c r="I757" s="114"/>
      <c r="J757" s="114"/>
      <c r="K757" s="114"/>
      <c r="L757" s="114"/>
      <c r="M757" s="114"/>
      <c r="N757" s="114"/>
      <c r="O757" s="114"/>
      <c r="P757" s="114"/>
      <c r="Q757" s="114"/>
      <c r="R757" s="114"/>
      <c r="S757" s="114"/>
      <c r="T757" s="114"/>
      <c r="U757" s="114"/>
      <c r="V757" s="114"/>
      <c r="W757" s="114"/>
      <c r="X757" s="114"/>
      <c r="Y757" s="114"/>
      <c r="Z757" s="114"/>
      <c r="AA757" s="114"/>
      <c r="AB757" s="114"/>
      <c r="AC757" s="114"/>
      <c r="AD757" s="114"/>
      <c r="AE757" s="114"/>
      <c r="AF757" s="114"/>
      <c r="AG757" s="114"/>
      <c r="AH757" s="114"/>
      <c r="AI757" s="114"/>
      <c r="AJ757" s="114"/>
      <c r="AK757" s="114"/>
    </row>
    <row r="758" ht="15.75" customHeight="1">
      <c r="A758" s="114"/>
      <c r="B758" s="114"/>
      <c r="C758" s="114"/>
      <c r="D758" s="114"/>
      <c r="E758" s="114"/>
      <c r="F758" s="114"/>
      <c r="G758" s="114"/>
      <c r="H758" s="114"/>
      <c r="I758" s="114"/>
      <c r="J758" s="114"/>
      <c r="K758" s="114"/>
      <c r="L758" s="114"/>
      <c r="M758" s="114"/>
      <c r="N758" s="114"/>
      <c r="O758" s="114"/>
      <c r="P758" s="114"/>
      <c r="Q758" s="114"/>
      <c r="R758" s="114"/>
      <c r="S758" s="114"/>
      <c r="T758" s="114"/>
      <c r="U758" s="114"/>
      <c r="V758" s="114"/>
      <c r="W758" s="114"/>
      <c r="X758" s="114"/>
      <c r="Y758" s="114"/>
      <c r="Z758" s="114"/>
      <c r="AA758" s="114"/>
      <c r="AB758" s="114"/>
      <c r="AC758" s="114"/>
      <c r="AD758" s="114"/>
      <c r="AE758" s="114"/>
      <c r="AF758" s="114"/>
      <c r="AG758" s="114"/>
      <c r="AH758" s="114"/>
      <c r="AI758" s="114"/>
      <c r="AJ758" s="114"/>
      <c r="AK758" s="114"/>
    </row>
    <row r="759" ht="15.75" customHeight="1">
      <c r="A759" s="114"/>
      <c r="B759" s="114"/>
      <c r="C759" s="114"/>
      <c r="D759" s="114"/>
      <c r="E759" s="114"/>
      <c r="F759" s="114"/>
      <c r="G759" s="114"/>
      <c r="H759" s="114"/>
      <c r="I759" s="114"/>
      <c r="J759" s="114"/>
      <c r="K759" s="114"/>
      <c r="L759" s="114"/>
      <c r="M759" s="114"/>
      <c r="N759" s="114"/>
      <c r="O759" s="114"/>
      <c r="P759" s="114"/>
      <c r="Q759" s="114"/>
      <c r="R759" s="114"/>
      <c r="S759" s="114"/>
      <c r="T759" s="114"/>
      <c r="U759" s="114"/>
      <c r="V759" s="114"/>
      <c r="W759" s="114"/>
      <c r="X759" s="114"/>
      <c r="Y759" s="114"/>
      <c r="Z759" s="114"/>
      <c r="AA759" s="114"/>
      <c r="AB759" s="114"/>
      <c r="AC759" s="114"/>
      <c r="AD759" s="114"/>
      <c r="AE759" s="114"/>
      <c r="AF759" s="114"/>
      <c r="AG759" s="114"/>
      <c r="AH759" s="114"/>
      <c r="AI759" s="114"/>
      <c r="AJ759" s="114"/>
      <c r="AK759" s="114"/>
    </row>
    <row r="760" ht="15.75" customHeight="1">
      <c r="A760" s="114"/>
      <c r="B760" s="114"/>
      <c r="C760" s="114"/>
      <c r="D760" s="114"/>
      <c r="E760" s="114"/>
      <c r="F760" s="114"/>
      <c r="G760" s="114"/>
      <c r="H760" s="114"/>
      <c r="I760" s="114"/>
      <c r="J760" s="114"/>
      <c r="K760" s="114"/>
      <c r="L760" s="114"/>
      <c r="M760" s="114"/>
      <c r="N760" s="114"/>
      <c r="O760" s="114"/>
      <c r="P760" s="114"/>
      <c r="Q760" s="114"/>
      <c r="R760" s="114"/>
      <c r="S760" s="114"/>
      <c r="T760" s="114"/>
      <c r="U760" s="114"/>
      <c r="V760" s="114"/>
      <c r="W760" s="114"/>
      <c r="X760" s="114"/>
      <c r="Y760" s="114"/>
      <c r="Z760" s="114"/>
      <c r="AA760" s="114"/>
      <c r="AB760" s="114"/>
      <c r="AC760" s="114"/>
      <c r="AD760" s="114"/>
      <c r="AE760" s="114"/>
      <c r="AF760" s="114"/>
      <c r="AG760" s="114"/>
      <c r="AH760" s="114"/>
      <c r="AI760" s="114"/>
      <c r="AJ760" s="114"/>
      <c r="AK760" s="114"/>
    </row>
    <row r="761" ht="15.75" customHeight="1">
      <c r="A761" s="114"/>
      <c r="B761" s="114"/>
      <c r="C761" s="114"/>
      <c r="D761" s="114"/>
      <c r="E761" s="114"/>
      <c r="F761" s="114"/>
      <c r="G761" s="114"/>
      <c r="H761" s="114"/>
      <c r="I761" s="114"/>
      <c r="J761" s="114"/>
      <c r="K761" s="114"/>
      <c r="L761" s="114"/>
      <c r="M761" s="114"/>
      <c r="N761" s="114"/>
      <c r="O761" s="114"/>
      <c r="P761" s="114"/>
      <c r="Q761" s="114"/>
      <c r="R761" s="114"/>
      <c r="S761" s="114"/>
      <c r="T761" s="114"/>
      <c r="U761" s="114"/>
      <c r="V761" s="114"/>
      <c r="W761" s="114"/>
      <c r="X761" s="114"/>
      <c r="Y761" s="114"/>
      <c r="Z761" s="114"/>
      <c r="AA761" s="114"/>
      <c r="AB761" s="114"/>
      <c r="AC761" s="114"/>
      <c r="AD761" s="114"/>
      <c r="AE761" s="114"/>
      <c r="AF761" s="114"/>
      <c r="AG761" s="114"/>
      <c r="AH761" s="114"/>
      <c r="AI761" s="114"/>
      <c r="AJ761" s="114"/>
      <c r="AK761" s="114"/>
    </row>
    <row r="762" ht="15.75" customHeight="1">
      <c r="A762" s="114"/>
      <c r="B762" s="114"/>
      <c r="C762" s="114"/>
      <c r="D762" s="114"/>
      <c r="E762" s="114"/>
      <c r="F762" s="114"/>
      <c r="G762" s="114"/>
      <c r="H762" s="114"/>
      <c r="I762" s="114"/>
      <c r="J762" s="114"/>
      <c r="K762" s="114"/>
      <c r="L762" s="114"/>
      <c r="M762" s="114"/>
      <c r="N762" s="114"/>
      <c r="O762" s="114"/>
      <c r="P762" s="114"/>
      <c r="Q762" s="114"/>
      <c r="R762" s="114"/>
      <c r="S762" s="114"/>
      <c r="T762" s="114"/>
      <c r="U762" s="114"/>
      <c r="V762" s="114"/>
      <c r="W762" s="114"/>
      <c r="X762" s="114"/>
      <c r="Y762" s="114"/>
      <c r="Z762" s="114"/>
      <c r="AA762" s="114"/>
      <c r="AB762" s="114"/>
      <c r="AC762" s="114"/>
      <c r="AD762" s="114"/>
      <c r="AE762" s="114"/>
      <c r="AF762" s="114"/>
      <c r="AG762" s="114"/>
      <c r="AH762" s="114"/>
      <c r="AI762" s="114"/>
      <c r="AJ762" s="114"/>
      <c r="AK762" s="114"/>
    </row>
    <row r="763" ht="15.75" customHeight="1">
      <c r="A763" s="114"/>
      <c r="B763" s="114"/>
      <c r="C763" s="114"/>
      <c r="D763" s="114"/>
      <c r="E763" s="114"/>
      <c r="F763" s="114"/>
      <c r="G763" s="114"/>
      <c r="H763" s="114"/>
      <c r="I763" s="114"/>
      <c r="J763" s="114"/>
      <c r="K763" s="114"/>
      <c r="L763" s="114"/>
      <c r="M763" s="114"/>
      <c r="N763" s="114"/>
      <c r="O763" s="114"/>
      <c r="P763" s="114"/>
      <c r="Q763" s="114"/>
      <c r="R763" s="114"/>
      <c r="S763" s="114"/>
      <c r="T763" s="114"/>
      <c r="U763" s="114"/>
      <c r="V763" s="114"/>
      <c r="W763" s="114"/>
      <c r="X763" s="114"/>
      <c r="Y763" s="114"/>
      <c r="Z763" s="114"/>
      <c r="AA763" s="114"/>
      <c r="AB763" s="114"/>
      <c r="AC763" s="114"/>
      <c r="AD763" s="114"/>
      <c r="AE763" s="114"/>
      <c r="AF763" s="114"/>
      <c r="AG763" s="114"/>
      <c r="AH763" s="114"/>
      <c r="AI763" s="114"/>
      <c r="AJ763" s="114"/>
      <c r="AK763" s="114"/>
    </row>
    <row r="764" ht="15.75" customHeight="1">
      <c r="A764" s="114"/>
      <c r="B764" s="114"/>
      <c r="C764" s="114"/>
      <c r="D764" s="114"/>
      <c r="E764" s="114"/>
      <c r="F764" s="114"/>
      <c r="G764" s="114"/>
      <c r="H764" s="114"/>
      <c r="I764" s="114"/>
      <c r="J764" s="114"/>
      <c r="K764" s="114"/>
      <c r="L764" s="114"/>
      <c r="M764" s="114"/>
      <c r="N764" s="114"/>
      <c r="O764" s="114"/>
      <c r="P764" s="114"/>
      <c r="Q764" s="114"/>
      <c r="R764" s="114"/>
      <c r="S764" s="114"/>
      <c r="T764" s="114"/>
      <c r="U764" s="114"/>
      <c r="V764" s="114"/>
      <c r="W764" s="114"/>
      <c r="X764" s="114"/>
      <c r="Y764" s="114"/>
      <c r="Z764" s="114"/>
      <c r="AA764" s="114"/>
      <c r="AB764" s="114"/>
      <c r="AC764" s="114"/>
      <c r="AD764" s="114"/>
      <c r="AE764" s="114"/>
      <c r="AF764" s="114"/>
      <c r="AG764" s="114"/>
      <c r="AH764" s="114"/>
      <c r="AI764" s="114"/>
      <c r="AJ764" s="114"/>
      <c r="AK764" s="114"/>
    </row>
    <row r="765" ht="15.75" customHeight="1">
      <c r="A765" s="114"/>
      <c r="B765" s="114"/>
      <c r="C765" s="114"/>
      <c r="D765" s="114"/>
      <c r="E765" s="114"/>
      <c r="F765" s="114"/>
      <c r="G765" s="114"/>
      <c r="H765" s="114"/>
      <c r="I765" s="114"/>
      <c r="J765" s="114"/>
      <c r="K765" s="114"/>
      <c r="L765" s="114"/>
      <c r="M765" s="114"/>
      <c r="N765" s="114"/>
      <c r="O765" s="114"/>
      <c r="P765" s="114"/>
      <c r="Q765" s="114"/>
      <c r="R765" s="114"/>
      <c r="S765" s="114"/>
      <c r="T765" s="114"/>
      <c r="U765" s="114"/>
      <c r="V765" s="114"/>
      <c r="W765" s="114"/>
      <c r="X765" s="114"/>
      <c r="Y765" s="114"/>
      <c r="Z765" s="114"/>
      <c r="AA765" s="114"/>
      <c r="AB765" s="114"/>
      <c r="AC765" s="114"/>
      <c r="AD765" s="114"/>
      <c r="AE765" s="114"/>
      <c r="AF765" s="114"/>
      <c r="AG765" s="114"/>
      <c r="AH765" s="114"/>
      <c r="AI765" s="114"/>
      <c r="AJ765" s="114"/>
      <c r="AK765" s="114"/>
    </row>
    <row r="766" ht="15.75" customHeight="1">
      <c r="A766" s="114"/>
      <c r="B766" s="114"/>
      <c r="C766" s="114"/>
      <c r="D766" s="114"/>
      <c r="E766" s="114"/>
      <c r="F766" s="114"/>
      <c r="G766" s="114"/>
      <c r="H766" s="114"/>
      <c r="I766" s="114"/>
      <c r="J766" s="114"/>
      <c r="K766" s="114"/>
      <c r="L766" s="114"/>
      <c r="M766" s="114"/>
      <c r="N766" s="114"/>
      <c r="O766" s="114"/>
      <c r="P766" s="114"/>
      <c r="Q766" s="114"/>
      <c r="R766" s="114"/>
      <c r="S766" s="114"/>
      <c r="T766" s="114"/>
      <c r="U766" s="114"/>
      <c r="V766" s="114"/>
      <c r="W766" s="114"/>
      <c r="X766" s="114"/>
      <c r="Y766" s="114"/>
      <c r="Z766" s="114"/>
      <c r="AA766" s="114"/>
      <c r="AB766" s="114"/>
      <c r="AC766" s="114"/>
      <c r="AD766" s="114"/>
      <c r="AE766" s="114"/>
      <c r="AF766" s="114"/>
      <c r="AG766" s="114"/>
      <c r="AH766" s="114"/>
      <c r="AI766" s="114"/>
      <c r="AJ766" s="114"/>
      <c r="AK766" s="114"/>
    </row>
    <row r="767" ht="15.75" customHeight="1">
      <c r="A767" s="114"/>
      <c r="B767" s="114"/>
      <c r="C767" s="114"/>
      <c r="D767" s="114"/>
      <c r="E767" s="114"/>
      <c r="F767" s="114"/>
      <c r="G767" s="114"/>
      <c r="H767" s="114"/>
      <c r="I767" s="114"/>
      <c r="J767" s="114"/>
      <c r="K767" s="114"/>
      <c r="L767" s="114"/>
      <c r="M767" s="114"/>
      <c r="N767" s="114"/>
      <c r="O767" s="114"/>
      <c r="P767" s="114"/>
      <c r="Q767" s="114"/>
      <c r="R767" s="114"/>
      <c r="S767" s="114"/>
      <c r="T767" s="114"/>
      <c r="U767" s="114"/>
      <c r="V767" s="114"/>
      <c r="W767" s="114"/>
      <c r="X767" s="114"/>
      <c r="Y767" s="114"/>
      <c r="Z767" s="114"/>
      <c r="AA767" s="114"/>
      <c r="AB767" s="114"/>
      <c r="AC767" s="114"/>
      <c r="AD767" s="114"/>
      <c r="AE767" s="114"/>
      <c r="AF767" s="114"/>
      <c r="AG767" s="114"/>
      <c r="AH767" s="114"/>
      <c r="AI767" s="114"/>
      <c r="AJ767" s="114"/>
      <c r="AK767" s="114"/>
    </row>
    <row r="768" ht="15.75" customHeight="1">
      <c r="A768" s="114"/>
      <c r="B768" s="114"/>
      <c r="C768" s="114"/>
      <c r="D768" s="114"/>
      <c r="E768" s="114"/>
      <c r="F768" s="114"/>
      <c r="G768" s="114"/>
      <c r="H768" s="114"/>
      <c r="I768" s="114"/>
      <c r="J768" s="114"/>
      <c r="K768" s="114"/>
      <c r="L768" s="114"/>
      <c r="M768" s="114"/>
      <c r="N768" s="114"/>
      <c r="O768" s="114"/>
      <c r="P768" s="114"/>
      <c r="Q768" s="114"/>
      <c r="R768" s="114"/>
      <c r="S768" s="114"/>
      <c r="T768" s="114"/>
      <c r="U768" s="114"/>
      <c r="V768" s="114"/>
      <c r="W768" s="114"/>
      <c r="X768" s="114"/>
      <c r="Y768" s="114"/>
      <c r="Z768" s="114"/>
      <c r="AA768" s="114"/>
      <c r="AB768" s="114"/>
      <c r="AC768" s="114"/>
      <c r="AD768" s="114"/>
      <c r="AE768" s="114"/>
      <c r="AF768" s="114"/>
      <c r="AG768" s="114"/>
      <c r="AH768" s="114"/>
      <c r="AI768" s="114"/>
      <c r="AJ768" s="114"/>
      <c r="AK768" s="114"/>
    </row>
    <row r="769" ht="15.75" customHeight="1">
      <c r="A769" s="114"/>
      <c r="B769" s="114"/>
      <c r="C769" s="114"/>
      <c r="D769" s="114"/>
      <c r="E769" s="114"/>
      <c r="F769" s="114"/>
      <c r="G769" s="114"/>
      <c r="H769" s="114"/>
      <c r="I769" s="114"/>
      <c r="J769" s="114"/>
      <c r="K769" s="114"/>
      <c r="L769" s="114"/>
      <c r="M769" s="114"/>
      <c r="N769" s="114"/>
      <c r="O769" s="114"/>
      <c r="P769" s="114"/>
      <c r="Q769" s="114"/>
      <c r="R769" s="114"/>
      <c r="S769" s="114"/>
      <c r="T769" s="114"/>
      <c r="U769" s="114"/>
      <c r="V769" s="114"/>
      <c r="W769" s="114"/>
      <c r="X769" s="114"/>
      <c r="Y769" s="114"/>
      <c r="Z769" s="114"/>
      <c r="AA769" s="114"/>
      <c r="AB769" s="114"/>
      <c r="AC769" s="114"/>
      <c r="AD769" s="114"/>
      <c r="AE769" s="114"/>
      <c r="AF769" s="114"/>
      <c r="AG769" s="114"/>
      <c r="AH769" s="114"/>
      <c r="AI769" s="114"/>
      <c r="AJ769" s="114"/>
      <c r="AK769" s="114"/>
    </row>
    <row r="770" ht="15.75" customHeight="1">
      <c r="A770" s="114"/>
      <c r="B770" s="114"/>
      <c r="C770" s="114"/>
      <c r="D770" s="114"/>
      <c r="E770" s="114"/>
      <c r="F770" s="114"/>
      <c r="G770" s="114"/>
      <c r="H770" s="114"/>
      <c r="I770" s="114"/>
      <c r="J770" s="114"/>
      <c r="K770" s="114"/>
      <c r="L770" s="114"/>
      <c r="M770" s="114"/>
      <c r="N770" s="114"/>
      <c r="O770" s="114"/>
      <c r="P770" s="114"/>
      <c r="Q770" s="114"/>
      <c r="R770" s="114"/>
      <c r="S770" s="114"/>
      <c r="T770" s="114"/>
      <c r="U770" s="114"/>
      <c r="V770" s="114"/>
      <c r="W770" s="114"/>
      <c r="X770" s="114"/>
      <c r="Y770" s="114"/>
      <c r="Z770" s="114"/>
      <c r="AA770" s="114"/>
      <c r="AB770" s="114"/>
      <c r="AC770" s="114"/>
      <c r="AD770" s="114"/>
      <c r="AE770" s="114"/>
      <c r="AF770" s="114"/>
      <c r="AG770" s="114"/>
      <c r="AH770" s="114"/>
      <c r="AI770" s="114"/>
      <c r="AJ770" s="114"/>
      <c r="AK770" s="114"/>
    </row>
    <row r="771" ht="15.75" customHeight="1">
      <c r="A771" s="114"/>
      <c r="B771" s="114"/>
      <c r="C771" s="114"/>
      <c r="D771" s="114"/>
      <c r="E771" s="114"/>
      <c r="F771" s="114"/>
      <c r="G771" s="114"/>
      <c r="H771" s="114"/>
      <c r="I771" s="114"/>
      <c r="J771" s="114"/>
      <c r="K771" s="114"/>
      <c r="L771" s="114"/>
      <c r="M771" s="114"/>
      <c r="N771" s="114"/>
      <c r="O771" s="114"/>
      <c r="P771" s="114"/>
      <c r="Q771" s="114"/>
      <c r="R771" s="114"/>
      <c r="S771" s="114"/>
      <c r="T771" s="114"/>
      <c r="U771" s="114"/>
      <c r="V771" s="114"/>
      <c r="W771" s="114"/>
      <c r="X771" s="114"/>
      <c r="Y771" s="114"/>
      <c r="Z771" s="114"/>
      <c r="AA771" s="114"/>
      <c r="AB771" s="114"/>
      <c r="AC771" s="114"/>
      <c r="AD771" s="114"/>
      <c r="AE771" s="114"/>
      <c r="AF771" s="114"/>
      <c r="AG771" s="114"/>
      <c r="AH771" s="114"/>
      <c r="AI771" s="114"/>
      <c r="AJ771" s="114"/>
      <c r="AK771" s="114"/>
    </row>
    <row r="772" ht="15.75" customHeight="1">
      <c r="A772" s="114"/>
      <c r="B772" s="114"/>
      <c r="C772" s="114"/>
      <c r="D772" s="114"/>
      <c r="E772" s="114"/>
      <c r="F772" s="114"/>
      <c r="G772" s="114"/>
      <c r="H772" s="114"/>
      <c r="I772" s="114"/>
      <c r="J772" s="114"/>
      <c r="K772" s="114"/>
      <c r="L772" s="114"/>
      <c r="M772" s="114"/>
      <c r="N772" s="114"/>
      <c r="O772" s="114"/>
      <c r="P772" s="114"/>
      <c r="Q772" s="114"/>
      <c r="R772" s="114"/>
      <c r="S772" s="114"/>
      <c r="T772" s="114"/>
      <c r="U772" s="114"/>
      <c r="V772" s="114"/>
      <c r="W772" s="114"/>
      <c r="X772" s="114"/>
      <c r="Y772" s="114"/>
      <c r="Z772" s="114"/>
      <c r="AA772" s="114"/>
      <c r="AB772" s="114"/>
      <c r="AC772" s="114"/>
      <c r="AD772" s="114"/>
      <c r="AE772" s="114"/>
      <c r="AF772" s="114"/>
      <c r="AG772" s="114"/>
      <c r="AH772" s="114"/>
      <c r="AI772" s="114"/>
      <c r="AJ772" s="114"/>
      <c r="AK772" s="114"/>
    </row>
    <row r="773" ht="15.75" customHeight="1">
      <c r="A773" s="114"/>
      <c r="B773" s="114"/>
      <c r="C773" s="114"/>
      <c r="D773" s="114"/>
      <c r="E773" s="114"/>
      <c r="F773" s="114"/>
      <c r="G773" s="114"/>
      <c r="H773" s="114"/>
      <c r="I773" s="114"/>
      <c r="J773" s="114"/>
      <c r="K773" s="114"/>
      <c r="L773" s="114"/>
      <c r="M773" s="114"/>
      <c r="N773" s="114"/>
      <c r="O773" s="114"/>
      <c r="P773" s="114"/>
      <c r="Q773" s="114"/>
      <c r="R773" s="114"/>
      <c r="S773" s="114"/>
      <c r="T773" s="114"/>
      <c r="U773" s="114"/>
      <c r="V773" s="114"/>
      <c r="W773" s="114"/>
      <c r="X773" s="114"/>
      <c r="Y773" s="114"/>
      <c r="Z773" s="114"/>
      <c r="AA773" s="114"/>
      <c r="AB773" s="114"/>
      <c r="AC773" s="114"/>
      <c r="AD773" s="114"/>
      <c r="AE773" s="114"/>
      <c r="AF773" s="114"/>
      <c r="AG773" s="114"/>
      <c r="AH773" s="114"/>
      <c r="AI773" s="114"/>
      <c r="AJ773" s="114"/>
      <c r="AK773" s="114"/>
    </row>
    <row r="774" ht="15.75" customHeight="1">
      <c r="A774" s="114"/>
      <c r="B774" s="114"/>
      <c r="C774" s="114"/>
      <c r="D774" s="114"/>
      <c r="E774" s="114"/>
      <c r="F774" s="114"/>
      <c r="G774" s="114"/>
      <c r="H774" s="114"/>
      <c r="I774" s="114"/>
      <c r="J774" s="114"/>
      <c r="K774" s="114"/>
      <c r="L774" s="114"/>
      <c r="M774" s="114"/>
      <c r="N774" s="114"/>
      <c r="O774" s="114"/>
      <c r="P774" s="114"/>
      <c r="Q774" s="114"/>
      <c r="R774" s="114"/>
      <c r="S774" s="114"/>
      <c r="T774" s="114"/>
      <c r="U774" s="114"/>
      <c r="V774" s="114"/>
      <c r="W774" s="114"/>
      <c r="X774" s="114"/>
      <c r="Y774" s="114"/>
      <c r="Z774" s="114"/>
      <c r="AA774" s="114"/>
      <c r="AB774" s="114"/>
      <c r="AC774" s="114"/>
      <c r="AD774" s="114"/>
      <c r="AE774" s="114"/>
      <c r="AF774" s="114"/>
      <c r="AG774" s="114"/>
      <c r="AH774" s="114"/>
      <c r="AI774" s="114"/>
      <c r="AJ774" s="114"/>
      <c r="AK774" s="114"/>
    </row>
    <row r="775" ht="15.75" customHeight="1">
      <c r="A775" s="114"/>
      <c r="B775" s="114"/>
      <c r="C775" s="114"/>
      <c r="D775" s="114"/>
      <c r="E775" s="114"/>
      <c r="F775" s="114"/>
      <c r="G775" s="114"/>
      <c r="H775" s="114"/>
      <c r="I775" s="114"/>
      <c r="J775" s="114"/>
      <c r="K775" s="114"/>
      <c r="L775" s="114"/>
      <c r="M775" s="114"/>
      <c r="N775" s="114"/>
      <c r="O775" s="114"/>
      <c r="P775" s="114"/>
      <c r="Q775" s="114"/>
      <c r="R775" s="114"/>
      <c r="S775" s="114"/>
      <c r="T775" s="114"/>
      <c r="U775" s="114"/>
      <c r="V775" s="114"/>
      <c r="W775" s="114"/>
      <c r="X775" s="114"/>
      <c r="Y775" s="114"/>
      <c r="Z775" s="114"/>
      <c r="AA775" s="114"/>
      <c r="AB775" s="114"/>
      <c r="AC775" s="114"/>
      <c r="AD775" s="114"/>
      <c r="AE775" s="114"/>
      <c r="AF775" s="114"/>
      <c r="AG775" s="114"/>
      <c r="AH775" s="114"/>
      <c r="AI775" s="114"/>
      <c r="AJ775" s="114"/>
      <c r="AK775" s="114"/>
    </row>
    <row r="776" ht="15.75" customHeight="1">
      <c r="A776" s="114"/>
      <c r="B776" s="114"/>
      <c r="C776" s="114"/>
      <c r="D776" s="114"/>
      <c r="E776" s="114"/>
      <c r="F776" s="114"/>
      <c r="G776" s="114"/>
      <c r="H776" s="114"/>
      <c r="I776" s="114"/>
      <c r="J776" s="114"/>
      <c r="K776" s="114"/>
      <c r="L776" s="114"/>
      <c r="M776" s="114"/>
      <c r="N776" s="114"/>
      <c r="O776" s="114"/>
      <c r="P776" s="114"/>
      <c r="Q776" s="114"/>
      <c r="R776" s="114"/>
      <c r="S776" s="114"/>
      <c r="T776" s="114"/>
      <c r="U776" s="114"/>
      <c r="V776" s="114"/>
      <c r="W776" s="114"/>
      <c r="X776" s="114"/>
      <c r="Y776" s="114"/>
      <c r="Z776" s="114"/>
      <c r="AA776" s="114"/>
      <c r="AB776" s="114"/>
      <c r="AC776" s="114"/>
      <c r="AD776" s="114"/>
      <c r="AE776" s="114"/>
      <c r="AF776" s="114"/>
      <c r="AG776" s="114"/>
      <c r="AH776" s="114"/>
      <c r="AI776" s="114"/>
      <c r="AJ776" s="114"/>
      <c r="AK776" s="114"/>
    </row>
    <row r="777" ht="15.75" customHeight="1">
      <c r="A777" s="114"/>
      <c r="B777" s="114"/>
      <c r="C777" s="114"/>
      <c r="D777" s="114"/>
      <c r="E777" s="114"/>
      <c r="F777" s="114"/>
      <c r="G777" s="114"/>
      <c r="H777" s="114"/>
      <c r="I777" s="114"/>
      <c r="J777" s="114"/>
      <c r="K777" s="114"/>
      <c r="L777" s="114"/>
      <c r="M777" s="114"/>
      <c r="N777" s="114"/>
      <c r="O777" s="114"/>
      <c r="P777" s="114"/>
      <c r="Q777" s="114"/>
      <c r="R777" s="114"/>
      <c r="S777" s="114"/>
      <c r="T777" s="114"/>
      <c r="U777" s="114"/>
      <c r="V777" s="114"/>
      <c r="W777" s="114"/>
      <c r="X777" s="114"/>
      <c r="Y777" s="114"/>
      <c r="Z777" s="114"/>
      <c r="AA777" s="114"/>
      <c r="AB777" s="114"/>
      <c r="AC777" s="114"/>
      <c r="AD777" s="114"/>
      <c r="AE777" s="114"/>
      <c r="AF777" s="114"/>
      <c r="AG777" s="114"/>
      <c r="AH777" s="114"/>
      <c r="AI777" s="114"/>
      <c r="AJ777" s="114"/>
      <c r="AK777" s="114"/>
    </row>
    <row r="778" ht="15.75" customHeight="1">
      <c r="A778" s="114"/>
      <c r="B778" s="114"/>
      <c r="C778" s="114"/>
      <c r="D778" s="114"/>
      <c r="E778" s="114"/>
      <c r="F778" s="114"/>
      <c r="G778" s="114"/>
      <c r="H778" s="114"/>
      <c r="I778" s="114"/>
      <c r="J778" s="114"/>
      <c r="K778" s="114"/>
      <c r="L778" s="114"/>
      <c r="M778" s="114"/>
      <c r="N778" s="114"/>
      <c r="O778" s="114"/>
      <c r="P778" s="114"/>
      <c r="Q778" s="114"/>
      <c r="R778" s="114"/>
      <c r="S778" s="114"/>
      <c r="T778" s="114"/>
      <c r="U778" s="114"/>
      <c r="V778" s="114"/>
      <c r="W778" s="114"/>
      <c r="X778" s="114"/>
      <c r="Y778" s="114"/>
      <c r="Z778" s="114"/>
      <c r="AA778" s="114"/>
      <c r="AB778" s="114"/>
      <c r="AC778" s="114"/>
      <c r="AD778" s="114"/>
      <c r="AE778" s="114"/>
      <c r="AF778" s="114"/>
      <c r="AG778" s="114"/>
      <c r="AH778" s="114"/>
      <c r="AI778" s="114"/>
      <c r="AJ778" s="114"/>
      <c r="AK778" s="114"/>
    </row>
    <row r="779" ht="15.75" customHeight="1">
      <c r="A779" s="114"/>
      <c r="B779" s="114"/>
      <c r="C779" s="114"/>
      <c r="D779" s="114"/>
      <c r="E779" s="114"/>
      <c r="F779" s="114"/>
      <c r="G779" s="114"/>
      <c r="H779" s="114"/>
      <c r="I779" s="114"/>
      <c r="J779" s="114"/>
      <c r="K779" s="114"/>
      <c r="L779" s="114"/>
      <c r="M779" s="114"/>
      <c r="N779" s="114"/>
      <c r="O779" s="114"/>
      <c r="P779" s="114"/>
      <c r="Q779" s="114"/>
      <c r="R779" s="114"/>
      <c r="S779" s="114"/>
      <c r="T779" s="114"/>
      <c r="U779" s="114"/>
      <c r="V779" s="114"/>
      <c r="W779" s="114"/>
      <c r="X779" s="114"/>
      <c r="Y779" s="114"/>
      <c r="Z779" s="114"/>
      <c r="AA779" s="114"/>
      <c r="AB779" s="114"/>
      <c r="AC779" s="114"/>
      <c r="AD779" s="114"/>
      <c r="AE779" s="114"/>
      <c r="AF779" s="114"/>
      <c r="AG779" s="114"/>
      <c r="AH779" s="114"/>
      <c r="AI779" s="114"/>
      <c r="AJ779" s="114"/>
      <c r="AK779" s="114"/>
    </row>
    <row r="780" ht="15.75" customHeight="1">
      <c r="A780" s="114"/>
      <c r="B780" s="114"/>
      <c r="C780" s="114"/>
      <c r="D780" s="114"/>
      <c r="E780" s="114"/>
      <c r="F780" s="114"/>
      <c r="G780" s="114"/>
      <c r="H780" s="114"/>
      <c r="I780" s="114"/>
      <c r="J780" s="114"/>
      <c r="K780" s="114"/>
      <c r="L780" s="114"/>
      <c r="M780" s="114"/>
      <c r="N780" s="114"/>
      <c r="O780" s="114"/>
      <c r="P780" s="114"/>
      <c r="Q780" s="114"/>
      <c r="R780" s="114"/>
      <c r="S780" s="114"/>
      <c r="T780" s="114"/>
      <c r="U780" s="114"/>
      <c r="V780" s="114"/>
      <c r="W780" s="114"/>
      <c r="X780" s="114"/>
      <c r="Y780" s="114"/>
      <c r="Z780" s="114"/>
      <c r="AA780" s="114"/>
      <c r="AB780" s="114"/>
      <c r="AC780" s="114"/>
      <c r="AD780" s="114"/>
      <c r="AE780" s="114"/>
      <c r="AF780" s="114"/>
      <c r="AG780" s="114"/>
      <c r="AH780" s="114"/>
      <c r="AI780" s="114"/>
      <c r="AJ780" s="114"/>
      <c r="AK780" s="114"/>
    </row>
    <row r="781" ht="15.75" customHeight="1">
      <c r="A781" s="114"/>
      <c r="B781" s="114"/>
      <c r="C781" s="114"/>
      <c r="D781" s="114"/>
      <c r="E781" s="114"/>
      <c r="F781" s="114"/>
      <c r="G781" s="114"/>
      <c r="H781" s="114"/>
      <c r="I781" s="114"/>
      <c r="J781" s="114"/>
      <c r="K781" s="114"/>
      <c r="L781" s="114"/>
      <c r="M781" s="114"/>
      <c r="N781" s="114"/>
      <c r="O781" s="114"/>
      <c r="P781" s="114"/>
      <c r="Q781" s="114"/>
      <c r="R781" s="114"/>
      <c r="S781" s="114"/>
      <c r="T781" s="114"/>
      <c r="U781" s="114"/>
      <c r="V781" s="114"/>
      <c r="W781" s="114"/>
      <c r="X781" s="114"/>
      <c r="Y781" s="114"/>
      <c r="Z781" s="114"/>
      <c r="AA781" s="114"/>
      <c r="AB781" s="114"/>
      <c r="AC781" s="114"/>
      <c r="AD781" s="114"/>
      <c r="AE781" s="114"/>
      <c r="AF781" s="114"/>
      <c r="AG781" s="114"/>
      <c r="AH781" s="114"/>
      <c r="AI781" s="114"/>
      <c r="AJ781" s="114"/>
      <c r="AK781" s="114"/>
    </row>
    <row r="782" ht="15.75" customHeight="1">
      <c r="A782" s="114"/>
      <c r="B782" s="114"/>
      <c r="C782" s="114"/>
      <c r="D782" s="114"/>
      <c r="E782" s="114"/>
      <c r="F782" s="114"/>
      <c r="G782" s="114"/>
      <c r="H782" s="114"/>
      <c r="I782" s="114"/>
      <c r="J782" s="114"/>
      <c r="K782" s="114"/>
      <c r="L782" s="114"/>
      <c r="M782" s="114"/>
      <c r="N782" s="114"/>
      <c r="O782" s="114"/>
      <c r="P782" s="114"/>
      <c r="Q782" s="114"/>
      <c r="R782" s="114"/>
      <c r="S782" s="114"/>
      <c r="T782" s="114"/>
      <c r="U782" s="114"/>
      <c r="V782" s="114"/>
      <c r="W782" s="114"/>
      <c r="X782" s="114"/>
      <c r="Y782" s="114"/>
      <c r="Z782" s="114"/>
      <c r="AA782" s="114"/>
      <c r="AB782" s="114"/>
      <c r="AC782" s="114"/>
      <c r="AD782" s="114"/>
      <c r="AE782" s="114"/>
      <c r="AF782" s="114"/>
      <c r="AG782" s="114"/>
      <c r="AH782" s="114"/>
      <c r="AI782" s="114"/>
      <c r="AJ782" s="114"/>
      <c r="AK782" s="114"/>
    </row>
    <row r="783" ht="15.75" customHeight="1">
      <c r="A783" s="114"/>
      <c r="B783" s="114"/>
      <c r="C783" s="114"/>
      <c r="D783" s="114"/>
      <c r="E783" s="114"/>
      <c r="F783" s="114"/>
      <c r="G783" s="114"/>
      <c r="H783" s="114"/>
      <c r="I783" s="114"/>
      <c r="J783" s="114"/>
      <c r="K783" s="114"/>
      <c r="L783" s="114"/>
      <c r="M783" s="114"/>
      <c r="N783" s="114"/>
      <c r="O783" s="114"/>
      <c r="P783" s="114"/>
      <c r="Q783" s="114"/>
      <c r="R783" s="114"/>
      <c r="S783" s="114"/>
      <c r="T783" s="114"/>
      <c r="U783" s="114"/>
      <c r="V783" s="114"/>
      <c r="W783" s="114"/>
      <c r="X783" s="114"/>
      <c r="Y783" s="114"/>
      <c r="Z783" s="114"/>
      <c r="AA783" s="114"/>
      <c r="AB783" s="114"/>
      <c r="AC783" s="114"/>
      <c r="AD783" s="114"/>
      <c r="AE783" s="114"/>
      <c r="AF783" s="114"/>
      <c r="AG783" s="114"/>
      <c r="AH783" s="114"/>
      <c r="AI783" s="114"/>
      <c r="AJ783" s="114"/>
      <c r="AK783" s="114"/>
    </row>
    <row r="784" ht="15.75" customHeight="1">
      <c r="A784" s="114"/>
      <c r="B784" s="114"/>
      <c r="C784" s="114"/>
      <c r="D784" s="114"/>
      <c r="E784" s="114"/>
      <c r="F784" s="114"/>
      <c r="G784" s="114"/>
      <c r="H784" s="114"/>
      <c r="I784" s="114"/>
      <c r="J784" s="114"/>
      <c r="K784" s="114"/>
      <c r="L784" s="114"/>
      <c r="M784" s="114"/>
      <c r="N784" s="114"/>
      <c r="O784" s="114"/>
      <c r="P784" s="114"/>
      <c r="Q784" s="114"/>
      <c r="R784" s="114"/>
      <c r="S784" s="114"/>
      <c r="T784" s="114"/>
      <c r="U784" s="114"/>
      <c r="V784" s="114"/>
      <c r="W784" s="114"/>
      <c r="X784" s="114"/>
      <c r="Y784" s="114"/>
      <c r="Z784" s="114"/>
      <c r="AA784" s="114"/>
      <c r="AB784" s="114"/>
      <c r="AC784" s="114"/>
      <c r="AD784" s="114"/>
      <c r="AE784" s="114"/>
      <c r="AF784" s="114"/>
      <c r="AG784" s="114"/>
      <c r="AH784" s="114"/>
      <c r="AI784" s="114"/>
      <c r="AJ784" s="114"/>
      <c r="AK784" s="114"/>
    </row>
    <row r="785" ht="15.75" customHeight="1">
      <c r="A785" s="114"/>
      <c r="B785" s="114"/>
      <c r="C785" s="114"/>
      <c r="D785" s="114"/>
      <c r="E785" s="114"/>
      <c r="F785" s="114"/>
      <c r="G785" s="114"/>
      <c r="H785" s="114"/>
      <c r="I785" s="114"/>
      <c r="J785" s="114"/>
      <c r="K785" s="114"/>
      <c r="L785" s="114"/>
      <c r="M785" s="114"/>
      <c r="N785" s="114"/>
      <c r="O785" s="114"/>
      <c r="P785" s="114"/>
      <c r="Q785" s="114"/>
      <c r="R785" s="114"/>
      <c r="S785" s="114"/>
      <c r="T785" s="114"/>
      <c r="U785" s="114"/>
      <c r="V785" s="114"/>
      <c r="W785" s="114"/>
      <c r="X785" s="114"/>
      <c r="Y785" s="114"/>
      <c r="Z785" s="114"/>
      <c r="AA785" s="114"/>
      <c r="AB785" s="114"/>
      <c r="AC785" s="114"/>
      <c r="AD785" s="114"/>
      <c r="AE785" s="114"/>
      <c r="AF785" s="114"/>
      <c r="AG785" s="114"/>
      <c r="AH785" s="114"/>
      <c r="AI785" s="114"/>
      <c r="AJ785" s="114"/>
      <c r="AK785" s="114"/>
    </row>
    <row r="786" ht="15.75" customHeight="1">
      <c r="A786" s="114"/>
      <c r="B786" s="114"/>
      <c r="C786" s="114"/>
      <c r="D786" s="114"/>
      <c r="E786" s="114"/>
      <c r="F786" s="114"/>
      <c r="G786" s="114"/>
      <c r="H786" s="114"/>
      <c r="I786" s="114"/>
      <c r="J786" s="114"/>
      <c r="K786" s="114"/>
      <c r="L786" s="114"/>
      <c r="M786" s="114"/>
      <c r="N786" s="114"/>
      <c r="O786" s="114"/>
      <c r="P786" s="114"/>
      <c r="Q786" s="114"/>
      <c r="R786" s="114"/>
      <c r="S786" s="114"/>
      <c r="T786" s="114"/>
      <c r="U786" s="114"/>
      <c r="V786" s="114"/>
      <c r="W786" s="114"/>
      <c r="X786" s="114"/>
      <c r="Y786" s="114"/>
      <c r="Z786" s="114"/>
      <c r="AA786" s="114"/>
      <c r="AB786" s="114"/>
      <c r="AC786" s="114"/>
      <c r="AD786" s="114"/>
      <c r="AE786" s="114"/>
      <c r="AF786" s="114"/>
      <c r="AG786" s="114"/>
      <c r="AH786" s="114"/>
      <c r="AI786" s="114"/>
      <c r="AJ786" s="114"/>
      <c r="AK786" s="114"/>
    </row>
    <row r="787" ht="15.75" customHeight="1">
      <c r="A787" s="114"/>
      <c r="B787" s="114"/>
      <c r="C787" s="114"/>
      <c r="D787" s="114"/>
      <c r="E787" s="114"/>
      <c r="F787" s="114"/>
      <c r="G787" s="114"/>
      <c r="H787" s="114"/>
      <c r="I787" s="114"/>
      <c r="J787" s="114"/>
      <c r="K787" s="114"/>
      <c r="L787" s="114"/>
      <c r="M787" s="114"/>
      <c r="N787" s="114"/>
      <c r="O787" s="114"/>
      <c r="P787" s="114"/>
      <c r="Q787" s="114"/>
      <c r="R787" s="114"/>
      <c r="S787" s="114"/>
      <c r="T787" s="114"/>
      <c r="U787" s="114"/>
      <c r="V787" s="114"/>
      <c r="W787" s="114"/>
      <c r="X787" s="114"/>
      <c r="Y787" s="114"/>
      <c r="Z787" s="114"/>
      <c r="AA787" s="114"/>
      <c r="AB787" s="114"/>
      <c r="AC787" s="114"/>
      <c r="AD787" s="114"/>
      <c r="AE787" s="114"/>
      <c r="AF787" s="114"/>
      <c r="AG787" s="114"/>
      <c r="AH787" s="114"/>
      <c r="AI787" s="114"/>
      <c r="AJ787" s="114"/>
      <c r="AK787" s="114"/>
    </row>
    <row r="788" ht="15.75" customHeight="1">
      <c r="A788" s="114"/>
      <c r="B788" s="114"/>
      <c r="C788" s="114"/>
      <c r="D788" s="114"/>
      <c r="E788" s="114"/>
      <c r="F788" s="114"/>
      <c r="G788" s="114"/>
      <c r="H788" s="114"/>
      <c r="I788" s="114"/>
      <c r="J788" s="114"/>
      <c r="K788" s="114"/>
      <c r="L788" s="114"/>
      <c r="M788" s="114"/>
      <c r="N788" s="114"/>
      <c r="O788" s="114"/>
      <c r="P788" s="114"/>
      <c r="Q788" s="114"/>
      <c r="R788" s="114"/>
      <c r="S788" s="114"/>
      <c r="T788" s="114"/>
      <c r="U788" s="114"/>
      <c r="V788" s="114"/>
      <c r="W788" s="114"/>
      <c r="X788" s="114"/>
      <c r="Y788" s="114"/>
      <c r="Z788" s="114"/>
      <c r="AA788" s="114"/>
      <c r="AB788" s="114"/>
      <c r="AC788" s="114"/>
      <c r="AD788" s="114"/>
      <c r="AE788" s="114"/>
      <c r="AF788" s="114"/>
      <c r="AG788" s="114"/>
      <c r="AH788" s="114"/>
      <c r="AI788" s="114"/>
      <c r="AJ788" s="114"/>
      <c r="AK788" s="114"/>
    </row>
    <row r="789" ht="15.75" customHeight="1">
      <c r="A789" s="114"/>
      <c r="B789" s="114"/>
      <c r="C789" s="114"/>
      <c r="D789" s="114"/>
      <c r="E789" s="114"/>
      <c r="F789" s="114"/>
      <c r="G789" s="114"/>
      <c r="H789" s="114"/>
      <c r="I789" s="114"/>
      <c r="J789" s="114"/>
      <c r="K789" s="114"/>
      <c r="L789" s="114"/>
      <c r="M789" s="114"/>
      <c r="N789" s="114"/>
      <c r="O789" s="114"/>
      <c r="P789" s="114"/>
      <c r="Q789" s="114"/>
      <c r="R789" s="114"/>
      <c r="S789" s="114"/>
      <c r="T789" s="114"/>
      <c r="U789" s="114"/>
      <c r="V789" s="114"/>
      <c r="W789" s="114"/>
      <c r="X789" s="114"/>
      <c r="Y789" s="114"/>
      <c r="Z789" s="114"/>
      <c r="AA789" s="114"/>
      <c r="AB789" s="114"/>
      <c r="AC789" s="114"/>
      <c r="AD789" s="114"/>
      <c r="AE789" s="114"/>
      <c r="AF789" s="114"/>
      <c r="AG789" s="114"/>
      <c r="AH789" s="114"/>
      <c r="AI789" s="114"/>
      <c r="AJ789" s="114"/>
      <c r="AK789" s="114"/>
    </row>
    <row r="790" ht="15.75" customHeight="1">
      <c r="A790" s="114"/>
      <c r="B790" s="114"/>
      <c r="C790" s="114"/>
      <c r="D790" s="114"/>
      <c r="E790" s="114"/>
      <c r="F790" s="114"/>
      <c r="G790" s="114"/>
      <c r="H790" s="114"/>
      <c r="I790" s="114"/>
      <c r="J790" s="114"/>
      <c r="K790" s="114"/>
      <c r="L790" s="114"/>
      <c r="M790" s="114"/>
      <c r="N790" s="114"/>
      <c r="O790" s="114"/>
      <c r="P790" s="114"/>
      <c r="Q790" s="114"/>
      <c r="R790" s="114"/>
      <c r="S790" s="114"/>
      <c r="T790" s="114"/>
      <c r="U790" s="114"/>
      <c r="V790" s="114"/>
      <c r="W790" s="114"/>
      <c r="X790" s="114"/>
      <c r="Y790" s="114"/>
      <c r="Z790" s="114"/>
      <c r="AA790" s="114"/>
      <c r="AB790" s="114"/>
      <c r="AC790" s="114"/>
      <c r="AD790" s="114"/>
      <c r="AE790" s="114"/>
      <c r="AF790" s="114"/>
      <c r="AG790" s="114"/>
      <c r="AH790" s="114"/>
      <c r="AI790" s="114"/>
      <c r="AJ790" s="114"/>
      <c r="AK790" s="114"/>
    </row>
    <row r="791" ht="15.75" customHeight="1">
      <c r="A791" s="114"/>
      <c r="B791" s="114"/>
      <c r="C791" s="114"/>
      <c r="D791" s="114"/>
      <c r="E791" s="114"/>
      <c r="F791" s="114"/>
      <c r="G791" s="114"/>
      <c r="H791" s="114"/>
      <c r="I791" s="114"/>
      <c r="J791" s="114"/>
      <c r="K791" s="114"/>
      <c r="L791" s="114"/>
      <c r="M791" s="114"/>
      <c r="N791" s="114"/>
      <c r="O791" s="114"/>
      <c r="P791" s="114"/>
      <c r="Q791" s="114"/>
      <c r="R791" s="114"/>
      <c r="S791" s="114"/>
      <c r="T791" s="114"/>
      <c r="U791" s="114"/>
      <c r="V791" s="114"/>
      <c r="W791" s="114"/>
      <c r="X791" s="114"/>
      <c r="Y791" s="114"/>
      <c r="Z791" s="114"/>
      <c r="AA791" s="114"/>
      <c r="AB791" s="114"/>
      <c r="AC791" s="114"/>
      <c r="AD791" s="114"/>
      <c r="AE791" s="114"/>
      <c r="AF791" s="114"/>
      <c r="AG791" s="114"/>
      <c r="AH791" s="114"/>
      <c r="AI791" s="114"/>
      <c r="AJ791" s="114"/>
      <c r="AK791" s="114"/>
    </row>
    <row r="792" ht="15.75" customHeight="1">
      <c r="A792" s="114"/>
      <c r="B792" s="114"/>
      <c r="C792" s="114"/>
      <c r="D792" s="114"/>
      <c r="E792" s="114"/>
      <c r="F792" s="114"/>
      <c r="G792" s="114"/>
      <c r="H792" s="114"/>
      <c r="I792" s="114"/>
      <c r="J792" s="114"/>
      <c r="K792" s="114"/>
      <c r="L792" s="114"/>
      <c r="M792" s="114"/>
      <c r="N792" s="114"/>
      <c r="O792" s="114"/>
      <c r="P792" s="114"/>
      <c r="Q792" s="114"/>
      <c r="R792" s="114"/>
      <c r="S792" s="114"/>
      <c r="T792" s="114"/>
      <c r="U792" s="114"/>
      <c r="V792" s="114"/>
      <c r="W792" s="114"/>
      <c r="X792" s="114"/>
      <c r="Y792" s="114"/>
      <c r="Z792" s="114"/>
      <c r="AA792" s="114"/>
      <c r="AB792" s="114"/>
      <c r="AC792" s="114"/>
      <c r="AD792" s="114"/>
      <c r="AE792" s="114"/>
      <c r="AF792" s="114"/>
      <c r="AG792" s="114"/>
      <c r="AH792" s="114"/>
      <c r="AI792" s="114"/>
      <c r="AJ792" s="114"/>
      <c r="AK792" s="114"/>
    </row>
    <row r="793" ht="15.75" customHeight="1">
      <c r="A793" s="114"/>
      <c r="B793" s="114"/>
      <c r="C793" s="114"/>
      <c r="D793" s="114"/>
      <c r="E793" s="114"/>
      <c r="F793" s="114"/>
      <c r="G793" s="114"/>
      <c r="H793" s="114"/>
      <c r="I793" s="114"/>
      <c r="J793" s="114"/>
      <c r="K793" s="114"/>
      <c r="L793" s="114"/>
      <c r="M793" s="114"/>
      <c r="N793" s="114"/>
      <c r="O793" s="114"/>
      <c r="P793" s="114"/>
      <c r="Q793" s="114"/>
      <c r="R793" s="114"/>
      <c r="S793" s="114"/>
      <c r="T793" s="114"/>
      <c r="U793" s="114"/>
      <c r="V793" s="114"/>
      <c r="W793" s="114"/>
      <c r="X793" s="114"/>
      <c r="Y793" s="114"/>
      <c r="Z793" s="114"/>
      <c r="AA793" s="114"/>
      <c r="AB793" s="114"/>
      <c r="AC793" s="114"/>
      <c r="AD793" s="114"/>
      <c r="AE793" s="114"/>
      <c r="AF793" s="114"/>
      <c r="AG793" s="114"/>
      <c r="AH793" s="114"/>
      <c r="AI793" s="114"/>
      <c r="AJ793" s="114"/>
      <c r="AK793" s="114"/>
    </row>
    <row r="794" ht="15.75" customHeight="1">
      <c r="A794" s="114"/>
      <c r="B794" s="114"/>
      <c r="C794" s="114"/>
      <c r="D794" s="114"/>
      <c r="E794" s="114"/>
      <c r="F794" s="114"/>
      <c r="G794" s="114"/>
      <c r="H794" s="114"/>
      <c r="I794" s="114"/>
      <c r="J794" s="114"/>
      <c r="K794" s="114"/>
      <c r="L794" s="114"/>
      <c r="M794" s="114"/>
      <c r="N794" s="114"/>
      <c r="O794" s="114"/>
      <c r="P794" s="114"/>
      <c r="Q794" s="114"/>
      <c r="R794" s="114"/>
      <c r="S794" s="114"/>
      <c r="T794" s="114"/>
      <c r="U794" s="114"/>
      <c r="V794" s="114"/>
      <c r="W794" s="114"/>
      <c r="X794" s="114"/>
      <c r="Y794" s="114"/>
      <c r="Z794" s="114"/>
      <c r="AA794" s="114"/>
      <c r="AB794" s="114"/>
      <c r="AC794" s="114"/>
      <c r="AD794" s="114"/>
      <c r="AE794" s="114"/>
      <c r="AF794" s="114"/>
      <c r="AG794" s="114"/>
      <c r="AH794" s="114"/>
      <c r="AI794" s="114"/>
      <c r="AJ794" s="114"/>
      <c r="AK794" s="114"/>
    </row>
    <row r="795" ht="15.75" customHeight="1">
      <c r="A795" s="114"/>
      <c r="B795" s="114"/>
      <c r="C795" s="114"/>
      <c r="D795" s="114"/>
      <c r="E795" s="114"/>
      <c r="F795" s="114"/>
      <c r="G795" s="114"/>
      <c r="H795" s="114"/>
      <c r="I795" s="114"/>
      <c r="J795" s="114"/>
      <c r="K795" s="114"/>
      <c r="L795" s="114"/>
      <c r="M795" s="114"/>
      <c r="N795" s="114"/>
      <c r="O795" s="114"/>
      <c r="P795" s="114"/>
      <c r="Q795" s="114"/>
      <c r="R795" s="114"/>
      <c r="S795" s="114"/>
      <c r="T795" s="114"/>
      <c r="U795" s="114"/>
      <c r="V795" s="114"/>
      <c r="W795" s="114"/>
      <c r="X795" s="114"/>
      <c r="Y795" s="114"/>
      <c r="Z795" s="114"/>
      <c r="AA795" s="114"/>
      <c r="AB795" s="114"/>
      <c r="AC795" s="114"/>
      <c r="AD795" s="114"/>
      <c r="AE795" s="114"/>
      <c r="AF795" s="114"/>
      <c r="AG795" s="114"/>
      <c r="AH795" s="114"/>
      <c r="AI795" s="114"/>
      <c r="AJ795" s="114"/>
      <c r="AK795" s="114"/>
    </row>
    <row r="796" ht="15.75" customHeight="1">
      <c r="A796" s="114"/>
      <c r="B796" s="114"/>
      <c r="C796" s="114"/>
      <c r="D796" s="114"/>
      <c r="E796" s="114"/>
      <c r="F796" s="114"/>
      <c r="G796" s="114"/>
      <c r="H796" s="114"/>
      <c r="I796" s="114"/>
      <c r="J796" s="114"/>
      <c r="K796" s="114"/>
      <c r="L796" s="114"/>
      <c r="M796" s="114"/>
      <c r="N796" s="114"/>
      <c r="O796" s="114"/>
      <c r="P796" s="114"/>
      <c r="Q796" s="114"/>
      <c r="R796" s="114"/>
      <c r="S796" s="114"/>
      <c r="T796" s="114"/>
      <c r="U796" s="114"/>
      <c r="V796" s="114"/>
      <c r="W796" s="114"/>
      <c r="X796" s="114"/>
      <c r="Y796" s="114"/>
      <c r="Z796" s="114"/>
      <c r="AA796" s="114"/>
      <c r="AB796" s="114"/>
      <c r="AC796" s="114"/>
      <c r="AD796" s="114"/>
      <c r="AE796" s="114"/>
      <c r="AF796" s="114"/>
      <c r="AG796" s="114"/>
      <c r="AH796" s="114"/>
      <c r="AI796" s="114"/>
      <c r="AJ796" s="114"/>
      <c r="AK796" s="114"/>
    </row>
    <row r="797" ht="15.75" customHeight="1">
      <c r="A797" s="114"/>
      <c r="B797" s="114"/>
      <c r="C797" s="114"/>
      <c r="D797" s="114"/>
      <c r="E797" s="114"/>
      <c r="F797" s="114"/>
      <c r="G797" s="114"/>
      <c r="H797" s="114"/>
      <c r="I797" s="114"/>
      <c r="J797" s="114"/>
      <c r="K797" s="114"/>
      <c r="L797" s="114"/>
      <c r="M797" s="114"/>
      <c r="N797" s="114"/>
      <c r="O797" s="114"/>
      <c r="P797" s="114"/>
      <c r="Q797" s="114"/>
      <c r="R797" s="114"/>
      <c r="S797" s="114"/>
      <c r="T797" s="114"/>
      <c r="U797" s="114"/>
      <c r="V797" s="114"/>
      <c r="W797" s="114"/>
      <c r="X797" s="114"/>
      <c r="Y797" s="114"/>
      <c r="Z797" s="114"/>
      <c r="AA797" s="114"/>
      <c r="AB797" s="114"/>
      <c r="AC797" s="114"/>
      <c r="AD797" s="114"/>
      <c r="AE797" s="114"/>
      <c r="AF797" s="114"/>
      <c r="AG797" s="114"/>
      <c r="AH797" s="114"/>
      <c r="AI797" s="114"/>
      <c r="AJ797" s="114"/>
      <c r="AK797" s="114"/>
    </row>
    <row r="798" ht="15.75" customHeight="1">
      <c r="A798" s="114"/>
      <c r="B798" s="114"/>
      <c r="C798" s="114"/>
      <c r="D798" s="114"/>
      <c r="E798" s="114"/>
      <c r="F798" s="114"/>
      <c r="G798" s="114"/>
      <c r="H798" s="114"/>
      <c r="I798" s="114"/>
      <c r="J798" s="114"/>
      <c r="K798" s="114"/>
      <c r="L798" s="114"/>
      <c r="M798" s="114"/>
      <c r="N798" s="114"/>
      <c r="O798" s="114"/>
      <c r="P798" s="114"/>
      <c r="Q798" s="114"/>
      <c r="R798" s="114"/>
      <c r="S798" s="114"/>
      <c r="T798" s="114"/>
      <c r="U798" s="114"/>
      <c r="V798" s="114"/>
      <c r="W798" s="114"/>
      <c r="X798" s="114"/>
      <c r="Y798" s="114"/>
      <c r="Z798" s="114"/>
      <c r="AA798" s="114"/>
      <c r="AB798" s="114"/>
      <c r="AC798" s="114"/>
      <c r="AD798" s="114"/>
      <c r="AE798" s="114"/>
      <c r="AF798" s="114"/>
      <c r="AG798" s="114"/>
      <c r="AH798" s="114"/>
      <c r="AI798" s="114"/>
      <c r="AJ798" s="114"/>
      <c r="AK798" s="114"/>
    </row>
    <row r="799" ht="15.75" customHeight="1">
      <c r="A799" s="114"/>
      <c r="B799" s="114"/>
      <c r="C799" s="114"/>
      <c r="D799" s="114"/>
      <c r="E799" s="114"/>
      <c r="F799" s="114"/>
      <c r="G799" s="114"/>
      <c r="H799" s="114"/>
      <c r="I799" s="114"/>
      <c r="J799" s="114"/>
      <c r="K799" s="114"/>
      <c r="L799" s="114"/>
      <c r="M799" s="114"/>
      <c r="N799" s="114"/>
      <c r="O799" s="114"/>
      <c r="P799" s="114"/>
      <c r="Q799" s="114"/>
      <c r="R799" s="114"/>
      <c r="S799" s="114"/>
      <c r="T799" s="114"/>
      <c r="U799" s="114"/>
      <c r="V799" s="114"/>
      <c r="W799" s="114"/>
      <c r="X799" s="114"/>
      <c r="Y799" s="114"/>
      <c r="Z799" s="114"/>
      <c r="AA799" s="114"/>
      <c r="AB799" s="114"/>
      <c r="AC799" s="114"/>
      <c r="AD799" s="114"/>
      <c r="AE799" s="114"/>
      <c r="AF799" s="114"/>
      <c r="AG799" s="114"/>
      <c r="AH799" s="114"/>
      <c r="AI799" s="114"/>
      <c r="AJ799" s="114"/>
      <c r="AK799" s="114"/>
    </row>
    <row r="800" ht="15.75" customHeight="1">
      <c r="A800" s="114"/>
      <c r="B800" s="114"/>
      <c r="C800" s="114"/>
      <c r="D800" s="114"/>
      <c r="E800" s="114"/>
      <c r="F800" s="114"/>
      <c r="G800" s="114"/>
      <c r="H800" s="114"/>
      <c r="I800" s="114"/>
      <c r="J800" s="114"/>
      <c r="K800" s="114"/>
      <c r="L800" s="114"/>
      <c r="M800" s="114"/>
      <c r="N800" s="114"/>
      <c r="O800" s="114"/>
      <c r="P800" s="114"/>
      <c r="Q800" s="114"/>
      <c r="R800" s="114"/>
      <c r="S800" s="114"/>
      <c r="T800" s="114"/>
      <c r="U800" s="114"/>
      <c r="V800" s="114"/>
      <c r="W800" s="114"/>
      <c r="X800" s="114"/>
      <c r="Y800" s="114"/>
      <c r="Z800" s="114"/>
      <c r="AA800" s="114"/>
      <c r="AB800" s="114"/>
      <c r="AC800" s="114"/>
      <c r="AD800" s="114"/>
      <c r="AE800" s="114"/>
      <c r="AF800" s="114"/>
      <c r="AG800" s="114"/>
      <c r="AH800" s="114"/>
      <c r="AI800" s="114"/>
      <c r="AJ800" s="114"/>
      <c r="AK800" s="114"/>
    </row>
    <row r="801" ht="15.75" customHeight="1">
      <c r="A801" s="114"/>
      <c r="B801" s="114"/>
      <c r="C801" s="114"/>
      <c r="D801" s="114"/>
      <c r="E801" s="114"/>
      <c r="F801" s="114"/>
      <c r="G801" s="114"/>
      <c r="H801" s="114"/>
      <c r="I801" s="114"/>
      <c r="J801" s="114"/>
      <c r="K801" s="114"/>
      <c r="L801" s="114"/>
      <c r="M801" s="114"/>
      <c r="N801" s="114"/>
      <c r="O801" s="114"/>
      <c r="P801" s="114"/>
      <c r="Q801" s="114"/>
      <c r="R801" s="114"/>
      <c r="S801" s="114"/>
      <c r="T801" s="114"/>
      <c r="U801" s="114"/>
      <c r="V801" s="114"/>
      <c r="W801" s="114"/>
      <c r="X801" s="114"/>
      <c r="Y801" s="114"/>
      <c r="Z801" s="114"/>
      <c r="AA801" s="114"/>
      <c r="AB801" s="114"/>
      <c r="AC801" s="114"/>
      <c r="AD801" s="114"/>
      <c r="AE801" s="114"/>
      <c r="AF801" s="114"/>
      <c r="AG801" s="114"/>
      <c r="AH801" s="114"/>
      <c r="AI801" s="114"/>
      <c r="AJ801" s="114"/>
      <c r="AK801" s="114"/>
    </row>
    <row r="802" ht="15.75" customHeight="1">
      <c r="A802" s="114"/>
      <c r="B802" s="114"/>
      <c r="C802" s="114"/>
      <c r="D802" s="114"/>
      <c r="E802" s="114"/>
      <c r="F802" s="114"/>
      <c r="G802" s="114"/>
      <c r="H802" s="114"/>
      <c r="I802" s="114"/>
      <c r="J802" s="114"/>
      <c r="K802" s="114"/>
      <c r="L802" s="114"/>
      <c r="M802" s="114"/>
      <c r="N802" s="114"/>
      <c r="O802" s="114"/>
      <c r="P802" s="114"/>
      <c r="Q802" s="114"/>
      <c r="R802" s="114"/>
      <c r="S802" s="114"/>
      <c r="T802" s="114"/>
      <c r="U802" s="114"/>
      <c r="V802" s="114"/>
      <c r="W802" s="114"/>
      <c r="X802" s="114"/>
      <c r="Y802" s="114"/>
      <c r="Z802" s="114"/>
      <c r="AA802" s="114"/>
      <c r="AB802" s="114"/>
      <c r="AC802" s="114"/>
      <c r="AD802" s="114"/>
      <c r="AE802" s="114"/>
      <c r="AF802" s="114"/>
      <c r="AG802" s="114"/>
      <c r="AH802" s="114"/>
      <c r="AI802" s="114"/>
      <c r="AJ802" s="114"/>
      <c r="AK802" s="114"/>
    </row>
    <row r="803" ht="15.75" customHeight="1">
      <c r="A803" s="114"/>
      <c r="B803" s="114"/>
      <c r="C803" s="114"/>
      <c r="D803" s="114"/>
      <c r="E803" s="114"/>
      <c r="F803" s="114"/>
      <c r="G803" s="114"/>
      <c r="H803" s="114"/>
      <c r="I803" s="114"/>
      <c r="J803" s="114"/>
      <c r="K803" s="114"/>
      <c r="L803" s="114"/>
      <c r="M803" s="114"/>
      <c r="N803" s="114"/>
      <c r="O803" s="114"/>
      <c r="P803" s="114"/>
      <c r="Q803" s="114"/>
      <c r="R803" s="114"/>
      <c r="S803" s="114"/>
      <c r="T803" s="114"/>
      <c r="U803" s="114"/>
      <c r="V803" s="114"/>
      <c r="W803" s="114"/>
      <c r="X803" s="114"/>
      <c r="Y803" s="114"/>
      <c r="Z803" s="114"/>
      <c r="AA803" s="114"/>
      <c r="AB803" s="114"/>
      <c r="AC803" s="114"/>
      <c r="AD803" s="114"/>
      <c r="AE803" s="114"/>
      <c r="AF803" s="114"/>
      <c r="AG803" s="114"/>
      <c r="AH803" s="114"/>
      <c r="AI803" s="114"/>
      <c r="AJ803" s="114"/>
      <c r="AK803" s="114"/>
    </row>
    <row r="804" ht="15.75" customHeight="1">
      <c r="A804" s="114"/>
      <c r="B804" s="114"/>
      <c r="C804" s="114"/>
      <c r="D804" s="114"/>
      <c r="E804" s="114"/>
      <c r="F804" s="114"/>
      <c r="G804" s="114"/>
      <c r="H804" s="114"/>
      <c r="I804" s="114"/>
      <c r="J804" s="114"/>
      <c r="K804" s="114"/>
      <c r="L804" s="114"/>
      <c r="M804" s="114"/>
      <c r="N804" s="114"/>
      <c r="O804" s="114"/>
      <c r="P804" s="114"/>
      <c r="Q804" s="114"/>
      <c r="R804" s="114"/>
      <c r="S804" s="114"/>
      <c r="T804" s="114"/>
      <c r="U804" s="114"/>
      <c r="V804" s="114"/>
      <c r="W804" s="114"/>
      <c r="X804" s="114"/>
      <c r="Y804" s="114"/>
      <c r="Z804" s="114"/>
      <c r="AA804" s="114"/>
      <c r="AB804" s="114"/>
      <c r="AC804" s="114"/>
      <c r="AD804" s="114"/>
      <c r="AE804" s="114"/>
      <c r="AF804" s="114"/>
      <c r="AG804" s="114"/>
      <c r="AH804" s="114"/>
      <c r="AI804" s="114"/>
      <c r="AJ804" s="114"/>
      <c r="AK804" s="114"/>
    </row>
    <row r="805" ht="15.75" customHeight="1">
      <c r="A805" s="114"/>
      <c r="B805" s="114"/>
      <c r="C805" s="114"/>
      <c r="D805" s="114"/>
      <c r="E805" s="114"/>
      <c r="F805" s="114"/>
      <c r="G805" s="114"/>
      <c r="H805" s="114"/>
      <c r="I805" s="114"/>
      <c r="J805" s="114"/>
      <c r="K805" s="114"/>
      <c r="L805" s="114"/>
      <c r="M805" s="114"/>
      <c r="N805" s="114"/>
      <c r="O805" s="114"/>
      <c r="P805" s="114"/>
      <c r="Q805" s="114"/>
      <c r="R805" s="114"/>
      <c r="S805" s="114"/>
      <c r="T805" s="114"/>
      <c r="U805" s="114"/>
      <c r="V805" s="114"/>
      <c r="W805" s="114"/>
      <c r="X805" s="114"/>
      <c r="Y805" s="114"/>
      <c r="Z805" s="114"/>
      <c r="AA805" s="114"/>
      <c r="AB805" s="114"/>
      <c r="AC805" s="114"/>
      <c r="AD805" s="114"/>
      <c r="AE805" s="114"/>
      <c r="AF805" s="114"/>
      <c r="AG805" s="114"/>
      <c r="AH805" s="114"/>
      <c r="AI805" s="114"/>
      <c r="AJ805" s="114"/>
      <c r="AK805" s="114"/>
    </row>
    <row r="806" ht="15.75" customHeight="1">
      <c r="A806" s="114"/>
      <c r="B806" s="114"/>
      <c r="C806" s="114"/>
      <c r="D806" s="114"/>
      <c r="E806" s="114"/>
      <c r="F806" s="114"/>
      <c r="G806" s="114"/>
      <c r="H806" s="114"/>
      <c r="I806" s="114"/>
      <c r="J806" s="114"/>
      <c r="K806" s="114"/>
      <c r="L806" s="114"/>
      <c r="M806" s="114"/>
      <c r="N806" s="114"/>
      <c r="O806" s="114"/>
      <c r="P806" s="114"/>
      <c r="Q806" s="114"/>
      <c r="R806" s="114"/>
      <c r="S806" s="114"/>
      <c r="T806" s="114"/>
      <c r="U806" s="114"/>
      <c r="V806" s="114"/>
      <c r="W806" s="114"/>
      <c r="X806" s="114"/>
      <c r="Y806" s="114"/>
      <c r="Z806" s="114"/>
      <c r="AA806" s="114"/>
      <c r="AB806" s="114"/>
      <c r="AC806" s="114"/>
      <c r="AD806" s="114"/>
      <c r="AE806" s="114"/>
      <c r="AF806" s="114"/>
      <c r="AG806" s="114"/>
      <c r="AH806" s="114"/>
      <c r="AI806" s="114"/>
      <c r="AJ806" s="114"/>
      <c r="AK806" s="114"/>
    </row>
    <row r="807" ht="15.75" customHeight="1">
      <c r="A807" s="114"/>
      <c r="B807" s="114"/>
      <c r="C807" s="114"/>
      <c r="D807" s="114"/>
      <c r="E807" s="114"/>
      <c r="F807" s="114"/>
      <c r="G807" s="114"/>
      <c r="H807" s="114"/>
      <c r="I807" s="114"/>
      <c r="J807" s="114"/>
      <c r="K807" s="114"/>
      <c r="L807" s="114"/>
      <c r="M807" s="114"/>
      <c r="N807" s="114"/>
      <c r="O807" s="114"/>
      <c r="P807" s="114"/>
      <c r="Q807" s="114"/>
      <c r="R807" s="114"/>
      <c r="S807" s="114"/>
      <c r="T807" s="114"/>
      <c r="U807" s="114"/>
      <c r="V807" s="114"/>
      <c r="W807" s="114"/>
      <c r="X807" s="114"/>
      <c r="Y807" s="114"/>
      <c r="Z807" s="114"/>
      <c r="AA807" s="114"/>
      <c r="AB807" s="114"/>
      <c r="AC807" s="114"/>
      <c r="AD807" s="114"/>
      <c r="AE807" s="114"/>
      <c r="AF807" s="114"/>
      <c r="AG807" s="114"/>
      <c r="AH807" s="114"/>
      <c r="AI807" s="114"/>
      <c r="AJ807" s="114"/>
      <c r="AK807" s="114"/>
    </row>
    <row r="808" ht="15.75" customHeight="1">
      <c r="A808" s="114"/>
      <c r="B808" s="114"/>
      <c r="C808" s="114"/>
      <c r="D808" s="114"/>
      <c r="E808" s="114"/>
      <c r="F808" s="114"/>
      <c r="G808" s="114"/>
      <c r="H808" s="114"/>
      <c r="I808" s="114"/>
      <c r="J808" s="114"/>
      <c r="K808" s="114"/>
      <c r="L808" s="114"/>
      <c r="M808" s="114"/>
      <c r="N808" s="114"/>
      <c r="O808" s="114"/>
      <c r="P808" s="114"/>
      <c r="Q808" s="114"/>
      <c r="R808" s="114"/>
      <c r="S808" s="114"/>
      <c r="T808" s="114"/>
      <c r="U808" s="114"/>
      <c r="V808" s="114"/>
      <c r="W808" s="114"/>
      <c r="X808" s="114"/>
      <c r="Y808" s="114"/>
      <c r="Z808" s="114"/>
      <c r="AA808" s="114"/>
      <c r="AB808" s="114"/>
      <c r="AC808" s="114"/>
      <c r="AD808" s="114"/>
      <c r="AE808" s="114"/>
      <c r="AF808" s="114"/>
      <c r="AG808" s="114"/>
      <c r="AH808" s="114"/>
      <c r="AI808" s="114"/>
      <c r="AJ808" s="114"/>
      <c r="AK808" s="114"/>
    </row>
    <row r="809" ht="15.75" customHeight="1">
      <c r="A809" s="114"/>
      <c r="B809" s="114"/>
      <c r="C809" s="114"/>
      <c r="D809" s="114"/>
      <c r="E809" s="114"/>
      <c r="F809" s="114"/>
      <c r="G809" s="114"/>
      <c r="H809" s="114"/>
      <c r="I809" s="114"/>
      <c r="J809" s="114"/>
      <c r="K809" s="114"/>
      <c r="L809" s="114"/>
      <c r="M809" s="114"/>
      <c r="N809" s="114"/>
      <c r="O809" s="114"/>
      <c r="P809" s="114"/>
      <c r="Q809" s="114"/>
      <c r="R809" s="114"/>
      <c r="S809" s="114"/>
      <c r="T809" s="114"/>
      <c r="U809" s="114"/>
      <c r="V809" s="114"/>
      <c r="W809" s="114"/>
      <c r="X809" s="114"/>
      <c r="Y809" s="114"/>
      <c r="Z809" s="114"/>
      <c r="AA809" s="114"/>
      <c r="AB809" s="114"/>
      <c r="AC809" s="114"/>
      <c r="AD809" s="114"/>
      <c r="AE809" s="114"/>
      <c r="AF809" s="114"/>
      <c r="AG809" s="114"/>
      <c r="AH809" s="114"/>
      <c r="AI809" s="114"/>
      <c r="AJ809" s="114"/>
      <c r="AK809" s="114"/>
    </row>
    <row r="810" ht="15.75" customHeight="1">
      <c r="A810" s="114"/>
      <c r="B810" s="114"/>
      <c r="C810" s="114"/>
      <c r="D810" s="114"/>
      <c r="E810" s="114"/>
      <c r="F810" s="114"/>
      <c r="G810" s="114"/>
      <c r="H810" s="114"/>
      <c r="I810" s="114"/>
      <c r="J810" s="114"/>
      <c r="K810" s="114"/>
      <c r="L810" s="114"/>
      <c r="M810" s="114"/>
      <c r="N810" s="114"/>
      <c r="O810" s="114"/>
      <c r="P810" s="114"/>
      <c r="Q810" s="114"/>
      <c r="R810" s="114"/>
      <c r="S810" s="114"/>
      <c r="T810" s="114"/>
      <c r="U810" s="114"/>
      <c r="V810" s="114"/>
      <c r="W810" s="114"/>
      <c r="X810" s="114"/>
      <c r="Y810" s="114"/>
      <c r="Z810" s="114"/>
      <c r="AA810" s="114"/>
      <c r="AB810" s="114"/>
      <c r="AC810" s="114"/>
      <c r="AD810" s="114"/>
      <c r="AE810" s="114"/>
      <c r="AF810" s="114"/>
      <c r="AG810" s="114"/>
      <c r="AH810" s="114"/>
      <c r="AI810" s="114"/>
      <c r="AJ810" s="114"/>
      <c r="AK810" s="114"/>
    </row>
    <row r="811" ht="15.75" customHeight="1">
      <c r="A811" s="114"/>
      <c r="B811" s="114"/>
      <c r="C811" s="114"/>
      <c r="D811" s="114"/>
      <c r="E811" s="114"/>
      <c r="F811" s="114"/>
      <c r="G811" s="114"/>
      <c r="H811" s="114"/>
      <c r="I811" s="114"/>
      <c r="J811" s="114"/>
      <c r="K811" s="114"/>
      <c r="L811" s="114"/>
      <c r="M811" s="114"/>
      <c r="N811" s="114"/>
      <c r="O811" s="114"/>
      <c r="P811" s="114"/>
      <c r="Q811" s="114"/>
      <c r="R811" s="114"/>
      <c r="S811" s="114"/>
      <c r="T811" s="114"/>
      <c r="U811" s="114"/>
      <c r="V811" s="114"/>
      <c r="W811" s="114"/>
      <c r="X811" s="114"/>
      <c r="Y811" s="114"/>
      <c r="Z811" s="114"/>
      <c r="AA811" s="114"/>
      <c r="AB811" s="114"/>
      <c r="AC811" s="114"/>
      <c r="AD811" s="114"/>
      <c r="AE811" s="114"/>
      <c r="AF811" s="114"/>
      <c r="AG811" s="114"/>
      <c r="AH811" s="114"/>
      <c r="AI811" s="114"/>
      <c r="AJ811" s="114"/>
      <c r="AK811" s="114"/>
    </row>
    <row r="812" ht="15.75" customHeight="1">
      <c r="A812" s="114"/>
      <c r="B812" s="114"/>
      <c r="C812" s="114"/>
      <c r="D812" s="114"/>
      <c r="E812" s="114"/>
      <c r="F812" s="114"/>
      <c r="G812" s="114"/>
      <c r="H812" s="114"/>
      <c r="I812" s="114"/>
      <c r="J812" s="114"/>
      <c r="K812" s="114"/>
      <c r="L812" s="114"/>
      <c r="M812" s="114"/>
      <c r="N812" s="114"/>
      <c r="O812" s="114"/>
      <c r="P812" s="114"/>
      <c r="Q812" s="114"/>
      <c r="R812" s="114"/>
      <c r="S812" s="114"/>
      <c r="T812" s="114"/>
      <c r="U812" s="114"/>
      <c r="V812" s="114"/>
      <c r="W812" s="114"/>
      <c r="X812" s="114"/>
      <c r="Y812" s="114"/>
      <c r="Z812" s="114"/>
      <c r="AA812" s="114"/>
      <c r="AB812" s="114"/>
      <c r="AC812" s="114"/>
      <c r="AD812" s="114"/>
      <c r="AE812" s="114"/>
      <c r="AF812" s="114"/>
      <c r="AG812" s="114"/>
      <c r="AH812" s="114"/>
      <c r="AI812" s="114"/>
      <c r="AJ812" s="114"/>
      <c r="AK812" s="114"/>
    </row>
    <row r="813" ht="15.75" customHeight="1">
      <c r="A813" s="114"/>
      <c r="B813" s="114"/>
      <c r="C813" s="114"/>
      <c r="D813" s="114"/>
      <c r="E813" s="114"/>
      <c r="F813" s="114"/>
      <c r="G813" s="114"/>
      <c r="H813" s="114"/>
      <c r="I813" s="114"/>
      <c r="J813" s="114"/>
      <c r="K813" s="114"/>
      <c r="L813" s="114"/>
      <c r="M813" s="114"/>
      <c r="N813" s="114"/>
      <c r="O813" s="114"/>
      <c r="P813" s="114"/>
      <c r="Q813" s="114"/>
      <c r="R813" s="114"/>
      <c r="S813" s="114"/>
      <c r="T813" s="114"/>
      <c r="U813" s="114"/>
      <c r="V813" s="114"/>
      <c r="W813" s="114"/>
      <c r="X813" s="114"/>
      <c r="Y813" s="114"/>
      <c r="Z813" s="114"/>
      <c r="AA813" s="114"/>
      <c r="AB813" s="114"/>
      <c r="AC813" s="114"/>
      <c r="AD813" s="114"/>
      <c r="AE813" s="114"/>
      <c r="AF813" s="114"/>
      <c r="AG813" s="114"/>
      <c r="AH813" s="114"/>
      <c r="AI813" s="114"/>
      <c r="AJ813" s="114"/>
      <c r="AK813" s="114"/>
    </row>
    <row r="814" ht="15.75" customHeight="1">
      <c r="A814" s="114"/>
      <c r="B814" s="114"/>
      <c r="C814" s="114"/>
      <c r="D814" s="114"/>
      <c r="E814" s="114"/>
      <c r="F814" s="114"/>
      <c r="G814" s="114"/>
      <c r="H814" s="114"/>
      <c r="I814" s="114"/>
      <c r="J814" s="114"/>
      <c r="K814" s="114"/>
      <c r="L814" s="114"/>
      <c r="M814" s="114"/>
      <c r="N814" s="114"/>
      <c r="O814" s="114"/>
      <c r="P814" s="114"/>
      <c r="Q814" s="114"/>
      <c r="R814" s="114"/>
      <c r="S814" s="114"/>
      <c r="T814" s="114"/>
      <c r="U814" s="114"/>
      <c r="V814" s="114"/>
      <c r="W814" s="114"/>
      <c r="X814" s="114"/>
      <c r="Y814" s="114"/>
      <c r="Z814" s="114"/>
      <c r="AA814" s="114"/>
      <c r="AB814" s="114"/>
      <c r="AC814" s="114"/>
      <c r="AD814" s="114"/>
      <c r="AE814" s="114"/>
      <c r="AF814" s="114"/>
      <c r="AG814" s="114"/>
      <c r="AH814" s="114"/>
      <c r="AI814" s="114"/>
      <c r="AJ814" s="114"/>
      <c r="AK814" s="114"/>
    </row>
    <row r="815" ht="15.75" customHeight="1">
      <c r="A815" s="114"/>
      <c r="B815" s="114"/>
      <c r="C815" s="114"/>
      <c r="D815" s="114"/>
      <c r="E815" s="114"/>
      <c r="F815" s="114"/>
      <c r="G815" s="114"/>
      <c r="H815" s="114"/>
      <c r="I815" s="114"/>
      <c r="J815" s="114"/>
      <c r="K815" s="114"/>
      <c r="L815" s="114"/>
      <c r="M815" s="114"/>
      <c r="N815" s="114"/>
      <c r="O815" s="114"/>
      <c r="P815" s="114"/>
      <c r="Q815" s="114"/>
      <c r="R815" s="114"/>
      <c r="S815" s="114"/>
      <c r="T815" s="114"/>
      <c r="U815" s="114"/>
      <c r="V815" s="114"/>
      <c r="W815" s="114"/>
      <c r="X815" s="114"/>
      <c r="Y815" s="114"/>
      <c r="Z815" s="114"/>
      <c r="AA815" s="114"/>
      <c r="AB815" s="114"/>
      <c r="AC815" s="114"/>
      <c r="AD815" s="114"/>
      <c r="AE815" s="114"/>
      <c r="AF815" s="114"/>
      <c r="AG815" s="114"/>
      <c r="AH815" s="114"/>
      <c r="AI815" s="114"/>
      <c r="AJ815" s="114"/>
      <c r="AK815" s="114"/>
    </row>
    <row r="816" ht="15.75" customHeight="1">
      <c r="A816" s="114"/>
      <c r="B816" s="114"/>
      <c r="C816" s="114"/>
      <c r="D816" s="114"/>
      <c r="E816" s="114"/>
      <c r="F816" s="114"/>
      <c r="G816" s="114"/>
      <c r="H816" s="114"/>
      <c r="I816" s="114"/>
      <c r="J816" s="114"/>
      <c r="K816" s="114"/>
      <c r="L816" s="114"/>
      <c r="M816" s="114"/>
      <c r="N816" s="114"/>
      <c r="O816" s="114"/>
      <c r="P816" s="114"/>
      <c r="Q816" s="114"/>
      <c r="R816" s="114"/>
      <c r="S816" s="114"/>
      <c r="T816" s="114"/>
      <c r="U816" s="114"/>
      <c r="V816" s="114"/>
      <c r="W816" s="114"/>
      <c r="X816" s="114"/>
      <c r="Y816" s="114"/>
      <c r="Z816" s="114"/>
      <c r="AA816" s="114"/>
      <c r="AB816" s="114"/>
      <c r="AC816" s="114"/>
      <c r="AD816" s="114"/>
      <c r="AE816" s="114"/>
      <c r="AF816" s="114"/>
      <c r="AG816" s="114"/>
      <c r="AH816" s="114"/>
      <c r="AI816" s="114"/>
      <c r="AJ816" s="114"/>
      <c r="AK816" s="114"/>
    </row>
    <row r="817" ht="15.75" customHeight="1">
      <c r="A817" s="114"/>
      <c r="B817" s="114"/>
      <c r="C817" s="114"/>
      <c r="D817" s="114"/>
      <c r="E817" s="114"/>
      <c r="F817" s="114"/>
      <c r="G817" s="114"/>
      <c r="H817" s="114"/>
      <c r="I817" s="114"/>
      <c r="J817" s="114"/>
      <c r="K817" s="114"/>
      <c r="L817" s="114"/>
      <c r="M817" s="114"/>
      <c r="N817" s="114"/>
      <c r="O817" s="114"/>
      <c r="P817" s="114"/>
      <c r="Q817" s="114"/>
      <c r="R817" s="114"/>
      <c r="S817" s="114"/>
      <c r="T817" s="114"/>
      <c r="U817" s="114"/>
      <c r="V817" s="114"/>
      <c r="W817" s="114"/>
      <c r="X817" s="114"/>
      <c r="Y817" s="114"/>
      <c r="Z817" s="114"/>
      <c r="AA817" s="114"/>
      <c r="AB817" s="114"/>
      <c r="AC817" s="114"/>
      <c r="AD817" s="114"/>
      <c r="AE817" s="114"/>
      <c r="AF817" s="114"/>
      <c r="AG817" s="114"/>
      <c r="AH817" s="114"/>
      <c r="AI817" s="114"/>
      <c r="AJ817" s="114"/>
      <c r="AK817" s="114"/>
    </row>
    <row r="818" ht="15.75" customHeight="1">
      <c r="A818" s="114"/>
      <c r="B818" s="114"/>
      <c r="C818" s="114"/>
      <c r="D818" s="114"/>
      <c r="E818" s="114"/>
      <c r="F818" s="114"/>
      <c r="G818" s="114"/>
      <c r="H818" s="114"/>
      <c r="I818" s="114"/>
      <c r="J818" s="114"/>
      <c r="K818" s="114"/>
      <c r="L818" s="114"/>
      <c r="M818" s="114"/>
      <c r="N818" s="114"/>
      <c r="O818" s="114"/>
      <c r="P818" s="114"/>
      <c r="Q818" s="114"/>
      <c r="R818" s="114"/>
      <c r="S818" s="114"/>
      <c r="T818" s="114"/>
      <c r="U818" s="114"/>
      <c r="V818" s="114"/>
      <c r="W818" s="114"/>
      <c r="X818" s="114"/>
      <c r="Y818" s="114"/>
      <c r="Z818" s="114"/>
      <c r="AA818" s="114"/>
      <c r="AB818" s="114"/>
      <c r="AC818" s="114"/>
      <c r="AD818" s="114"/>
      <c r="AE818" s="114"/>
      <c r="AF818" s="114"/>
      <c r="AG818" s="114"/>
      <c r="AH818" s="114"/>
      <c r="AI818" s="114"/>
      <c r="AJ818" s="114"/>
      <c r="AK818" s="114"/>
    </row>
    <row r="819" ht="15.75" customHeight="1">
      <c r="A819" s="114"/>
      <c r="B819" s="114"/>
      <c r="C819" s="114"/>
      <c r="D819" s="114"/>
      <c r="E819" s="114"/>
      <c r="F819" s="114"/>
      <c r="G819" s="114"/>
      <c r="H819" s="114"/>
      <c r="I819" s="114"/>
      <c r="J819" s="114"/>
      <c r="K819" s="114"/>
      <c r="L819" s="114"/>
      <c r="M819" s="114"/>
      <c r="N819" s="114"/>
      <c r="O819" s="114"/>
      <c r="P819" s="114"/>
      <c r="Q819" s="114"/>
      <c r="R819" s="114"/>
      <c r="S819" s="114"/>
      <c r="T819" s="114"/>
      <c r="U819" s="114"/>
      <c r="V819" s="114"/>
      <c r="W819" s="114"/>
      <c r="X819" s="114"/>
      <c r="Y819" s="114"/>
      <c r="Z819" s="114"/>
      <c r="AA819" s="114"/>
      <c r="AB819" s="114"/>
      <c r="AC819" s="114"/>
      <c r="AD819" s="114"/>
      <c r="AE819" s="114"/>
      <c r="AF819" s="114"/>
      <c r="AG819" s="114"/>
      <c r="AH819" s="114"/>
      <c r="AI819" s="114"/>
      <c r="AJ819" s="114"/>
      <c r="AK819" s="114"/>
    </row>
    <row r="820" ht="15.75" customHeight="1">
      <c r="A820" s="114"/>
      <c r="B820" s="114"/>
      <c r="C820" s="114"/>
      <c r="D820" s="114"/>
      <c r="E820" s="114"/>
      <c r="F820" s="114"/>
      <c r="G820" s="114"/>
      <c r="H820" s="114"/>
      <c r="I820" s="114"/>
      <c r="J820" s="114"/>
      <c r="K820" s="114"/>
      <c r="L820" s="114"/>
      <c r="M820" s="114"/>
      <c r="N820" s="114"/>
      <c r="O820" s="114"/>
      <c r="P820" s="114"/>
      <c r="Q820" s="114"/>
      <c r="R820" s="114"/>
      <c r="S820" s="114"/>
      <c r="T820" s="114"/>
      <c r="U820" s="114"/>
      <c r="V820" s="114"/>
      <c r="W820" s="114"/>
      <c r="X820" s="114"/>
      <c r="Y820" s="114"/>
      <c r="Z820" s="114"/>
      <c r="AA820" s="114"/>
      <c r="AB820" s="114"/>
      <c r="AC820" s="114"/>
      <c r="AD820" s="114"/>
      <c r="AE820" s="114"/>
      <c r="AF820" s="114"/>
      <c r="AG820" s="114"/>
      <c r="AH820" s="114"/>
      <c r="AI820" s="114"/>
      <c r="AJ820" s="114"/>
      <c r="AK820" s="114"/>
    </row>
    <row r="821" ht="15.75" customHeight="1">
      <c r="A821" s="114"/>
      <c r="B821" s="114"/>
      <c r="C821" s="114"/>
      <c r="D821" s="114"/>
      <c r="E821" s="114"/>
      <c r="F821" s="114"/>
      <c r="G821" s="114"/>
      <c r="H821" s="114"/>
      <c r="I821" s="114"/>
      <c r="J821" s="114"/>
      <c r="K821" s="114"/>
      <c r="L821" s="114"/>
      <c r="M821" s="114"/>
      <c r="N821" s="114"/>
      <c r="O821" s="114"/>
      <c r="P821" s="114"/>
      <c r="Q821" s="114"/>
      <c r="R821" s="114"/>
      <c r="S821" s="114"/>
      <c r="T821" s="114"/>
      <c r="U821" s="114"/>
      <c r="V821" s="114"/>
      <c r="W821" s="114"/>
      <c r="X821" s="114"/>
      <c r="Y821" s="114"/>
      <c r="Z821" s="114"/>
      <c r="AA821" s="114"/>
      <c r="AB821" s="114"/>
      <c r="AC821" s="114"/>
      <c r="AD821" s="114"/>
      <c r="AE821" s="114"/>
      <c r="AF821" s="114"/>
      <c r="AG821" s="114"/>
      <c r="AH821" s="114"/>
      <c r="AI821" s="114"/>
      <c r="AJ821" s="114"/>
      <c r="AK821" s="114"/>
    </row>
    <row r="822" ht="15.75" customHeight="1">
      <c r="A822" s="114"/>
      <c r="B822" s="114"/>
      <c r="C822" s="114"/>
      <c r="D822" s="114"/>
      <c r="E822" s="114"/>
      <c r="F822" s="114"/>
      <c r="G822" s="114"/>
      <c r="H822" s="114"/>
      <c r="I822" s="114"/>
      <c r="J822" s="114"/>
      <c r="K822" s="114"/>
      <c r="L822" s="114"/>
      <c r="M822" s="114"/>
      <c r="N822" s="114"/>
      <c r="O822" s="114"/>
      <c r="P822" s="114"/>
      <c r="Q822" s="114"/>
      <c r="R822" s="114"/>
      <c r="S822" s="114"/>
      <c r="T822" s="114"/>
      <c r="U822" s="114"/>
      <c r="V822" s="114"/>
      <c r="W822" s="114"/>
      <c r="X822" s="114"/>
      <c r="Y822" s="114"/>
      <c r="Z822" s="114"/>
      <c r="AA822" s="114"/>
      <c r="AB822" s="114"/>
      <c r="AC822" s="114"/>
      <c r="AD822" s="114"/>
      <c r="AE822" s="114"/>
      <c r="AF822" s="114"/>
      <c r="AG822" s="114"/>
      <c r="AH822" s="114"/>
      <c r="AI822" s="114"/>
      <c r="AJ822" s="114"/>
      <c r="AK822" s="114"/>
    </row>
    <row r="823" ht="15.75" customHeight="1">
      <c r="A823" s="114"/>
      <c r="B823" s="114"/>
      <c r="C823" s="114"/>
      <c r="D823" s="114"/>
      <c r="E823" s="114"/>
      <c r="F823" s="114"/>
      <c r="G823" s="114"/>
      <c r="H823" s="114"/>
      <c r="I823" s="114"/>
      <c r="J823" s="114"/>
      <c r="K823" s="114"/>
      <c r="L823" s="114"/>
      <c r="M823" s="114"/>
      <c r="N823" s="114"/>
      <c r="O823" s="114"/>
      <c r="P823" s="114"/>
      <c r="Q823" s="114"/>
      <c r="R823" s="114"/>
      <c r="S823" s="114"/>
      <c r="T823" s="114"/>
      <c r="U823" s="114"/>
      <c r="V823" s="114"/>
      <c r="W823" s="114"/>
      <c r="X823" s="114"/>
      <c r="Y823" s="114"/>
      <c r="Z823" s="114"/>
      <c r="AA823" s="114"/>
      <c r="AB823" s="114"/>
      <c r="AC823" s="114"/>
      <c r="AD823" s="114"/>
      <c r="AE823" s="114"/>
      <c r="AF823" s="114"/>
      <c r="AG823" s="114"/>
      <c r="AH823" s="114"/>
      <c r="AI823" s="114"/>
      <c r="AJ823" s="114"/>
      <c r="AK823" s="114"/>
    </row>
    <row r="824" ht="15.75" customHeight="1">
      <c r="A824" s="114"/>
      <c r="B824" s="114"/>
      <c r="C824" s="114"/>
      <c r="D824" s="114"/>
      <c r="E824" s="114"/>
      <c r="F824" s="114"/>
      <c r="G824" s="114"/>
      <c r="H824" s="114"/>
      <c r="I824" s="114"/>
      <c r="J824" s="114"/>
      <c r="K824" s="114"/>
      <c r="L824" s="114"/>
      <c r="M824" s="114"/>
      <c r="N824" s="114"/>
      <c r="O824" s="114"/>
      <c r="P824" s="114"/>
      <c r="Q824" s="114"/>
      <c r="R824" s="114"/>
      <c r="S824" s="114"/>
      <c r="T824" s="114"/>
      <c r="U824" s="114"/>
      <c r="V824" s="114"/>
      <c r="W824" s="114"/>
      <c r="X824" s="114"/>
      <c r="Y824" s="114"/>
      <c r="Z824" s="114"/>
      <c r="AA824" s="114"/>
      <c r="AB824" s="114"/>
      <c r="AC824" s="114"/>
      <c r="AD824" s="114"/>
      <c r="AE824" s="114"/>
      <c r="AF824" s="114"/>
      <c r="AG824" s="114"/>
      <c r="AH824" s="114"/>
      <c r="AI824" s="114"/>
      <c r="AJ824" s="114"/>
      <c r="AK824" s="114"/>
    </row>
    <row r="825" ht="15.75" customHeight="1">
      <c r="A825" s="114"/>
      <c r="B825" s="114"/>
      <c r="C825" s="114"/>
      <c r="D825" s="114"/>
      <c r="E825" s="114"/>
      <c r="F825" s="114"/>
      <c r="G825" s="114"/>
      <c r="H825" s="114"/>
      <c r="I825" s="114"/>
      <c r="J825" s="114"/>
      <c r="K825" s="114"/>
      <c r="L825" s="114"/>
      <c r="M825" s="114"/>
      <c r="N825" s="114"/>
      <c r="O825" s="114"/>
      <c r="P825" s="114"/>
      <c r="Q825" s="114"/>
      <c r="R825" s="114"/>
      <c r="S825" s="114"/>
      <c r="T825" s="114"/>
      <c r="U825" s="114"/>
      <c r="V825" s="114"/>
      <c r="W825" s="114"/>
      <c r="X825" s="114"/>
      <c r="Y825" s="114"/>
      <c r="Z825" s="114"/>
      <c r="AA825" s="114"/>
      <c r="AB825" s="114"/>
      <c r="AC825" s="114"/>
      <c r="AD825" s="114"/>
      <c r="AE825" s="114"/>
      <c r="AF825" s="114"/>
      <c r="AG825" s="114"/>
      <c r="AH825" s="114"/>
      <c r="AI825" s="114"/>
      <c r="AJ825" s="114"/>
      <c r="AK825" s="114"/>
    </row>
    <row r="826" ht="15.75" customHeight="1">
      <c r="A826" s="114"/>
      <c r="B826" s="114"/>
      <c r="C826" s="114"/>
      <c r="D826" s="114"/>
      <c r="E826" s="114"/>
      <c r="F826" s="114"/>
      <c r="G826" s="114"/>
      <c r="H826" s="114"/>
      <c r="I826" s="114"/>
      <c r="J826" s="114"/>
      <c r="K826" s="114"/>
      <c r="L826" s="114"/>
      <c r="M826" s="114"/>
      <c r="N826" s="114"/>
      <c r="O826" s="114"/>
      <c r="P826" s="114"/>
      <c r="Q826" s="114"/>
      <c r="R826" s="114"/>
      <c r="S826" s="114"/>
      <c r="T826" s="114"/>
      <c r="U826" s="114"/>
      <c r="V826" s="114"/>
      <c r="W826" s="114"/>
      <c r="X826" s="114"/>
      <c r="Y826" s="114"/>
      <c r="Z826" s="114"/>
      <c r="AA826" s="114"/>
      <c r="AB826" s="114"/>
      <c r="AC826" s="114"/>
      <c r="AD826" s="114"/>
      <c r="AE826" s="114"/>
      <c r="AF826" s="114"/>
      <c r="AG826" s="114"/>
      <c r="AH826" s="114"/>
      <c r="AI826" s="114"/>
      <c r="AJ826" s="114"/>
      <c r="AK826" s="114"/>
    </row>
    <row r="827" ht="15.75" customHeight="1">
      <c r="A827" s="114"/>
      <c r="B827" s="114"/>
      <c r="C827" s="114"/>
      <c r="D827" s="114"/>
      <c r="E827" s="114"/>
      <c r="F827" s="114"/>
      <c r="G827" s="114"/>
      <c r="H827" s="114"/>
      <c r="I827" s="114"/>
      <c r="J827" s="114"/>
      <c r="K827" s="114"/>
      <c r="L827" s="114"/>
      <c r="M827" s="114"/>
      <c r="N827" s="114"/>
      <c r="O827" s="114"/>
      <c r="P827" s="114"/>
      <c r="Q827" s="114"/>
      <c r="R827" s="114"/>
      <c r="S827" s="114"/>
      <c r="T827" s="114"/>
      <c r="U827" s="114"/>
      <c r="V827" s="114"/>
      <c r="W827" s="114"/>
      <c r="X827" s="114"/>
      <c r="Y827" s="114"/>
      <c r="Z827" s="114"/>
      <c r="AA827" s="114"/>
      <c r="AB827" s="114"/>
      <c r="AC827" s="114"/>
      <c r="AD827" s="114"/>
      <c r="AE827" s="114"/>
      <c r="AF827" s="114"/>
      <c r="AG827" s="114"/>
      <c r="AH827" s="114"/>
      <c r="AI827" s="114"/>
      <c r="AJ827" s="114"/>
      <c r="AK827" s="114"/>
    </row>
    <row r="828" ht="15.75" customHeight="1">
      <c r="A828" s="114"/>
      <c r="B828" s="114"/>
      <c r="C828" s="114"/>
      <c r="D828" s="114"/>
      <c r="E828" s="114"/>
      <c r="F828" s="114"/>
      <c r="G828" s="114"/>
      <c r="H828" s="114"/>
      <c r="I828" s="114"/>
      <c r="J828" s="114"/>
      <c r="K828" s="114"/>
      <c r="L828" s="114"/>
      <c r="M828" s="114"/>
      <c r="N828" s="114"/>
      <c r="O828" s="114"/>
      <c r="P828" s="114"/>
      <c r="Q828" s="114"/>
      <c r="R828" s="114"/>
      <c r="S828" s="114"/>
      <c r="T828" s="114"/>
      <c r="U828" s="114"/>
      <c r="V828" s="114"/>
      <c r="W828" s="114"/>
      <c r="X828" s="114"/>
      <c r="Y828" s="114"/>
      <c r="Z828" s="114"/>
      <c r="AA828" s="114"/>
      <c r="AB828" s="114"/>
      <c r="AC828" s="114"/>
      <c r="AD828" s="114"/>
      <c r="AE828" s="114"/>
      <c r="AF828" s="114"/>
      <c r="AG828" s="114"/>
      <c r="AH828" s="114"/>
      <c r="AI828" s="114"/>
      <c r="AJ828" s="114"/>
      <c r="AK828" s="114"/>
    </row>
    <row r="829" ht="15.75" customHeight="1">
      <c r="A829" s="114"/>
      <c r="B829" s="114"/>
      <c r="C829" s="114"/>
      <c r="D829" s="114"/>
      <c r="E829" s="114"/>
      <c r="F829" s="114"/>
      <c r="G829" s="114"/>
      <c r="H829" s="114"/>
      <c r="I829" s="114"/>
      <c r="J829" s="114"/>
      <c r="K829" s="114"/>
      <c r="L829" s="114"/>
      <c r="M829" s="114"/>
      <c r="N829" s="114"/>
      <c r="O829" s="114"/>
      <c r="P829" s="114"/>
      <c r="Q829" s="114"/>
      <c r="R829" s="114"/>
      <c r="S829" s="114"/>
      <c r="T829" s="114"/>
      <c r="U829" s="114"/>
      <c r="V829" s="114"/>
      <c r="W829" s="114"/>
      <c r="X829" s="114"/>
      <c r="Y829" s="114"/>
      <c r="Z829" s="114"/>
      <c r="AA829" s="114"/>
      <c r="AB829" s="114"/>
      <c r="AC829" s="114"/>
      <c r="AD829" s="114"/>
      <c r="AE829" s="114"/>
      <c r="AF829" s="114"/>
      <c r="AG829" s="114"/>
      <c r="AH829" s="114"/>
      <c r="AI829" s="114"/>
      <c r="AJ829" s="114"/>
      <c r="AK829" s="114"/>
    </row>
    <row r="830" ht="15.75" customHeight="1">
      <c r="A830" s="114"/>
      <c r="B830" s="114"/>
      <c r="C830" s="114"/>
      <c r="D830" s="114"/>
      <c r="E830" s="114"/>
      <c r="F830" s="114"/>
      <c r="G830" s="114"/>
      <c r="H830" s="114"/>
      <c r="I830" s="114"/>
      <c r="J830" s="114"/>
      <c r="K830" s="114"/>
      <c r="L830" s="114"/>
      <c r="M830" s="114"/>
      <c r="N830" s="114"/>
      <c r="O830" s="114"/>
      <c r="P830" s="114"/>
      <c r="Q830" s="114"/>
      <c r="R830" s="114"/>
      <c r="S830" s="114"/>
      <c r="T830" s="114"/>
      <c r="U830" s="114"/>
      <c r="V830" s="114"/>
      <c r="W830" s="114"/>
      <c r="X830" s="114"/>
      <c r="Y830" s="114"/>
      <c r="Z830" s="114"/>
      <c r="AA830" s="114"/>
      <c r="AB830" s="114"/>
      <c r="AC830" s="114"/>
      <c r="AD830" s="114"/>
      <c r="AE830" s="114"/>
      <c r="AF830" s="114"/>
      <c r="AG830" s="114"/>
      <c r="AH830" s="114"/>
      <c r="AI830" s="114"/>
      <c r="AJ830" s="114"/>
      <c r="AK830" s="114"/>
    </row>
    <row r="831" ht="15.75" customHeight="1">
      <c r="A831" s="114"/>
      <c r="B831" s="114"/>
      <c r="C831" s="114"/>
      <c r="D831" s="114"/>
      <c r="E831" s="114"/>
      <c r="F831" s="114"/>
      <c r="G831" s="114"/>
      <c r="H831" s="114"/>
      <c r="I831" s="114"/>
      <c r="J831" s="114"/>
      <c r="K831" s="114"/>
      <c r="L831" s="114"/>
      <c r="M831" s="114"/>
      <c r="N831" s="114"/>
      <c r="O831" s="114"/>
      <c r="P831" s="114"/>
      <c r="Q831" s="114"/>
      <c r="R831" s="114"/>
      <c r="S831" s="114"/>
      <c r="T831" s="114"/>
      <c r="U831" s="114"/>
      <c r="V831" s="114"/>
      <c r="W831" s="114"/>
      <c r="X831" s="114"/>
      <c r="Y831" s="114"/>
      <c r="Z831" s="114"/>
      <c r="AA831" s="114"/>
      <c r="AB831" s="114"/>
      <c r="AC831" s="114"/>
      <c r="AD831" s="114"/>
      <c r="AE831" s="114"/>
      <c r="AF831" s="114"/>
      <c r="AG831" s="114"/>
      <c r="AH831" s="114"/>
      <c r="AI831" s="114"/>
      <c r="AJ831" s="114"/>
      <c r="AK831" s="114"/>
    </row>
    <row r="832" ht="15.75" customHeight="1">
      <c r="A832" s="114"/>
      <c r="B832" s="114"/>
      <c r="C832" s="114"/>
      <c r="D832" s="114"/>
      <c r="E832" s="114"/>
      <c r="F832" s="114"/>
      <c r="G832" s="114"/>
      <c r="H832" s="114"/>
      <c r="I832" s="114"/>
      <c r="J832" s="114"/>
      <c r="K832" s="114"/>
      <c r="L832" s="114"/>
      <c r="M832" s="114"/>
      <c r="N832" s="114"/>
      <c r="O832" s="114"/>
      <c r="P832" s="114"/>
      <c r="Q832" s="114"/>
      <c r="R832" s="114"/>
      <c r="S832" s="114"/>
      <c r="T832" s="114"/>
      <c r="U832" s="114"/>
      <c r="V832" s="114"/>
      <c r="W832" s="114"/>
      <c r="X832" s="114"/>
      <c r="Y832" s="114"/>
      <c r="Z832" s="114"/>
      <c r="AA832" s="114"/>
      <c r="AB832" s="114"/>
      <c r="AC832" s="114"/>
      <c r="AD832" s="114"/>
      <c r="AE832" s="114"/>
      <c r="AF832" s="114"/>
      <c r="AG832" s="114"/>
      <c r="AH832" s="114"/>
      <c r="AI832" s="114"/>
      <c r="AJ832" s="114"/>
      <c r="AK832" s="114"/>
    </row>
    <row r="833" ht="15.75" customHeight="1">
      <c r="A833" s="114"/>
      <c r="B833" s="114"/>
      <c r="C833" s="114"/>
      <c r="D833" s="114"/>
      <c r="E833" s="114"/>
      <c r="F833" s="114"/>
      <c r="G833" s="114"/>
      <c r="H833" s="114"/>
      <c r="I833" s="114"/>
      <c r="J833" s="114"/>
      <c r="K833" s="114"/>
      <c r="L833" s="114"/>
      <c r="M833" s="114"/>
      <c r="N833" s="114"/>
      <c r="O833" s="114"/>
      <c r="P833" s="114"/>
      <c r="Q833" s="114"/>
      <c r="R833" s="114"/>
      <c r="S833" s="114"/>
      <c r="T833" s="114"/>
      <c r="U833" s="114"/>
      <c r="V833" s="114"/>
      <c r="W833" s="114"/>
      <c r="X833" s="114"/>
      <c r="Y833" s="114"/>
      <c r="Z833" s="114"/>
      <c r="AA833" s="114"/>
      <c r="AB833" s="114"/>
      <c r="AC833" s="114"/>
      <c r="AD833" s="114"/>
      <c r="AE833" s="114"/>
      <c r="AF833" s="114"/>
      <c r="AG833" s="114"/>
      <c r="AH833" s="114"/>
      <c r="AI833" s="114"/>
      <c r="AJ833" s="114"/>
      <c r="AK833" s="114"/>
    </row>
    <row r="834" ht="15.75" customHeight="1">
      <c r="A834" s="114"/>
      <c r="B834" s="114"/>
      <c r="C834" s="114"/>
      <c r="D834" s="114"/>
      <c r="E834" s="114"/>
      <c r="F834" s="114"/>
      <c r="G834" s="114"/>
      <c r="H834" s="114"/>
      <c r="I834" s="114"/>
      <c r="J834" s="114"/>
      <c r="K834" s="114"/>
      <c r="L834" s="114"/>
      <c r="M834" s="114"/>
      <c r="N834" s="114"/>
      <c r="O834" s="114"/>
      <c r="P834" s="114"/>
      <c r="Q834" s="114"/>
      <c r="R834" s="114"/>
      <c r="S834" s="114"/>
      <c r="T834" s="114"/>
      <c r="U834" s="114"/>
      <c r="V834" s="114"/>
      <c r="W834" s="114"/>
      <c r="X834" s="114"/>
      <c r="Y834" s="114"/>
      <c r="Z834" s="114"/>
      <c r="AA834" s="114"/>
      <c r="AB834" s="114"/>
      <c r="AC834" s="114"/>
      <c r="AD834" s="114"/>
      <c r="AE834" s="114"/>
      <c r="AF834" s="114"/>
      <c r="AG834" s="114"/>
      <c r="AH834" s="114"/>
      <c r="AI834" s="114"/>
      <c r="AJ834" s="114"/>
      <c r="AK834" s="114"/>
    </row>
    <row r="835" ht="15.75" customHeight="1">
      <c r="A835" s="114"/>
      <c r="B835" s="114"/>
      <c r="C835" s="114"/>
      <c r="D835" s="114"/>
      <c r="E835" s="114"/>
      <c r="F835" s="114"/>
      <c r="G835" s="114"/>
      <c r="H835" s="114"/>
      <c r="I835" s="114"/>
      <c r="J835" s="114"/>
      <c r="K835" s="114"/>
      <c r="L835" s="114"/>
      <c r="M835" s="114"/>
      <c r="N835" s="114"/>
      <c r="O835" s="114"/>
      <c r="P835" s="114"/>
      <c r="Q835" s="114"/>
      <c r="R835" s="114"/>
      <c r="S835" s="114"/>
      <c r="T835" s="114"/>
      <c r="U835" s="114"/>
      <c r="V835" s="114"/>
      <c r="W835" s="114"/>
      <c r="X835" s="114"/>
      <c r="Y835" s="114"/>
      <c r="Z835" s="114"/>
      <c r="AA835" s="114"/>
      <c r="AB835" s="114"/>
      <c r="AC835" s="114"/>
      <c r="AD835" s="114"/>
      <c r="AE835" s="114"/>
      <c r="AF835" s="114"/>
      <c r="AG835" s="114"/>
      <c r="AH835" s="114"/>
      <c r="AI835" s="114"/>
      <c r="AJ835" s="114"/>
      <c r="AK835" s="114"/>
    </row>
    <row r="836" ht="15.75" customHeight="1">
      <c r="A836" s="114"/>
      <c r="B836" s="114"/>
      <c r="C836" s="114"/>
      <c r="D836" s="114"/>
      <c r="E836" s="114"/>
      <c r="F836" s="114"/>
      <c r="G836" s="114"/>
      <c r="H836" s="114"/>
      <c r="I836" s="114"/>
      <c r="J836" s="114"/>
      <c r="K836" s="114"/>
      <c r="L836" s="114"/>
      <c r="M836" s="114"/>
      <c r="N836" s="114"/>
      <c r="O836" s="114"/>
      <c r="P836" s="114"/>
      <c r="Q836" s="114"/>
      <c r="R836" s="114"/>
      <c r="S836" s="114"/>
      <c r="T836" s="114"/>
      <c r="U836" s="114"/>
      <c r="V836" s="114"/>
      <c r="W836" s="114"/>
      <c r="X836" s="114"/>
      <c r="Y836" s="114"/>
      <c r="Z836" s="114"/>
      <c r="AA836" s="114"/>
      <c r="AB836" s="114"/>
      <c r="AC836" s="114"/>
      <c r="AD836" s="114"/>
      <c r="AE836" s="114"/>
      <c r="AF836" s="114"/>
      <c r="AG836" s="114"/>
      <c r="AH836" s="114"/>
      <c r="AI836" s="114"/>
      <c r="AJ836" s="114"/>
      <c r="AK836" s="114"/>
    </row>
    <row r="837" ht="15.75" customHeight="1">
      <c r="A837" s="114"/>
      <c r="B837" s="114"/>
      <c r="C837" s="114"/>
      <c r="D837" s="114"/>
      <c r="E837" s="114"/>
      <c r="F837" s="114"/>
      <c r="G837" s="114"/>
      <c r="H837" s="114"/>
      <c r="I837" s="114"/>
      <c r="J837" s="114"/>
      <c r="K837" s="114"/>
      <c r="L837" s="114"/>
      <c r="M837" s="114"/>
      <c r="N837" s="114"/>
      <c r="O837" s="114"/>
      <c r="P837" s="114"/>
      <c r="Q837" s="114"/>
      <c r="R837" s="114"/>
      <c r="S837" s="114"/>
      <c r="T837" s="114"/>
      <c r="U837" s="114"/>
      <c r="V837" s="114"/>
      <c r="W837" s="114"/>
      <c r="X837" s="114"/>
      <c r="Y837" s="114"/>
      <c r="Z837" s="114"/>
      <c r="AA837" s="114"/>
      <c r="AB837" s="114"/>
      <c r="AC837" s="114"/>
      <c r="AD837" s="114"/>
      <c r="AE837" s="114"/>
      <c r="AF837" s="114"/>
      <c r="AG837" s="114"/>
      <c r="AH837" s="114"/>
      <c r="AI837" s="114"/>
      <c r="AJ837" s="114"/>
      <c r="AK837" s="114"/>
    </row>
    <row r="838" ht="15.75" customHeight="1">
      <c r="A838" s="114"/>
      <c r="B838" s="114"/>
      <c r="C838" s="114"/>
      <c r="D838" s="114"/>
      <c r="E838" s="114"/>
      <c r="F838" s="114"/>
      <c r="G838" s="114"/>
      <c r="H838" s="114"/>
      <c r="I838" s="114"/>
      <c r="J838" s="114"/>
      <c r="K838" s="114"/>
      <c r="L838" s="114"/>
      <c r="M838" s="114"/>
      <c r="N838" s="114"/>
      <c r="O838" s="114"/>
      <c r="P838" s="114"/>
      <c r="Q838" s="114"/>
      <c r="R838" s="114"/>
      <c r="S838" s="114"/>
      <c r="T838" s="114"/>
      <c r="U838" s="114"/>
      <c r="V838" s="114"/>
      <c r="W838" s="114"/>
      <c r="X838" s="114"/>
      <c r="Y838" s="114"/>
      <c r="Z838" s="114"/>
      <c r="AA838" s="114"/>
      <c r="AB838" s="114"/>
      <c r="AC838" s="114"/>
      <c r="AD838" s="114"/>
      <c r="AE838" s="114"/>
      <c r="AF838" s="114"/>
      <c r="AG838" s="114"/>
      <c r="AH838" s="114"/>
      <c r="AI838" s="114"/>
      <c r="AJ838" s="114"/>
      <c r="AK838" s="114"/>
    </row>
    <row r="839" ht="15.75" customHeight="1">
      <c r="A839" s="114"/>
      <c r="B839" s="114"/>
      <c r="C839" s="114"/>
      <c r="D839" s="114"/>
      <c r="E839" s="114"/>
      <c r="F839" s="114"/>
      <c r="G839" s="114"/>
      <c r="H839" s="114"/>
      <c r="I839" s="114"/>
      <c r="J839" s="114"/>
      <c r="K839" s="114"/>
      <c r="L839" s="114"/>
      <c r="M839" s="114"/>
      <c r="N839" s="114"/>
      <c r="O839" s="114"/>
      <c r="P839" s="114"/>
      <c r="Q839" s="114"/>
      <c r="R839" s="114"/>
      <c r="S839" s="114"/>
      <c r="T839" s="114"/>
      <c r="U839" s="114"/>
      <c r="V839" s="114"/>
      <c r="W839" s="114"/>
      <c r="X839" s="114"/>
      <c r="Y839" s="114"/>
      <c r="Z839" s="114"/>
      <c r="AA839" s="114"/>
      <c r="AB839" s="114"/>
      <c r="AC839" s="114"/>
      <c r="AD839" s="114"/>
      <c r="AE839" s="114"/>
      <c r="AF839" s="114"/>
      <c r="AG839" s="114"/>
      <c r="AH839" s="114"/>
      <c r="AI839" s="114"/>
      <c r="AJ839" s="114"/>
      <c r="AK839" s="114"/>
    </row>
    <row r="840" ht="15.75" customHeight="1">
      <c r="A840" s="114"/>
      <c r="B840" s="114"/>
      <c r="C840" s="114"/>
      <c r="D840" s="114"/>
      <c r="E840" s="114"/>
      <c r="F840" s="114"/>
      <c r="G840" s="114"/>
      <c r="H840" s="114"/>
      <c r="I840" s="114"/>
      <c r="J840" s="114"/>
      <c r="K840" s="114"/>
      <c r="L840" s="114"/>
      <c r="M840" s="114"/>
      <c r="N840" s="114"/>
      <c r="O840" s="114"/>
      <c r="P840" s="114"/>
      <c r="Q840" s="114"/>
      <c r="R840" s="114"/>
      <c r="S840" s="114"/>
      <c r="T840" s="114"/>
      <c r="U840" s="114"/>
      <c r="V840" s="114"/>
      <c r="W840" s="114"/>
      <c r="X840" s="114"/>
      <c r="Y840" s="114"/>
      <c r="Z840" s="114"/>
      <c r="AA840" s="114"/>
      <c r="AB840" s="114"/>
      <c r="AC840" s="114"/>
      <c r="AD840" s="114"/>
      <c r="AE840" s="114"/>
      <c r="AF840" s="114"/>
      <c r="AG840" s="114"/>
      <c r="AH840" s="114"/>
      <c r="AI840" s="114"/>
      <c r="AJ840" s="114"/>
      <c r="AK840" s="114"/>
    </row>
    <row r="841" ht="15.75" customHeight="1">
      <c r="A841" s="114"/>
      <c r="B841" s="114"/>
      <c r="C841" s="114"/>
      <c r="D841" s="114"/>
      <c r="E841" s="114"/>
      <c r="F841" s="114"/>
      <c r="G841" s="114"/>
      <c r="H841" s="114"/>
      <c r="I841" s="114"/>
      <c r="J841" s="114"/>
      <c r="K841" s="114"/>
      <c r="L841" s="114"/>
      <c r="M841" s="114"/>
      <c r="N841" s="114"/>
      <c r="O841" s="114"/>
      <c r="P841" s="114"/>
      <c r="Q841" s="114"/>
      <c r="R841" s="114"/>
      <c r="S841" s="114"/>
      <c r="T841" s="114"/>
      <c r="U841" s="114"/>
      <c r="V841" s="114"/>
      <c r="W841" s="114"/>
      <c r="X841" s="114"/>
      <c r="Y841" s="114"/>
      <c r="Z841" s="114"/>
      <c r="AA841" s="114"/>
      <c r="AB841" s="114"/>
      <c r="AC841" s="114"/>
      <c r="AD841" s="114"/>
      <c r="AE841" s="114"/>
      <c r="AF841" s="114"/>
      <c r="AG841" s="114"/>
      <c r="AH841" s="114"/>
      <c r="AI841" s="114"/>
      <c r="AJ841" s="114"/>
      <c r="AK841" s="114"/>
    </row>
    <row r="842" ht="15.75" customHeight="1">
      <c r="A842" s="114"/>
      <c r="B842" s="114"/>
      <c r="C842" s="114"/>
      <c r="D842" s="114"/>
      <c r="E842" s="114"/>
      <c r="F842" s="114"/>
      <c r="G842" s="114"/>
      <c r="H842" s="114"/>
      <c r="I842" s="114"/>
      <c r="J842" s="114"/>
      <c r="K842" s="114"/>
      <c r="L842" s="114"/>
      <c r="M842" s="114"/>
      <c r="N842" s="114"/>
      <c r="O842" s="114"/>
      <c r="P842" s="114"/>
      <c r="Q842" s="114"/>
      <c r="R842" s="114"/>
      <c r="S842" s="114"/>
      <c r="T842" s="114"/>
      <c r="U842" s="114"/>
      <c r="V842" s="114"/>
      <c r="W842" s="114"/>
      <c r="X842" s="114"/>
      <c r="Y842" s="114"/>
      <c r="Z842" s="114"/>
      <c r="AA842" s="114"/>
      <c r="AB842" s="114"/>
      <c r="AC842" s="114"/>
      <c r="AD842" s="114"/>
      <c r="AE842" s="114"/>
      <c r="AF842" s="114"/>
      <c r="AG842" s="114"/>
      <c r="AH842" s="114"/>
      <c r="AI842" s="114"/>
      <c r="AJ842" s="114"/>
      <c r="AK842" s="114"/>
    </row>
    <row r="843" ht="15.75" customHeight="1">
      <c r="A843" s="114"/>
      <c r="B843" s="114"/>
      <c r="C843" s="114"/>
      <c r="D843" s="114"/>
      <c r="E843" s="114"/>
      <c r="F843" s="114"/>
      <c r="G843" s="114"/>
      <c r="H843" s="114"/>
      <c r="I843" s="114"/>
      <c r="J843" s="114"/>
      <c r="K843" s="114"/>
      <c r="L843" s="114"/>
      <c r="M843" s="114"/>
      <c r="N843" s="114"/>
      <c r="O843" s="114"/>
      <c r="P843" s="114"/>
      <c r="Q843" s="114"/>
      <c r="R843" s="114"/>
      <c r="S843" s="114"/>
      <c r="T843" s="114"/>
      <c r="U843" s="114"/>
      <c r="V843" s="114"/>
      <c r="W843" s="114"/>
      <c r="X843" s="114"/>
      <c r="Y843" s="114"/>
      <c r="Z843" s="114"/>
      <c r="AA843" s="114"/>
      <c r="AB843" s="114"/>
      <c r="AC843" s="114"/>
      <c r="AD843" s="114"/>
      <c r="AE843" s="114"/>
      <c r="AF843" s="114"/>
      <c r="AG843" s="114"/>
      <c r="AH843" s="114"/>
      <c r="AI843" s="114"/>
      <c r="AJ843" s="114"/>
      <c r="AK843" s="114"/>
    </row>
    <row r="844" ht="15.75" customHeight="1">
      <c r="A844" s="114"/>
      <c r="B844" s="114"/>
      <c r="C844" s="114"/>
      <c r="D844" s="114"/>
      <c r="E844" s="114"/>
      <c r="F844" s="114"/>
      <c r="G844" s="114"/>
      <c r="H844" s="114"/>
      <c r="I844" s="114"/>
      <c r="J844" s="114"/>
      <c r="K844" s="114"/>
      <c r="L844" s="114"/>
      <c r="M844" s="114"/>
      <c r="N844" s="114"/>
      <c r="O844" s="114"/>
      <c r="P844" s="114"/>
      <c r="Q844" s="114"/>
      <c r="R844" s="114"/>
      <c r="S844" s="114"/>
      <c r="T844" s="114"/>
      <c r="U844" s="114"/>
      <c r="V844" s="114"/>
      <c r="W844" s="114"/>
      <c r="X844" s="114"/>
      <c r="Y844" s="114"/>
      <c r="Z844" s="114"/>
      <c r="AA844" s="114"/>
      <c r="AB844" s="114"/>
      <c r="AC844" s="114"/>
      <c r="AD844" s="114"/>
      <c r="AE844" s="114"/>
      <c r="AF844" s="114"/>
      <c r="AG844" s="114"/>
      <c r="AH844" s="114"/>
      <c r="AI844" s="114"/>
      <c r="AJ844" s="114"/>
      <c r="AK844" s="114"/>
    </row>
    <row r="845" ht="15.75" customHeight="1">
      <c r="A845" s="114"/>
      <c r="B845" s="114"/>
      <c r="C845" s="114"/>
      <c r="D845" s="114"/>
      <c r="E845" s="114"/>
      <c r="F845" s="114"/>
      <c r="G845" s="114"/>
      <c r="H845" s="114"/>
      <c r="I845" s="114"/>
      <c r="J845" s="114"/>
      <c r="K845" s="114"/>
      <c r="L845" s="114"/>
      <c r="M845" s="114"/>
      <c r="N845" s="114"/>
      <c r="O845" s="114"/>
      <c r="P845" s="114"/>
      <c r="Q845" s="114"/>
      <c r="R845" s="114"/>
      <c r="S845" s="114"/>
      <c r="T845" s="114"/>
      <c r="U845" s="114"/>
      <c r="V845" s="114"/>
      <c r="W845" s="114"/>
      <c r="X845" s="114"/>
      <c r="Y845" s="114"/>
      <c r="Z845" s="114"/>
      <c r="AA845" s="114"/>
      <c r="AB845" s="114"/>
      <c r="AC845" s="114"/>
      <c r="AD845" s="114"/>
      <c r="AE845" s="114"/>
      <c r="AF845" s="114"/>
      <c r="AG845" s="114"/>
      <c r="AH845" s="114"/>
      <c r="AI845" s="114"/>
      <c r="AJ845" s="114"/>
      <c r="AK845" s="114"/>
    </row>
    <row r="846" ht="15.75" customHeight="1">
      <c r="A846" s="114"/>
      <c r="B846" s="114"/>
      <c r="C846" s="114"/>
      <c r="D846" s="114"/>
      <c r="E846" s="114"/>
      <c r="F846" s="114"/>
      <c r="G846" s="114"/>
      <c r="H846" s="114"/>
      <c r="I846" s="114"/>
      <c r="J846" s="114"/>
      <c r="K846" s="114"/>
      <c r="L846" s="114"/>
      <c r="M846" s="114"/>
      <c r="N846" s="114"/>
      <c r="O846" s="114"/>
      <c r="P846" s="114"/>
      <c r="Q846" s="114"/>
      <c r="R846" s="114"/>
      <c r="S846" s="114"/>
      <c r="T846" s="114"/>
      <c r="U846" s="114"/>
      <c r="V846" s="114"/>
      <c r="W846" s="114"/>
      <c r="X846" s="114"/>
      <c r="Y846" s="114"/>
      <c r="Z846" s="114"/>
      <c r="AA846" s="114"/>
      <c r="AB846" s="114"/>
      <c r="AC846" s="114"/>
      <c r="AD846" s="114"/>
      <c r="AE846" s="114"/>
      <c r="AF846" s="114"/>
      <c r="AG846" s="114"/>
      <c r="AH846" s="114"/>
      <c r="AI846" s="114"/>
      <c r="AJ846" s="114"/>
      <c r="AK846" s="114"/>
    </row>
    <row r="847" ht="15.75" customHeight="1">
      <c r="A847" s="114"/>
      <c r="B847" s="114"/>
      <c r="C847" s="114"/>
      <c r="D847" s="114"/>
      <c r="E847" s="114"/>
      <c r="F847" s="114"/>
      <c r="G847" s="114"/>
      <c r="H847" s="114"/>
      <c r="I847" s="114"/>
      <c r="J847" s="114"/>
      <c r="K847" s="114"/>
      <c r="L847" s="114"/>
      <c r="M847" s="114"/>
      <c r="N847" s="114"/>
      <c r="O847" s="114"/>
      <c r="P847" s="114"/>
      <c r="Q847" s="114"/>
      <c r="R847" s="114"/>
      <c r="S847" s="114"/>
      <c r="T847" s="114"/>
      <c r="U847" s="114"/>
      <c r="V847" s="114"/>
      <c r="W847" s="114"/>
      <c r="X847" s="114"/>
      <c r="Y847" s="114"/>
      <c r="Z847" s="114"/>
      <c r="AA847" s="114"/>
      <c r="AB847" s="114"/>
      <c r="AC847" s="114"/>
      <c r="AD847" s="114"/>
      <c r="AE847" s="114"/>
      <c r="AF847" s="114"/>
      <c r="AG847" s="114"/>
      <c r="AH847" s="114"/>
      <c r="AI847" s="114"/>
      <c r="AJ847" s="114"/>
      <c r="AK847" s="114"/>
    </row>
    <row r="848" ht="15.75" customHeight="1">
      <c r="A848" s="114"/>
      <c r="B848" s="114"/>
      <c r="C848" s="114"/>
      <c r="D848" s="114"/>
      <c r="E848" s="114"/>
      <c r="F848" s="114"/>
      <c r="G848" s="114"/>
      <c r="H848" s="114"/>
      <c r="I848" s="114"/>
      <c r="J848" s="114"/>
      <c r="K848" s="114"/>
      <c r="L848" s="114"/>
      <c r="M848" s="114"/>
      <c r="N848" s="114"/>
      <c r="O848" s="114"/>
      <c r="P848" s="114"/>
      <c r="Q848" s="114"/>
      <c r="R848" s="114"/>
      <c r="S848" s="114"/>
      <c r="T848" s="114"/>
      <c r="U848" s="114"/>
      <c r="V848" s="114"/>
      <c r="W848" s="114"/>
      <c r="X848" s="114"/>
      <c r="Y848" s="114"/>
      <c r="Z848" s="114"/>
      <c r="AA848" s="114"/>
      <c r="AB848" s="114"/>
      <c r="AC848" s="114"/>
      <c r="AD848" s="114"/>
      <c r="AE848" s="114"/>
      <c r="AF848" s="114"/>
      <c r="AG848" s="114"/>
      <c r="AH848" s="114"/>
      <c r="AI848" s="114"/>
      <c r="AJ848" s="114"/>
      <c r="AK848" s="114"/>
    </row>
    <row r="849" ht="15.75" customHeight="1">
      <c r="A849" s="114"/>
      <c r="B849" s="114"/>
      <c r="C849" s="114"/>
      <c r="D849" s="114"/>
      <c r="E849" s="114"/>
      <c r="F849" s="114"/>
      <c r="G849" s="114"/>
      <c r="H849" s="114"/>
      <c r="I849" s="114"/>
      <c r="J849" s="114"/>
      <c r="K849" s="114"/>
      <c r="L849" s="114"/>
      <c r="M849" s="114"/>
      <c r="N849" s="114"/>
      <c r="O849" s="114"/>
      <c r="P849" s="114"/>
      <c r="Q849" s="114"/>
      <c r="R849" s="114"/>
      <c r="S849" s="114"/>
      <c r="T849" s="114"/>
      <c r="U849" s="114"/>
      <c r="V849" s="114"/>
      <c r="W849" s="114"/>
      <c r="X849" s="114"/>
      <c r="Y849" s="114"/>
      <c r="Z849" s="114"/>
      <c r="AA849" s="114"/>
      <c r="AB849" s="114"/>
      <c r="AC849" s="114"/>
      <c r="AD849" s="114"/>
      <c r="AE849" s="114"/>
      <c r="AF849" s="114"/>
      <c r="AG849" s="114"/>
      <c r="AH849" s="114"/>
      <c r="AI849" s="114"/>
      <c r="AJ849" s="114"/>
      <c r="AK849" s="114"/>
    </row>
    <row r="850" ht="15.75" customHeight="1">
      <c r="A850" s="114"/>
      <c r="B850" s="114"/>
      <c r="C850" s="114"/>
      <c r="D850" s="114"/>
      <c r="E850" s="114"/>
      <c r="F850" s="114"/>
      <c r="G850" s="114"/>
      <c r="H850" s="114"/>
      <c r="I850" s="114"/>
      <c r="J850" s="114"/>
      <c r="K850" s="114"/>
      <c r="L850" s="114"/>
      <c r="M850" s="114"/>
      <c r="N850" s="114"/>
      <c r="O850" s="114"/>
      <c r="P850" s="114"/>
      <c r="Q850" s="114"/>
      <c r="R850" s="114"/>
      <c r="S850" s="114"/>
      <c r="T850" s="114"/>
      <c r="U850" s="114"/>
      <c r="V850" s="114"/>
      <c r="W850" s="114"/>
      <c r="X850" s="114"/>
      <c r="Y850" s="114"/>
      <c r="Z850" s="114"/>
      <c r="AA850" s="114"/>
      <c r="AB850" s="114"/>
      <c r="AC850" s="114"/>
      <c r="AD850" s="114"/>
      <c r="AE850" s="114"/>
      <c r="AF850" s="114"/>
      <c r="AG850" s="114"/>
      <c r="AH850" s="114"/>
      <c r="AI850" s="114"/>
      <c r="AJ850" s="114"/>
      <c r="AK850" s="114"/>
    </row>
    <row r="851" ht="15.75" customHeight="1">
      <c r="A851" s="114"/>
      <c r="B851" s="114"/>
      <c r="C851" s="114"/>
      <c r="D851" s="114"/>
      <c r="E851" s="114"/>
      <c r="F851" s="114"/>
      <c r="G851" s="114"/>
      <c r="H851" s="114"/>
      <c r="I851" s="114"/>
      <c r="J851" s="114"/>
      <c r="K851" s="114"/>
      <c r="L851" s="114"/>
      <c r="M851" s="114"/>
      <c r="N851" s="114"/>
      <c r="O851" s="114"/>
      <c r="P851" s="114"/>
      <c r="Q851" s="114"/>
      <c r="R851" s="114"/>
      <c r="S851" s="114"/>
      <c r="T851" s="114"/>
      <c r="U851" s="114"/>
      <c r="V851" s="114"/>
      <c r="W851" s="114"/>
      <c r="X851" s="114"/>
      <c r="Y851" s="114"/>
      <c r="Z851" s="114"/>
      <c r="AA851" s="114"/>
      <c r="AB851" s="114"/>
      <c r="AC851" s="114"/>
      <c r="AD851" s="114"/>
      <c r="AE851" s="114"/>
      <c r="AF851" s="114"/>
      <c r="AG851" s="114"/>
      <c r="AH851" s="114"/>
      <c r="AI851" s="114"/>
      <c r="AJ851" s="114"/>
      <c r="AK851" s="114"/>
    </row>
    <row r="852" ht="15.75" customHeight="1">
      <c r="A852" s="114"/>
      <c r="B852" s="114"/>
      <c r="C852" s="114"/>
      <c r="D852" s="114"/>
      <c r="E852" s="114"/>
      <c r="F852" s="114"/>
      <c r="G852" s="114"/>
      <c r="H852" s="114"/>
      <c r="I852" s="114"/>
      <c r="J852" s="114"/>
      <c r="K852" s="114"/>
      <c r="L852" s="114"/>
      <c r="M852" s="114"/>
      <c r="N852" s="114"/>
      <c r="O852" s="114"/>
      <c r="P852" s="114"/>
      <c r="Q852" s="114"/>
      <c r="R852" s="114"/>
      <c r="S852" s="114"/>
      <c r="T852" s="114"/>
      <c r="U852" s="114"/>
      <c r="V852" s="114"/>
      <c r="W852" s="114"/>
      <c r="X852" s="114"/>
      <c r="Y852" s="114"/>
      <c r="Z852" s="114"/>
      <c r="AA852" s="114"/>
      <c r="AB852" s="114"/>
      <c r="AC852" s="114"/>
      <c r="AD852" s="114"/>
      <c r="AE852" s="114"/>
      <c r="AF852" s="114"/>
      <c r="AG852" s="114"/>
      <c r="AH852" s="114"/>
      <c r="AI852" s="114"/>
      <c r="AJ852" s="114"/>
      <c r="AK852" s="114"/>
    </row>
    <row r="853" ht="15.75" customHeight="1">
      <c r="A853" s="114"/>
      <c r="B853" s="114"/>
      <c r="C853" s="114"/>
      <c r="D853" s="114"/>
      <c r="E853" s="114"/>
      <c r="F853" s="114"/>
      <c r="G853" s="114"/>
      <c r="H853" s="114"/>
      <c r="I853" s="114"/>
      <c r="J853" s="114"/>
      <c r="K853" s="114"/>
      <c r="L853" s="114"/>
      <c r="M853" s="114"/>
      <c r="N853" s="114"/>
      <c r="O853" s="114"/>
      <c r="P853" s="114"/>
      <c r="Q853" s="114"/>
      <c r="R853" s="114"/>
      <c r="S853" s="114"/>
      <c r="T853" s="114"/>
      <c r="U853" s="114"/>
      <c r="V853" s="114"/>
      <c r="W853" s="114"/>
      <c r="X853" s="114"/>
      <c r="Y853" s="114"/>
      <c r="Z853" s="114"/>
      <c r="AA853" s="114"/>
      <c r="AB853" s="114"/>
      <c r="AC853" s="114"/>
      <c r="AD853" s="114"/>
      <c r="AE853" s="114"/>
      <c r="AF853" s="114"/>
      <c r="AG853" s="114"/>
      <c r="AH853" s="114"/>
      <c r="AI853" s="114"/>
      <c r="AJ853" s="114"/>
      <c r="AK853" s="114"/>
    </row>
    <row r="854" ht="15.75" customHeight="1">
      <c r="A854" s="114"/>
      <c r="B854" s="114"/>
      <c r="C854" s="114"/>
      <c r="D854" s="114"/>
      <c r="E854" s="114"/>
      <c r="F854" s="114"/>
      <c r="G854" s="114"/>
      <c r="H854" s="114"/>
      <c r="I854" s="114"/>
      <c r="J854" s="114"/>
      <c r="K854" s="114"/>
      <c r="L854" s="114"/>
      <c r="M854" s="114"/>
      <c r="N854" s="114"/>
      <c r="O854" s="114"/>
      <c r="P854" s="114"/>
      <c r="Q854" s="114"/>
      <c r="R854" s="114"/>
      <c r="S854" s="114"/>
      <c r="T854" s="114"/>
      <c r="U854" s="114"/>
      <c r="V854" s="114"/>
      <c r="W854" s="114"/>
      <c r="X854" s="114"/>
      <c r="Y854" s="114"/>
      <c r="Z854" s="114"/>
      <c r="AA854" s="114"/>
      <c r="AB854" s="114"/>
      <c r="AC854" s="114"/>
      <c r="AD854" s="114"/>
      <c r="AE854" s="114"/>
      <c r="AF854" s="114"/>
      <c r="AG854" s="114"/>
      <c r="AH854" s="114"/>
      <c r="AI854" s="114"/>
      <c r="AJ854" s="114"/>
      <c r="AK854" s="114"/>
    </row>
    <row r="855" ht="15.75" customHeight="1">
      <c r="A855" s="114"/>
      <c r="B855" s="114"/>
      <c r="C855" s="114"/>
      <c r="D855" s="114"/>
      <c r="E855" s="114"/>
      <c r="F855" s="114"/>
      <c r="G855" s="114"/>
      <c r="H855" s="114"/>
      <c r="I855" s="114"/>
      <c r="J855" s="114"/>
      <c r="K855" s="114"/>
      <c r="L855" s="114"/>
      <c r="M855" s="114"/>
      <c r="N855" s="114"/>
      <c r="O855" s="114"/>
      <c r="P855" s="114"/>
      <c r="Q855" s="114"/>
      <c r="R855" s="114"/>
      <c r="S855" s="114"/>
      <c r="T855" s="114"/>
      <c r="U855" s="114"/>
      <c r="V855" s="114"/>
      <c r="W855" s="114"/>
      <c r="X855" s="114"/>
      <c r="Y855" s="114"/>
      <c r="Z855" s="114"/>
      <c r="AA855" s="114"/>
      <c r="AB855" s="114"/>
      <c r="AC855" s="114"/>
      <c r="AD855" s="114"/>
      <c r="AE855" s="114"/>
      <c r="AF855" s="114"/>
      <c r="AG855" s="114"/>
      <c r="AH855" s="114"/>
      <c r="AI855" s="114"/>
      <c r="AJ855" s="114"/>
      <c r="AK855" s="114"/>
    </row>
    <row r="856" ht="15.75" customHeight="1">
      <c r="A856" s="114"/>
      <c r="B856" s="114"/>
      <c r="C856" s="114"/>
      <c r="D856" s="114"/>
      <c r="E856" s="114"/>
      <c r="F856" s="114"/>
      <c r="G856" s="114"/>
      <c r="H856" s="114"/>
      <c r="I856" s="114"/>
      <c r="J856" s="114"/>
      <c r="K856" s="114"/>
      <c r="L856" s="114"/>
      <c r="M856" s="114"/>
      <c r="N856" s="114"/>
      <c r="O856" s="114"/>
      <c r="P856" s="114"/>
      <c r="Q856" s="114"/>
      <c r="R856" s="114"/>
      <c r="S856" s="114"/>
      <c r="T856" s="114"/>
      <c r="U856" s="114"/>
      <c r="V856" s="114"/>
      <c r="W856" s="114"/>
      <c r="X856" s="114"/>
      <c r="Y856" s="114"/>
      <c r="Z856" s="114"/>
      <c r="AA856" s="114"/>
      <c r="AB856" s="114"/>
      <c r="AC856" s="114"/>
      <c r="AD856" s="114"/>
      <c r="AE856" s="114"/>
      <c r="AF856" s="114"/>
      <c r="AG856" s="114"/>
      <c r="AH856" s="114"/>
      <c r="AI856" s="114"/>
      <c r="AJ856" s="114"/>
      <c r="AK856" s="114"/>
    </row>
    <row r="857" ht="15.75" customHeight="1">
      <c r="A857" s="114"/>
      <c r="B857" s="114"/>
      <c r="C857" s="114"/>
      <c r="D857" s="114"/>
      <c r="E857" s="114"/>
      <c r="F857" s="114"/>
      <c r="G857" s="114"/>
      <c r="H857" s="114"/>
      <c r="I857" s="114"/>
      <c r="J857" s="114"/>
      <c r="K857" s="114"/>
      <c r="L857" s="114"/>
      <c r="M857" s="114"/>
      <c r="N857" s="114"/>
      <c r="O857" s="114"/>
      <c r="P857" s="114"/>
      <c r="Q857" s="114"/>
      <c r="R857" s="114"/>
      <c r="S857" s="114"/>
      <c r="T857" s="114"/>
      <c r="U857" s="114"/>
      <c r="V857" s="114"/>
      <c r="W857" s="114"/>
      <c r="X857" s="114"/>
      <c r="Y857" s="114"/>
      <c r="Z857" s="114"/>
      <c r="AA857" s="114"/>
      <c r="AB857" s="114"/>
      <c r="AC857" s="114"/>
      <c r="AD857" s="114"/>
      <c r="AE857" s="114"/>
      <c r="AF857" s="114"/>
      <c r="AG857" s="114"/>
      <c r="AH857" s="114"/>
      <c r="AI857" s="114"/>
      <c r="AJ857" s="114"/>
      <c r="AK857" s="114"/>
    </row>
    <row r="858" ht="15.75" customHeight="1">
      <c r="A858" s="114"/>
      <c r="B858" s="114"/>
      <c r="C858" s="114"/>
      <c r="D858" s="114"/>
      <c r="E858" s="114"/>
      <c r="F858" s="114"/>
      <c r="G858" s="114"/>
      <c r="H858" s="114"/>
      <c r="I858" s="114"/>
      <c r="J858" s="114"/>
      <c r="K858" s="114"/>
      <c r="L858" s="114"/>
      <c r="M858" s="114"/>
      <c r="N858" s="114"/>
      <c r="O858" s="114"/>
      <c r="P858" s="114"/>
      <c r="Q858" s="114"/>
      <c r="R858" s="114"/>
      <c r="S858" s="114"/>
      <c r="T858" s="114"/>
      <c r="U858" s="114"/>
      <c r="V858" s="114"/>
      <c r="W858" s="114"/>
      <c r="X858" s="114"/>
      <c r="Y858" s="114"/>
      <c r="Z858" s="114"/>
      <c r="AA858" s="114"/>
      <c r="AB858" s="114"/>
      <c r="AC858" s="114"/>
      <c r="AD858" s="114"/>
      <c r="AE858" s="114"/>
      <c r="AF858" s="114"/>
      <c r="AG858" s="114"/>
      <c r="AH858" s="114"/>
      <c r="AI858" s="114"/>
      <c r="AJ858" s="114"/>
      <c r="AK858" s="114"/>
    </row>
    <row r="859" ht="15.75" customHeight="1">
      <c r="A859" s="114"/>
      <c r="B859" s="114"/>
      <c r="C859" s="114"/>
      <c r="D859" s="114"/>
      <c r="E859" s="114"/>
      <c r="F859" s="114"/>
      <c r="G859" s="114"/>
      <c r="H859" s="114"/>
      <c r="I859" s="114"/>
      <c r="J859" s="114"/>
      <c r="K859" s="114"/>
      <c r="L859" s="114"/>
      <c r="M859" s="114"/>
      <c r="N859" s="114"/>
      <c r="O859" s="114"/>
      <c r="P859" s="114"/>
      <c r="Q859" s="114"/>
      <c r="R859" s="114"/>
      <c r="S859" s="114"/>
      <c r="T859" s="114"/>
      <c r="U859" s="114"/>
      <c r="V859" s="114"/>
      <c r="W859" s="114"/>
      <c r="X859" s="114"/>
      <c r="Y859" s="114"/>
      <c r="Z859" s="114"/>
      <c r="AA859" s="114"/>
      <c r="AB859" s="114"/>
      <c r="AC859" s="114"/>
      <c r="AD859" s="114"/>
      <c r="AE859" s="114"/>
      <c r="AF859" s="114"/>
      <c r="AG859" s="114"/>
      <c r="AH859" s="114"/>
      <c r="AI859" s="114"/>
      <c r="AJ859" s="114"/>
      <c r="AK859" s="114"/>
    </row>
    <row r="860" ht="15.75" customHeight="1">
      <c r="A860" s="114"/>
      <c r="B860" s="114"/>
      <c r="C860" s="114"/>
      <c r="D860" s="114"/>
      <c r="E860" s="114"/>
      <c r="F860" s="114"/>
      <c r="G860" s="114"/>
      <c r="H860" s="114"/>
      <c r="I860" s="114"/>
      <c r="J860" s="114"/>
      <c r="K860" s="114"/>
      <c r="L860" s="114"/>
      <c r="M860" s="114"/>
      <c r="N860" s="114"/>
      <c r="O860" s="114"/>
      <c r="P860" s="114"/>
      <c r="Q860" s="114"/>
      <c r="R860" s="114"/>
      <c r="S860" s="114"/>
      <c r="T860" s="114"/>
      <c r="U860" s="114"/>
      <c r="V860" s="114"/>
      <c r="W860" s="114"/>
      <c r="X860" s="114"/>
      <c r="Y860" s="114"/>
      <c r="Z860" s="114"/>
      <c r="AA860" s="114"/>
      <c r="AB860" s="114"/>
      <c r="AC860" s="114"/>
      <c r="AD860" s="114"/>
      <c r="AE860" s="114"/>
      <c r="AF860" s="114"/>
      <c r="AG860" s="114"/>
      <c r="AH860" s="114"/>
      <c r="AI860" s="114"/>
      <c r="AJ860" s="114"/>
      <c r="AK860" s="114"/>
    </row>
    <row r="861" ht="15.75" customHeight="1">
      <c r="A861" s="114"/>
      <c r="B861" s="114"/>
      <c r="C861" s="114"/>
      <c r="D861" s="114"/>
      <c r="E861" s="114"/>
      <c r="F861" s="114"/>
      <c r="G861" s="114"/>
      <c r="H861" s="114"/>
      <c r="I861" s="114"/>
      <c r="J861" s="114"/>
      <c r="K861" s="114"/>
      <c r="L861" s="114"/>
      <c r="M861" s="114"/>
      <c r="N861" s="114"/>
      <c r="O861" s="114"/>
      <c r="P861" s="114"/>
      <c r="Q861" s="114"/>
      <c r="R861" s="114"/>
      <c r="S861" s="114"/>
      <c r="T861" s="114"/>
      <c r="U861" s="114"/>
      <c r="V861" s="114"/>
      <c r="W861" s="114"/>
      <c r="X861" s="114"/>
      <c r="Y861" s="114"/>
      <c r="Z861" s="114"/>
      <c r="AA861" s="114"/>
      <c r="AB861" s="114"/>
      <c r="AC861" s="114"/>
      <c r="AD861" s="114"/>
      <c r="AE861" s="114"/>
      <c r="AF861" s="114"/>
      <c r="AG861" s="114"/>
      <c r="AH861" s="114"/>
      <c r="AI861" s="114"/>
      <c r="AJ861" s="114"/>
      <c r="AK861" s="114"/>
    </row>
    <row r="862" ht="15.75" customHeight="1">
      <c r="A862" s="114"/>
      <c r="B862" s="114"/>
      <c r="C862" s="114"/>
      <c r="D862" s="114"/>
      <c r="E862" s="114"/>
      <c r="F862" s="114"/>
      <c r="G862" s="114"/>
      <c r="H862" s="114"/>
      <c r="I862" s="114"/>
      <c r="J862" s="114"/>
      <c r="K862" s="114"/>
      <c r="L862" s="114"/>
      <c r="M862" s="114"/>
      <c r="N862" s="114"/>
      <c r="O862" s="114"/>
      <c r="P862" s="114"/>
      <c r="Q862" s="114"/>
      <c r="R862" s="114"/>
      <c r="S862" s="114"/>
      <c r="T862" s="114"/>
      <c r="U862" s="114"/>
      <c r="V862" s="114"/>
      <c r="W862" s="114"/>
      <c r="X862" s="114"/>
      <c r="Y862" s="114"/>
      <c r="Z862" s="114"/>
      <c r="AA862" s="114"/>
      <c r="AB862" s="114"/>
      <c r="AC862" s="114"/>
      <c r="AD862" s="114"/>
      <c r="AE862" s="114"/>
      <c r="AF862" s="114"/>
      <c r="AG862" s="114"/>
      <c r="AH862" s="114"/>
      <c r="AI862" s="114"/>
      <c r="AJ862" s="114"/>
      <c r="AK862" s="114"/>
    </row>
    <row r="863" ht="15.75" customHeight="1">
      <c r="A863" s="114"/>
      <c r="B863" s="114"/>
      <c r="C863" s="114"/>
      <c r="D863" s="114"/>
      <c r="E863" s="114"/>
      <c r="F863" s="114"/>
      <c r="G863" s="114"/>
      <c r="H863" s="114"/>
      <c r="I863" s="114"/>
      <c r="J863" s="114"/>
      <c r="K863" s="114"/>
      <c r="L863" s="114"/>
      <c r="M863" s="114"/>
      <c r="N863" s="114"/>
      <c r="O863" s="114"/>
      <c r="P863" s="114"/>
      <c r="Q863" s="114"/>
      <c r="R863" s="114"/>
      <c r="S863" s="114"/>
      <c r="T863" s="114"/>
      <c r="U863" s="114"/>
      <c r="V863" s="114"/>
      <c r="W863" s="114"/>
      <c r="X863" s="114"/>
      <c r="Y863" s="114"/>
      <c r="Z863" s="114"/>
      <c r="AA863" s="114"/>
      <c r="AB863" s="114"/>
      <c r="AC863" s="114"/>
      <c r="AD863" s="114"/>
      <c r="AE863" s="114"/>
      <c r="AF863" s="114"/>
      <c r="AG863" s="114"/>
      <c r="AH863" s="114"/>
      <c r="AI863" s="114"/>
      <c r="AJ863" s="114"/>
      <c r="AK863" s="114"/>
    </row>
    <row r="864" ht="15.75" customHeight="1">
      <c r="A864" s="114"/>
      <c r="B864" s="114"/>
      <c r="C864" s="114"/>
      <c r="D864" s="114"/>
      <c r="E864" s="114"/>
      <c r="F864" s="114"/>
      <c r="G864" s="114"/>
      <c r="H864" s="114"/>
      <c r="I864" s="114"/>
      <c r="J864" s="114"/>
      <c r="K864" s="114"/>
      <c r="L864" s="114"/>
      <c r="M864" s="114"/>
      <c r="N864" s="114"/>
      <c r="O864" s="114"/>
      <c r="P864" s="114"/>
      <c r="Q864" s="114"/>
      <c r="R864" s="114"/>
      <c r="S864" s="114"/>
      <c r="T864" s="114"/>
      <c r="U864" s="114"/>
      <c r="V864" s="114"/>
      <c r="W864" s="114"/>
      <c r="X864" s="114"/>
      <c r="Y864" s="114"/>
      <c r="Z864" s="114"/>
      <c r="AA864" s="114"/>
      <c r="AB864" s="114"/>
      <c r="AC864" s="114"/>
      <c r="AD864" s="114"/>
      <c r="AE864" s="114"/>
      <c r="AF864" s="114"/>
      <c r="AG864" s="114"/>
      <c r="AH864" s="114"/>
      <c r="AI864" s="114"/>
      <c r="AJ864" s="114"/>
      <c r="AK864" s="114"/>
    </row>
    <row r="865" ht="15.75" customHeight="1">
      <c r="A865" s="114"/>
      <c r="B865" s="114"/>
      <c r="C865" s="114"/>
      <c r="D865" s="114"/>
      <c r="E865" s="114"/>
      <c r="F865" s="114"/>
      <c r="G865" s="114"/>
      <c r="H865" s="114"/>
      <c r="I865" s="114"/>
      <c r="J865" s="114"/>
      <c r="K865" s="114"/>
      <c r="L865" s="114"/>
      <c r="M865" s="114"/>
      <c r="N865" s="114"/>
      <c r="O865" s="114"/>
      <c r="P865" s="114"/>
      <c r="Q865" s="114"/>
      <c r="R865" s="114"/>
      <c r="S865" s="114"/>
      <c r="T865" s="114"/>
      <c r="U865" s="114"/>
      <c r="V865" s="114"/>
      <c r="W865" s="114"/>
      <c r="X865" s="114"/>
      <c r="Y865" s="114"/>
      <c r="Z865" s="114"/>
      <c r="AA865" s="114"/>
      <c r="AB865" s="114"/>
      <c r="AC865" s="114"/>
      <c r="AD865" s="114"/>
      <c r="AE865" s="114"/>
      <c r="AF865" s="114"/>
      <c r="AG865" s="114"/>
      <c r="AH865" s="114"/>
      <c r="AI865" s="114"/>
      <c r="AJ865" s="114"/>
      <c r="AK865" s="114"/>
    </row>
    <row r="866" ht="15.75" customHeight="1">
      <c r="A866" s="114"/>
      <c r="B866" s="114"/>
      <c r="C866" s="114"/>
      <c r="D866" s="114"/>
      <c r="E866" s="114"/>
      <c r="F866" s="114"/>
      <c r="G866" s="114"/>
      <c r="H866" s="114"/>
      <c r="I866" s="114"/>
      <c r="J866" s="114"/>
      <c r="K866" s="114"/>
      <c r="L866" s="114"/>
      <c r="M866" s="114"/>
      <c r="N866" s="114"/>
      <c r="O866" s="114"/>
      <c r="P866" s="114"/>
      <c r="Q866" s="114"/>
      <c r="R866" s="114"/>
      <c r="S866" s="114"/>
      <c r="T866" s="114"/>
      <c r="U866" s="114"/>
      <c r="V866" s="114"/>
      <c r="W866" s="114"/>
      <c r="X866" s="114"/>
      <c r="Y866" s="114"/>
      <c r="Z866" s="114"/>
      <c r="AA866" s="114"/>
      <c r="AB866" s="114"/>
      <c r="AC866" s="114"/>
      <c r="AD866" s="114"/>
      <c r="AE866" s="114"/>
      <c r="AF866" s="114"/>
      <c r="AG866" s="114"/>
      <c r="AH866" s="114"/>
      <c r="AI866" s="114"/>
      <c r="AJ866" s="114"/>
      <c r="AK866" s="114"/>
    </row>
    <row r="867" ht="15.75" customHeight="1">
      <c r="A867" s="114"/>
      <c r="B867" s="114"/>
      <c r="C867" s="114"/>
      <c r="D867" s="114"/>
      <c r="E867" s="114"/>
      <c r="F867" s="114"/>
      <c r="G867" s="114"/>
      <c r="H867" s="114"/>
      <c r="I867" s="114"/>
      <c r="J867" s="114"/>
      <c r="K867" s="114"/>
      <c r="L867" s="114"/>
      <c r="M867" s="114"/>
      <c r="N867" s="114"/>
      <c r="O867" s="114"/>
      <c r="P867" s="114"/>
      <c r="Q867" s="114"/>
      <c r="R867" s="114"/>
      <c r="S867" s="114"/>
      <c r="T867" s="114"/>
      <c r="U867" s="114"/>
      <c r="V867" s="114"/>
      <c r="W867" s="114"/>
      <c r="X867" s="114"/>
      <c r="Y867" s="114"/>
      <c r="Z867" s="114"/>
      <c r="AA867" s="114"/>
      <c r="AB867" s="114"/>
      <c r="AC867" s="114"/>
      <c r="AD867" s="114"/>
      <c r="AE867" s="114"/>
      <c r="AF867" s="114"/>
      <c r="AG867" s="114"/>
      <c r="AH867" s="114"/>
      <c r="AI867" s="114"/>
      <c r="AJ867" s="114"/>
      <c r="AK867" s="114"/>
    </row>
    <row r="868" ht="15.75" customHeight="1">
      <c r="A868" s="114"/>
      <c r="B868" s="114"/>
      <c r="C868" s="114"/>
      <c r="D868" s="114"/>
      <c r="E868" s="114"/>
      <c r="F868" s="114"/>
      <c r="G868" s="114"/>
      <c r="H868" s="114"/>
      <c r="I868" s="114"/>
      <c r="J868" s="114"/>
      <c r="K868" s="114"/>
      <c r="L868" s="114"/>
      <c r="M868" s="114"/>
      <c r="N868" s="114"/>
      <c r="O868" s="114"/>
      <c r="P868" s="114"/>
      <c r="Q868" s="114"/>
      <c r="R868" s="114"/>
      <c r="S868" s="114"/>
      <c r="T868" s="114"/>
      <c r="U868" s="114"/>
      <c r="V868" s="114"/>
      <c r="W868" s="114"/>
      <c r="X868" s="114"/>
      <c r="Y868" s="114"/>
      <c r="Z868" s="114"/>
      <c r="AA868" s="114"/>
      <c r="AB868" s="114"/>
      <c r="AC868" s="114"/>
      <c r="AD868" s="114"/>
      <c r="AE868" s="114"/>
      <c r="AF868" s="114"/>
      <c r="AG868" s="114"/>
      <c r="AH868" s="114"/>
      <c r="AI868" s="114"/>
      <c r="AJ868" s="114"/>
      <c r="AK868" s="114"/>
    </row>
    <row r="869" ht="15.75" customHeight="1">
      <c r="A869" s="114"/>
      <c r="B869" s="114"/>
      <c r="C869" s="114"/>
      <c r="D869" s="114"/>
      <c r="E869" s="114"/>
      <c r="F869" s="114"/>
      <c r="G869" s="114"/>
      <c r="H869" s="114"/>
      <c r="I869" s="114"/>
      <c r="J869" s="114"/>
      <c r="K869" s="114"/>
      <c r="L869" s="114"/>
      <c r="M869" s="114"/>
      <c r="N869" s="114"/>
      <c r="O869" s="114"/>
      <c r="P869" s="114"/>
      <c r="Q869" s="114"/>
      <c r="R869" s="114"/>
      <c r="S869" s="114"/>
      <c r="T869" s="114"/>
      <c r="U869" s="114"/>
      <c r="V869" s="114"/>
      <c r="W869" s="114"/>
      <c r="X869" s="114"/>
      <c r="Y869" s="114"/>
      <c r="Z869" s="114"/>
      <c r="AA869" s="114"/>
      <c r="AB869" s="114"/>
      <c r="AC869" s="114"/>
      <c r="AD869" s="114"/>
      <c r="AE869" s="114"/>
      <c r="AF869" s="114"/>
      <c r="AG869" s="114"/>
      <c r="AH869" s="114"/>
      <c r="AI869" s="114"/>
      <c r="AJ869" s="114"/>
      <c r="AK869" s="114"/>
    </row>
    <row r="870" ht="15.75" customHeight="1">
      <c r="A870" s="114"/>
      <c r="B870" s="114"/>
      <c r="C870" s="114"/>
      <c r="D870" s="114"/>
      <c r="E870" s="114"/>
      <c r="F870" s="114"/>
      <c r="G870" s="114"/>
      <c r="H870" s="114"/>
      <c r="I870" s="114"/>
      <c r="J870" s="114"/>
      <c r="K870" s="114"/>
      <c r="L870" s="114"/>
      <c r="M870" s="114"/>
      <c r="N870" s="114"/>
      <c r="O870" s="114"/>
      <c r="P870" s="114"/>
      <c r="Q870" s="114"/>
      <c r="R870" s="114"/>
      <c r="S870" s="114"/>
      <c r="T870" s="114"/>
      <c r="U870" s="114"/>
      <c r="V870" s="114"/>
      <c r="W870" s="114"/>
      <c r="X870" s="114"/>
      <c r="Y870" s="114"/>
      <c r="Z870" s="114"/>
      <c r="AA870" s="114"/>
      <c r="AB870" s="114"/>
      <c r="AC870" s="114"/>
      <c r="AD870" s="114"/>
      <c r="AE870" s="114"/>
      <c r="AF870" s="114"/>
      <c r="AG870" s="114"/>
      <c r="AH870" s="114"/>
      <c r="AI870" s="114"/>
      <c r="AJ870" s="114"/>
      <c r="AK870" s="114"/>
    </row>
    <row r="871" ht="15.75" customHeight="1">
      <c r="A871" s="114"/>
      <c r="B871" s="114"/>
      <c r="C871" s="114"/>
      <c r="D871" s="114"/>
      <c r="E871" s="114"/>
      <c r="F871" s="114"/>
      <c r="G871" s="114"/>
      <c r="H871" s="114"/>
      <c r="I871" s="114"/>
      <c r="J871" s="114"/>
      <c r="K871" s="114"/>
      <c r="L871" s="114"/>
      <c r="M871" s="114"/>
      <c r="N871" s="114"/>
      <c r="O871" s="114"/>
      <c r="P871" s="114"/>
      <c r="Q871" s="114"/>
      <c r="R871" s="114"/>
      <c r="S871" s="114"/>
      <c r="T871" s="114"/>
      <c r="U871" s="114"/>
      <c r="V871" s="114"/>
      <c r="W871" s="114"/>
      <c r="X871" s="114"/>
      <c r="Y871" s="114"/>
      <c r="Z871" s="114"/>
      <c r="AA871" s="114"/>
      <c r="AB871" s="114"/>
      <c r="AC871" s="114"/>
      <c r="AD871" s="114"/>
      <c r="AE871" s="114"/>
      <c r="AF871" s="114"/>
      <c r="AG871" s="114"/>
      <c r="AH871" s="114"/>
      <c r="AI871" s="114"/>
      <c r="AJ871" s="114"/>
      <c r="AK871" s="114"/>
    </row>
    <row r="872" ht="15.75" customHeight="1">
      <c r="A872" s="114"/>
      <c r="B872" s="114"/>
      <c r="C872" s="114"/>
      <c r="D872" s="114"/>
      <c r="E872" s="114"/>
      <c r="F872" s="114"/>
      <c r="G872" s="114"/>
      <c r="H872" s="114"/>
      <c r="I872" s="114"/>
      <c r="J872" s="114"/>
      <c r="K872" s="114"/>
      <c r="L872" s="114"/>
      <c r="M872" s="114"/>
      <c r="N872" s="114"/>
      <c r="O872" s="114"/>
      <c r="P872" s="114"/>
      <c r="Q872" s="114"/>
      <c r="R872" s="114"/>
      <c r="S872" s="114"/>
      <c r="T872" s="114"/>
      <c r="U872" s="114"/>
      <c r="V872" s="114"/>
      <c r="W872" s="114"/>
      <c r="X872" s="114"/>
      <c r="Y872" s="114"/>
      <c r="Z872" s="114"/>
      <c r="AA872" s="114"/>
      <c r="AB872" s="114"/>
      <c r="AC872" s="114"/>
      <c r="AD872" s="114"/>
      <c r="AE872" s="114"/>
      <c r="AF872" s="114"/>
      <c r="AG872" s="114"/>
      <c r="AH872" s="114"/>
      <c r="AI872" s="114"/>
      <c r="AJ872" s="114"/>
      <c r="AK872" s="114"/>
    </row>
    <row r="873" ht="15.75" customHeight="1">
      <c r="A873" s="114"/>
      <c r="B873" s="114"/>
      <c r="C873" s="114"/>
      <c r="D873" s="114"/>
      <c r="E873" s="114"/>
      <c r="F873" s="114"/>
      <c r="G873" s="114"/>
      <c r="H873" s="114"/>
      <c r="I873" s="114"/>
      <c r="J873" s="114"/>
      <c r="K873" s="114"/>
      <c r="L873" s="114"/>
      <c r="M873" s="114"/>
      <c r="N873" s="114"/>
      <c r="O873" s="114"/>
      <c r="P873" s="114"/>
      <c r="Q873" s="114"/>
      <c r="R873" s="114"/>
      <c r="S873" s="114"/>
      <c r="T873" s="114"/>
      <c r="U873" s="114"/>
      <c r="V873" s="114"/>
      <c r="W873" s="114"/>
      <c r="X873" s="114"/>
      <c r="Y873" s="114"/>
      <c r="Z873" s="114"/>
      <c r="AA873" s="114"/>
      <c r="AB873" s="114"/>
      <c r="AC873" s="114"/>
      <c r="AD873" s="114"/>
      <c r="AE873" s="114"/>
      <c r="AF873" s="114"/>
      <c r="AG873" s="114"/>
      <c r="AH873" s="114"/>
      <c r="AI873" s="114"/>
      <c r="AJ873" s="114"/>
      <c r="AK873" s="114"/>
    </row>
    <row r="874" ht="15.75" customHeight="1">
      <c r="A874" s="114"/>
      <c r="B874" s="114"/>
      <c r="C874" s="114"/>
      <c r="D874" s="114"/>
      <c r="E874" s="114"/>
      <c r="F874" s="114"/>
      <c r="G874" s="114"/>
      <c r="H874" s="114"/>
      <c r="I874" s="114"/>
      <c r="J874" s="114"/>
      <c r="K874" s="114"/>
      <c r="L874" s="114"/>
      <c r="M874" s="114"/>
      <c r="N874" s="114"/>
      <c r="O874" s="114"/>
      <c r="P874" s="114"/>
      <c r="Q874" s="114"/>
      <c r="R874" s="114"/>
      <c r="S874" s="114"/>
      <c r="T874" s="114"/>
      <c r="U874" s="114"/>
      <c r="V874" s="114"/>
      <c r="W874" s="114"/>
      <c r="X874" s="114"/>
      <c r="Y874" s="114"/>
      <c r="Z874" s="114"/>
      <c r="AA874" s="114"/>
      <c r="AB874" s="114"/>
      <c r="AC874" s="114"/>
      <c r="AD874" s="114"/>
      <c r="AE874" s="114"/>
      <c r="AF874" s="114"/>
      <c r="AG874" s="114"/>
      <c r="AH874" s="114"/>
      <c r="AI874" s="114"/>
      <c r="AJ874" s="114"/>
      <c r="AK874" s="114"/>
    </row>
    <row r="875" ht="15.75" customHeight="1">
      <c r="A875" s="114"/>
      <c r="B875" s="114"/>
      <c r="C875" s="114"/>
      <c r="D875" s="114"/>
      <c r="E875" s="114"/>
      <c r="F875" s="114"/>
      <c r="G875" s="114"/>
      <c r="H875" s="114"/>
      <c r="I875" s="114"/>
      <c r="J875" s="114"/>
      <c r="K875" s="114"/>
      <c r="L875" s="114"/>
      <c r="M875" s="114"/>
      <c r="N875" s="114"/>
      <c r="O875" s="114"/>
      <c r="P875" s="114"/>
      <c r="Q875" s="114"/>
      <c r="R875" s="114"/>
      <c r="S875" s="114"/>
      <c r="T875" s="114"/>
      <c r="U875" s="114"/>
      <c r="V875" s="114"/>
      <c r="W875" s="114"/>
      <c r="X875" s="114"/>
      <c r="Y875" s="114"/>
      <c r="Z875" s="114"/>
      <c r="AA875" s="114"/>
      <c r="AB875" s="114"/>
      <c r="AC875" s="114"/>
      <c r="AD875" s="114"/>
      <c r="AE875" s="114"/>
      <c r="AF875" s="114"/>
      <c r="AG875" s="114"/>
      <c r="AH875" s="114"/>
      <c r="AI875" s="114"/>
      <c r="AJ875" s="114"/>
      <c r="AK875" s="114"/>
    </row>
    <row r="876" ht="15.75" customHeight="1">
      <c r="A876" s="114"/>
      <c r="B876" s="114"/>
      <c r="C876" s="114"/>
      <c r="D876" s="114"/>
      <c r="E876" s="114"/>
      <c r="F876" s="114"/>
      <c r="G876" s="114"/>
      <c r="H876" s="114"/>
      <c r="I876" s="114"/>
      <c r="J876" s="114"/>
      <c r="K876" s="114"/>
      <c r="L876" s="114"/>
      <c r="M876" s="114"/>
      <c r="N876" s="114"/>
      <c r="O876" s="114"/>
      <c r="P876" s="114"/>
      <c r="Q876" s="114"/>
      <c r="R876" s="114"/>
      <c r="S876" s="114"/>
      <c r="T876" s="114"/>
      <c r="U876" s="114"/>
      <c r="V876" s="114"/>
      <c r="W876" s="114"/>
      <c r="X876" s="114"/>
      <c r="Y876" s="114"/>
      <c r="Z876" s="114"/>
      <c r="AA876" s="114"/>
      <c r="AB876" s="114"/>
      <c r="AC876" s="114"/>
      <c r="AD876" s="114"/>
      <c r="AE876" s="114"/>
      <c r="AF876" s="114"/>
      <c r="AG876" s="114"/>
      <c r="AH876" s="114"/>
      <c r="AI876" s="114"/>
      <c r="AJ876" s="114"/>
      <c r="AK876" s="114"/>
    </row>
    <row r="877" ht="15.75" customHeight="1">
      <c r="A877" s="114"/>
      <c r="B877" s="114"/>
      <c r="C877" s="114"/>
      <c r="D877" s="114"/>
      <c r="E877" s="114"/>
      <c r="F877" s="114"/>
      <c r="G877" s="114"/>
      <c r="H877" s="114"/>
      <c r="I877" s="114"/>
      <c r="J877" s="114"/>
      <c r="K877" s="114"/>
      <c r="L877" s="114"/>
      <c r="M877" s="114"/>
      <c r="N877" s="114"/>
      <c r="O877" s="114"/>
      <c r="P877" s="114"/>
      <c r="Q877" s="114"/>
      <c r="R877" s="114"/>
      <c r="S877" s="114"/>
      <c r="T877" s="114"/>
      <c r="U877" s="114"/>
      <c r="V877" s="114"/>
      <c r="W877" s="114"/>
      <c r="X877" s="114"/>
      <c r="Y877" s="114"/>
      <c r="Z877" s="114"/>
      <c r="AA877" s="114"/>
      <c r="AB877" s="114"/>
      <c r="AC877" s="114"/>
      <c r="AD877" s="114"/>
      <c r="AE877" s="114"/>
      <c r="AF877" s="114"/>
      <c r="AG877" s="114"/>
      <c r="AH877" s="114"/>
      <c r="AI877" s="114"/>
      <c r="AJ877" s="114"/>
      <c r="AK877" s="114"/>
    </row>
    <row r="878" ht="15.75" customHeight="1">
      <c r="A878" s="114"/>
      <c r="B878" s="114"/>
      <c r="C878" s="114"/>
      <c r="D878" s="114"/>
      <c r="E878" s="114"/>
      <c r="F878" s="114"/>
      <c r="G878" s="114"/>
      <c r="H878" s="114"/>
      <c r="I878" s="114"/>
      <c r="J878" s="114"/>
      <c r="K878" s="114"/>
      <c r="L878" s="114"/>
      <c r="M878" s="114"/>
      <c r="N878" s="114"/>
      <c r="O878" s="114"/>
      <c r="P878" s="114"/>
      <c r="Q878" s="114"/>
      <c r="R878" s="114"/>
      <c r="S878" s="114"/>
      <c r="T878" s="114"/>
      <c r="U878" s="114"/>
      <c r="V878" s="114"/>
      <c r="W878" s="114"/>
      <c r="X878" s="114"/>
      <c r="Y878" s="114"/>
      <c r="Z878" s="114"/>
      <c r="AA878" s="114"/>
      <c r="AB878" s="114"/>
      <c r="AC878" s="114"/>
      <c r="AD878" s="114"/>
      <c r="AE878" s="114"/>
      <c r="AF878" s="114"/>
      <c r="AG878" s="114"/>
      <c r="AH878" s="114"/>
      <c r="AI878" s="114"/>
      <c r="AJ878" s="114"/>
      <c r="AK878" s="114"/>
    </row>
    <row r="879" ht="15.75" customHeight="1">
      <c r="A879" s="114"/>
      <c r="B879" s="114"/>
      <c r="C879" s="114"/>
      <c r="D879" s="114"/>
      <c r="E879" s="114"/>
      <c r="F879" s="114"/>
      <c r="G879" s="114"/>
      <c r="H879" s="114"/>
      <c r="I879" s="114"/>
      <c r="J879" s="114"/>
      <c r="K879" s="114"/>
      <c r="L879" s="114"/>
      <c r="M879" s="114"/>
      <c r="N879" s="114"/>
      <c r="O879" s="114"/>
      <c r="P879" s="114"/>
      <c r="Q879" s="114"/>
      <c r="R879" s="114"/>
      <c r="S879" s="114"/>
      <c r="T879" s="114"/>
      <c r="U879" s="114"/>
      <c r="V879" s="114"/>
      <c r="W879" s="114"/>
      <c r="X879" s="114"/>
      <c r="Y879" s="114"/>
      <c r="Z879" s="114"/>
      <c r="AA879" s="114"/>
      <c r="AB879" s="114"/>
      <c r="AC879" s="114"/>
      <c r="AD879" s="114"/>
      <c r="AE879" s="114"/>
      <c r="AF879" s="114"/>
      <c r="AG879" s="114"/>
      <c r="AH879" s="114"/>
      <c r="AI879" s="114"/>
      <c r="AJ879" s="114"/>
      <c r="AK879" s="114"/>
    </row>
    <row r="880" ht="15.75" customHeight="1">
      <c r="A880" s="114"/>
      <c r="B880" s="114"/>
      <c r="C880" s="114"/>
      <c r="D880" s="114"/>
      <c r="E880" s="114"/>
      <c r="F880" s="114"/>
      <c r="G880" s="114"/>
      <c r="H880" s="114"/>
      <c r="I880" s="114"/>
      <c r="J880" s="114"/>
      <c r="K880" s="114"/>
      <c r="L880" s="114"/>
      <c r="M880" s="114"/>
      <c r="N880" s="114"/>
      <c r="O880" s="114"/>
      <c r="P880" s="114"/>
      <c r="Q880" s="114"/>
      <c r="R880" s="114"/>
      <c r="S880" s="114"/>
      <c r="T880" s="114"/>
      <c r="U880" s="114"/>
      <c r="V880" s="114"/>
      <c r="W880" s="114"/>
      <c r="X880" s="114"/>
      <c r="Y880" s="114"/>
      <c r="Z880" s="114"/>
      <c r="AA880" s="114"/>
      <c r="AB880" s="114"/>
      <c r="AC880" s="114"/>
      <c r="AD880" s="114"/>
      <c r="AE880" s="114"/>
      <c r="AF880" s="114"/>
      <c r="AG880" s="114"/>
      <c r="AH880" s="114"/>
      <c r="AI880" s="114"/>
      <c r="AJ880" s="114"/>
      <c r="AK880" s="114"/>
    </row>
    <row r="881" ht="15.75" customHeight="1">
      <c r="A881" s="114"/>
      <c r="B881" s="114"/>
      <c r="C881" s="114"/>
      <c r="D881" s="114"/>
      <c r="E881" s="114"/>
      <c r="F881" s="114"/>
      <c r="G881" s="114"/>
      <c r="H881" s="114"/>
      <c r="I881" s="114"/>
      <c r="J881" s="114"/>
      <c r="K881" s="114"/>
      <c r="L881" s="114"/>
      <c r="M881" s="114"/>
      <c r="N881" s="114"/>
      <c r="O881" s="114"/>
      <c r="P881" s="114"/>
      <c r="Q881" s="114"/>
      <c r="R881" s="114"/>
      <c r="S881" s="114"/>
      <c r="T881" s="114"/>
      <c r="U881" s="114"/>
      <c r="V881" s="114"/>
      <c r="W881" s="114"/>
      <c r="X881" s="114"/>
      <c r="Y881" s="114"/>
      <c r="Z881" s="114"/>
      <c r="AA881" s="114"/>
      <c r="AB881" s="114"/>
      <c r="AC881" s="114"/>
      <c r="AD881" s="114"/>
      <c r="AE881" s="114"/>
      <c r="AF881" s="114"/>
      <c r="AG881" s="114"/>
      <c r="AH881" s="114"/>
      <c r="AI881" s="114"/>
      <c r="AJ881" s="114"/>
      <c r="AK881" s="114"/>
    </row>
    <row r="882" ht="15.75" customHeight="1">
      <c r="A882" s="114"/>
      <c r="B882" s="114"/>
      <c r="C882" s="114"/>
      <c r="D882" s="114"/>
      <c r="E882" s="114"/>
      <c r="F882" s="114"/>
      <c r="G882" s="114"/>
      <c r="H882" s="114"/>
      <c r="I882" s="114"/>
      <c r="J882" s="114"/>
      <c r="K882" s="114"/>
      <c r="L882" s="114"/>
      <c r="M882" s="114"/>
      <c r="N882" s="114"/>
      <c r="O882" s="114"/>
      <c r="P882" s="114"/>
      <c r="Q882" s="114"/>
      <c r="R882" s="114"/>
      <c r="S882" s="114"/>
      <c r="T882" s="114"/>
      <c r="U882" s="114"/>
      <c r="V882" s="114"/>
      <c r="W882" s="114"/>
      <c r="X882" s="114"/>
      <c r="Y882" s="114"/>
      <c r="Z882" s="114"/>
      <c r="AA882" s="114"/>
      <c r="AB882" s="114"/>
      <c r="AC882" s="114"/>
      <c r="AD882" s="114"/>
      <c r="AE882" s="114"/>
      <c r="AF882" s="114"/>
      <c r="AG882" s="114"/>
      <c r="AH882" s="114"/>
      <c r="AI882" s="114"/>
      <c r="AJ882" s="114"/>
      <c r="AK882" s="114"/>
    </row>
    <row r="883" ht="15.75" customHeight="1">
      <c r="A883" s="114"/>
      <c r="B883" s="114"/>
      <c r="C883" s="114"/>
      <c r="D883" s="114"/>
      <c r="E883" s="114"/>
      <c r="F883" s="114"/>
      <c r="G883" s="114"/>
      <c r="H883" s="114"/>
      <c r="I883" s="114"/>
      <c r="J883" s="114"/>
      <c r="K883" s="114"/>
      <c r="L883" s="114"/>
      <c r="M883" s="114"/>
      <c r="N883" s="114"/>
      <c r="O883" s="114"/>
      <c r="P883" s="114"/>
      <c r="Q883" s="114"/>
      <c r="R883" s="114"/>
      <c r="S883" s="114"/>
      <c r="T883" s="114"/>
      <c r="U883" s="114"/>
      <c r="V883" s="114"/>
      <c r="W883" s="114"/>
      <c r="X883" s="114"/>
      <c r="Y883" s="114"/>
      <c r="Z883" s="114"/>
      <c r="AA883" s="114"/>
      <c r="AB883" s="114"/>
      <c r="AC883" s="114"/>
      <c r="AD883" s="114"/>
      <c r="AE883" s="114"/>
      <c r="AF883" s="114"/>
      <c r="AG883" s="114"/>
      <c r="AH883" s="114"/>
      <c r="AI883" s="114"/>
      <c r="AJ883" s="114"/>
      <c r="AK883" s="114"/>
    </row>
    <row r="884" ht="15.75" customHeight="1">
      <c r="A884" s="114"/>
      <c r="B884" s="114"/>
      <c r="C884" s="114"/>
      <c r="D884" s="114"/>
      <c r="E884" s="114"/>
      <c r="F884" s="114"/>
      <c r="G884" s="114"/>
      <c r="H884" s="114"/>
      <c r="I884" s="114"/>
      <c r="J884" s="114"/>
      <c r="K884" s="114"/>
      <c r="L884" s="114"/>
      <c r="M884" s="114"/>
      <c r="N884" s="114"/>
      <c r="O884" s="114"/>
      <c r="P884" s="114"/>
      <c r="Q884" s="114"/>
      <c r="R884" s="114"/>
      <c r="S884" s="114"/>
      <c r="T884" s="114"/>
      <c r="U884" s="114"/>
      <c r="V884" s="114"/>
      <c r="W884" s="114"/>
      <c r="X884" s="114"/>
      <c r="Y884" s="114"/>
      <c r="Z884" s="114"/>
      <c r="AA884" s="114"/>
      <c r="AB884" s="114"/>
      <c r="AC884" s="114"/>
      <c r="AD884" s="114"/>
      <c r="AE884" s="114"/>
      <c r="AF884" s="114"/>
      <c r="AG884" s="114"/>
      <c r="AH884" s="114"/>
      <c r="AI884" s="114"/>
      <c r="AJ884" s="114"/>
      <c r="AK884" s="114"/>
    </row>
    <row r="885" ht="15.75" customHeight="1">
      <c r="A885" s="114"/>
      <c r="B885" s="114"/>
      <c r="C885" s="114"/>
      <c r="D885" s="114"/>
      <c r="E885" s="114"/>
      <c r="F885" s="114"/>
      <c r="G885" s="114"/>
      <c r="H885" s="114"/>
      <c r="I885" s="114"/>
      <c r="J885" s="114"/>
      <c r="K885" s="114"/>
      <c r="L885" s="114"/>
      <c r="M885" s="114"/>
      <c r="N885" s="114"/>
      <c r="O885" s="114"/>
      <c r="P885" s="114"/>
      <c r="Q885" s="114"/>
      <c r="R885" s="114"/>
      <c r="S885" s="114"/>
      <c r="T885" s="114"/>
      <c r="U885" s="114"/>
      <c r="V885" s="114"/>
      <c r="W885" s="114"/>
      <c r="X885" s="114"/>
      <c r="Y885" s="114"/>
      <c r="Z885" s="114"/>
      <c r="AA885" s="114"/>
      <c r="AB885" s="114"/>
      <c r="AC885" s="114"/>
      <c r="AD885" s="114"/>
      <c r="AE885" s="114"/>
      <c r="AF885" s="114"/>
      <c r="AG885" s="114"/>
      <c r="AH885" s="114"/>
      <c r="AI885" s="114"/>
      <c r="AJ885" s="114"/>
      <c r="AK885" s="114"/>
    </row>
    <row r="886" ht="15.75" customHeight="1">
      <c r="A886" s="114"/>
      <c r="B886" s="114"/>
      <c r="C886" s="114"/>
      <c r="D886" s="114"/>
      <c r="E886" s="114"/>
      <c r="F886" s="114"/>
      <c r="G886" s="114"/>
      <c r="H886" s="114"/>
      <c r="I886" s="114"/>
      <c r="J886" s="114"/>
      <c r="K886" s="114"/>
      <c r="L886" s="114"/>
      <c r="M886" s="114"/>
      <c r="N886" s="114"/>
      <c r="O886" s="114"/>
      <c r="P886" s="114"/>
      <c r="Q886" s="114"/>
      <c r="R886" s="114"/>
      <c r="S886" s="114"/>
      <c r="T886" s="114"/>
      <c r="U886" s="114"/>
      <c r="V886" s="114"/>
      <c r="W886" s="114"/>
      <c r="X886" s="114"/>
      <c r="Y886" s="114"/>
      <c r="Z886" s="114"/>
      <c r="AA886" s="114"/>
      <c r="AB886" s="114"/>
      <c r="AC886" s="114"/>
      <c r="AD886" s="114"/>
      <c r="AE886" s="114"/>
      <c r="AF886" s="114"/>
      <c r="AG886" s="114"/>
      <c r="AH886" s="114"/>
      <c r="AI886" s="114"/>
      <c r="AJ886" s="114"/>
      <c r="AK886" s="114"/>
    </row>
    <row r="887" ht="15.75" customHeight="1">
      <c r="A887" s="114"/>
      <c r="B887" s="114"/>
      <c r="C887" s="114"/>
      <c r="D887" s="114"/>
      <c r="E887" s="114"/>
      <c r="F887" s="114"/>
      <c r="G887" s="114"/>
      <c r="H887" s="114"/>
      <c r="I887" s="114"/>
      <c r="J887" s="114"/>
      <c r="K887" s="114"/>
      <c r="L887" s="114"/>
      <c r="M887" s="114"/>
      <c r="N887" s="114"/>
      <c r="O887" s="114"/>
      <c r="P887" s="114"/>
      <c r="Q887" s="114"/>
      <c r="R887" s="114"/>
      <c r="S887" s="114"/>
      <c r="T887" s="114"/>
      <c r="U887" s="114"/>
      <c r="V887" s="114"/>
      <c r="W887" s="114"/>
      <c r="X887" s="114"/>
      <c r="Y887" s="114"/>
      <c r="Z887" s="114"/>
      <c r="AA887" s="114"/>
      <c r="AB887" s="114"/>
      <c r="AC887" s="114"/>
      <c r="AD887" s="114"/>
      <c r="AE887" s="114"/>
      <c r="AF887" s="114"/>
      <c r="AG887" s="114"/>
      <c r="AH887" s="114"/>
      <c r="AI887" s="114"/>
      <c r="AJ887" s="114"/>
      <c r="AK887" s="114"/>
    </row>
    <row r="888" ht="15.75" customHeight="1">
      <c r="A888" s="114"/>
      <c r="B888" s="114"/>
      <c r="C888" s="114"/>
      <c r="D888" s="114"/>
      <c r="E888" s="114"/>
      <c r="F888" s="114"/>
      <c r="G888" s="114"/>
      <c r="H888" s="114"/>
      <c r="I888" s="114"/>
      <c r="J888" s="114"/>
      <c r="K888" s="114"/>
      <c r="L888" s="114"/>
      <c r="M888" s="114"/>
      <c r="N888" s="114"/>
      <c r="O888" s="114"/>
      <c r="P888" s="114"/>
      <c r="Q888" s="114"/>
      <c r="R888" s="114"/>
      <c r="S888" s="114"/>
      <c r="T888" s="114"/>
      <c r="U888" s="114"/>
      <c r="V888" s="114"/>
      <c r="W888" s="114"/>
      <c r="X888" s="114"/>
      <c r="Y888" s="114"/>
      <c r="Z888" s="114"/>
      <c r="AA888" s="114"/>
      <c r="AB888" s="114"/>
      <c r="AC888" s="114"/>
      <c r="AD888" s="114"/>
      <c r="AE888" s="114"/>
      <c r="AF888" s="114"/>
      <c r="AG888" s="114"/>
      <c r="AH888" s="114"/>
      <c r="AI888" s="114"/>
      <c r="AJ888" s="114"/>
      <c r="AK888" s="114"/>
    </row>
    <row r="889" ht="15.75" customHeight="1">
      <c r="A889" s="114"/>
      <c r="B889" s="114"/>
      <c r="C889" s="114"/>
      <c r="D889" s="114"/>
      <c r="E889" s="114"/>
      <c r="F889" s="114"/>
      <c r="G889" s="114"/>
      <c r="H889" s="114"/>
      <c r="I889" s="114"/>
      <c r="J889" s="114"/>
      <c r="K889" s="114"/>
      <c r="L889" s="114"/>
      <c r="M889" s="114"/>
      <c r="N889" s="114"/>
      <c r="O889" s="114"/>
      <c r="P889" s="114"/>
      <c r="Q889" s="114"/>
      <c r="R889" s="114"/>
      <c r="S889" s="114"/>
      <c r="T889" s="114"/>
      <c r="U889" s="114"/>
      <c r="V889" s="114"/>
      <c r="W889" s="114"/>
      <c r="X889" s="114"/>
      <c r="Y889" s="114"/>
      <c r="Z889" s="114"/>
      <c r="AA889" s="114"/>
      <c r="AB889" s="114"/>
      <c r="AC889" s="114"/>
      <c r="AD889" s="114"/>
      <c r="AE889" s="114"/>
      <c r="AF889" s="114"/>
      <c r="AG889" s="114"/>
      <c r="AH889" s="114"/>
      <c r="AI889" s="114"/>
      <c r="AJ889" s="114"/>
      <c r="AK889" s="114"/>
    </row>
    <row r="890" ht="15.75" customHeight="1">
      <c r="A890" s="114"/>
      <c r="B890" s="114"/>
      <c r="C890" s="114"/>
      <c r="D890" s="114"/>
      <c r="E890" s="114"/>
      <c r="F890" s="114"/>
      <c r="G890" s="114"/>
      <c r="H890" s="114"/>
      <c r="I890" s="114"/>
      <c r="J890" s="114"/>
      <c r="K890" s="114"/>
      <c r="L890" s="114"/>
      <c r="M890" s="114"/>
      <c r="N890" s="114"/>
      <c r="O890" s="114"/>
      <c r="P890" s="114"/>
      <c r="Q890" s="114"/>
      <c r="R890" s="114"/>
      <c r="S890" s="114"/>
      <c r="T890" s="114"/>
      <c r="U890" s="114"/>
      <c r="V890" s="114"/>
      <c r="W890" s="114"/>
      <c r="X890" s="114"/>
      <c r="Y890" s="114"/>
      <c r="Z890" s="114"/>
      <c r="AA890" s="114"/>
      <c r="AB890" s="114"/>
      <c r="AC890" s="114"/>
      <c r="AD890" s="114"/>
      <c r="AE890" s="114"/>
      <c r="AF890" s="114"/>
      <c r="AG890" s="114"/>
      <c r="AH890" s="114"/>
      <c r="AI890" s="114"/>
      <c r="AJ890" s="114"/>
      <c r="AK890" s="114"/>
    </row>
    <row r="891" ht="15.75" customHeight="1">
      <c r="A891" s="114"/>
      <c r="B891" s="114"/>
      <c r="C891" s="114"/>
      <c r="D891" s="114"/>
      <c r="E891" s="114"/>
      <c r="F891" s="114"/>
      <c r="G891" s="114"/>
      <c r="H891" s="114"/>
      <c r="I891" s="114"/>
      <c r="J891" s="114"/>
      <c r="K891" s="114"/>
      <c r="L891" s="114"/>
      <c r="M891" s="114"/>
      <c r="N891" s="114"/>
      <c r="O891" s="114"/>
      <c r="P891" s="114"/>
      <c r="Q891" s="114"/>
      <c r="R891" s="114"/>
      <c r="S891" s="114"/>
      <c r="T891" s="114"/>
      <c r="U891" s="114"/>
      <c r="V891" s="114"/>
      <c r="W891" s="114"/>
      <c r="X891" s="114"/>
      <c r="Y891" s="114"/>
      <c r="Z891" s="114"/>
      <c r="AA891" s="114"/>
      <c r="AB891" s="114"/>
      <c r="AC891" s="114"/>
      <c r="AD891" s="114"/>
      <c r="AE891" s="114"/>
      <c r="AF891" s="114"/>
      <c r="AG891" s="114"/>
      <c r="AH891" s="114"/>
      <c r="AI891" s="114"/>
      <c r="AJ891" s="114"/>
      <c r="AK891" s="114"/>
    </row>
    <row r="892" ht="15.75" customHeight="1">
      <c r="A892" s="114"/>
      <c r="B892" s="114"/>
      <c r="C892" s="114"/>
      <c r="D892" s="114"/>
      <c r="E892" s="114"/>
      <c r="F892" s="114"/>
      <c r="G892" s="114"/>
      <c r="H892" s="114"/>
      <c r="I892" s="114"/>
      <c r="J892" s="114"/>
      <c r="K892" s="114"/>
      <c r="L892" s="114"/>
      <c r="M892" s="114"/>
      <c r="N892" s="114"/>
      <c r="O892" s="114"/>
      <c r="P892" s="114"/>
      <c r="Q892" s="114"/>
      <c r="R892" s="114"/>
      <c r="S892" s="114"/>
      <c r="T892" s="114"/>
      <c r="U892" s="114"/>
      <c r="V892" s="114"/>
      <c r="W892" s="114"/>
      <c r="X892" s="114"/>
      <c r="Y892" s="114"/>
      <c r="Z892" s="114"/>
      <c r="AA892" s="114"/>
      <c r="AB892" s="114"/>
      <c r="AC892" s="114"/>
      <c r="AD892" s="114"/>
      <c r="AE892" s="114"/>
      <c r="AF892" s="114"/>
      <c r="AG892" s="114"/>
      <c r="AH892" s="114"/>
      <c r="AI892" s="114"/>
      <c r="AJ892" s="114"/>
      <c r="AK892" s="114"/>
    </row>
    <row r="893" ht="15.75" customHeight="1">
      <c r="A893" s="114"/>
      <c r="B893" s="114"/>
      <c r="C893" s="114"/>
      <c r="D893" s="114"/>
      <c r="E893" s="114"/>
      <c r="F893" s="114"/>
      <c r="G893" s="114"/>
      <c r="H893" s="114"/>
      <c r="I893" s="114"/>
      <c r="J893" s="114"/>
      <c r="K893" s="114"/>
      <c r="L893" s="114"/>
      <c r="M893" s="114"/>
      <c r="N893" s="114"/>
      <c r="O893" s="114"/>
      <c r="P893" s="114"/>
      <c r="Q893" s="114"/>
      <c r="R893" s="114"/>
      <c r="S893" s="114"/>
      <c r="T893" s="114"/>
      <c r="U893" s="114"/>
      <c r="V893" s="114"/>
      <c r="W893" s="114"/>
      <c r="X893" s="114"/>
      <c r="Y893" s="114"/>
      <c r="Z893" s="114"/>
      <c r="AA893" s="114"/>
      <c r="AB893" s="114"/>
      <c r="AC893" s="114"/>
      <c r="AD893" s="114"/>
      <c r="AE893" s="114"/>
      <c r="AF893" s="114"/>
      <c r="AG893" s="114"/>
      <c r="AH893" s="114"/>
      <c r="AI893" s="114"/>
      <c r="AJ893" s="114"/>
      <c r="AK893" s="114"/>
    </row>
    <row r="894" ht="15.75" customHeight="1">
      <c r="A894" s="114"/>
      <c r="B894" s="114"/>
      <c r="C894" s="114"/>
      <c r="D894" s="114"/>
      <c r="E894" s="114"/>
      <c r="F894" s="114"/>
      <c r="G894" s="114"/>
      <c r="H894" s="114"/>
      <c r="I894" s="114"/>
      <c r="J894" s="114"/>
      <c r="K894" s="114"/>
      <c r="L894" s="114"/>
      <c r="M894" s="114"/>
      <c r="N894" s="114"/>
      <c r="O894" s="114"/>
      <c r="P894" s="114"/>
      <c r="Q894" s="114"/>
      <c r="R894" s="114"/>
      <c r="S894" s="114"/>
      <c r="T894" s="114"/>
      <c r="U894" s="114"/>
      <c r="V894" s="114"/>
      <c r="W894" s="114"/>
      <c r="X894" s="114"/>
      <c r="Y894" s="114"/>
      <c r="Z894" s="114"/>
      <c r="AA894" s="114"/>
      <c r="AB894" s="114"/>
      <c r="AC894" s="114"/>
      <c r="AD894" s="114"/>
      <c r="AE894" s="114"/>
      <c r="AF894" s="114"/>
      <c r="AG894" s="114"/>
      <c r="AH894" s="114"/>
      <c r="AI894" s="114"/>
      <c r="AJ894" s="114"/>
      <c r="AK894" s="114"/>
    </row>
    <row r="895" ht="15.75" customHeight="1">
      <c r="A895" s="114"/>
      <c r="B895" s="114"/>
      <c r="C895" s="114"/>
      <c r="D895" s="114"/>
      <c r="E895" s="114"/>
      <c r="F895" s="114"/>
      <c r="G895" s="114"/>
      <c r="H895" s="114"/>
      <c r="I895" s="114"/>
      <c r="J895" s="114"/>
      <c r="K895" s="114"/>
      <c r="L895" s="114"/>
      <c r="M895" s="114"/>
      <c r="N895" s="114"/>
      <c r="O895" s="114"/>
      <c r="P895" s="114"/>
      <c r="Q895" s="114"/>
      <c r="R895" s="114"/>
      <c r="S895" s="114"/>
      <c r="T895" s="114"/>
      <c r="U895" s="114"/>
      <c r="V895" s="114"/>
      <c r="W895" s="114"/>
      <c r="X895" s="114"/>
      <c r="Y895" s="114"/>
      <c r="Z895" s="114"/>
      <c r="AA895" s="114"/>
      <c r="AB895" s="114"/>
      <c r="AC895" s="114"/>
      <c r="AD895" s="114"/>
      <c r="AE895" s="114"/>
      <c r="AF895" s="114"/>
      <c r="AG895" s="114"/>
      <c r="AH895" s="114"/>
      <c r="AI895" s="114"/>
      <c r="AJ895" s="114"/>
      <c r="AK895" s="114"/>
    </row>
    <row r="896" ht="15.75" customHeight="1">
      <c r="A896" s="114"/>
      <c r="B896" s="114"/>
      <c r="C896" s="114"/>
      <c r="D896" s="114"/>
      <c r="E896" s="114"/>
      <c r="F896" s="114"/>
      <c r="G896" s="114"/>
      <c r="H896" s="114"/>
      <c r="I896" s="114"/>
      <c r="J896" s="114"/>
      <c r="K896" s="114"/>
      <c r="L896" s="114"/>
      <c r="M896" s="114"/>
      <c r="N896" s="114"/>
      <c r="O896" s="114"/>
      <c r="P896" s="114"/>
      <c r="Q896" s="114"/>
      <c r="R896" s="114"/>
      <c r="S896" s="114"/>
      <c r="T896" s="114"/>
      <c r="U896" s="114"/>
      <c r="V896" s="114"/>
      <c r="W896" s="114"/>
      <c r="X896" s="114"/>
      <c r="Y896" s="114"/>
      <c r="Z896" s="114"/>
      <c r="AA896" s="114"/>
      <c r="AB896" s="114"/>
      <c r="AC896" s="114"/>
      <c r="AD896" s="114"/>
      <c r="AE896" s="114"/>
      <c r="AF896" s="114"/>
      <c r="AG896" s="114"/>
      <c r="AH896" s="114"/>
      <c r="AI896" s="114"/>
      <c r="AJ896" s="114"/>
      <c r="AK896" s="114"/>
    </row>
    <row r="897" ht="15.75" customHeight="1">
      <c r="A897" s="114"/>
      <c r="B897" s="114"/>
      <c r="C897" s="114"/>
      <c r="D897" s="114"/>
      <c r="E897" s="114"/>
      <c r="F897" s="114"/>
      <c r="G897" s="114"/>
      <c r="H897" s="114"/>
      <c r="I897" s="114"/>
      <c r="J897" s="114"/>
      <c r="K897" s="114"/>
      <c r="L897" s="114"/>
      <c r="M897" s="114"/>
      <c r="N897" s="114"/>
      <c r="O897" s="114"/>
      <c r="P897" s="114"/>
      <c r="Q897" s="114"/>
      <c r="R897" s="114"/>
      <c r="S897" s="114"/>
      <c r="T897" s="114"/>
      <c r="U897" s="114"/>
      <c r="V897" s="114"/>
      <c r="W897" s="114"/>
      <c r="X897" s="114"/>
      <c r="Y897" s="114"/>
      <c r="Z897" s="114"/>
      <c r="AA897" s="114"/>
      <c r="AB897" s="114"/>
      <c r="AC897" s="114"/>
      <c r="AD897" s="114"/>
      <c r="AE897" s="114"/>
      <c r="AF897" s="114"/>
      <c r="AG897" s="114"/>
      <c r="AH897" s="114"/>
      <c r="AI897" s="114"/>
      <c r="AJ897" s="114"/>
      <c r="AK897" s="114"/>
    </row>
    <row r="898" ht="15.75" customHeight="1">
      <c r="A898" s="114"/>
      <c r="B898" s="114"/>
      <c r="C898" s="114"/>
      <c r="D898" s="114"/>
      <c r="E898" s="114"/>
      <c r="F898" s="114"/>
      <c r="G898" s="114"/>
      <c r="H898" s="114"/>
      <c r="I898" s="114"/>
      <c r="J898" s="114"/>
      <c r="K898" s="114"/>
      <c r="L898" s="114"/>
      <c r="M898" s="114"/>
      <c r="N898" s="114"/>
      <c r="O898" s="114"/>
      <c r="P898" s="114"/>
      <c r="Q898" s="114"/>
      <c r="R898" s="114"/>
      <c r="S898" s="114"/>
      <c r="T898" s="114"/>
      <c r="U898" s="114"/>
      <c r="V898" s="114"/>
      <c r="W898" s="114"/>
      <c r="X898" s="114"/>
      <c r="Y898" s="114"/>
      <c r="Z898" s="114"/>
      <c r="AA898" s="114"/>
      <c r="AB898" s="114"/>
      <c r="AC898" s="114"/>
      <c r="AD898" s="114"/>
      <c r="AE898" s="114"/>
      <c r="AF898" s="114"/>
      <c r="AG898" s="114"/>
      <c r="AH898" s="114"/>
      <c r="AI898" s="114"/>
      <c r="AJ898" s="114"/>
      <c r="AK898" s="114"/>
    </row>
    <row r="899" ht="15.75" customHeight="1">
      <c r="A899" s="114"/>
      <c r="B899" s="114"/>
      <c r="C899" s="114"/>
      <c r="D899" s="114"/>
      <c r="E899" s="114"/>
      <c r="F899" s="114"/>
      <c r="G899" s="114"/>
      <c r="H899" s="114"/>
      <c r="I899" s="114"/>
      <c r="J899" s="114"/>
      <c r="K899" s="114"/>
      <c r="L899" s="114"/>
      <c r="M899" s="114"/>
      <c r="N899" s="114"/>
      <c r="O899" s="114"/>
      <c r="P899" s="114"/>
      <c r="Q899" s="114"/>
      <c r="R899" s="114"/>
      <c r="S899" s="114"/>
      <c r="T899" s="114"/>
      <c r="U899" s="114"/>
      <c r="V899" s="114"/>
      <c r="W899" s="114"/>
      <c r="X899" s="114"/>
      <c r="Y899" s="114"/>
      <c r="Z899" s="114"/>
      <c r="AA899" s="114"/>
      <c r="AB899" s="114"/>
      <c r="AC899" s="114"/>
      <c r="AD899" s="114"/>
      <c r="AE899" s="114"/>
      <c r="AF899" s="114"/>
      <c r="AG899" s="114"/>
      <c r="AH899" s="114"/>
      <c r="AI899" s="114"/>
      <c r="AJ899" s="114"/>
      <c r="AK899" s="114"/>
    </row>
    <row r="900" ht="15.75" customHeight="1">
      <c r="A900" s="114"/>
      <c r="B900" s="114"/>
      <c r="C900" s="114"/>
      <c r="D900" s="114"/>
      <c r="E900" s="114"/>
      <c r="F900" s="114"/>
      <c r="G900" s="114"/>
      <c r="H900" s="114"/>
      <c r="I900" s="114"/>
      <c r="J900" s="114"/>
      <c r="K900" s="114"/>
      <c r="L900" s="114"/>
      <c r="M900" s="114"/>
      <c r="N900" s="114"/>
      <c r="O900" s="114"/>
      <c r="P900" s="114"/>
      <c r="Q900" s="114"/>
      <c r="R900" s="114"/>
      <c r="S900" s="114"/>
      <c r="T900" s="114"/>
      <c r="U900" s="114"/>
      <c r="V900" s="114"/>
      <c r="W900" s="114"/>
      <c r="X900" s="114"/>
      <c r="Y900" s="114"/>
      <c r="Z900" s="114"/>
      <c r="AA900" s="114"/>
      <c r="AB900" s="114"/>
      <c r="AC900" s="114"/>
      <c r="AD900" s="114"/>
      <c r="AE900" s="114"/>
      <c r="AF900" s="114"/>
      <c r="AG900" s="114"/>
      <c r="AH900" s="114"/>
      <c r="AI900" s="114"/>
      <c r="AJ900" s="114"/>
      <c r="AK900" s="114"/>
    </row>
    <row r="901" ht="15.75" customHeight="1">
      <c r="A901" s="114"/>
      <c r="B901" s="114"/>
      <c r="C901" s="114"/>
      <c r="D901" s="114"/>
      <c r="E901" s="114"/>
      <c r="F901" s="114"/>
      <c r="G901" s="114"/>
      <c r="H901" s="114"/>
      <c r="I901" s="114"/>
      <c r="J901" s="114"/>
      <c r="K901" s="114"/>
      <c r="L901" s="114"/>
      <c r="M901" s="114"/>
      <c r="N901" s="114"/>
      <c r="O901" s="114"/>
      <c r="P901" s="114"/>
      <c r="Q901" s="114"/>
      <c r="R901" s="114"/>
      <c r="S901" s="114"/>
      <c r="T901" s="114"/>
      <c r="U901" s="114"/>
      <c r="V901" s="114"/>
      <c r="W901" s="114"/>
      <c r="X901" s="114"/>
      <c r="Y901" s="114"/>
      <c r="Z901" s="114"/>
      <c r="AA901" s="114"/>
      <c r="AB901" s="114"/>
      <c r="AC901" s="114"/>
      <c r="AD901" s="114"/>
      <c r="AE901" s="114"/>
      <c r="AF901" s="114"/>
      <c r="AG901" s="114"/>
      <c r="AH901" s="114"/>
      <c r="AI901" s="114"/>
      <c r="AJ901" s="114"/>
      <c r="AK901" s="114"/>
    </row>
    <row r="902" ht="15.75" customHeight="1">
      <c r="A902" s="114"/>
      <c r="B902" s="114"/>
      <c r="C902" s="114"/>
      <c r="D902" s="114"/>
      <c r="E902" s="114"/>
      <c r="F902" s="114"/>
      <c r="G902" s="114"/>
      <c r="H902" s="114"/>
      <c r="I902" s="114"/>
      <c r="J902" s="114"/>
      <c r="K902" s="114"/>
      <c r="L902" s="114"/>
      <c r="M902" s="114"/>
      <c r="N902" s="114"/>
      <c r="O902" s="114"/>
      <c r="P902" s="114"/>
      <c r="Q902" s="114"/>
      <c r="R902" s="114"/>
      <c r="S902" s="114"/>
      <c r="T902" s="114"/>
      <c r="U902" s="114"/>
      <c r="V902" s="114"/>
      <c r="W902" s="114"/>
      <c r="X902" s="114"/>
      <c r="Y902" s="114"/>
      <c r="Z902" s="114"/>
      <c r="AA902" s="114"/>
      <c r="AB902" s="114"/>
      <c r="AC902" s="114"/>
      <c r="AD902" s="114"/>
      <c r="AE902" s="114"/>
      <c r="AF902" s="114"/>
      <c r="AG902" s="114"/>
      <c r="AH902" s="114"/>
      <c r="AI902" s="114"/>
      <c r="AJ902" s="114"/>
      <c r="AK902" s="114"/>
    </row>
    <row r="903" ht="15.75" customHeight="1">
      <c r="A903" s="114"/>
      <c r="B903" s="114"/>
      <c r="C903" s="114"/>
      <c r="D903" s="114"/>
      <c r="E903" s="114"/>
      <c r="F903" s="114"/>
      <c r="G903" s="114"/>
      <c r="H903" s="114"/>
      <c r="I903" s="114"/>
      <c r="J903" s="114"/>
      <c r="K903" s="114"/>
      <c r="L903" s="114"/>
      <c r="M903" s="114"/>
      <c r="N903" s="114"/>
      <c r="O903" s="114"/>
      <c r="P903" s="114"/>
      <c r="Q903" s="114"/>
      <c r="R903" s="114"/>
      <c r="S903" s="114"/>
      <c r="T903" s="114"/>
      <c r="U903" s="114"/>
      <c r="V903" s="114"/>
      <c r="W903" s="114"/>
      <c r="X903" s="114"/>
      <c r="Y903" s="114"/>
      <c r="Z903" s="114"/>
      <c r="AA903" s="114"/>
      <c r="AB903" s="114"/>
      <c r="AC903" s="114"/>
      <c r="AD903" s="114"/>
      <c r="AE903" s="114"/>
      <c r="AF903" s="114"/>
      <c r="AG903" s="114"/>
      <c r="AH903" s="114"/>
      <c r="AI903" s="114"/>
      <c r="AJ903" s="114"/>
      <c r="AK903" s="114"/>
    </row>
    <row r="904" ht="15.75" customHeight="1">
      <c r="A904" s="114"/>
      <c r="B904" s="114"/>
      <c r="C904" s="114"/>
      <c r="D904" s="114"/>
      <c r="E904" s="114"/>
      <c r="F904" s="114"/>
      <c r="G904" s="114"/>
      <c r="H904" s="114"/>
      <c r="I904" s="114"/>
      <c r="J904" s="114"/>
      <c r="K904" s="114"/>
      <c r="L904" s="114"/>
      <c r="M904" s="114"/>
      <c r="N904" s="114"/>
      <c r="O904" s="114"/>
      <c r="P904" s="114"/>
      <c r="Q904" s="114"/>
      <c r="R904" s="114"/>
      <c r="S904" s="114"/>
      <c r="T904" s="114"/>
      <c r="U904" s="114"/>
      <c r="V904" s="114"/>
      <c r="W904" s="114"/>
      <c r="X904" s="114"/>
      <c r="Y904" s="114"/>
      <c r="Z904" s="114"/>
      <c r="AA904" s="114"/>
      <c r="AB904" s="114"/>
      <c r="AC904" s="114"/>
      <c r="AD904" s="114"/>
      <c r="AE904" s="114"/>
      <c r="AF904" s="114"/>
      <c r="AG904" s="114"/>
      <c r="AH904" s="114"/>
      <c r="AI904" s="114"/>
      <c r="AJ904" s="114"/>
      <c r="AK904" s="114"/>
    </row>
    <row r="905" ht="15.75" customHeight="1">
      <c r="A905" s="114"/>
      <c r="B905" s="114"/>
      <c r="C905" s="114"/>
      <c r="D905" s="114"/>
      <c r="E905" s="114"/>
      <c r="F905" s="114"/>
      <c r="G905" s="114"/>
      <c r="H905" s="114"/>
      <c r="I905" s="114"/>
      <c r="J905" s="114"/>
      <c r="K905" s="114"/>
      <c r="L905" s="114"/>
      <c r="M905" s="114"/>
      <c r="N905" s="114"/>
      <c r="O905" s="114"/>
      <c r="P905" s="114"/>
      <c r="Q905" s="114"/>
      <c r="R905" s="114"/>
      <c r="S905" s="114"/>
      <c r="T905" s="114"/>
      <c r="U905" s="114"/>
      <c r="V905" s="114"/>
      <c r="W905" s="114"/>
      <c r="X905" s="114"/>
      <c r="Y905" s="114"/>
      <c r="Z905" s="114"/>
      <c r="AA905" s="114"/>
      <c r="AB905" s="114"/>
      <c r="AC905" s="114"/>
      <c r="AD905" s="114"/>
      <c r="AE905" s="114"/>
      <c r="AF905" s="114"/>
      <c r="AG905" s="114"/>
      <c r="AH905" s="114"/>
      <c r="AI905" s="114"/>
      <c r="AJ905" s="114"/>
      <c r="AK905" s="114"/>
    </row>
    <row r="906" ht="15.75" customHeight="1">
      <c r="A906" s="114"/>
      <c r="B906" s="114"/>
      <c r="C906" s="114"/>
      <c r="D906" s="114"/>
      <c r="E906" s="114"/>
      <c r="F906" s="114"/>
      <c r="G906" s="114"/>
      <c r="H906" s="114"/>
      <c r="I906" s="114"/>
      <c r="J906" s="114"/>
      <c r="K906" s="114"/>
      <c r="L906" s="114"/>
      <c r="M906" s="114"/>
      <c r="N906" s="114"/>
      <c r="O906" s="114"/>
      <c r="P906" s="114"/>
      <c r="Q906" s="114"/>
      <c r="R906" s="114"/>
      <c r="S906" s="114"/>
      <c r="T906" s="114"/>
      <c r="U906" s="114"/>
      <c r="V906" s="114"/>
      <c r="W906" s="114"/>
      <c r="X906" s="114"/>
      <c r="Y906" s="114"/>
      <c r="Z906" s="114"/>
      <c r="AA906" s="114"/>
      <c r="AB906" s="114"/>
      <c r="AC906" s="114"/>
      <c r="AD906" s="114"/>
      <c r="AE906" s="114"/>
      <c r="AF906" s="114"/>
      <c r="AG906" s="114"/>
      <c r="AH906" s="114"/>
      <c r="AI906" s="114"/>
      <c r="AJ906" s="114"/>
      <c r="AK906" s="114"/>
    </row>
    <row r="907" ht="15.75" customHeight="1">
      <c r="A907" s="114"/>
      <c r="B907" s="114"/>
      <c r="C907" s="114"/>
      <c r="D907" s="114"/>
      <c r="E907" s="114"/>
      <c r="F907" s="114"/>
      <c r="G907" s="114"/>
      <c r="H907" s="114"/>
      <c r="I907" s="114"/>
      <c r="J907" s="114"/>
      <c r="K907" s="114"/>
      <c r="L907" s="114"/>
      <c r="M907" s="114"/>
      <c r="N907" s="114"/>
      <c r="O907" s="114"/>
      <c r="P907" s="114"/>
      <c r="Q907" s="114"/>
      <c r="R907" s="114"/>
      <c r="S907" s="114"/>
      <c r="T907" s="114"/>
      <c r="U907" s="114"/>
      <c r="V907" s="114"/>
      <c r="W907" s="114"/>
      <c r="X907" s="114"/>
      <c r="Y907" s="114"/>
      <c r="Z907" s="114"/>
      <c r="AA907" s="114"/>
      <c r="AB907" s="114"/>
      <c r="AC907" s="114"/>
      <c r="AD907" s="114"/>
      <c r="AE907" s="114"/>
      <c r="AF907" s="114"/>
      <c r="AG907" s="114"/>
      <c r="AH907" s="114"/>
      <c r="AI907" s="114"/>
      <c r="AJ907" s="114"/>
      <c r="AK907" s="114"/>
    </row>
    <row r="908" ht="15.75" customHeight="1">
      <c r="A908" s="114"/>
      <c r="B908" s="114"/>
      <c r="C908" s="114"/>
      <c r="D908" s="114"/>
      <c r="E908" s="114"/>
      <c r="F908" s="114"/>
      <c r="G908" s="114"/>
      <c r="H908" s="114"/>
      <c r="I908" s="114"/>
      <c r="J908" s="114"/>
      <c r="K908" s="114"/>
      <c r="L908" s="114"/>
      <c r="M908" s="114"/>
      <c r="N908" s="114"/>
      <c r="O908" s="114"/>
      <c r="P908" s="114"/>
      <c r="Q908" s="114"/>
      <c r="R908" s="114"/>
      <c r="S908" s="114"/>
      <c r="T908" s="114"/>
      <c r="U908" s="114"/>
      <c r="V908" s="114"/>
      <c r="W908" s="114"/>
      <c r="X908" s="114"/>
      <c r="Y908" s="114"/>
      <c r="Z908" s="114"/>
      <c r="AA908" s="114"/>
      <c r="AB908" s="114"/>
      <c r="AC908" s="114"/>
      <c r="AD908" s="114"/>
      <c r="AE908" s="114"/>
      <c r="AF908" s="114"/>
      <c r="AG908" s="114"/>
      <c r="AH908" s="114"/>
      <c r="AI908" s="114"/>
      <c r="AJ908" s="114"/>
      <c r="AK908" s="114"/>
    </row>
    <row r="909" ht="15.75" customHeight="1">
      <c r="A909" s="114"/>
      <c r="B909" s="114"/>
      <c r="C909" s="114"/>
      <c r="D909" s="114"/>
      <c r="E909" s="114"/>
      <c r="F909" s="114"/>
      <c r="G909" s="114"/>
      <c r="H909" s="114"/>
      <c r="I909" s="114"/>
      <c r="J909" s="114"/>
      <c r="K909" s="114"/>
      <c r="L909" s="114"/>
      <c r="M909" s="114"/>
      <c r="N909" s="114"/>
      <c r="O909" s="114"/>
      <c r="P909" s="114"/>
      <c r="Q909" s="114"/>
      <c r="R909" s="114"/>
      <c r="S909" s="114"/>
      <c r="T909" s="114"/>
      <c r="U909" s="114"/>
      <c r="V909" s="114"/>
      <c r="W909" s="114"/>
      <c r="X909" s="114"/>
      <c r="Y909" s="114"/>
      <c r="Z909" s="114"/>
      <c r="AA909" s="114"/>
      <c r="AB909" s="114"/>
      <c r="AC909" s="114"/>
      <c r="AD909" s="114"/>
      <c r="AE909" s="114"/>
      <c r="AF909" s="114"/>
      <c r="AG909" s="114"/>
      <c r="AH909" s="114"/>
      <c r="AI909" s="114"/>
      <c r="AJ909" s="114"/>
      <c r="AK909" s="114"/>
    </row>
    <row r="910" ht="15.75" customHeight="1">
      <c r="A910" s="114"/>
      <c r="B910" s="114"/>
      <c r="C910" s="114"/>
      <c r="D910" s="114"/>
      <c r="E910" s="114"/>
      <c r="F910" s="114"/>
      <c r="G910" s="114"/>
      <c r="H910" s="114"/>
      <c r="I910" s="114"/>
      <c r="J910" s="114"/>
      <c r="K910" s="114"/>
      <c r="L910" s="114"/>
      <c r="M910" s="114"/>
      <c r="N910" s="114"/>
      <c r="O910" s="114"/>
      <c r="P910" s="114"/>
      <c r="Q910" s="114"/>
      <c r="R910" s="114"/>
      <c r="S910" s="114"/>
      <c r="T910" s="114"/>
      <c r="U910" s="114"/>
      <c r="V910" s="114"/>
      <c r="W910" s="114"/>
      <c r="X910" s="114"/>
      <c r="Y910" s="114"/>
      <c r="Z910" s="114"/>
      <c r="AA910" s="114"/>
      <c r="AB910" s="114"/>
      <c r="AC910" s="114"/>
      <c r="AD910" s="114"/>
      <c r="AE910" s="114"/>
      <c r="AF910" s="114"/>
      <c r="AG910" s="114"/>
      <c r="AH910" s="114"/>
      <c r="AI910" s="114"/>
      <c r="AJ910" s="114"/>
      <c r="AK910" s="114"/>
    </row>
    <row r="911" ht="15.75" customHeight="1">
      <c r="A911" s="114"/>
      <c r="B911" s="114"/>
      <c r="C911" s="114"/>
      <c r="D911" s="114"/>
      <c r="E911" s="114"/>
      <c r="F911" s="114"/>
      <c r="G911" s="114"/>
      <c r="H911" s="114"/>
      <c r="I911" s="114"/>
      <c r="J911" s="114"/>
      <c r="K911" s="114"/>
      <c r="L911" s="114"/>
      <c r="M911" s="114"/>
      <c r="N911" s="114"/>
      <c r="O911" s="114"/>
      <c r="P911" s="114"/>
      <c r="Q911" s="114"/>
      <c r="R911" s="114"/>
      <c r="S911" s="114"/>
      <c r="T911" s="114"/>
      <c r="U911" s="114"/>
      <c r="V911" s="114"/>
      <c r="W911" s="114"/>
      <c r="X911" s="114"/>
      <c r="Y911" s="114"/>
      <c r="Z911" s="114"/>
      <c r="AA911" s="114"/>
      <c r="AB911" s="114"/>
      <c r="AC911" s="114"/>
      <c r="AD911" s="114"/>
      <c r="AE911" s="114"/>
      <c r="AF911" s="114"/>
      <c r="AG911" s="114"/>
      <c r="AH911" s="114"/>
      <c r="AI911" s="114"/>
      <c r="AJ911" s="114"/>
      <c r="AK911" s="114"/>
    </row>
    <row r="912" ht="15.75" customHeight="1">
      <c r="A912" s="114"/>
      <c r="B912" s="114"/>
      <c r="C912" s="114"/>
      <c r="D912" s="114"/>
      <c r="E912" s="114"/>
      <c r="F912" s="114"/>
      <c r="G912" s="114"/>
      <c r="H912" s="114"/>
      <c r="I912" s="114"/>
      <c r="J912" s="114"/>
      <c r="K912" s="114"/>
      <c r="L912" s="114"/>
      <c r="M912" s="114"/>
      <c r="N912" s="114"/>
      <c r="O912" s="114"/>
      <c r="P912" s="114"/>
      <c r="Q912" s="114"/>
      <c r="R912" s="114"/>
      <c r="S912" s="114"/>
      <c r="T912" s="114"/>
      <c r="U912" s="114"/>
      <c r="V912" s="114"/>
      <c r="W912" s="114"/>
      <c r="X912" s="114"/>
      <c r="Y912" s="114"/>
      <c r="Z912" s="114"/>
      <c r="AA912" s="114"/>
      <c r="AB912" s="114"/>
      <c r="AC912" s="114"/>
      <c r="AD912" s="114"/>
      <c r="AE912" s="114"/>
      <c r="AF912" s="114"/>
      <c r="AG912" s="114"/>
      <c r="AH912" s="114"/>
      <c r="AI912" s="114"/>
      <c r="AJ912" s="114"/>
      <c r="AK912" s="114"/>
    </row>
    <row r="913" ht="15.75" customHeight="1">
      <c r="A913" s="114"/>
      <c r="B913" s="114"/>
      <c r="C913" s="114"/>
      <c r="D913" s="114"/>
      <c r="E913" s="114"/>
      <c r="F913" s="114"/>
      <c r="G913" s="114"/>
      <c r="H913" s="114"/>
      <c r="I913" s="114"/>
      <c r="J913" s="114"/>
      <c r="K913" s="114"/>
      <c r="L913" s="114"/>
      <c r="M913" s="114"/>
      <c r="N913" s="114"/>
      <c r="O913" s="114"/>
      <c r="P913" s="114"/>
      <c r="Q913" s="114"/>
      <c r="R913" s="114"/>
      <c r="S913" s="114"/>
      <c r="T913" s="114"/>
      <c r="U913" s="114"/>
      <c r="V913" s="114"/>
      <c r="W913" s="114"/>
      <c r="X913" s="114"/>
      <c r="Y913" s="114"/>
      <c r="Z913" s="114"/>
      <c r="AA913" s="114"/>
      <c r="AB913" s="114"/>
      <c r="AC913" s="114"/>
      <c r="AD913" s="114"/>
      <c r="AE913" s="114"/>
      <c r="AF913" s="114"/>
      <c r="AG913" s="114"/>
      <c r="AH913" s="114"/>
      <c r="AI913" s="114"/>
      <c r="AJ913" s="114"/>
      <c r="AK913" s="114"/>
    </row>
    <row r="914" ht="15.75" customHeight="1">
      <c r="A914" s="114"/>
      <c r="B914" s="114"/>
      <c r="C914" s="114"/>
      <c r="D914" s="114"/>
      <c r="E914" s="114"/>
      <c r="F914" s="114"/>
      <c r="G914" s="114"/>
      <c r="H914" s="114"/>
      <c r="I914" s="114"/>
      <c r="J914" s="114"/>
      <c r="K914" s="114"/>
      <c r="L914" s="114"/>
      <c r="M914" s="114"/>
      <c r="N914" s="114"/>
      <c r="O914" s="114"/>
      <c r="P914" s="114"/>
      <c r="Q914" s="114"/>
      <c r="R914" s="114"/>
      <c r="S914" s="114"/>
      <c r="T914" s="114"/>
      <c r="U914" s="114"/>
      <c r="V914" s="114"/>
      <c r="W914" s="114"/>
      <c r="X914" s="114"/>
      <c r="Y914" s="114"/>
      <c r="Z914" s="114"/>
      <c r="AA914" s="114"/>
      <c r="AB914" s="114"/>
      <c r="AC914" s="114"/>
      <c r="AD914" s="114"/>
      <c r="AE914" s="114"/>
      <c r="AF914" s="114"/>
      <c r="AG914" s="114"/>
      <c r="AH914" s="114"/>
      <c r="AI914" s="114"/>
      <c r="AJ914" s="114"/>
      <c r="AK914" s="114"/>
    </row>
    <row r="915" ht="15.75" customHeight="1">
      <c r="A915" s="114"/>
      <c r="B915" s="114"/>
      <c r="C915" s="114"/>
      <c r="D915" s="114"/>
      <c r="E915" s="114"/>
      <c r="F915" s="114"/>
      <c r="G915" s="114"/>
      <c r="H915" s="114"/>
      <c r="I915" s="114"/>
      <c r="J915" s="114"/>
      <c r="K915" s="114"/>
      <c r="L915" s="114"/>
      <c r="M915" s="114"/>
      <c r="N915" s="114"/>
      <c r="O915" s="114"/>
      <c r="P915" s="114"/>
      <c r="Q915" s="114"/>
      <c r="R915" s="114"/>
      <c r="S915" s="114"/>
      <c r="T915" s="114"/>
      <c r="U915" s="114"/>
      <c r="V915" s="114"/>
      <c r="W915" s="114"/>
      <c r="X915" s="114"/>
      <c r="Y915" s="114"/>
      <c r="Z915" s="114"/>
      <c r="AA915" s="114"/>
      <c r="AB915" s="114"/>
      <c r="AC915" s="114"/>
      <c r="AD915" s="114"/>
      <c r="AE915" s="114"/>
      <c r="AF915" s="114"/>
      <c r="AG915" s="114"/>
      <c r="AH915" s="114"/>
      <c r="AI915" s="114"/>
      <c r="AJ915" s="114"/>
      <c r="AK915" s="114"/>
    </row>
    <row r="916" ht="15.75" customHeight="1">
      <c r="A916" s="114"/>
      <c r="B916" s="114"/>
      <c r="C916" s="114"/>
      <c r="D916" s="114"/>
      <c r="E916" s="114"/>
      <c r="F916" s="114"/>
      <c r="G916" s="114"/>
      <c r="H916" s="114"/>
      <c r="I916" s="114"/>
      <c r="J916" s="114"/>
      <c r="K916" s="114"/>
      <c r="L916" s="114"/>
      <c r="M916" s="114"/>
      <c r="N916" s="114"/>
      <c r="O916" s="114"/>
      <c r="P916" s="114"/>
      <c r="Q916" s="114"/>
      <c r="R916" s="114"/>
      <c r="S916" s="114"/>
      <c r="T916" s="114"/>
      <c r="U916" s="114"/>
      <c r="V916" s="114"/>
      <c r="W916" s="114"/>
      <c r="X916" s="114"/>
      <c r="Y916" s="114"/>
      <c r="Z916" s="114"/>
      <c r="AA916" s="114"/>
      <c r="AB916" s="114"/>
      <c r="AC916" s="114"/>
      <c r="AD916" s="114"/>
      <c r="AE916" s="114"/>
      <c r="AF916" s="114"/>
      <c r="AG916" s="114"/>
      <c r="AH916" s="114"/>
      <c r="AI916" s="114"/>
      <c r="AJ916" s="114"/>
      <c r="AK916" s="114"/>
    </row>
    <row r="917" ht="15.75" customHeight="1">
      <c r="A917" s="114"/>
      <c r="B917" s="114"/>
      <c r="C917" s="114"/>
      <c r="D917" s="114"/>
      <c r="E917" s="114"/>
      <c r="F917" s="114"/>
      <c r="G917" s="114"/>
      <c r="H917" s="114"/>
      <c r="I917" s="114"/>
      <c r="J917" s="114"/>
      <c r="K917" s="114"/>
      <c r="L917" s="114"/>
      <c r="M917" s="114"/>
      <c r="N917" s="114"/>
      <c r="O917" s="114"/>
      <c r="P917" s="114"/>
      <c r="Q917" s="114"/>
      <c r="R917" s="114"/>
      <c r="S917" s="114"/>
      <c r="T917" s="114"/>
      <c r="U917" s="114"/>
      <c r="V917" s="114"/>
      <c r="W917" s="114"/>
      <c r="X917" s="114"/>
      <c r="Y917" s="114"/>
      <c r="Z917" s="114"/>
      <c r="AA917" s="114"/>
      <c r="AB917" s="114"/>
      <c r="AC917" s="114"/>
      <c r="AD917" s="114"/>
      <c r="AE917" s="114"/>
      <c r="AF917" s="114"/>
      <c r="AG917" s="114"/>
      <c r="AH917" s="114"/>
      <c r="AI917" s="114"/>
      <c r="AJ917" s="114"/>
      <c r="AK917" s="114"/>
    </row>
    <row r="918" ht="15.75" customHeight="1">
      <c r="A918" s="114"/>
      <c r="B918" s="114"/>
      <c r="C918" s="114"/>
      <c r="D918" s="114"/>
      <c r="E918" s="114"/>
      <c r="F918" s="114"/>
      <c r="G918" s="114"/>
      <c r="H918" s="114"/>
      <c r="I918" s="114"/>
      <c r="J918" s="114"/>
      <c r="K918" s="114"/>
      <c r="L918" s="114"/>
      <c r="M918" s="114"/>
      <c r="N918" s="114"/>
      <c r="O918" s="114"/>
      <c r="P918" s="114"/>
      <c r="Q918" s="114"/>
      <c r="R918" s="114"/>
      <c r="S918" s="114"/>
      <c r="T918" s="114"/>
      <c r="U918" s="114"/>
      <c r="V918" s="114"/>
      <c r="W918" s="114"/>
      <c r="X918" s="114"/>
      <c r="Y918" s="114"/>
      <c r="Z918" s="114"/>
      <c r="AA918" s="114"/>
      <c r="AB918" s="114"/>
      <c r="AC918" s="114"/>
      <c r="AD918" s="114"/>
      <c r="AE918" s="114"/>
      <c r="AF918" s="114"/>
      <c r="AG918" s="114"/>
      <c r="AH918" s="114"/>
      <c r="AI918" s="114"/>
      <c r="AJ918" s="114"/>
      <c r="AK918" s="114"/>
    </row>
    <row r="919" ht="15.75" customHeight="1">
      <c r="A919" s="114"/>
      <c r="B919" s="114"/>
      <c r="C919" s="114"/>
      <c r="D919" s="114"/>
      <c r="E919" s="114"/>
      <c r="F919" s="114"/>
      <c r="G919" s="114"/>
      <c r="H919" s="114"/>
      <c r="I919" s="114"/>
      <c r="J919" s="114"/>
      <c r="K919" s="114"/>
      <c r="L919" s="114"/>
      <c r="M919" s="114"/>
      <c r="N919" s="114"/>
      <c r="O919" s="114"/>
      <c r="P919" s="114"/>
      <c r="Q919" s="114"/>
      <c r="R919" s="114"/>
      <c r="S919" s="114"/>
      <c r="T919" s="114"/>
      <c r="U919" s="114"/>
      <c r="V919" s="114"/>
      <c r="W919" s="114"/>
      <c r="X919" s="114"/>
      <c r="Y919" s="114"/>
      <c r="Z919" s="114"/>
      <c r="AA919" s="114"/>
      <c r="AB919" s="114"/>
      <c r="AC919" s="114"/>
      <c r="AD919" s="114"/>
      <c r="AE919" s="114"/>
      <c r="AF919" s="114"/>
      <c r="AG919" s="114"/>
      <c r="AH919" s="114"/>
      <c r="AI919" s="114"/>
      <c r="AJ919" s="114"/>
      <c r="AK919" s="114"/>
    </row>
    <row r="920" ht="15.75" customHeight="1">
      <c r="A920" s="114"/>
      <c r="B920" s="114"/>
      <c r="C920" s="114"/>
      <c r="D920" s="114"/>
      <c r="E920" s="114"/>
      <c r="F920" s="114"/>
      <c r="G920" s="114"/>
      <c r="H920" s="114"/>
      <c r="I920" s="114"/>
      <c r="J920" s="114"/>
      <c r="K920" s="114"/>
      <c r="L920" s="114"/>
      <c r="M920" s="114"/>
      <c r="N920" s="114"/>
      <c r="O920" s="114"/>
      <c r="P920" s="114"/>
      <c r="Q920" s="114"/>
      <c r="R920" s="114"/>
      <c r="S920" s="114"/>
      <c r="T920" s="114"/>
      <c r="U920" s="114"/>
      <c r="V920" s="114"/>
      <c r="W920" s="114"/>
      <c r="X920" s="114"/>
      <c r="Y920" s="114"/>
      <c r="Z920" s="114"/>
      <c r="AA920" s="114"/>
      <c r="AB920" s="114"/>
      <c r="AC920" s="114"/>
      <c r="AD920" s="114"/>
      <c r="AE920" s="114"/>
      <c r="AF920" s="114"/>
      <c r="AG920" s="114"/>
      <c r="AH920" s="114"/>
      <c r="AI920" s="114"/>
      <c r="AJ920" s="114"/>
      <c r="AK920" s="114"/>
    </row>
    <row r="921" ht="15.75" customHeight="1">
      <c r="A921" s="114"/>
      <c r="B921" s="114"/>
      <c r="C921" s="114"/>
      <c r="D921" s="114"/>
      <c r="E921" s="114"/>
      <c r="F921" s="114"/>
      <c r="G921" s="114"/>
      <c r="H921" s="114"/>
      <c r="I921" s="114"/>
      <c r="J921" s="114"/>
      <c r="K921" s="114"/>
      <c r="L921" s="114"/>
      <c r="M921" s="114"/>
      <c r="N921" s="114"/>
      <c r="O921" s="114"/>
      <c r="P921" s="114"/>
      <c r="Q921" s="114"/>
      <c r="R921" s="114"/>
      <c r="S921" s="114"/>
      <c r="T921" s="114"/>
      <c r="U921" s="114"/>
      <c r="V921" s="114"/>
      <c r="W921" s="114"/>
      <c r="X921" s="114"/>
      <c r="Y921" s="114"/>
      <c r="Z921" s="114"/>
      <c r="AA921" s="114"/>
      <c r="AB921" s="114"/>
      <c r="AC921" s="114"/>
      <c r="AD921" s="114"/>
      <c r="AE921" s="114"/>
      <c r="AF921" s="114"/>
      <c r="AG921" s="114"/>
      <c r="AH921" s="114"/>
      <c r="AI921" s="114"/>
      <c r="AJ921" s="114"/>
      <c r="AK921" s="114"/>
    </row>
    <row r="922" ht="15.75" customHeight="1">
      <c r="A922" s="114"/>
      <c r="B922" s="114"/>
      <c r="C922" s="114"/>
      <c r="D922" s="114"/>
      <c r="E922" s="114"/>
      <c r="F922" s="114"/>
      <c r="G922" s="114"/>
      <c r="H922" s="114"/>
      <c r="I922" s="114"/>
      <c r="J922" s="114"/>
      <c r="K922" s="114"/>
      <c r="L922" s="114"/>
      <c r="M922" s="114"/>
      <c r="N922" s="114"/>
      <c r="O922" s="114"/>
      <c r="P922" s="114"/>
      <c r="Q922" s="114"/>
      <c r="R922" s="114"/>
      <c r="S922" s="114"/>
      <c r="T922" s="114"/>
      <c r="U922" s="114"/>
      <c r="V922" s="114"/>
      <c r="W922" s="114"/>
      <c r="X922" s="114"/>
      <c r="Y922" s="114"/>
      <c r="Z922" s="114"/>
      <c r="AA922" s="114"/>
      <c r="AB922" s="114"/>
      <c r="AC922" s="114"/>
      <c r="AD922" s="114"/>
      <c r="AE922" s="114"/>
      <c r="AF922" s="114"/>
      <c r="AG922" s="114"/>
      <c r="AH922" s="114"/>
      <c r="AI922" s="114"/>
      <c r="AJ922" s="114"/>
      <c r="AK922" s="114"/>
    </row>
    <row r="923" ht="15.75" customHeight="1">
      <c r="A923" s="114"/>
      <c r="B923" s="114"/>
      <c r="C923" s="114"/>
      <c r="D923" s="114"/>
      <c r="E923" s="114"/>
      <c r="F923" s="114"/>
      <c r="G923" s="114"/>
      <c r="H923" s="114"/>
      <c r="I923" s="114"/>
      <c r="J923" s="114"/>
      <c r="K923" s="114"/>
      <c r="L923" s="114"/>
      <c r="M923" s="114"/>
      <c r="N923" s="114"/>
      <c r="O923" s="114"/>
      <c r="P923" s="114"/>
      <c r="Q923" s="114"/>
      <c r="R923" s="114"/>
      <c r="S923" s="114"/>
      <c r="T923" s="114"/>
      <c r="U923" s="114"/>
      <c r="V923" s="114"/>
      <c r="W923" s="114"/>
      <c r="X923" s="114"/>
      <c r="Y923" s="114"/>
      <c r="Z923" s="114"/>
      <c r="AA923" s="114"/>
      <c r="AB923" s="114"/>
      <c r="AC923" s="114"/>
      <c r="AD923" s="114"/>
      <c r="AE923" s="114"/>
      <c r="AF923" s="114"/>
      <c r="AG923" s="114"/>
      <c r="AH923" s="114"/>
      <c r="AI923" s="114"/>
      <c r="AJ923" s="114"/>
      <c r="AK923" s="114"/>
    </row>
    <row r="924" ht="15.75" customHeight="1">
      <c r="A924" s="114"/>
      <c r="B924" s="114"/>
      <c r="C924" s="114"/>
      <c r="D924" s="114"/>
      <c r="E924" s="114"/>
      <c r="F924" s="114"/>
      <c r="G924" s="114"/>
      <c r="H924" s="114"/>
      <c r="I924" s="114"/>
      <c r="J924" s="114"/>
      <c r="K924" s="114"/>
      <c r="L924" s="114"/>
      <c r="M924" s="114"/>
      <c r="N924" s="114"/>
      <c r="O924" s="114"/>
      <c r="P924" s="114"/>
      <c r="Q924" s="114"/>
      <c r="R924" s="114"/>
      <c r="S924" s="114"/>
      <c r="T924" s="114"/>
      <c r="U924" s="114"/>
      <c r="V924" s="114"/>
      <c r="W924" s="114"/>
      <c r="X924" s="114"/>
      <c r="Y924" s="114"/>
      <c r="Z924" s="114"/>
      <c r="AA924" s="114"/>
      <c r="AB924" s="114"/>
      <c r="AC924" s="114"/>
      <c r="AD924" s="114"/>
      <c r="AE924" s="114"/>
      <c r="AF924" s="114"/>
      <c r="AG924" s="114"/>
      <c r="AH924" s="114"/>
      <c r="AI924" s="114"/>
      <c r="AJ924" s="114"/>
      <c r="AK924" s="114"/>
    </row>
    <row r="925" ht="15.75" customHeight="1">
      <c r="A925" s="114"/>
      <c r="B925" s="114"/>
      <c r="C925" s="114"/>
      <c r="D925" s="114"/>
      <c r="E925" s="114"/>
      <c r="F925" s="114"/>
      <c r="G925" s="114"/>
      <c r="H925" s="114"/>
      <c r="I925" s="114"/>
      <c r="J925" s="114"/>
      <c r="K925" s="114"/>
      <c r="L925" s="114"/>
      <c r="M925" s="114"/>
      <c r="N925" s="114"/>
      <c r="O925" s="114"/>
      <c r="P925" s="114"/>
      <c r="Q925" s="114"/>
      <c r="R925" s="114"/>
      <c r="S925" s="114"/>
      <c r="T925" s="114"/>
      <c r="U925" s="114"/>
      <c r="V925" s="114"/>
      <c r="W925" s="114"/>
      <c r="X925" s="114"/>
      <c r="Y925" s="114"/>
      <c r="Z925" s="114"/>
      <c r="AA925" s="114"/>
      <c r="AB925" s="114"/>
      <c r="AC925" s="114"/>
      <c r="AD925" s="114"/>
      <c r="AE925" s="114"/>
      <c r="AF925" s="114"/>
      <c r="AG925" s="114"/>
      <c r="AH925" s="114"/>
      <c r="AI925" s="114"/>
      <c r="AJ925" s="114"/>
      <c r="AK925" s="114"/>
    </row>
    <row r="926" ht="15.75" customHeight="1">
      <c r="A926" s="114"/>
      <c r="B926" s="114"/>
      <c r="C926" s="114"/>
      <c r="D926" s="114"/>
      <c r="E926" s="114"/>
      <c r="F926" s="114"/>
      <c r="G926" s="114"/>
      <c r="H926" s="114"/>
      <c r="I926" s="114"/>
      <c r="J926" s="114"/>
      <c r="K926" s="114"/>
      <c r="L926" s="114"/>
      <c r="M926" s="114"/>
      <c r="N926" s="114"/>
      <c r="O926" s="114"/>
      <c r="P926" s="114"/>
      <c r="Q926" s="114"/>
      <c r="R926" s="114"/>
      <c r="S926" s="114"/>
      <c r="T926" s="114"/>
      <c r="U926" s="114"/>
      <c r="V926" s="114"/>
      <c r="W926" s="114"/>
      <c r="X926" s="114"/>
      <c r="Y926" s="114"/>
      <c r="Z926" s="114"/>
      <c r="AA926" s="114"/>
      <c r="AB926" s="114"/>
      <c r="AC926" s="114"/>
      <c r="AD926" s="114"/>
      <c r="AE926" s="114"/>
      <c r="AF926" s="114"/>
      <c r="AG926" s="114"/>
      <c r="AH926" s="114"/>
      <c r="AI926" s="114"/>
      <c r="AJ926" s="114"/>
      <c r="AK926" s="114"/>
    </row>
    <row r="927" ht="15.75" customHeight="1">
      <c r="A927" s="114"/>
      <c r="B927" s="114"/>
      <c r="C927" s="114"/>
      <c r="D927" s="114"/>
      <c r="E927" s="114"/>
      <c r="F927" s="114"/>
      <c r="G927" s="114"/>
      <c r="H927" s="114"/>
      <c r="I927" s="114"/>
      <c r="J927" s="114"/>
      <c r="K927" s="114"/>
      <c r="L927" s="114"/>
      <c r="M927" s="114"/>
      <c r="N927" s="114"/>
      <c r="O927" s="114"/>
      <c r="P927" s="114"/>
      <c r="Q927" s="114"/>
      <c r="R927" s="114"/>
      <c r="S927" s="114"/>
      <c r="T927" s="114"/>
      <c r="U927" s="114"/>
      <c r="V927" s="114"/>
      <c r="W927" s="114"/>
      <c r="X927" s="114"/>
      <c r="Y927" s="114"/>
      <c r="Z927" s="114"/>
      <c r="AA927" s="114"/>
      <c r="AB927" s="114"/>
      <c r="AC927" s="114"/>
      <c r="AD927" s="114"/>
      <c r="AE927" s="114"/>
      <c r="AF927" s="114"/>
      <c r="AG927" s="114"/>
      <c r="AH927" s="114"/>
      <c r="AI927" s="114"/>
      <c r="AJ927" s="114"/>
      <c r="AK927" s="114"/>
    </row>
    <row r="928" ht="15.75" customHeight="1">
      <c r="A928" s="114"/>
      <c r="B928" s="114"/>
      <c r="C928" s="114"/>
      <c r="D928" s="114"/>
      <c r="E928" s="114"/>
      <c r="F928" s="114"/>
      <c r="G928" s="114"/>
      <c r="H928" s="114"/>
      <c r="I928" s="114"/>
      <c r="J928" s="114"/>
      <c r="K928" s="114"/>
      <c r="L928" s="114"/>
      <c r="M928" s="114"/>
      <c r="N928" s="114"/>
      <c r="O928" s="114"/>
      <c r="P928" s="114"/>
      <c r="Q928" s="114"/>
      <c r="R928" s="114"/>
      <c r="S928" s="114"/>
      <c r="T928" s="114"/>
      <c r="U928" s="114"/>
      <c r="V928" s="114"/>
      <c r="W928" s="114"/>
      <c r="X928" s="114"/>
      <c r="Y928" s="114"/>
      <c r="Z928" s="114"/>
      <c r="AA928" s="114"/>
      <c r="AB928" s="114"/>
      <c r="AC928" s="114"/>
      <c r="AD928" s="114"/>
      <c r="AE928" s="114"/>
      <c r="AF928" s="114"/>
      <c r="AG928" s="114"/>
      <c r="AH928" s="114"/>
      <c r="AI928" s="114"/>
      <c r="AJ928" s="114"/>
      <c r="AK928" s="114"/>
    </row>
    <row r="929" ht="15.75" customHeight="1">
      <c r="A929" s="114"/>
      <c r="B929" s="114"/>
      <c r="C929" s="114"/>
      <c r="D929" s="114"/>
      <c r="E929" s="114"/>
      <c r="F929" s="114"/>
      <c r="G929" s="114"/>
      <c r="H929" s="114"/>
      <c r="I929" s="114"/>
      <c r="J929" s="114"/>
      <c r="K929" s="114"/>
      <c r="L929" s="114"/>
      <c r="M929" s="114"/>
      <c r="N929" s="114"/>
      <c r="O929" s="114"/>
      <c r="P929" s="114"/>
      <c r="Q929" s="114"/>
      <c r="R929" s="114"/>
      <c r="S929" s="114"/>
      <c r="T929" s="114"/>
      <c r="U929" s="114"/>
      <c r="V929" s="114"/>
      <c r="W929" s="114"/>
      <c r="X929" s="114"/>
      <c r="Y929" s="114"/>
      <c r="Z929" s="114"/>
      <c r="AA929" s="114"/>
      <c r="AB929" s="114"/>
      <c r="AC929" s="114"/>
      <c r="AD929" s="114"/>
      <c r="AE929" s="114"/>
      <c r="AF929" s="114"/>
      <c r="AG929" s="114"/>
      <c r="AH929" s="114"/>
      <c r="AI929" s="114"/>
      <c r="AJ929" s="114"/>
      <c r="AK929" s="114"/>
    </row>
    <row r="930" ht="15.75" customHeight="1">
      <c r="A930" s="114"/>
      <c r="B930" s="114"/>
      <c r="C930" s="114"/>
      <c r="D930" s="114"/>
      <c r="E930" s="114"/>
      <c r="F930" s="114"/>
      <c r="G930" s="114"/>
      <c r="H930" s="114"/>
      <c r="I930" s="114"/>
      <c r="J930" s="114"/>
      <c r="K930" s="114"/>
      <c r="L930" s="114"/>
      <c r="M930" s="114"/>
      <c r="N930" s="114"/>
      <c r="O930" s="114"/>
      <c r="P930" s="114"/>
      <c r="Q930" s="114"/>
      <c r="R930" s="114"/>
      <c r="S930" s="114"/>
      <c r="T930" s="114"/>
      <c r="U930" s="114"/>
      <c r="V930" s="114"/>
      <c r="W930" s="114"/>
      <c r="X930" s="114"/>
      <c r="Y930" s="114"/>
      <c r="Z930" s="114"/>
      <c r="AA930" s="114"/>
      <c r="AB930" s="114"/>
      <c r="AC930" s="114"/>
      <c r="AD930" s="114"/>
      <c r="AE930" s="114"/>
      <c r="AF930" s="114"/>
      <c r="AG930" s="114"/>
      <c r="AH930" s="114"/>
      <c r="AI930" s="114"/>
      <c r="AJ930" s="114"/>
      <c r="AK930" s="114"/>
    </row>
    <row r="931" ht="15.75" customHeight="1">
      <c r="A931" s="114"/>
      <c r="B931" s="114"/>
      <c r="C931" s="114"/>
      <c r="D931" s="114"/>
      <c r="E931" s="114"/>
      <c r="F931" s="114"/>
      <c r="G931" s="114"/>
      <c r="H931" s="114"/>
      <c r="I931" s="114"/>
      <c r="J931" s="114"/>
      <c r="K931" s="114"/>
      <c r="L931" s="114"/>
      <c r="M931" s="114"/>
      <c r="N931" s="114"/>
      <c r="O931" s="114"/>
      <c r="P931" s="114"/>
      <c r="Q931" s="114"/>
      <c r="R931" s="114"/>
      <c r="S931" s="114"/>
      <c r="T931" s="114"/>
      <c r="U931" s="114"/>
      <c r="V931" s="114"/>
      <c r="W931" s="114"/>
      <c r="X931" s="114"/>
      <c r="Y931" s="114"/>
      <c r="Z931" s="114"/>
      <c r="AA931" s="114"/>
      <c r="AB931" s="114"/>
      <c r="AC931" s="114"/>
      <c r="AD931" s="114"/>
      <c r="AE931" s="114"/>
      <c r="AF931" s="114"/>
      <c r="AG931" s="114"/>
      <c r="AH931" s="114"/>
      <c r="AI931" s="114"/>
      <c r="AJ931" s="114"/>
      <c r="AK931" s="114"/>
    </row>
    <row r="932" ht="15.75" customHeight="1">
      <c r="A932" s="114"/>
      <c r="B932" s="114"/>
      <c r="C932" s="114"/>
      <c r="D932" s="114"/>
      <c r="E932" s="114"/>
      <c r="F932" s="114"/>
      <c r="G932" s="114"/>
      <c r="H932" s="114"/>
      <c r="I932" s="114"/>
      <c r="J932" s="114"/>
      <c r="K932" s="114"/>
      <c r="L932" s="114"/>
      <c r="M932" s="114"/>
      <c r="N932" s="114"/>
      <c r="O932" s="114"/>
      <c r="P932" s="114"/>
      <c r="Q932" s="114"/>
      <c r="R932" s="114"/>
      <c r="S932" s="114"/>
      <c r="T932" s="114"/>
      <c r="U932" s="114"/>
      <c r="V932" s="114"/>
      <c r="W932" s="114"/>
      <c r="X932" s="114"/>
      <c r="Y932" s="114"/>
      <c r="Z932" s="114"/>
      <c r="AA932" s="114"/>
      <c r="AB932" s="114"/>
      <c r="AC932" s="114"/>
      <c r="AD932" s="114"/>
      <c r="AE932" s="114"/>
      <c r="AF932" s="114"/>
      <c r="AG932" s="114"/>
      <c r="AH932" s="114"/>
      <c r="AI932" s="114"/>
      <c r="AJ932" s="114"/>
      <c r="AK932" s="114"/>
    </row>
    <row r="933" ht="15.75" customHeight="1">
      <c r="A933" s="114"/>
      <c r="B933" s="114"/>
      <c r="C933" s="114"/>
      <c r="D933" s="114"/>
      <c r="E933" s="114"/>
      <c r="F933" s="114"/>
      <c r="G933" s="114"/>
      <c r="H933" s="114"/>
      <c r="I933" s="114"/>
      <c r="J933" s="114"/>
      <c r="K933" s="114"/>
      <c r="L933" s="114"/>
      <c r="M933" s="114"/>
      <c r="N933" s="114"/>
      <c r="O933" s="114"/>
      <c r="P933" s="114"/>
      <c r="Q933" s="114"/>
      <c r="R933" s="114"/>
      <c r="S933" s="114"/>
      <c r="T933" s="114"/>
      <c r="U933" s="114"/>
      <c r="V933" s="114"/>
      <c r="W933" s="114"/>
      <c r="X933" s="114"/>
      <c r="Y933" s="114"/>
      <c r="Z933" s="114"/>
      <c r="AA933" s="114"/>
      <c r="AB933" s="114"/>
      <c r="AC933" s="114"/>
      <c r="AD933" s="114"/>
      <c r="AE933" s="114"/>
      <c r="AF933" s="114"/>
      <c r="AG933" s="114"/>
      <c r="AH933" s="114"/>
      <c r="AI933" s="114"/>
      <c r="AJ933" s="114"/>
      <c r="AK933" s="114"/>
    </row>
    <row r="934" ht="15.75" customHeight="1">
      <c r="A934" s="114"/>
      <c r="B934" s="114"/>
      <c r="C934" s="114"/>
      <c r="D934" s="114"/>
      <c r="E934" s="114"/>
      <c r="F934" s="114"/>
      <c r="G934" s="114"/>
      <c r="H934" s="114"/>
      <c r="I934" s="114"/>
      <c r="J934" s="114"/>
      <c r="K934" s="114"/>
      <c r="L934" s="114"/>
      <c r="M934" s="114"/>
      <c r="N934" s="114"/>
      <c r="O934" s="114"/>
      <c r="P934" s="114"/>
      <c r="Q934" s="114"/>
      <c r="R934" s="114"/>
      <c r="S934" s="114"/>
      <c r="T934" s="114"/>
      <c r="U934" s="114"/>
      <c r="V934" s="114"/>
      <c r="W934" s="114"/>
      <c r="X934" s="114"/>
      <c r="Y934" s="114"/>
      <c r="Z934" s="114"/>
      <c r="AA934" s="114"/>
      <c r="AB934" s="114"/>
      <c r="AC934" s="114"/>
      <c r="AD934" s="114"/>
      <c r="AE934" s="114"/>
      <c r="AF934" s="114"/>
      <c r="AG934" s="114"/>
      <c r="AH934" s="114"/>
      <c r="AI934" s="114"/>
      <c r="AJ934" s="114"/>
      <c r="AK934" s="114"/>
    </row>
    <row r="935" ht="15.75" customHeight="1">
      <c r="A935" s="114"/>
      <c r="B935" s="114"/>
      <c r="C935" s="114"/>
      <c r="D935" s="114"/>
      <c r="E935" s="114"/>
      <c r="F935" s="114"/>
      <c r="G935" s="114"/>
      <c r="H935" s="114"/>
      <c r="I935" s="114"/>
      <c r="J935" s="114"/>
      <c r="K935" s="114"/>
      <c r="L935" s="114"/>
      <c r="M935" s="114"/>
      <c r="N935" s="114"/>
      <c r="O935" s="114"/>
      <c r="P935" s="114"/>
      <c r="Q935" s="114"/>
      <c r="R935" s="114"/>
      <c r="S935" s="114"/>
      <c r="T935" s="114"/>
      <c r="U935" s="114"/>
      <c r="V935" s="114"/>
      <c r="W935" s="114"/>
      <c r="X935" s="114"/>
      <c r="Y935" s="114"/>
      <c r="Z935" s="114"/>
      <c r="AA935" s="114"/>
      <c r="AB935" s="114"/>
      <c r="AC935" s="114"/>
      <c r="AD935" s="114"/>
      <c r="AE935" s="114"/>
      <c r="AF935" s="114"/>
      <c r="AG935" s="114"/>
      <c r="AH935" s="114"/>
      <c r="AI935" s="114"/>
      <c r="AJ935" s="114"/>
      <c r="AK935" s="114"/>
    </row>
    <row r="936" ht="15.75" customHeight="1">
      <c r="A936" s="114"/>
      <c r="B936" s="114"/>
      <c r="C936" s="114"/>
      <c r="D936" s="114"/>
      <c r="E936" s="114"/>
      <c r="F936" s="114"/>
      <c r="G936" s="114"/>
      <c r="H936" s="114"/>
      <c r="I936" s="114"/>
      <c r="J936" s="114"/>
      <c r="K936" s="114"/>
      <c r="L936" s="114"/>
      <c r="M936" s="114"/>
      <c r="N936" s="114"/>
      <c r="O936" s="114"/>
      <c r="P936" s="114"/>
      <c r="Q936" s="114"/>
      <c r="R936" s="114"/>
      <c r="S936" s="114"/>
      <c r="T936" s="114"/>
      <c r="U936" s="114"/>
      <c r="V936" s="114"/>
      <c r="W936" s="114"/>
      <c r="X936" s="114"/>
      <c r="Y936" s="114"/>
      <c r="Z936" s="114"/>
      <c r="AA936" s="114"/>
      <c r="AB936" s="114"/>
      <c r="AC936" s="114"/>
      <c r="AD936" s="114"/>
      <c r="AE936" s="114"/>
      <c r="AF936" s="114"/>
      <c r="AG936" s="114"/>
      <c r="AH936" s="114"/>
      <c r="AI936" s="114"/>
      <c r="AJ936" s="114"/>
      <c r="AK936" s="114"/>
    </row>
    <row r="937" ht="15.75" customHeight="1">
      <c r="A937" s="114"/>
      <c r="B937" s="114"/>
      <c r="C937" s="114"/>
      <c r="D937" s="114"/>
      <c r="E937" s="114"/>
      <c r="F937" s="114"/>
      <c r="G937" s="114"/>
      <c r="H937" s="114"/>
      <c r="I937" s="114"/>
      <c r="J937" s="114"/>
      <c r="K937" s="114"/>
      <c r="L937" s="114"/>
      <c r="M937" s="114"/>
      <c r="N937" s="114"/>
      <c r="O937" s="114"/>
      <c r="P937" s="114"/>
      <c r="Q937" s="114"/>
      <c r="R937" s="114"/>
      <c r="S937" s="114"/>
      <c r="T937" s="114"/>
      <c r="U937" s="114"/>
      <c r="V937" s="114"/>
      <c r="W937" s="114"/>
      <c r="X937" s="114"/>
      <c r="Y937" s="114"/>
      <c r="Z937" s="114"/>
      <c r="AA937" s="114"/>
      <c r="AB937" s="114"/>
      <c r="AC937" s="114"/>
      <c r="AD937" s="114"/>
      <c r="AE937" s="114"/>
      <c r="AF937" s="114"/>
      <c r="AG937" s="114"/>
      <c r="AH937" s="114"/>
      <c r="AI937" s="114"/>
      <c r="AJ937" s="114"/>
      <c r="AK937" s="114"/>
    </row>
    <row r="938" ht="15.75" customHeight="1">
      <c r="A938" s="114"/>
      <c r="B938" s="114"/>
      <c r="C938" s="114"/>
      <c r="D938" s="114"/>
      <c r="E938" s="114"/>
      <c r="F938" s="114"/>
      <c r="G938" s="114"/>
      <c r="H938" s="114"/>
      <c r="I938" s="114"/>
      <c r="J938" s="114"/>
      <c r="K938" s="114"/>
      <c r="L938" s="114"/>
      <c r="M938" s="114"/>
      <c r="N938" s="114"/>
      <c r="O938" s="114"/>
      <c r="P938" s="114"/>
      <c r="Q938" s="114"/>
      <c r="R938" s="114"/>
      <c r="S938" s="114"/>
      <c r="T938" s="114"/>
      <c r="U938" s="114"/>
      <c r="V938" s="114"/>
      <c r="W938" s="114"/>
      <c r="X938" s="114"/>
      <c r="Y938" s="114"/>
      <c r="Z938" s="114"/>
      <c r="AA938" s="114"/>
      <c r="AB938" s="114"/>
      <c r="AC938" s="114"/>
      <c r="AD938" s="114"/>
      <c r="AE938" s="114"/>
      <c r="AF938" s="114"/>
      <c r="AG938" s="114"/>
      <c r="AH938" s="114"/>
      <c r="AI938" s="114"/>
      <c r="AJ938" s="114"/>
      <c r="AK938" s="114"/>
    </row>
    <row r="939" ht="15.75" customHeight="1">
      <c r="A939" s="114"/>
      <c r="B939" s="114"/>
      <c r="C939" s="114"/>
      <c r="D939" s="114"/>
      <c r="E939" s="114"/>
      <c r="F939" s="114"/>
      <c r="G939" s="114"/>
      <c r="H939" s="114"/>
      <c r="I939" s="114"/>
      <c r="J939" s="114"/>
      <c r="K939" s="114"/>
      <c r="L939" s="114"/>
      <c r="M939" s="114"/>
      <c r="N939" s="114"/>
      <c r="O939" s="114"/>
      <c r="P939" s="114"/>
      <c r="Q939" s="114"/>
      <c r="R939" s="114"/>
      <c r="S939" s="114"/>
      <c r="T939" s="114"/>
      <c r="U939" s="114"/>
      <c r="V939" s="114"/>
      <c r="W939" s="114"/>
      <c r="X939" s="114"/>
      <c r="Y939" s="114"/>
      <c r="Z939" s="114"/>
      <c r="AA939" s="114"/>
      <c r="AB939" s="114"/>
      <c r="AC939" s="114"/>
      <c r="AD939" s="114"/>
      <c r="AE939" s="114"/>
      <c r="AF939" s="114"/>
      <c r="AG939" s="114"/>
      <c r="AH939" s="114"/>
      <c r="AI939" s="114"/>
      <c r="AJ939" s="114"/>
      <c r="AK939" s="114"/>
    </row>
    <row r="940" ht="15.75" customHeight="1">
      <c r="A940" s="114"/>
      <c r="B940" s="114"/>
      <c r="C940" s="114"/>
      <c r="D940" s="114"/>
      <c r="E940" s="114"/>
      <c r="F940" s="114"/>
      <c r="G940" s="114"/>
      <c r="H940" s="114"/>
      <c r="I940" s="114"/>
      <c r="J940" s="114"/>
      <c r="K940" s="114"/>
      <c r="L940" s="114"/>
      <c r="M940" s="114"/>
      <c r="N940" s="114"/>
      <c r="O940" s="114"/>
      <c r="P940" s="114"/>
      <c r="Q940" s="114"/>
      <c r="R940" s="114"/>
      <c r="S940" s="114"/>
      <c r="T940" s="114"/>
      <c r="U940" s="114"/>
      <c r="V940" s="114"/>
      <c r="W940" s="114"/>
      <c r="X940" s="114"/>
      <c r="Y940" s="114"/>
      <c r="Z940" s="114"/>
      <c r="AA940" s="114"/>
      <c r="AB940" s="114"/>
      <c r="AC940" s="114"/>
      <c r="AD940" s="114"/>
      <c r="AE940" s="114"/>
      <c r="AF940" s="114"/>
      <c r="AG940" s="114"/>
      <c r="AH940" s="114"/>
      <c r="AI940" s="114"/>
      <c r="AJ940" s="114"/>
      <c r="AK940" s="114"/>
    </row>
    <row r="941" ht="15.75" customHeight="1">
      <c r="A941" s="114"/>
      <c r="B941" s="114"/>
      <c r="C941" s="114"/>
      <c r="D941" s="114"/>
      <c r="E941" s="114"/>
      <c r="F941" s="114"/>
      <c r="G941" s="114"/>
      <c r="H941" s="114"/>
      <c r="I941" s="114"/>
      <c r="J941" s="114"/>
      <c r="K941" s="114"/>
      <c r="L941" s="114"/>
      <c r="M941" s="114"/>
      <c r="N941" s="114"/>
      <c r="O941" s="114"/>
      <c r="P941" s="114"/>
      <c r="Q941" s="114"/>
      <c r="R941" s="114"/>
      <c r="S941" s="114"/>
      <c r="T941" s="114"/>
      <c r="U941" s="114"/>
      <c r="V941" s="114"/>
      <c r="W941" s="114"/>
      <c r="X941" s="114"/>
      <c r="Y941" s="114"/>
      <c r="Z941" s="114"/>
      <c r="AA941" s="114"/>
      <c r="AB941" s="114"/>
      <c r="AC941" s="114"/>
      <c r="AD941" s="114"/>
      <c r="AE941" s="114"/>
      <c r="AF941" s="114"/>
      <c r="AG941" s="114"/>
      <c r="AH941" s="114"/>
      <c r="AI941" s="114"/>
      <c r="AJ941" s="114"/>
      <c r="AK941" s="114"/>
    </row>
    <row r="942" ht="15.75" customHeight="1">
      <c r="A942" s="114"/>
      <c r="B942" s="114"/>
      <c r="C942" s="114"/>
      <c r="D942" s="114"/>
      <c r="E942" s="114"/>
      <c r="F942" s="114"/>
      <c r="G942" s="114"/>
      <c r="H942" s="114"/>
      <c r="I942" s="114"/>
      <c r="J942" s="114"/>
      <c r="K942" s="114"/>
      <c r="L942" s="114"/>
      <c r="M942" s="114"/>
      <c r="N942" s="114"/>
      <c r="O942" s="114"/>
      <c r="P942" s="114"/>
      <c r="Q942" s="114"/>
      <c r="R942" s="114"/>
      <c r="S942" s="114"/>
      <c r="T942" s="114"/>
      <c r="U942" s="114"/>
      <c r="V942" s="114"/>
      <c r="W942" s="114"/>
      <c r="X942" s="114"/>
      <c r="Y942" s="114"/>
      <c r="Z942" s="114"/>
      <c r="AA942" s="114"/>
      <c r="AB942" s="114"/>
      <c r="AC942" s="114"/>
      <c r="AD942" s="114"/>
      <c r="AE942" s="114"/>
      <c r="AF942" s="114"/>
      <c r="AG942" s="114"/>
      <c r="AH942" s="114"/>
      <c r="AI942" s="114"/>
      <c r="AJ942" s="114"/>
      <c r="AK942" s="114"/>
    </row>
    <row r="943" ht="15.75" customHeight="1">
      <c r="A943" s="114"/>
      <c r="B943" s="114"/>
      <c r="C943" s="114"/>
      <c r="D943" s="114"/>
      <c r="E943" s="114"/>
      <c r="F943" s="114"/>
      <c r="G943" s="114"/>
      <c r="H943" s="114"/>
      <c r="I943" s="114"/>
      <c r="J943" s="114"/>
      <c r="K943" s="114"/>
      <c r="L943" s="114"/>
      <c r="M943" s="114"/>
      <c r="N943" s="114"/>
      <c r="O943" s="114"/>
      <c r="P943" s="114"/>
      <c r="Q943" s="114"/>
      <c r="R943" s="114"/>
      <c r="S943" s="114"/>
      <c r="T943" s="114"/>
      <c r="U943" s="114"/>
      <c r="V943" s="114"/>
      <c r="W943" s="114"/>
      <c r="X943" s="114"/>
      <c r="Y943" s="114"/>
      <c r="Z943" s="114"/>
      <c r="AA943" s="114"/>
      <c r="AB943" s="114"/>
      <c r="AC943" s="114"/>
      <c r="AD943" s="114"/>
      <c r="AE943" s="114"/>
      <c r="AF943" s="114"/>
      <c r="AG943" s="114"/>
      <c r="AH943" s="114"/>
      <c r="AI943" s="114"/>
      <c r="AJ943" s="114"/>
      <c r="AK943" s="114"/>
    </row>
    <row r="944" ht="15.75" customHeight="1">
      <c r="A944" s="114"/>
      <c r="B944" s="114"/>
      <c r="C944" s="114"/>
      <c r="D944" s="114"/>
      <c r="E944" s="114"/>
      <c r="F944" s="114"/>
      <c r="G944" s="114"/>
      <c r="H944" s="114"/>
      <c r="I944" s="114"/>
      <c r="J944" s="114"/>
      <c r="K944" s="114"/>
      <c r="L944" s="114"/>
      <c r="M944" s="114"/>
      <c r="N944" s="114"/>
      <c r="O944" s="114"/>
      <c r="P944" s="114"/>
      <c r="Q944" s="114"/>
      <c r="R944" s="114"/>
      <c r="S944" s="114"/>
      <c r="T944" s="114"/>
      <c r="U944" s="114"/>
      <c r="V944" s="114"/>
      <c r="W944" s="114"/>
      <c r="X944" s="114"/>
      <c r="Y944" s="114"/>
      <c r="Z944" s="114"/>
      <c r="AA944" s="114"/>
      <c r="AB944" s="114"/>
      <c r="AC944" s="114"/>
      <c r="AD944" s="114"/>
      <c r="AE944" s="114"/>
      <c r="AF944" s="114"/>
      <c r="AG944" s="114"/>
      <c r="AH944" s="114"/>
      <c r="AI944" s="114"/>
      <c r="AJ944" s="114"/>
      <c r="AK944" s="114"/>
    </row>
    <row r="945" ht="15.75" customHeight="1">
      <c r="A945" s="114"/>
      <c r="B945" s="114"/>
      <c r="C945" s="114"/>
      <c r="D945" s="114"/>
      <c r="E945" s="114"/>
      <c r="F945" s="114"/>
      <c r="G945" s="114"/>
      <c r="H945" s="114"/>
      <c r="I945" s="114"/>
      <c r="J945" s="114"/>
      <c r="K945" s="114"/>
      <c r="L945" s="114"/>
      <c r="M945" s="114"/>
      <c r="N945" s="114"/>
      <c r="O945" s="114"/>
      <c r="P945" s="114"/>
      <c r="Q945" s="114"/>
      <c r="R945" s="114"/>
      <c r="S945" s="114"/>
      <c r="T945" s="114"/>
      <c r="U945" s="114"/>
      <c r="V945" s="114"/>
      <c r="W945" s="114"/>
      <c r="X945" s="114"/>
      <c r="Y945" s="114"/>
      <c r="Z945" s="114"/>
      <c r="AA945" s="114"/>
      <c r="AB945" s="114"/>
      <c r="AC945" s="114"/>
      <c r="AD945" s="114"/>
      <c r="AE945" s="114"/>
      <c r="AF945" s="114"/>
      <c r="AG945" s="114"/>
      <c r="AH945" s="114"/>
      <c r="AI945" s="114"/>
      <c r="AJ945" s="114"/>
      <c r="AK945" s="114"/>
    </row>
    <row r="946" ht="15.75" customHeight="1">
      <c r="A946" s="114"/>
      <c r="B946" s="114"/>
      <c r="C946" s="114"/>
      <c r="D946" s="114"/>
      <c r="E946" s="114"/>
      <c r="F946" s="114"/>
      <c r="G946" s="114"/>
      <c r="H946" s="114"/>
      <c r="I946" s="114"/>
      <c r="J946" s="114"/>
      <c r="K946" s="114"/>
      <c r="L946" s="114"/>
      <c r="M946" s="114"/>
      <c r="N946" s="114"/>
      <c r="O946" s="114"/>
      <c r="P946" s="114"/>
      <c r="Q946" s="114"/>
      <c r="R946" s="114"/>
      <c r="S946" s="114"/>
      <c r="T946" s="114"/>
      <c r="U946" s="114"/>
      <c r="V946" s="114"/>
      <c r="W946" s="114"/>
      <c r="X946" s="114"/>
      <c r="Y946" s="114"/>
      <c r="Z946" s="114"/>
      <c r="AA946" s="114"/>
      <c r="AB946" s="114"/>
      <c r="AC946" s="114"/>
      <c r="AD946" s="114"/>
      <c r="AE946" s="114"/>
      <c r="AF946" s="114"/>
      <c r="AG946" s="114"/>
      <c r="AH946" s="114"/>
      <c r="AI946" s="114"/>
      <c r="AJ946" s="114"/>
      <c r="AK946" s="114"/>
    </row>
    <row r="947" ht="15.75" customHeight="1">
      <c r="A947" s="114"/>
      <c r="B947" s="114"/>
      <c r="C947" s="114"/>
      <c r="D947" s="114"/>
      <c r="E947" s="114"/>
      <c r="F947" s="114"/>
      <c r="G947" s="114"/>
      <c r="H947" s="114"/>
      <c r="I947" s="114"/>
      <c r="J947" s="114"/>
      <c r="K947" s="114"/>
      <c r="L947" s="114"/>
      <c r="M947" s="114"/>
      <c r="N947" s="114"/>
      <c r="O947" s="114"/>
      <c r="P947" s="114"/>
      <c r="Q947" s="114"/>
      <c r="R947" s="114"/>
      <c r="S947" s="114"/>
      <c r="T947" s="114"/>
      <c r="U947" s="114"/>
      <c r="V947" s="114"/>
      <c r="W947" s="114"/>
      <c r="X947" s="114"/>
      <c r="Y947" s="114"/>
      <c r="Z947" s="114"/>
      <c r="AA947" s="114"/>
      <c r="AB947" s="114"/>
      <c r="AC947" s="114"/>
      <c r="AD947" s="114"/>
      <c r="AE947" s="114"/>
      <c r="AF947" s="114"/>
      <c r="AG947" s="114"/>
      <c r="AH947" s="114"/>
      <c r="AI947" s="114"/>
      <c r="AJ947" s="114"/>
      <c r="AK947" s="114"/>
    </row>
    <row r="948" ht="15.75" customHeight="1">
      <c r="A948" s="114"/>
      <c r="B948" s="114"/>
      <c r="C948" s="114"/>
      <c r="D948" s="114"/>
      <c r="E948" s="114"/>
      <c r="F948" s="114"/>
      <c r="G948" s="114"/>
      <c r="H948" s="114"/>
      <c r="I948" s="114"/>
      <c r="J948" s="114"/>
      <c r="K948" s="114"/>
      <c r="L948" s="114"/>
      <c r="M948" s="114"/>
      <c r="N948" s="114"/>
      <c r="O948" s="114"/>
      <c r="P948" s="114"/>
      <c r="Q948" s="114"/>
      <c r="R948" s="114"/>
      <c r="S948" s="114"/>
      <c r="T948" s="114"/>
      <c r="U948" s="114"/>
      <c r="V948" s="114"/>
      <c r="W948" s="114"/>
      <c r="X948" s="114"/>
      <c r="Y948" s="114"/>
      <c r="Z948" s="114"/>
      <c r="AA948" s="114"/>
      <c r="AB948" s="114"/>
      <c r="AC948" s="114"/>
      <c r="AD948" s="114"/>
      <c r="AE948" s="114"/>
      <c r="AF948" s="114"/>
      <c r="AG948" s="114"/>
      <c r="AH948" s="114"/>
      <c r="AI948" s="114"/>
      <c r="AJ948" s="114"/>
      <c r="AK948" s="114"/>
    </row>
    <row r="949" ht="15.75" customHeight="1">
      <c r="A949" s="114"/>
      <c r="B949" s="114"/>
      <c r="C949" s="114"/>
      <c r="D949" s="114"/>
      <c r="E949" s="114"/>
      <c r="F949" s="114"/>
      <c r="G949" s="114"/>
      <c r="H949" s="114"/>
      <c r="I949" s="114"/>
      <c r="J949" s="114"/>
      <c r="K949" s="114"/>
      <c r="L949" s="114"/>
      <c r="M949" s="114"/>
      <c r="N949" s="114"/>
      <c r="O949" s="114"/>
      <c r="P949" s="114"/>
      <c r="Q949" s="114"/>
      <c r="R949" s="114"/>
      <c r="S949" s="114"/>
      <c r="T949" s="114"/>
      <c r="U949" s="114"/>
      <c r="V949" s="114"/>
      <c r="W949" s="114"/>
      <c r="X949" s="114"/>
      <c r="Y949" s="114"/>
      <c r="Z949" s="114"/>
      <c r="AA949" s="114"/>
      <c r="AB949" s="114"/>
      <c r="AC949" s="114"/>
      <c r="AD949" s="114"/>
      <c r="AE949" s="114"/>
      <c r="AF949" s="114"/>
      <c r="AG949" s="114"/>
      <c r="AH949" s="114"/>
      <c r="AI949" s="114"/>
      <c r="AJ949" s="114"/>
      <c r="AK949" s="114"/>
    </row>
    <row r="950" ht="15.75" customHeight="1">
      <c r="A950" s="114"/>
      <c r="B950" s="114"/>
      <c r="C950" s="114"/>
      <c r="D950" s="114"/>
      <c r="E950" s="114"/>
      <c r="F950" s="114"/>
      <c r="G950" s="114"/>
      <c r="H950" s="114"/>
      <c r="I950" s="114"/>
      <c r="J950" s="114"/>
      <c r="K950" s="114"/>
      <c r="L950" s="114"/>
      <c r="M950" s="114"/>
      <c r="N950" s="114"/>
      <c r="O950" s="114"/>
      <c r="P950" s="114"/>
      <c r="Q950" s="114"/>
      <c r="R950" s="114"/>
      <c r="S950" s="114"/>
      <c r="T950" s="114"/>
      <c r="U950" s="114"/>
      <c r="V950" s="114"/>
      <c r="W950" s="114"/>
      <c r="X950" s="114"/>
      <c r="Y950" s="114"/>
      <c r="Z950" s="114"/>
      <c r="AA950" s="114"/>
      <c r="AB950" s="114"/>
      <c r="AC950" s="114"/>
      <c r="AD950" s="114"/>
      <c r="AE950" s="114"/>
      <c r="AF950" s="114"/>
      <c r="AG950" s="114"/>
      <c r="AH950" s="114"/>
      <c r="AI950" s="114"/>
      <c r="AJ950" s="114"/>
      <c r="AK950" s="114"/>
    </row>
    <row r="951" ht="15.75" customHeight="1">
      <c r="A951" s="114"/>
      <c r="B951" s="114"/>
      <c r="C951" s="114"/>
      <c r="D951" s="114"/>
      <c r="E951" s="114"/>
      <c r="F951" s="114"/>
      <c r="G951" s="114"/>
      <c r="H951" s="114"/>
      <c r="I951" s="114"/>
      <c r="J951" s="114"/>
      <c r="K951" s="114"/>
      <c r="L951" s="114"/>
      <c r="M951" s="114"/>
      <c r="N951" s="114"/>
      <c r="O951" s="114"/>
      <c r="P951" s="114"/>
      <c r="Q951" s="114"/>
      <c r="R951" s="114"/>
      <c r="S951" s="114"/>
      <c r="T951" s="114"/>
      <c r="U951" s="114"/>
      <c r="V951" s="114"/>
      <c r="W951" s="114"/>
      <c r="X951" s="114"/>
      <c r="Y951" s="114"/>
      <c r="Z951" s="114"/>
      <c r="AA951" s="114"/>
      <c r="AB951" s="114"/>
      <c r="AC951" s="114"/>
      <c r="AD951" s="114"/>
      <c r="AE951" s="114"/>
      <c r="AF951" s="114"/>
      <c r="AG951" s="114"/>
      <c r="AH951" s="114"/>
      <c r="AI951" s="114"/>
      <c r="AJ951" s="114"/>
      <c r="AK951" s="114"/>
    </row>
    <row r="952" ht="15.75" customHeight="1">
      <c r="A952" s="114"/>
      <c r="B952" s="114"/>
      <c r="C952" s="114"/>
      <c r="D952" s="114"/>
      <c r="E952" s="114"/>
      <c r="F952" s="114"/>
      <c r="G952" s="114"/>
      <c r="H952" s="114"/>
      <c r="I952" s="114"/>
      <c r="J952" s="114"/>
      <c r="K952" s="114"/>
      <c r="L952" s="114"/>
      <c r="M952" s="114"/>
      <c r="N952" s="114"/>
      <c r="O952" s="114"/>
      <c r="P952" s="114"/>
      <c r="Q952" s="114"/>
      <c r="R952" s="114"/>
      <c r="S952" s="114"/>
      <c r="T952" s="114"/>
      <c r="U952" s="114"/>
      <c r="V952" s="114"/>
      <c r="W952" s="114"/>
      <c r="X952" s="114"/>
      <c r="Y952" s="114"/>
      <c r="Z952" s="114"/>
      <c r="AA952" s="114"/>
      <c r="AB952" s="114"/>
      <c r="AC952" s="114"/>
      <c r="AD952" s="114"/>
      <c r="AE952" s="114"/>
      <c r="AF952" s="114"/>
      <c r="AG952" s="114"/>
      <c r="AH952" s="114"/>
      <c r="AI952" s="114"/>
      <c r="AJ952" s="114"/>
      <c r="AK952" s="114"/>
    </row>
    <row r="953" ht="15.75" customHeight="1">
      <c r="A953" s="114"/>
      <c r="B953" s="114"/>
      <c r="C953" s="114"/>
      <c r="D953" s="114"/>
      <c r="E953" s="114"/>
      <c r="F953" s="114"/>
      <c r="G953" s="114"/>
      <c r="H953" s="114"/>
      <c r="I953" s="114"/>
      <c r="J953" s="114"/>
      <c r="K953" s="114"/>
      <c r="L953" s="114"/>
      <c r="M953" s="114"/>
      <c r="N953" s="114"/>
      <c r="O953" s="114"/>
      <c r="P953" s="114"/>
      <c r="Q953" s="114"/>
      <c r="R953" s="114"/>
      <c r="S953" s="114"/>
      <c r="T953" s="114"/>
      <c r="U953" s="114"/>
      <c r="V953" s="114"/>
      <c r="W953" s="114"/>
      <c r="X953" s="114"/>
      <c r="Y953" s="114"/>
      <c r="Z953" s="114"/>
      <c r="AA953" s="114"/>
      <c r="AB953" s="114"/>
      <c r="AC953" s="114"/>
      <c r="AD953" s="114"/>
      <c r="AE953" s="114"/>
      <c r="AF953" s="114"/>
      <c r="AG953" s="114"/>
      <c r="AH953" s="114"/>
      <c r="AI953" s="114"/>
      <c r="AJ953" s="114"/>
      <c r="AK953" s="114"/>
    </row>
    <row r="954" ht="15.75" customHeight="1">
      <c r="A954" s="114"/>
      <c r="B954" s="114"/>
      <c r="C954" s="114"/>
      <c r="D954" s="114"/>
      <c r="E954" s="114"/>
      <c r="F954" s="114"/>
      <c r="G954" s="114"/>
      <c r="H954" s="114"/>
      <c r="I954" s="114"/>
      <c r="J954" s="114"/>
      <c r="K954" s="114"/>
      <c r="L954" s="114"/>
      <c r="M954" s="114"/>
      <c r="N954" s="114"/>
      <c r="O954" s="114"/>
      <c r="P954" s="114"/>
      <c r="Q954" s="114"/>
      <c r="R954" s="114"/>
      <c r="S954" s="114"/>
      <c r="T954" s="114"/>
      <c r="U954" s="114"/>
      <c r="V954" s="114"/>
      <c r="W954" s="114"/>
      <c r="X954" s="114"/>
      <c r="Y954" s="114"/>
      <c r="Z954" s="114"/>
      <c r="AA954" s="114"/>
      <c r="AB954" s="114"/>
      <c r="AC954" s="114"/>
      <c r="AD954" s="114"/>
      <c r="AE954" s="114"/>
      <c r="AF954" s="114"/>
      <c r="AG954" s="114"/>
      <c r="AH954" s="114"/>
      <c r="AI954" s="114"/>
      <c r="AJ954" s="114"/>
      <c r="AK954" s="114"/>
    </row>
    <row r="955" ht="15.75" customHeight="1">
      <c r="A955" s="114"/>
      <c r="B955" s="114"/>
      <c r="C955" s="114"/>
      <c r="D955" s="114"/>
      <c r="E955" s="114"/>
      <c r="F955" s="114"/>
      <c r="G955" s="114"/>
      <c r="H955" s="114"/>
      <c r="I955" s="114"/>
      <c r="J955" s="114"/>
      <c r="K955" s="114"/>
      <c r="L955" s="114"/>
      <c r="M955" s="114"/>
      <c r="N955" s="114"/>
      <c r="O955" s="114"/>
      <c r="P955" s="114"/>
      <c r="Q955" s="114"/>
      <c r="R955" s="114"/>
      <c r="S955" s="114"/>
      <c r="T955" s="114"/>
      <c r="U955" s="114"/>
      <c r="V955" s="114"/>
      <c r="W955" s="114"/>
      <c r="X955" s="114"/>
      <c r="Y955" s="114"/>
      <c r="Z955" s="114"/>
      <c r="AA955" s="114"/>
      <c r="AB955" s="114"/>
      <c r="AC955" s="114"/>
      <c r="AD955" s="114"/>
      <c r="AE955" s="114"/>
      <c r="AF955" s="114"/>
      <c r="AG955" s="114"/>
      <c r="AH955" s="114"/>
      <c r="AI955" s="114"/>
      <c r="AJ955" s="114"/>
      <c r="AK955" s="114"/>
    </row>
    <row r="956" ht="15.75" customHeight="1">
      <c r="A956" s="114"/>
      <c r="B956" s="114"/>
      <c r="C956" s="114"/>
      <c r="D956" s="114"/>
      <c r="E956" s="114"/>
      <c r="F956" s="114"/>
      <c r="G956" s="114"/>
      <c r="H956" s="114"/>
      <c r="I956" s="114"/>
      <c r="J956" s="114"/>
      <c r="K956" s="114"/>
      <c r="L956" s="114"/>
      <c r="M956" s="114"/>
      <c r="N956" s="114"/>
      <c r="O956" s="114"/>
      <c r="P956" s="114"/>
      <c r="Q956" s="114"/>
      <c r="R956" s="114"/>
      <c r="S956" s="114"/>
      <c r="T956" s="114"/>
      <c r="U956" s="114"/>
      <c r="V956" s="114"/>
      <c r="W956" s="114"/>
      <c r="X956" s="114"/>
      <c r="Y956" s="114"/>
      <c r="Z956" s="114"/>
      <c r="AA956" s="114"/>
      <c r="AB956" s="114"/>
      <c r="AC956" s="114"/>
      <c r="AD956" s="114"/>
      <c r="AE956" s="114"/>
      <c r="AF956" s="114"/>
      <c r="AG956" s="114"/>
      <c r="AH956" s="114"/>
      <c r="AI956" s="114"/>
      <c r="AJ956" s="114"/>
      <c r="AK956" s="114"/>
    </row>
    <row r="957" ht="15.75" customHeight="1">
      <c r="A957" s="114"/>
      <c r="B957" s="114"/>
      <c r="C957" s="114"/>
      <c r="D957" s="114"/>
      <c r="E957" s="114"/>
      <c r="F957" s="114"/>
      <c r="G957" s="114"/>
      <c r="H957" s="114"/>
      <c r="I957" s="114"/>
      <c r="J957" s="114"/>
      <c r="K957" s="114"/>
      <c r="L957" s="114"/>
      <c r="M957" s="114"/>
      <c r="N957" s="114"/>
      <c r="O957" s="114"/>
      <c r="P957" s="114"/>
      <c r="Q957" s="114"/>
      <c r="R957" s="114"/>
      <c r="S957" s="114"/>
      <c r="T957" s="114"/>
      <c r="U957" s="114"/>
      <c r="V957" s="114"/>
      <c r="W957" s="114"/>
      <c r="X957" s="114"/>
      <c r="Y957" s="114"/>
      <c r="Z957" s="114"/>
      <c r="AA957" s="114"/>
      <c r="AB957" s="114"/>
      <c r="AC957" s="114"/>
      <c r="AD957" s="114"/>
      <c r="AE957" s="114"/>
      <c r="AF957" s="114"/>
      <c r="AG957" s="114"/>
      <c r="AH957" s="114"/>
      <c r="AI957" s="114"/>
      <c r="AJ957" s="114"/>
      <c r="AK957" s="114"/>
    </row>
    <row r="958" ht="15.75" customHeight="1">
      <c r="A958" s="114"/>
      <c r="B958" s="114"/>
      <c r="C958" s="114"/>
      <c r="D958" s="114"/>
      <c r="E958" s="114"/>
      <c r="F958" s="114"/>
      <c r="G958" s="114"/>
      <c r="H958" s="114"/>
      <c r="I958" s="114"/>
      <c r="J958" s="114"/>
      <c r="K958" s="114"/>
      <c r="L958" s="114"/>
      <c r="M958" s="114"/>
      <c r="N958" s="114"/>
      <c r="O958" s="114"/>
      <c r="P958" s="114"/>
      <c r="Q958" s="114"/>
      <c r="R958" s="114"/>
      <c r="S958" s="114"/>
      <c r="T958" s="114"/>
      <c r="U958" s="114"/>
      <c r="V958" s="114"/>
      <c r="W958" s="114"/>
      <c r="X958" s="114"/>
      <c r="Y958" s="114"/>
      <c r="Z958" s="114"/>
      <c r="AA958" s="114"/>
      <c r="AB958" s="114"/>
      <c r="AC958" s="114"/>
      <c r="AD958" s="114"/>
      <c r="AE958" s="114"/>
      <c r="AF958" s="114"/>
      <c r="AG958" s="114"/>
      <c r="AH958" s="114"/>
      <c r="AI958" s="114"/>
      <c r="AJ958" s="114"/>
      <c r="AK958" s="114"/>
    </row>
    <row r="959" ht="15.75" customHeight="1">
      <c r="A959" s="114"/>
      <c r="B959" s="114"/>
      <c r="C959" s="114"/>
      <c r="D959" s="114"/>
      <c r="E959" s="114"/>
      <c r="F959" s="114"/>
      <c r="G959" s="114"/>
      <c r="H959" s="114"/>
      <c r="I959" s="114"/>
      <c r="J959" s="114"/>
      <c r="K959" s="114"/>
      <c r="L959" s="114"/>
      <c r="M959" s="114"/>
      <c r="N959" s="114"/>
      <c r="O959" s="114"/>
      <c r="P959" s="114"/>
      <c r="Q959" s="114"/>
      <c r="R959" s="114"/>
      <c r="S959" s="114"/>
      <c r="T959" s="114"/>
      <c r="U959" s="114"/>
      <c r="V959" s="114"/>
      <c r="W959" s="114"/>
      <c r="X959" s="114"/>
      <c r="Y959" s="114"/>
      <c r="Z959" s="114"/>
      <c r="AA959" s="114"/>
      <c r="AB959" s="114"/>
      <c r="AC959" s="114"/>
      <c r="AD959" s="114"/>
      <c r="AE959" s="114"/>
      <c r="AF959" s="114"/>
      <c r="AG959" s="114"/>
      <c r="AH959" s="114"/>
      <c r="AI959" s="114"/>
      <c r="AJ959" s="114"/>
      <c r="AK959" s="114"/>
    </row>
    <row r="960" ht="15.75" customHeight="1">
      <c r="A960" s="114"/>
      <c r="B960" s="114"/>
      <c r="C960" s="114"/>
      <c r="D960" s="114"/>
      <c r="E960" s="114"/>
      <c r="F960" s="114"/>
      <c r="G960" s="114"/>
      <c r="H960" s="114"/>
      <c r="I960" s="114"/>
      <c r="J960" s="114"/>
      <c r="K960" s="114"/>
      <c r="L960" s="114"/>
      <c r="M960" s="114"/>
      <c r="N960" s="114"/>
      <c r="O960" s="114"/>
      <c r="P960" s="114"/>
      <c r="Q960" s="114"/>
      <c r="R960" s="114"/>
      <c r="S960" s="114"/>
      <c r="T960" s="114"/>
      <c r="U960" s="114"/>
      <c r="V960" s="114"/>
      <c r="W960" s="114"/>
      <c r="X960" s="114"/>
      <c r="Y960" s="114"/>
      <c r="Z960" s="114"/>
      <c r="AA960" s="114"/>
      <c r="AB960" s="114"/>
      <c r="AC960" s="114"/>
      <c r="AD960" s="114"/>
      <c r="AE960" s="114"/>
      <c r="AF960" s="114"/>
      <c r="AG960" s="114"/>
      <c r="AH960" s="114"/>
      <c r="AI960" s="114"/>
      <c r="AJ960" s="114"/>
      <c r="AK960" s="114"/>
    </row>
    <row r="961" ht="15.75" customHeight="1">
      <c r="A961" s="114"/>
      <c r="B961" s="114"/>
      <c r="C961" s="114"/>
      <c r="D961" s="114"/>
      <c r="E961" s="114"/>
      <c r="F961" s="114"/>
      <c r="G961" s="114"/>
      <c r="H961" s="114"/>
      <c r="I961" s="114"/>
      <c r="J961" s="114"/>
      <c r="K961" s="114"/>
      <c r="L961" s="114"/>
      <c r="M961" s="114"/>
      <c r="N961" s="114"/>
      <c r="O961" s="114"/>
      <c r="P961" s="114"/>
      <c r="Q961" s="114"/>
      <c r="R961" s="114"/>
      <c r="S961" s="114"/>
      <c r="T961" s="114"/>
      <c r="U961" s="114"/>
      <c r="V961" s="114"/>
      <c r="W961" s="114"/>
      <c r="X961" s="114"/>
      <c r="Y961" s="114"/>
      <c r="Z961" s="114"/>
      <c r="AA961" s="114"/>
      <c r="AB961" s="114"/>
      <c r="AC961" s="114"/>
      <c r="AD961" s="114"/>
      <c r="AE961" s="114"/>
      <c r="AF961" s="114"/>
      <c r="AG961" s="114"/>
      <c r="AH961" s="114"/>
      <c r="AI961" s="114"/>
      <c r="AJ961" s="114"/>
      <c r="AK961" s="114"/>
    </row>
    <row r="962" ht="15.75" customHeight="1">
      <c r="A962" s="114"/>
      <c r="B962" s="114"/>
      <c r="C962" s="114"/>
      <c r="D962" s="114"/>
      <c r="E962" s="114"/>
      <c r="F962" s="114"/>
      <c r="G962" s="114"/>
      <c r="H962" s="114"/>
      <c r="I962" s="114"/>
      <c r="J962" s="114"/>
      <c r="K962" s="114"/>
      <c r="L962" s="114"/>
      <c r="M962" s="114"/>
      <c r="N962" s="114"/>
      <c r="O962" s="114"/>
      <c r="P962" s="114"/>
      <c r="Q962" s="114"/>
      <c r="R962" s="114"/>
      <c r="S962" s="114"/>
      <c r="T962" s="114"/>
      <c r="U962" s="114"/>
      <c r="V962" s="114"/>
      <c r="W962" s="114"/>
      <c r="X962" s="114"/>
      <c r="Y962" s="114"/>
      <c r="Z962" s="114"/>
      <c r="AA962" s="114"/>
      <c r="AB962" s="114"/>
      <c r="AC962" s="114"/>
      <c r="AD962" s="114"/>
      <c r="AE962" s="114"/>
      <c r="AF962" s="114"/>
      <c r="AG962" s="114"/>
      <c r="AH962" s="114"/>
      <c r="AI962" s="114"/>
      <c r="AJ962" s="114"/>
      <c r="AK962" s="114"/>
    </row>
    <row r="963" ht="15.75" customHeight="1">
      <c r="A963" s="114"/>
      <c r="B963" s="114"/>
      <c r="C963" s="114"/>
      <c r="D963" s="114"/>
      <c r="E963" s="114"/>
      <c r="F963" s="114"/>
      <c r="G963" s="114"/>
      <c r="H963" s="114"/>
      <c r="I963" s="114"/>
      <c r="J963" s="114"/>
      <c r="K963" s="114"/>
      <c r="L963" s="114"/>
      <c r="M963" s="114"/>
      <c r="N963" s="114"/>
      <c r="O963" s="114"/>
      <c r="P963" s="114"/>
      <c r="Q963" s="114"/>
      <c r="R963" s="114"/>
      <c r="S963" s="114"/>
      <c r="T963" s="114"/>
      <c r="U963" s="114"/>
      <c r="V963" s="114"/>
      <c r="W963" s="114"/>
      <c r="X963" s="114"/>
      <c r="Y963" s="114"/>
      <c r="Z963" s="114"/>
      <c r="AA963" s="114"/>
      <c r="AB963" s="114"/>
      <c r="AC963" s="114"/>
      <c r="AD963" s="114"/>
      <c r="AE963" s="114"/>
      <c r="AF963" s="114"/>
      <c r="AG963" s="114"/>
      <c r="AH963" s="114"/>
      <c r="AI963" s="114"/>
      <c r="AJ963" s="114"/>
      <c r="AK963" s="114"/>
    </row>
    <row r="964" ht="15.75" customHeight="1">
      <c r="A964" s="114"/>
      <c r="B964" s="114"/>
      <c r="C964" s="114"/>
      <c r="D964" s="114"/>
      <c r="E964" s="114"/>
      <c r="F964" s="114"/>
      <c r="G964" s="114"/>
      <c r="H964" s="114"/>
      <c r="I964" s="114"/>
      <c r="J964" s="114"/>
      <c r="K964" s="114"/>
      <c r="L964" s="114"/>
      <c r="M964" s="114"/>
      <c r="N964" s="114"/>
      <c r="O964" s="114"/>
      <c r="P964" s="114"/>
      <c r="Q964" s="114"/>
      <c r="R964" s="114"/>
      <c r="S964" s="114"/>
      <c r="T964" s="114"/>
      <c r="U964" s="114"/>
      <c r="V964" s="114"/>
      <c r="W964" s="114"/>
      <c r="X964" s="114"/>
      <c r="Y964" s="114"/>
      <c r="Z964" s="114"/>
      <c r="AA964" s="114"/>
      <c r="AB964" s="114"/>
      <c r="AC964" s="114"/>
      <c r="AD964" s="114"/>
      <c r="AE964" s="114"/>
      <c r="AF964" s="114"/>
      <c r="AG964" s="114"/>
      <c r="AH964" s="114"/>
      <c r="AI964" s="114"/>
      <c r="AJ964" s="114"/>
      <c r="AK964" s="114"/>
    </row>
    <row r="965" ht="15.75" customHeight="1">
      <c r="A965" s="114"/>
      <c r="B965" s="114"/>
      <c r="C965" s="114"/>
      <c r="D965" s="114"/>
      <c r="E965" s="114"/>
      <c r="F965" s="114"/>
      <c r="G965" s="114"/>
      <c r="H965" s="114"/>
      <c r="I965" s="114"/>
      <c r="J965" s="114"/>
      <c r="K965" s="114"/>
      <c r="L965" s="114"/>
      <c r="M965" s="114"/>
      <c r="N965" s="114"/>
      <c r="O965" s="114"/>
      <c r="P965" s="114"/>
      <c r="Q965" s="114"/>
      <c r="R965" s="114"/>
      <c r="S965" s="114"/>
      <c r="T965" s="114"/>
      <c r="U965" s="114"/>
      <c r="V965" s="114"/>
      <c r="W965" s="114"/>
      <c r="X965" s="114"/>
      <c r="Y965" s="114"/>
      <c r="Z965" s="114"/>
      <c r="AA965" s="114"/>
      <c r="AB965" s="114"/>
      <c r="AC965" s="114"/>
      <c r="AD965" s="114"/>
      <c r="AE965" s="114"/>
      <c r="AF965" s="114"/>
      <c r="AG965" s="114"/>
      <c r="AH965" s="114"/>
      <c r="AI965" s="114"/>
      <c r="AJ965" s="114"/>
      <c r="AK965" s="114"/>
    </row>
    <row r="966" ht="15.75" customHeight="1">
      <c r="A966" s="114"/>
      <c r="B966" s="114"/>
      <c r="C966" s="114"/>
      <c r="D966" s="114"/>
      <c r="E966" s="114"/>
      <c r="F966" s="114"/>
      <c r="G966" s="114"/>
      <c r="H966" s="114"/>
      <c r="I966" s="114"/>
      <c r="J966" s="114"/>
      <c r="K966" s="114"/>
      <c r="L966" s="114"/>
      <c r="M966" s="114"/>
      <c r="N966" s="114"/>
      <c r="O966" s="114"/>
      <c r="P966" s="114"/>
      <c r="Q966" s="114"/>
      <c r="R966" s="114"/>
      <c r="S966" s="114"/>
      <c r="T966" s="114"/>
      <c r="U966" s="114"/>
      <c r="V966" s="114"/>
      <c r="W966" s="114"/>
      <c r="X966" s="114"/>
      <c r="Y966" s="114"/>
      <c r="Z966" s="114"/>
      <c r="AA966" s="114"/>
      <c r="AB966" s="114"/>
      <c r="AC966" s="114"/>
      <c r="AD966" s="114"/>
      <c r="AE966" s="114"/>
      <c r="AF966" s="114"/>
      <c r="AG966" s="114"/>
      <c r="AH966" s="114"/>
      <c r="AI966" s="114"/>
      <c r="AJ966" s="114"/>
      <c r="AK966" s="114"/>
    </row>
    <row r="967" ht="15.75" customHeight="1">
      <c r="A967" s="114"/>
      <c r="B967" s="114"/>
      <c r="C967" s="114"/>
      <c r="D967" s="114"/>
      <c r="E967" s="114"/>
      <c r="F967" s="114"/>
      <c r="G967" s="114"/>
      <c r="H967" s="114"/>
      <c r="I967" s="114"/>
      <c r="J967" s="114"/>
      <c r="K967" s="114"/>
      <c r="L967" s="114"/>
      <c r="M967" s="114"/>
      <c r="N967" s="114"/>
      <c r="O967" s="114"/>
      <c r="P967" s="114"/>
      <c r="Q967" s="114"/>
      <c r="R967" s="114"/>
      <c r="S967" s="114"/>
      <c r="T967" s="114"/>
      <c r="U967" s="114"/>
      <c r="V967" s="114"/>
      <c r="W967" s="114"/>
      <c r="X967" s="114"/>
      <c r="Y967" s="114"/>
      <c r="Z967" s="114"/>
      <c r="AA967" s="114"/>
      <c r="AB967" s="114"/>
      <c r="AC967" s="114"/>
      <c r="AD967" s="114"/>
      <c r="AE967" s="114"/>
      <c r="AF967" s="114"/>
      <c r="AG967" s="114"/>
      <c r="AH967" s="114"/>
      <c r="AI967" s="114"/>
      <c r="AJ967" s="114"/>
      <c r="AK967" s="114"/>
    </row>
    <row r="968" ht="15.75" customHeight="1">
      <c r="A968" s="114"/>
      <c r="B968" s="114"/>
      <c r="C968" s="114"/>
      <c r="D968" s="114"/>
      <c r="E968" s="114"/>
      <c r="F968" s="114"/>
      <c r="G968" s="114"/>
      <c r="H968" s="114"/>
      <c r="I968" s="114"/>
      <c r="J968" s="114"/>
      <c r="K968" s="114"/>
      <c r="L968" s="114"/>
      <c r="M968" s="114"/>
      <c r="N968" s="114"/>
      <c r="O968" s="114"/>
      <c r="P968" s="114"/>
      <c r="Q968" s="114"/>
      <c r="R968" s="114"/>
      <c r="S968" s="114"/>
      <c r="T968" s="114"/>
      <c r="U968" s="114"/>
      <c r="V968" s="114"/>
      <c r="W968" s="114"/>
      <c r="X968" s="114"/>
      <c r="Y968" s="114"/>
      <c r="Z968" s="114"/>
      <c r="AA968" s="114"/>
      <c r="AB968" s="114"/>
      <c r="AC968" s="114"/>
      <c r="AD968" s="114"/>
      <c r="AE968" s="114"/>
      <c r="AF968" s="114"/>
      <c r="AG968" s="114"/>
      <c r="AH968" s="114"/>
      <c r="AI968" s="114"/>
      <c r="AJ968" s="114"/>
      <c r="AK968" s="114"/>
    </row>
    <row r="969" ht="15.75" customHeight="1">
      <c r="A969" s="114"/>
      <c r="B969" s="114"/>
      <c r="C969" s="114"/>
      <c r="D969" s="114"/>
      <c r="E969" s="114"/>
      <c r="F969" s="114"/>
      <c r="G969" s="114"/>
      <c r="H969" s="114"/>
      <c r="I969" s="114"/>
      <c r="J969" s="114"/>
      <c r="K969" s="114"/>
      <c r="L969" s="114"/>
      <c r="M969" s="114"/>
      <c r="N969" s="114"/>
      <c r="O969" s="114"/>
      <c r="P969" s="114"/>
      <c r="Q969" s="114"/>
      <c r="R969" s="114"/>
      <c r="S969" s="114"/>
      <c r="T969" s="114"/>
      <c r="U969" s="114"/>
      <c r="V969" s="114"/>
      <c r="W969" s="114"/>
      <c r="X969" s="114"/>
      <c r="Y969" s="114"/>
      <c r="Z969" s="114"/>
      <c r="AA969" s="114"/>
      <c r="AB969" s="114"/>
      <c r="AC969" s="114"/>
      <c r="AD969" s="114"/>
      <c r="AE969" s="114"/>
      <c r="AF969" s="114"/>
      <c r="AG969" s="114"/>
      <c r="AH969" s="114"/>
      <c r="AI969" s="114"/>
      <c r="AJ969" s="114"/>
      <c r="AK969" s="114"/>
    </row>
    <row r="970" ht="15.75" customHeight="1">
      <c r="A970" s="114"/>
      <c r="B970" s="114"/>
      <c r="C970" s="114"/>
      <c r="D970" s="114"/>
      <c r="E970" s="114"/>
      <c r="F970" s="114"/>
      <c r="G970" s="114"/>
      <c r="H970" s="114"/>
      <c r="I970" s="114"/>
      <c r="J970" s="114"/>
      <c r="K970" s="114"/>
      <c r="L970" s="114"/>
      <c r="M970" s="114"/>
      <c r="N970" s="114"/>
      <c r="O970" s="114"/>
      <c r="P970" s="114"/>
      <c r="Q970" s="114"/>
      <c r="R970" s="114"/>
      <c r="S970" s="114"/>
      <c r="T970" s="114"/>
      <c r="U970" s="114"/>
      <c r="V970" s="114"/>
      <c r="W970" s="114"/>
      <c r="X970" s="114"/>
      <c r="Y970" s="114"/>
      <c r="Z970" s="114"/>
      <c r="AA970" s="114"/>
      <c r="AB970" s="114"/>
      <c r="AC970" s="114"/>
      <c r="AD970" s="114"/>
      <c r="AE970" s="114"/>
      <c r="AF970" s="114"/>
      <c r="AG970" s="114"/>
      <c r="AH970" s="114"/>
      <c r="AI970" s="114"/>
      <c r="AJ970" s="114"/>
      <c r="AK970" s="114"/>
    </row>
    <row r="971" ht="15.75" customHeight="1">
      <c r="A971" s="114"/>
      <c r="B971" s="114"/>
      <c r="C971" s="114"/>
      <c r="D971" s="114"/>
      <c r="E971" s="114"/>
      <c r="F971" s="114"/>
      <c r="G971" s="114"/>
      <c r="H971" s="114"/>
      <c r="I971" s="114"/>
      <c r="J971" s="114"/>
      <c r="K971" s="114"/>
      <c r="L971" s="114"/>
      <c r="M971" s="114"/>
      <c r="N971" s="114"/>
      <c r="O971" s="114"/>
      <c r="P971" s="114"/>
      <c r="Q971" s="114"/>
      <c r="R971" s="114"/>
      <c r="S971" s="114"/>
      <c r="T971" s="114"/>
      <c r="U971" s="114"/>
      <c r="V971" s="114"/>
      <c r="W971" s="114"/>
      <c r="X971" s="114"/>
      <c r="Y971" s="114"/>
      <c r="Z971" s="114"/>
      <c r="AA971" s="114"/>
      <c r="AB971" s="114"/>
      <c r="AC971" s="114"/>
      <c r="AD971" s="114"/>
      <c r="AE971" s="114"/>
      <c r="AF971" s="114"/>
      <c r="AG971" s="114"/>
      <c r="AH971" s="114"/>
      <c r="AI971" s="114"/>
      <c r="AJ971" s="114"/>
      <c r="AK971" s="114"/>
    </row>
    <row r="972" ht="15.75" customHeight="1">
      <c r="A972" s="114"/>
      <c r="B972" s="114"/>
      <c r="C972" s="114"/>
      <c r="D972" s="114"/>
      <c r="E972" s="114"/>
      <c r="F972" s="114"/>
      <c r="G972" s="114"/>
      <c r="H972" s="114"/>
      <c r="I972" s="114"/>
      <c r="J972" s="114"/>
      <c r="K972" s="114"/>
      <c r="L972" s="114"/>
      <c r="M972" s="114"/>
      <c r="N972" s="114"/>
      <c r="O972" s="114"/>
      <c r="P972" s="114"/>
      <c r="Q972" s="114"/>
      <c r="R972" s="114"/>
      <c r="S972" s="114"/>
      <c r="T972" s="114"/>
      <c r="U972" s="114"/>
      <c r="V972" s="114"/>
      <c r="W972" s="114"/>
      <c r="X972" s="114"/>
      <c r="Y972" s="114"/>
      <c r="Z972" s="114"/>
      <c r="AA972" s="114"/>
      <c r="AB972" s="114"/>
      <c r="AC972" s="114"/>
      <c r="AD972" s="114"/>
      <c r="AE972" s="114"/>
      <c r="AF972" s="114"/>
      <c r="AG972" s="114"/>
      <c r="AH972" s="114"/>
      <c r="AI972" s="114"/>
      <c r="AJ972" s="114"/>
      <c r="AK972" s="114"/>
    </row>
    <row r="973" ht="15.75" customHeight="1">
      <c r="A973" s="114"/>
      <c r="B973" s="114"/>
      <c r="C973" s="114"/>
      <c r="D973" s="114"/>
      <c r="E973" s="114"/>
      <c r="F973" s="114"/>
      <c r="G973" s="114"/>
      <c r="H973" s="114"/>
      <c r="I973" s="114"/>
      <c r="J973" s="114"/>
      <c r="K973" s="114"/>
      <c r="L973" s="114"/>
      <c r="M973" s="114"/>
      <c r="N973" s="114"/>
      <c r="O973" s="114"/>
      <c r="P973" s="114"/>
      <c r="Q973" s="114"/>
      <c r="R973" s="114"/>
      <c r="S973" s="114"/>
      <c r="T973" s="114"/>
      <c r="U973" s="114"/>
      <c r="V973" s="114"/>
      <c r="W973" s="114"/>
      <c r="X973" s="114"/>
      <c r="Y973" s="114"/>
      <c r="Z973" s="114"/>
      <c r="AA973" s="114"/>
      <c r="AB973" s="114"/>
      <c r="AC973" s="114"/>
      <c r="AD973" s="114"/>
      <c r="AE973" s="114"/>
      <c r="AF973" s="114"/>
      <c r="AG973" s="114"/>
      <c r="AH973" s="114"/>
      <c r="AI973" s="114"/>
      <c r="AJ973" s="114"/>
      <c r="AK973" s="114"/>
    </row>
    <row r="974" ht="15.75" customHeight="1">
      <c r="A974" s="114"/>
      <c r="B974" s="114"/>
      <c r="C974" s="114"/>
      <c r="D974" s="114"/>
      <c r="E974" s="114"/>
      <c r="F974" s="114"/>
      <c r="G974" s="114"/>
      <c r="H974" s="114"/>
      <c r="I974" s="114"/>
      <c r="J974" s="114"/>
      <c r="K974" s="114"/>
      <c r="L974" s="114"/>
      <c r="M974" s="114"/>
      <c r="N974" s="114"/>
      <c r="O974" s="114"/>
      <c r="P974" s="114"/>
      <c r="Q974" s="114"/>
      <c r="R974" s="114"/>
      <c r="S974" s="114"/>
      <c r="T974" s="114"/>
      <c r="U974" s="114"/>
      <c r="V974" s="114"/>
      <c r="W974" s="114"/>
      <c r="X974" s="114"/>
      <c r="Y974" s="114"/>
      <c r="Z974" s="114"/>
      <c r="AA974" s="114"/>
      <c r="AB974" s="114"/>
      <c r="AC974" s="114"/>
      <c r="AD974" s="114"/>
      <c r="AE974" s="114"/>
      <c r="AF974" s="114"/>
      <c r="AG974" s="114"/>
      <c r="AH974" s="114"/>
      <c r="AI974" s="114"/>
      <c r="AJ974" s="114"/>
      <c r="AK974" s="114"/>
    </row>
    <row r="975" ht="15.75" customHeight="1">
      <c r="A975" s="114"/>
      <c r="B975" s="114"/>
      <c r="C975" s="114"/>
      <c r="D975" s="114"/>
      <c r="E975" s="114"/>
      <c r="F975" s="114"/>
      <c r="G975" s="114"/>
      <c r="H975" s="114"/>
      <c r="I975" s="114"/>
      <c r="J975" s="114"/>
      <c r="K975" s="114"/>
      <c r="L975" s="114"/>
      <c r="M975" s="114"/>
      <c r="N975" s="114"/>
      <c r="O975" s="114"/>
      <c r="P975" s="114"/>
      <c r="Q975" s="114"/>
      <c r="R975" s="114"/>
      <c r="S975" s="114"/>
      <c r="T975" s="114"/>
      <c r="U975" s="114"/>
      <c r="V975" s="114"/>
      <c r="W975" s="114"/>
      <c r="X975" s="114"/>
      <c r="Y975" s="114"/>
      <c r="Z975" s="114"/>
      <c r="AA975" s="114"/>
      <c r="AB975" s="114"/>
      <c r="AC975" s="114"/>
      <c r="AD975" s="114"/>
      <c r="AE975" s="114"/>
      <c r="AF975" s="114"/>
      <c r="AG975" s="114"/>
      <c r="AH975" s="114"/>
      <c r="AI975" s="114"/>
      <c r="AJ975" s="114"/>
      <c r="AK975" s="114"/>
    </row>
    <row r="976" ht="15.75" customHeight="1">
      <c r="A976" s="114"/>
      <c r="B976" s="114"/>
      <c r="C976" s="114"/>
      <c r="D976" s="114"/>
      <c r="E976" s="114"/>
      <c r="F976" s="114"/>
      <c r="G976" s="114"/>
      <c r="H976" s="114"/>
      <c r="I976" s="114"/>
      <c r="J976" s="114"/>
      <c r="K976" s="114"/>
      <c r="L976" s="114"/>
      <c r="M976" s="114"/>
      <c r="N976" s="114"/>
      <c r="O976" s="114"/>
      <c r="P976" s="114"/>
      <c r="Q976" s="114"/>
      <c r="R976" s="114"/>
      <c r="S976" s="114"/>
      <c r="T976" s="114"/>
      <c r="U976" s="114"/>
      <c r="V976" s="114"/>
      <c r="W976" s="114"/>
      <c r="X976" s="114"/>
      <c r="Y976" s="114"/>
      <c r="Z976" s="114"/>
      <c r="AA976" s="114"/>
      <c r="AB976" s="114"/>
      <c r="AC976" s="114"/>
      <c r="AD976" s="114"/>
      <c r="AE976" s="114"/>
      <c r="AF976" s="114"/>
      <c r="AG976" s="114"/>
      <c r="AH976" s="114"/>
      <c r="AI976" s="114"/>
      <c r="AJ976" s="114"/>
      <c r="AK976" s="114"/>
    </row>
    <row r="977" ht="15.75" customHeight="1">
      <c r="A977" s="114"/>
      <c r="B977" s="114"/>
      <c r="C977" s="114"/>
      <c r="D977" s="114"/>
      <c r="E977" s="114"/>
      <c r="F977" s="114"/>
      <c r="G977" s="114"/>
      <c r="H977" s="114"/>
      <c r="I977" s="114"/>
      <c r="J977" s="114"/>
      <c r="K977" s="114"/>
      <c r="L977" s="114"/>
      <c r="M977" s="114"/>
      <c r="N977" s="114"/>
      <c r="O977" s="114"/>
      <c r="P977" s="114"/>
      <c r="Q977" s="114"/>
      <c r="R977" s="114"/>
      <c r="S977" s="114"/>
      <c r="T977" s="114"/>
      <c r="U977" s="114"/>
      <c r="V977" s="114"/>
      <c r="W977" s="114"/>
      <c r="X977" s="114"/>
      <c r="Y977" s="114"/>
      <c r="Z977" s="114"/>
      <c r="AA977" s="114"/>
      <c r="AB977" s="114"/>
      <c r="AC977" s="114"/>
      <c r="AD977" s="114"/>
      <c r="AE977" s="114"/>
      <c r="AF977" s="114"/>
      <c r="AG977" s="114"/>
      <c r="AH977" s="114"/>
      <c r="AI977" s="114"/>
      <c r="AJ977" s="114"/>
      <c r="AK977" s="114"/>
    </row>
    <row r="978" ht="15.75" customHeight="1">
      <c r="A978" s="114"/>
      <c r="B978" s="114"/>
      <c r="C978" s="114"/>
      <c r="D978" s="114"/>
      <c r="E978" s="114"/>
      <c r="F978" s="114"/>
      <c r="G978" s="114"/>
      <c r="H978" s="114"/>
      <c r="I978" s="114"/>
      <c r="J978" s="114"/>
      <c r="K978" s="114"/>
      <c r="L978" s="114"/>
      <c r="M978" s="114"/>
      <c r="N978" s="114"/>
      <c r="O978" s="114"/>
      <c r="P978" s="114"/>
      <c r="Q978" s="114"/>
      <c r="R978" s="114"/>
      <c r="S978" s="114"/>
      <c r="T978" s="114"/>
      <c r="U978" s="114"/>
      <c r="V978" s="114"/>
      <c r="W978" s="114"/>
      <c r="X978" s="114"/>
      <c r="Y978" s="114"/>
      <c r="Z978" s="114"/>
      <c r="AA978" s="114"/>
      <c r="AB978" s="114"/>
      <c r="AC978" s="114"/>
      <c r="AD978" s="114"/>
      <c r="AE978" s="114"/>
      <c r="AF978" s="114"/>
      <c r="AG978" s="114"/>
      <c r="AH978" s="114"/>
      <c r="AI978" s="114"/>
      <c r="AJ978" s="114"/>
      <c r="AK978" s="114"/>
    </row>
    <row r="979" ht="15.75" customHeight="1">
      <c r="A979" s="114"/>
      <c r="B979" s="114"/>
      <c r="C979" s="114"/>
      <c r="D979" s="114"/>
      <c r="E979" s="114"/>
      <c r="F979" s="114"/>
      <c r="G979" s="114"/>
      <c r="H979" s="114"/>
      <c r="I979" s="114"/>
      <c r="J979" s="114"/>
      <c r="K979" s="114"/>
      <c r="L979" s="114"/>
      <c r="M979" s="114"/>
      <c r="N979" s="114"/>
      <c r="O979" s="114"/>
      <c r="P979" s="114"/>
      <c r="Q979" s="114"/>
      <c r="R979" s="114"/>
      <c r="S979" s="114"/>
      <c r="T979" s="114"/>
      <c r="U979" s="114"/>
      <c r="V979" s="114"/>
      <c r="W979" s="114"/>
      <c r="X979" s="114"/>
      <c r="Y979" s="114"/>
      <c r="Z979" s="114"/>
      <c r="AA979" s="114"/>
      <c r="AB979" s="114"/>
      <c r="AC979" s="114"/>
      <c r="AD979" s="114"/>
      <c r="AE979" s="114"/>
      <c r="AF979" s="114"/>
      <c r="AG979" s="114"/>
      <c r="AH979" s="114"/>
      <c r="AI979" s="114"/>
      <c r="AJ979" s="114"/>
      <c r="AK979" s="114"/>
    </row>
    <row r="980" ht="15.75" customHeight="1">
      <c r="A980" s="114"/>
      <c r="B980" s="114"/>
      <c r="C980" s="114"/>
      <c r="D980" s="114"/>
      <c r="E980" s="114"/>
      <c r="F980" s="114"/>
      <c r="G980" s="114"/>
      <c r="H980" s="114"/>
      <c r="I980" s="114"/>
      <c r="J980" s="114"/>
      <c r="K980" s="114"/>
      <c r="L980" s="114"/>
      <c r="M980" s="114"/>
      <c r="N980" s="114"/>
      <c r="O980" s="114"/>
      <c r="P980" s="114"/>
      <c r="Q980" s="114"/>
      <c r="R980" s="114"/>
      <c r="S980" s="114"/>
      <c r="T980" s="114"/>
      <c r="U980" s="114"/>
      <c r="V980" s="114"/>
      <c r="W980" s="114"/>
      <c r="X980" s="114"/>
      <c r="Y980" s="114"/>
      <c r="Z980" s="114"/>
      <c r="AA980" s="114"/>
      <c r="AB980" s="114"/>
      <c r="AC980" s="114"/>
      <c r="AD980" s="114"/>
      <c r="AE980" s="114"/>
      <c r="AF980" s="114"/>
      <c r="AG980" s="114"/>
      <c r="AH980" s="114"/>
      <c r="AI980" s="114"/>
      <c r="AJ980" s="114"/>
      <c r="AK980" s="114"/>
    </row>
    <row r="981" ht="15.75" customHeight="1">
      <c r="A981" s="114"/>
      <c r="B981" s="114"/>
      <c r="C981" s="114"/>
      <c r="D981" s="114"/>
      <c r="E981" s="114"/>
      <c r="F981" s="114"/>
      <c r="G981" s="114"/>
      <c r="H981" s="114"/>
      <c r="I981" s="114"/>
      <c r="J981" s="114"/>
      <c r="K981" s="114"/>
      <c r="L981" s="114"/>
      <c r="M981" s="114"/>
      <c r="N981" s="114"/>
      <c r="O981" s="114"/>
      <c r="P981" s="114"/>
      <c r="Q981" s="114"/>
      <c r="R981" s="114"/>
      <c r="S981" s="114"/>
      <c r="T981" s="114"/>
      <c r="U981" s="114"/>
      <c r="V981" s="114"/>
      <c r="W981" s="114"/>
      <c r="X981" s="114"/>
      <c r="Y981" s="114"/>
      <c r="Z981" s="114"/>
      <c r="AA981" s="114"/>
      <c r="AB981" s="114"/>
      <c r="AC981" s="114"/>
      <c r="AD981" s="114"/>
      <c r="AE981" s="114"/>
      <c r="AF981" s="114"/>
      <c r="AG981" s="114"/>
      <c r="AH981" s="114"/>
      <c r="AI981" s="114"/>
      <c r="AJ981" s="114"/>
      <c r="AK981" s="114"/>
    </row>
    <row r="982" ht="15.75" customHeight="1">
      <c r="A982" s="114"/>
      <c r="B982" s="114"/>
      <c r="C982" s="114"/>
      <c r="D982" s="114"/>
      <c r="E982" s="114"/>
      <c r="F982" s="114"/>
      <c r="G982" s="114"/>
      <c r="H982" s="114"/>
      <c r="I982" s="114"/>
      <c r="J982" s="114"/>
      <c r="K982" s="114"/>
      <c r="L982" s="114"/>
      <c r="M982" s="114"/>
      <c r="N982" s="114"/>
      <c r="O982" s="114"/>
      <c r="P982" s="114"/>
      <c r="Q982" s="114"/>
      <c r="R982" s="114"/>
      <c r="S982" s="114"/>
      <c r="T982" s="114"/>
      <c r="U982" s="114"/>
      <c r="V982" s="114"/>
      <c r="W982" s="114"/>
      <c r="X982" s="114"/>
      <c r="Y982" s="114"/>
      <c r="Z982" s="114"/>
      <c r="AA982" s="114"/>
      <c r="AB982" s="114"/>
      <c r="AC982" s="114"/>
      <c r="AD982" s="114"/>
      <c r="AE982" s="114"/>
      <c r="AF982" s="114"/>
      <c r="AG982" s="114"/>
      <c r="AH982" s="114"/>
      <c r="AI982" s="114"/>
      <c r="AJ982" s="114"/>
      <c r="AK982" s="114"/>
    </row>
    <row r="983" ht="15.75" customHeight="1">
      <c r="A983" s="114"/>
      <c r="B983" s="114"/>
      <c r="C983" s="114"/>
      <c r="D983" s="114"/>
      <c r="E983" s="114"/>
      <c r="F983" s="114"/>
      <c r="G983" s="114"/>
      <c r="H983" s="114"/>
      <c r="I983" s="114"/>
      <c r="J983" s="114"/>
      <c r="K983" s="114"/>
      <c r="L983" s="114"/>
      <c r="M983" s="114"/>
      <c r="N983" s="114"/>
      <c r="O983" s="114"/>
      <c r="P983" s="114"/>
      <c r="Q983" s="114"/>
      <c r="R983" s="114"/>
      <c r="S983" s="114"/>
      <c r="T983" s="114"/>
      <c r="U983" s="114"/>
      <c r="V983" s="114"/>
      <c r="W983" s="114"/>
      <c r="X983" s="114"/>
      <c r="Y983" s="114"/>
      <c r="Z983" s="114"/>
      <c r="AA983" s="114"/>
      <c r="AB983" s="114"/>
      <c r="AC983" s="114"/>
      <c r="AD983" s="114"/>
      <c r="AE983" s="114"/>
      <c r="AF983" s="114"/>
      <c r="AG983" s="114"/>
      <c r="AH983" s="114"/>
      <c r="AI983" s="114"/>
      <c r="AJ983" s="114"/>
      <c r="AK983" s="114"/>
    </row>
    <row r="984" ht="15.75" customHeight="1">
      <c r="A984" s="114"/>
      <c r="B984" s="114"/>
      <c r="C984" s="114"/>
      <c r="D984" s="114"/>
      <c r="E984" s="114"/>
      <c r="F984" s="114"/>
      <c r="G984" s="114"/>
      <c r="H984" s="114"/>
      <c r="I984" s="114"/>
      <c r="J984" s="114"/>
      <c r="K984" s="114"/>
      <c r="L984" s="114"/>
      <c r="M984" s="114"/>
      <c r="N984" s="114"/>
      <c r="O984" s="114"/>
      <c r="P984" s="114"/>
      <c r="Q984" s="114"/>
      <c r="R984" s="114"/>
      <c r="S984" s="114"/>
      <c r="T984" s="114"/>
      <c r="U984" s="114"/>
      <c r="V984" s="114"/>
      <c r="W984" s="114"/>
      <c r="X984" s="114"/>
      <c r="Y984" s="114"/>
      <c r="Z984" s="114"/>
      <c r="AA984" s="114"/>
      <c r="AB984" s="114"/>
      <c r="AC984" s="114"/>
      <c r="AD984" s="114"/>
      <c r="AE984" s="114"/>
      <c r="AF984" s="114"/>
      <c r="AG984" s="114"/>
      <c r="AH984" s="114"/>
      <c r="AI984" s="114"/>
      <c r="AJ984" s="114"/>
      <c r="AK984" s="114"/>
    </row>
    <row r="985" ht="15.75" customHeight="1">
      <c r="A985" s="114"/>
      <c r="B985" s="114"/>
      <c r="C985" s="114"/>
      <c r="D985" s="114"/>
      <c r="E985" s="114"/>
      <c r="F985" s="114"/>
      <c r="G985" s="114"/>
      <c r="H985" s="114"/>
      <c r="I985" s="114"/>
      <c r="J985" s="114"/>
      <c r="K985" s="114"/>
      <c r="L985" s="114"/>
      <c r="M985" s="114"/>
      <c r="N985" s="114"/>
      <c r="O985" s="114"/>
      <c r="P985" s="114"/>
      <c r="Q985" s="114"/>
      <c r="R985" s="114"/>
      <c r="S985" s="114"/>
      <c r="T985" s="114"/>
      <c r="U985" s="114"/>
      <c r="V985" s="114"/>
      <c r="W985" s="114"/>
      <c r="X985" s="114"/>
      <c r="Y985" s="114"/>
      <c r="Z985" s="114"/>
      <c r="AA985" s="114"/>
      <c r="AB985" s="114"/>
      <c r="AC985" s="114"/>
      <c r="AD985" s="114"/>
      <c r="AE985" s="114"/>
      <c r="AF985" s="114"/>
      <c r="AG985" s="114"/>
      <c r="AH985" s="114"/>
      <c r="AI985" s="114"/>
      <c r="AJ985" s="114"/>
      <c r="AK985" s="114"/>
    </row>
    <row r="986" ht="15.75" customHeight="1">
      <c r="A986" s="114"/>
      <c r="B986" s="114"/>
      <c r="C986" s="114"/>
      <c r="D986" s="114"/>
      <c r="E986" s="114"/>
      <c r="F986" s="114"/>
      <c r="G986" s="114"/>
      <c r="H986" s="114"/>
      <c r="I986" s="114"/>
      <c r="J986" s="114"/>
      <c r="K986" s="114"/>
      <c r="L986" s="114"/>
      <c r="M986" s="114"/>
      <c r="N986" s="114"/>
      <c r="O986" s="114"/>
      <c r="P986" s="114"/>
      <c r="Q986" s="114"/>
      <c r="R986" s="114"/>
      <c r="S986" s="114"/>
      <c r="T986" s="114"/>
      <c r="U986" s="114"/>
      <c r="V986" s="114"/>
      <c r="W986" s="114"/>
      <c r="X986" s="114"/>
      <c r="Y986" s="114"/>
      <c r="Z986" s="114"/>
      <c r="AA986" s="114"/>
      <c r="AB986" s="114"/>
      <c r="AC986" s="114"/>
      <c r="AD986" s="114"/>
      <c r="AE986" s="114"/>
      <c r="AF986" s="114"/>
      <c r="AG986" s="114"/>
      <c r="AH986" s="114"/>
      <c r="AI986" s="114"/>
      <c r="AJ986" s="114"/>
      <c r="AK986" s="114"/>
    </row>
    <row r="987" ht="15.75" customHeight="1">
      <c r="A987" s="114"/>
      <c r="B987" s="114"/>
      <c r="C987" s="114"/>
      <c r="D987" s="114"/>
      <c r="E987" s="114"/>
      <c r="F987" s="114"/>
      <c r="G987" s="114"/>
      <c r="H987" s="114"/>
      <c r="I987" s="114"/>
      <c r="J987" s="114"/>
      <c r="K987" s="114"/>
      <c r="L987" s="114"/>
      <c r="M987" s="114"/>
      <c r="N987" s="114"/>
      <c r="O987" s="114"/>
      <c r="P987" s="114"/>
      <c r="Q987" s="114"/>
      <c r="R987" s="114"/>
      <c r="S987" s="114"/>
      <c r="T987" s="114"/>
      <c r="U987" s="114"/>
      <c r="V987" s="114"/>
      <c r="W987" s="114"/>
      <c r="X987" s="114"/>
      <c r="Y987" s="114"/>
      <c r="Z987" s="114"/>
      <c r="AA987" s="114"/>
      <c r="AB987" s="114"/>
      <c r="AC987" s="114"/>
      <c r="AD987" s="114"/>
      <c r="AE987" s="114"/>
      <c r="AF987" s="114"/>
      <c r="AG987" s="114"/>
      <c r="AH987" s="114"/>
      <c r="AI987" s="114"/>
      <c r="AJ987" s="114"/>
      <c r="AK987" s="114"/>
    </row>
    <row r="988" ht="15.75" customHeight="1">
      <c r="A988" s="114"/>
      <c r="B988" s="114"/>
      <c r="C988" s="114"/>
      <c r="D988" s="114"/>
      <c r="E988" s="114"/>
      <c r="F988" s="114"/>
      <c r="G988" s="114"/>
      <c r="H988" s="114"/>
      <c r="I988" s="114"/>
      <c r="J988" s="114"/>
      <c r="K988" s="114"/>
      <c r="L988" s="114"/>
      <c r="M988" s="114"/>
      <c r="N988" s="114"/>
      <c r="O988" s="114"/>
      <c r="P988" s="114"/>
      <c r="Q988" s="114"/>
      <c r="R988" s="114"/>
      <c r="S988" s="114"/>
      <c r="T988" s="114"/>
      <c r="U988" s="114"/>
      <c r="V988" s="114"/>
      <c r="W988" s="114"/>
      <c r="X988" s="114"/>
      <c r="Y988" s="114"/>
      <c r="Z988" s="114"/>
      <c r="AA988" s="114"/>
      <c r="AB988" s="114"/>
      <c r="AC988" s="114"/>
      <c r="AD988" s="114"/>
      <c r="AE988" s="114"/>
      <c r="AF988" s="114"/>
      <c r="AG988" s="114"/>
      <c r="AH988" s="114"/>
      <c r="AI988" s="114"/>
      <c r="AJ988" s="114"/>
      <c r="AK988" s="114"/>
    </row>
    <row r="989" ht="15.75" customHeight="1">
      <c r="A989" s="114"/>
      <c r="B989" s="114"/>
      <c r="C989" s="114"/>
      <c r="D989" s="114"/>
      <c r="E989" s="114"/>
      <c r="F989" s="114"/>
      <c r="G989" s="114"/>
      <c r="H989" s="114"/>
      <c r="I989" s="114"/>
      <c r="J989" s="114"/>
      <c r="K989" s="114"/>
      <c r="L989" s="114"/>
      <c r="M989" s="114"/>
      <c r="N989" s="114"/>
      <c r="O989" s="114"/>
      <c r="P989" s="114"/>
      <c r="Q989" s="114"/>
      <c r="R989" s="114"/>
      <c r="S989" s="114"/>
      <c r="T989" s="114"/>
      <c r="U989" s="114"/>
      <c r="V989" s="114"/>
      <c r="W989" s="114"/>
      <c r="X989" s="114"/>
      <c r="Y989" s="114"/>
      <c r="Z989" s="114"/>
      <c r="AA989" s="114"/>
      <c r="AB989" s="114"/>
      <c r="AC989" s="114"/>
      <c r="AD989" s="114"/>
      <c r="AE989" s="114"/>
      <c r="AF989" s="114"/>
      <c r="AG989" s="114"/>
      <c r="AH989" s="114"/>
      <c r="AI989" s="114"/>
      <c r="AJ989" s="114"/>
      <c r="AK989" s="114"/>
    </row>
    <row r="990" ht="15.75" customHeight="1">
      <c r="A990" s="114"/>
      <c r="B990" s="114"/>
      <c r="C990" s="114"/>
      <c r="D990" s="114"/>
      <c r="E990" s="114"/>
      <c r="F990" s="114"/>
      <c r="G990" s="114"/>
      <c r="H990" s="114"/>
      <c r="I990" s="114"/>
      <c r="J990" s="114"/>
      <c r="K990" s="114"/>
      <c r="L990" s="114"/>
      <c r="M990" s="114"/>
      <c r="N990" s="114"/>
      <c r="O990" s="114"/>
      <c r="P990" s="114"/>
      <c r="Q990" s="114"/>
      <c r="R990" s="114"/>
      <c r="S990" s="114"/>
      <c r="T990" s="114"/>
      <c r="U990" s="114"/>
      <c r="V990" s="114"/>
      <c r="W990" s="114"/>
      <c r="X990" s="114"/>
      <c r="Y990" s="114"/>
      <c r="Z990" s="114"/>
      <c r="AA990" s="114"/>
      <c r="AB990" s="114"/>
      <c r="AC990" s="114"/>
      <c r="AD990" s="114"/>
      <c r="AE990" s="114"/>
      <c r="AF990" s="114"/>
      <c r="AG990" s="114"/>
      <c r="AH990" s="114"/>
      <c r="AI990" s="114"/>
      <c r="AJ990" s="114"/>
      <c r="AK990" s="114"/>
    </row>
    <row r="991" ht="15.75" customHeight="1">
      <c r="A991" s="114"/>
      <c r="B991" s="114"/>
      <c r="C991" s="114"/>
      <c r="D991" s="114"/>
      <c r="E991" s="114"/>
      <c r="F991" s="114"/>
      <c r="G991" s="114"/>
      <c r="H991" s="114"/>
      <c r="I991" s="114"/>
      <c r="J991" s="114"/>
      <c r="K991" s="114"/>
      <c r="L991" s="114"/>
      <c r="M991" s="114"/>
      <c r="N991" s="114"/>
      <c r="O991" s="114"/>
      <c r="P991" s="114"/>
      <c r="Q991" s="114"/>
      <c r="R991" s="114"/>
      <c r="S991" s="114"/>
      <c r="T991" s="114"/>
      <c r="U991" s="114"/>
      <c r="V991" s="114"/>
      <c r="W991" s="114"/>
      <c r="X991" s="114"/>
      <c r="Y991" s="114"/>
      <c r="Z991" s="114"/>
      <c r="AA991" s="114"/>
      <c r="AB991" s="114"/>
      <c r="AC991" s="114"/>
      <c r="AD991" s="114"/>
      <c r="AE991" s="114"/>
      <c r="AF991" s="114"/>
      <c r="AG991" s="114"/>
      <c r="AH991" s="114"/>
      <c r="AI991" s="114"/>
      <c r="AJ991" s="114"/>
      <c r="AK991" s="114"/>
    </row>
    <row r="992" ht="15.75" customHeight="1">
      <c r="A992" s="114"/>
      <c r="B992" s="114"/>
      <c r="C992" s="114"/>
      <c r="D992" s="114"/>
      <c r="E992" s="114"/>
      <c r="F992" s="114"/>
      <c r="G992" s="114"/>
      <c r="H992" s="114"/>
      <c r="I992" s="114"/>
      <c r="J992" s="114"/>
      <c r="K992" s="114"/>
      <c r="L992" s="114"/>
      <c r="M992" s="114"/>
      <c r="N992" s="114"/>
      <c r="O992" s="114"/>
      <c r="P992" s="114"/>
      <c r="Q992" s="114"/>
      <c r="R992" s="114"/>
      <c r="S992" s="114"/>
      <c r="T992" s="114"/>
      <c r="U992" s="114"/>
      <c r="V992" s="114"/>
      <c r="W992" s="114"/>
      <c r="X992" s="114"/>
      <c r="Y992" s="114"/>
      <c r="Z992" s="114"/>
      <c r="AA992" s="114"/>
      <c r="AB992" s="114"/>
      <c r="AC992" s="114"/>
      <c r="AD992" s="114"/>
      <c r="AE992" s="114"/>
      <c r="AF992" s="114"/>
      <c r="AG992" s="114"/>
      <c r="AH992" s="114"/>
      <c r="AI992" s="114"/>
      <c r="AJ992" s="114"/>
      <c r="AK992" s="114"/>
    </row>
    <row r="993" ht="15.75" customHeight="1">
      <c r="A993" s="114"/>
      <c r="B993" s="114"/>
      <c r="C993" s="114"/>
      <c r="D993" s="114"/>
      <c r="E993" s="114"/>
      <c r="F993" s="114"/>
      <c r="G993" s="114"/>
      <c r="H993" s="114"/>
      <c r="I993" s="114"/>
      <c r="J993" s="114"/>
      <c r="K993" s="114"/>
      <c r="L993" s="114"/>
      <c r="M993" s="114"/>
      <c r="N993" s="114"/>
      <c r="O993" s="114"/>
      <c r="P993" s="114"/>
      <c r="Q993" s="114"/>
      <c r="R993" s="114"/>
      <c r="S993" s="114"/>
      <c r="T993" s="114"/>
      <c r="U993" s="114"/>
      <c r="V993" s="114"/>
      <c r="W993" s="114"/>
      <c r="X993" s="114"/>
      <c r="Y993" s="114"/>
      <c r="Z993" s="114"/>
      <c r="AA993" s="114"/>
      <c r="AB993" s="114"/>
      <c r="AC993" s="114"/>
      <c r="AD993" s="114"/>
      <c r="AE993" s="114"/>
      <c r="AF993" s="114"/>
      <c r="AG993" s="114"/>
      <c r="AH993" s="114"/>
      <c r="AI993" s="114"/>
      <c r="AJ993" s="114"/>
      <c r="AK993" s="114"/>
    </row>
    <row r="994" ht="15.75" customHeight="1">
      <c r="A994" s="114"/>
      <c r="B994" s="114"/>
      <c r="C994" s="114"/>
      <c r="D994" s="114"/>
      <c r="E994" s="114"/>
      <c r="F994" s="114"/>
      <c r="G994" s="114"/>
      <c r="H994" s="114"/>
      <c r="I994" s="114"/>
      <c r="J994" s="114"/>
      <c r="K994" s="114"/>
      <c r="L994" s="114"/>
      <c r="M994" s="114"/>
      <c r="N994" s="114"/>
      <c r="O994" s="114"/>
      <c r="P994" s="114"/>
      <c r="Q994" s="114"/>
      <c r="R994" s="114"/>
      <c r="S994" s="114"/>
      <c r="T994" s="114"/>
      <c r="U994" s="114"/>
      <c r="V994" s="114"/>
      <c r="W994" s="114"/>
      <c r="X994" s="114"/>
      <c r="Y994" s="114"/>
      <c r="Z994" s="114"/>
      <c r="AA994" s="114"/>
      <c r="AB994" s="114"/>
      <c r="AC994" s="114"/>
      <c r="AD994" s="114"/>
      <c r="AE994" s="114"/>
      <c r="AF994" s="114"/>
      <c r="AG994" s="114"/>
      <c r="AH994" s="114"/>
      <c r="AI994" s="114"/>
      <c r="AJ994" s="114"/>
      <c r="AK994" s="114"/>
    </row>
    <row r="995" ht="15.75" customHeight="1">
      <c r="A995" s="114"/>
      <c r="B995" s="114"/>
      <c r="C995" s="114"/>
      <c r="D995" s="114"/>
      <c r="E995" s="114"/>
      <c r="F995" s="114"/>
      <c r="G995" s="114"/>
      <c r="H995" s="114"/>
      <c r="I995" s="114"/>
      <c r="J995" s="114"/>
      <c r="K995" s="114"/>
      <c r="L995" s="114"/>
      <c r="M995" s="114"/>
      <c r="N995" s="114"/>
      <c r="O995" s="114"/>
      <c r="P995" s="114"/>
      <c r="Q995" s="114"/>
      <c r="R995" s="114"/>
      <c r="S995" s="114"/>
      <c r="T995" s="114"/>
      <c r="U995" s="114"/>
      <c r="V995" s="114"/>
      <c r="W995" s="114"/>
      <c r="X995" s="114"/>
      <c r="Y995" s="114"/>
      <c r="Z995" s="114"/>
      <c r="AA995" s="114"/>
      <c r="AB995" s="114"/>
      <c r="AC995" s="114"/>
      <c r="AD995" s="114"/>
      <c r="AE995" s="114"/>
      <c r="AF995" s="114"/>
      <c r="AG995" s="114"/>
      <c r="AH995" s="114"/>
      <c r="AI995" s="114"/>
      <c r="AJ995" s="114"/>
      <c r="AK995" s="114"/>
    </row>
    <row r="996" ht="15.75" customHeight="1">
      <c r="A996" s="114"/>
      <c r="B996" s="114"/>
      <c r="C996" s="114"/>
      <c r="D996" s="114"/>
      <c r="E996" s="114"/>
      <c r="F996" s="114"/>
      <c r="G996" s="114"/>
      <c r="H996" s="114"/>
      <c r="I996" s="114"/>
      <c r="J996" s="114"/>
      <c r="K996" s="114"/>
      <c r="L996" s="114"/>
      <c r="M996" s="114"/>
      <c r="N996" s="114"/>
      <c r="O996" s="114"/>
      <c r="P996" s="114"/>
      <c r="Q996" s="114"/>
      <c r="R996" s="114"/>
      <c r="S996" s="114"/>
      <c r="T996" s="114"/>
      <c r="U996" s="114"/>
      <c r="V996" s="114"/>
      <c r="W996" s="114"/>
      <c r="X996" s="114"/>
      <c r="Y996" s="114"/>
      <c r="Z996" s="114"/>
      <c r="AA996" s="114"/>
      <c r="AB996" s="114"/>
      <c r="AC996" s="114"/>
      <c r="AD996" s="114"/>
      <c r="AE996" s="114"/>
      <c r="AF996" s="114"/>
      <c r="AG996" s="114"/>
      <c r="AH996" s="114"/>
      <c r="AI996" s="114"/>
      <c r="AJ996" s="114"/>
      <c r="AK996" s="114"/>
    </row>
    <row r="997" ht="15.75" customHeight="1">
      <c r="A997" s="114"/>
      <c r="B997" s="114"/>
      <c r="C997" s="114"/>
      <c r="D997" s="114"/>
      <c r="E997" s="114"/>
      <c r="F997" s="114"/>
      <c r="G997" s="114"/>
      <c r="H997" s="114"/>
      <c r="I997" s="114"/>
      <c r="J997" s="114"/>
      <c r="K997" s="114"/>
      <c r="L997" s="114"/>
      <c r="M997" s="114"/>
      <c r="N997" s="114"/>
      <c r="O997" s="114"/>
      <c r="P997" s="114"/>
      <c r="Q997" s="114"/>
      <c r="R997" s="114"/>
      <c r="S997" s="114"/>
      <c r="T997" s="114"/>
      <c r="U997" s="114"/>
      <c r="V997" s="114"/>
      <c r="W997" s="114"/>
      <c r="X997" s="114"/>
      <c r="Y997" s="114"/>
      <c r="Z997" s="114"/>
      <c r="AA997" s="114"/>
      <c r="AB997" s="114"/>
      <c r="AC997" s="114"/>
      <c r="AD997" s="114"/>
      <c r="AE997" s="114"/>
      <c r="AF997" s="114"/>
      <c r="AG997" s="114"/>
      <c r="AH997" s="114"/>
      <c r="AI997" s="114"/>
      <c r="AJ997" s="114"/>
      <c r="AK997" s="114"/>
    </row>
    <row r="998" ht="15.75" customHeight="1">
      <c r="A998" s="114"/>
      <c r="B998" s="114"/>
      <c r="C998" s="114"/>
      <c r="D998" s="114"/>
      <c r="E998" s="114"/>
      <c r="F998" s="114"/>
      <c r="G998" s="114"/>
      <c r="H998" s="114"/>
      <c r="I998" s="114"/>
      <c r="J998" s="114"/>
      <c r="K998" s="114"/>
      <c r="L998" s="114"/>
      <c r="M998" s="114"/>
      <c r="N998" s="114"/>
      <c r="O998" s="114"/>
      <c r="P998" s="114"/>
      <c r="Q998" s="114"/>
      <c r="R998" s="114"/>
      <c r="S998" s="114"/>
      <c r="T998" s="114"/>
      <c r="U998" s="114"/>
      <c r="V998" s="114"/>
      <c r="W998" s="114"/>
      <c r="X998" s="114"/>
      <c r="Y998" s="114"/>
      <c r="Z998" s="114"/>
      <c r="AA998" s="114"/>
      <c r="AB998" s="114"/>
      <c r="AC998" s="114"/>
      <c r="AD998" s="114"/>
      <c r="AE998" s="114"/>
      <c r="AF998" s="114"/>
      <c r="AG998" s="114"/>
      <c r="AH998" s="114"/>
      <c r="AI998" s="114"/>
      <c r="AJ998" s="114"/>
      <c r="AK998" s="114"/>
    </row>
    <row r="999" ht="15.75" customHeight="1">
      <c r="A999" s="114"/>
      <c r="B999" s="114"/>
      <c r="C999" s="114"/>
      <c r="D999" s="114"/>
      <c r="E999" s="114"/>
      <c r="F999" s="114"/>
      <c r="G999" s="114"/>
      <c r="H999" s="114"/>
      <c r="I999" s="114"/>
      <c r="J999" s="114"/>
      <c r="K999" s="114"/>
      <c r="L999" s="114"/>
      <c r="M999" s="114"/>
      <c r="N999" s="114"/>
      <c r="O999" s="114"/>
      <c r="P999" s="114"/>
      <c r="Q999" s="114"/>
      <c r="R999" s="114"/>
      <c r="S999" s="114"/>
      <c r="T999" s="114"/>
      <c r="U999" s="114"/>
      <c r="V999" s="114"/>
      <c r="W999" s="114"/>
      <c r="X999" s="114"/>
      <c r="Y999" s="114"/>
      <c r="Z999" s="114"/>
      <c r="AA999" s="114"/>
      <c r="AB999" s="114"/>
      <c r="AC999" s="114"/>
      <c r="AD999" s="114"/>
      <c r="AE999" s="114"/>
      <c r="AF999" s="114"/>
      <c r="AG999" s="114"/>
      <c r="AH999" s="114"/>
      <c r="AI999" s="114"/>
      <c r="AJ999" s="114"/>
      <c r="AK999" s="114"/>
    </row>
    <row r="1000" ht="15.75" customHeight="1">
      <c r="A1000" s="114"/>
      <c r="B1000" s="114"/>
      <c r="C1000" s="114"/>
      <c r="D1000" s="114"/>
      <c r="E1000" s="114"/>
      <c r="F1000" s="114"/>
      <c r="G1000" s="114"/>
      <c r="H1000" s="114"/>
      <c r="I1000" s="114"/>
      <c r="J1000" s="114"/>
      <c r="K1000" s="114"/>
      <c r="L1000" s="114"/>
      <c r="M1000" s="114"/>
      <c r="N1000" s="114"/>
      <c r="O1000" s="114"/>
      <c r="P1000" s="114"/>
      <c r="Q1000" s="114"/>
      <c r="R1000" s="114"/>
      <c r="S1000" s="114"/>
      <c r="T1000" s="114"/>
      <c r="U1000" s="114"/>
      <c r="V1000" s="114"/>
      <c r="W1000" s="114"/>
      <c r="X1000" s="114"/>
      <c r="Y1000" s="114"/>
      <c r="Z1000" s="114"/>
      <c r="AA1000" s="114"/>
      <c r="AB1000" s="114"/>
      <c r="AC1000" s="114"/>
      <c r="AD1000" s="114"/>
      <c r="AE1000" s="114"/>
      <c r="AF1000" s="114"/>
      <c r="AG1000" s="114"/>
      <c r="AH1000" s="114"/>
      <c r="AI1000" s="114"/>
      <c r="AJ1000" s="114"/>
      <c r="AK1000" s="114"/>
    </row>
  </sheetData>
  <conditionalFormatting sqref="B2:B49 B101 B123:B127">
    <cfRule type="containsText" dxfId="0" priority="1" operator="containsText" text="0">
      <formula>NOT(ISERROR(SEARCH(("0"),(B2))))</formula>
    </cfRule>
  </conditionalFormatting>
  <conditionalFormatting sqref="B123:B127">
    <cfRule type="containsText" dxfId="0" priority="2" operator="containsText" text="0">
      <formula>NOT(ISERROR(SEARCH(("0"),(B123))))</formula>
    </cfRule>
  </conditionalFormatting>
  <conditionalFormatting sqref="B123:B127">
    <cfRule type="containsText" dxfId="0" priority="3" operator="containsText" text="0">
      <formula>NOT(ISERROR(SEARCH(("0"),(B123))))</formula>
    </cfRule>
  </conditionalFormatting>
  <printOptions/>
  <pageMargins bottom="0.75" footer="0.0" header="0.0" left="0.7" right="0.7" top="0.75"/>
  <pageSetup paperSize="9" orientation="portrait"/>
  <drawing r:id="rId1"/>
  <tableParts count="2">
    <tablePart r:id="rId4"/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5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/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48</v>
      </c>
    </row>
    <row r="2" ht="14.25" customHeight="1">
      <c r="A2" s="122" t="str">
        <f>IFERROR(__xludf.DUMMYFUNCTION(" IMPORTRANGE(""https://docs.google.com/spreadsheets/d/1rLzXtys_gAAGUShJVymOVmDB40E2b3Giw5DOV9WMQgQ/edit#gid=107593206"",""So6!A2:A161"")"),"SINGE7")</f>
        <v>SINGE7</v>
      </c>
      <c r="B2" s="103">
        <v>1.0</v>
      </c>
      <c r="C2" s="123">
        <f t="shared" ref="C2:C161" si="1">800*(1-(B2/($H$1+1)))*POWER((SQRT(($H$1+1)/B2)),1/2)</f>
        <v>2073.405109</v>
      </c>
      <c r="D2" s="124" t="str">
        <f>VLOOKUP(A2,'Classement S6'!$B$2:$C$150,1,0)</f>
        <v>SINGE7</v>
      </c>
      <c r="E2" s="125" t="str">
        <f t="shared" ref="E2:E161" si="2">IF(D2=A2,"","erreur")</f>
        <v/>
      </c>
      <c r="F2" s="120" t="str">
        <f>VLOOKUP(A2,'Classement Général'!$B$2:$B$146,1,0)</f>
        <v>SINGE7</v>
      </c>
    </row>
    <row r="3" ht="14.25" customHeight="1">
      <c r="A3" s="122" t="str">
        <f>IFERROR(__xludf.DUMMYFUNCTION("""COMPUTED_VALUE"""),"Manu8671")</f>
        <v>Manu8671</v>
      </c>
      <c r="B3" s="103">
        <v>2.0</v>
      </c>
      <c r="C3" s="123">
        <f t="shared" si="1"/>
        <v>1707.195613</v>
      </c>
      <c r="D3" s="124" t="str">
        <f>VLOOKUP(A3,'Classement S6'!$B$2:$C$150,1,0)</f>
        <v>Manu8671</v>
      </c>
      <c r="E3" s="125" t="str">
        <f t="shared" si="2"/>
        <v/>
      </c>
      <c r="F3" s="120" t="str">
        <f>VLOOKUP(A3,'Classement Général'!$B$2:$B$146,1,0)</f>
        <v>Manu8671</v>
      </c>
      <c r="G3" s="126"/>
    </row>
    <row r="4" ht="14.25" customHeight="1">
      <c r="A4" s="122" t="str">
        <f>IFERROR(__xludf.DUMMYFUNCTION("""COMPUTED_VALUE"""),"Hmnyocleaver")</f>
        <v>Hmnyocleaver</v>
      </c>
      <c r="B4" s="103">
        <v>3.0</v>
      </c>
      <c r="C4" s="123">
        <f t="shared" si="1"/>
        <v>1509.80356</v>
      </c>
      <c r="D4" s="124" t="str">
        <f>VLOOKUP(A4,'Classement S6'!$B$2:$C$150,1,0)</f>
        <v>hmnyocleaver</v>
      </c>
      <c r="E4" s="125" t="str">
        <f t="shared" si="2"/>
        <v/>
      </c>
      <c r="F4" s="120" t="str">
        <f>VLOOKUP(A4,'Classement Général'!$B$2:$B$146,1,0)</f>
        <v>hmnyocleaver</v>
      </c>
    </row>
    <row r="5" ht="14.25" customHeight="1">
      <c r="A5" s="122" t="str">
        <f>IFERROR(__xludf.DUMMYFUNCTION("""COMPUTED_VALUE"""),"Like_A_Fish")</f>
        <v>Like_A_Fish</v>
      </c>
      <c r="B5" s="103">
        <v>4.0</v>
      </c>
      <c r="C5" s="123">
        <f t="shared" si="1"/>
        <v>1374.486387</v>
      </c>
      <c r="D5" s="124" t="str">
        <f>VLOOKUP(A5,'Classement S6'!$B$2:$C$150,1,0)</f>
        <v>Like_A_Fish</v>
      </c>
      <c r="E5" s="125" t="str">
        <f t="shared" si="2"/>
        <v/>
      </c>
      <c r="F5" s="120" t="str">
        <f>VLOOKUP(A5,'Classement Général'!$B$2:$B$146,1,0)</f>
        <v>Like_A_Fish</v>
      </c>
    </row>
    <row r="6" ht="14.25" customHeight="1">
      <c r="A6" s="122" t="str">
        <f>IFERROR(__xludf.DUMMYFUNCTION("""COMPUTED_VALUE"""),"_VisMaVie_")</f>
        <v>_VisMaVie_</v>
      </c>
      <c r="B6" s="103">
        <v>5.0</v>
      </c>
      <c r="C6" s="123">
        <f t="shared" si="1"/>
        <v>1271.022101</v>
      </c>
      <c r="D6" s="124" t="str">
        <f>VLOOKUP(A6,'Classement S6'!$B$2:$C$150,1,0)</f>
        <v>_VisMaVie_</v>
      </c>
      <c r="E6" s="125" t="str">
        <f t="shared" si="2"/>
        <v/>
      </c>
      <c r="F6" s="120" t="str">
        <f>VLOOKUP(A6,'Classement Général'!$B$2:$B$146,1,0)</f>
        <v>_VisMaVie_</v>
      </c>
    </row>
    <row r="7" ht="14.25" customHeight="1">
      <c r="A7" s="122" t="str">
        <f>IFERROR(__xludf.DUMMYFUNCTION("""COMPUTED_VALUE"""),"BnHuR_MarCL.")</f>
        <v>BnHuR_MarCL.</v>
      </c>
      <c r="B7" s="103">
        <v>6.0</v>
      </c>
      <c r="C7" s="123">
        <f t="shared" si="1"/>
        <v>1186.789158</v>
      </c>
      <c r="D7" s="124" t="str">
        <f>VLOOKUP(A7,'Classement S6'!$B$2:$C$150,1,0)</f>
        <v>BnHuR_MarCL.</v>
      </c>
      <c r="E7" s="125" t="str">
        <f t="shared" si="2"/>
        <v/>
      </c>
      <c r="F7" s="120" t="str">
        <f>VLOOKUP(A7,'Classement Général'!$B$2:$B$146,1,0)</f>
        <v>BnHuR_MarCL.</v>
      </c>
    </row>
    <row r="8" ht="14.25" customHeight="1">
      <c r="A8" s="122" t="str">
        <f>IFERROR(__xludf.DUMMYFUNCTION("""COMPUTED_VALUE"""),"Garou du 86")</f>
        <v>Garou du 86</v>
      </c>
      <c r="B8" s="103">
        <v>7.0</v>
      </c>
      <c r="C8" s="123">
        <f t="shared" si="1"/>
        <v>1115.366785</v>
      </c>
      <c r="D8" s="124" t="str">
        <f>VLOOKUP(A8,'Classement S6'!$B$2:$C$150,1,0)</f>
        <v>Garou du 86</v>
      </c>
      <c r="E8" s="125" t="str">
        <f t="shared" si="2"/>
        <v/>
      </c>
      <c r="F8" s="120" t="str">
        <f>VLOOKUP(A8,'Classement Général'!$B$2:$B$146,1,0)</f>
        <v>Garou du 86</v>
      </c>
    </row>
    <row r="9" ht="14.25" customHeight="1">
      <c r="A9" s="122" t="str">
        <f>IFERROR(__xludf.DUMMYFUNCTION("""COMPUTED_VALUE"""),"Unpetitjaune")</f>
        <v>Unpetitjaune</v>
      </c>
      <c r="B9" s="103">
        <v>8.0</v>
      </c>
      <c r="C9" s="123">
        <f t="shared" si="1"/>
        <v>1053.062838</v>
      </c>
      <c r="D9" s="124" t="str">
        <f>VLOOKUP(A9,'Classement S6'!$B$2:$C$150,1,0)</f>
        <v>UnPetitJaune</v>
      </c>
      <c r="E9" s="125" t="str">
        <f t="shared" si="2"/>
        <v/>
      </c>
      <c r="F9" s="120" t="str">
        <f>VLOOKUP(A9,'Classement Général'!$B$2:$B$146,1,0)</f>
        <v>UnPetitJaune</v>
      </c>
    </row>
    <row r="10" ht="14.25" customHeight="1">
      <c r="A10" s="122" t="str">
        <f>IFERROR(__xludf.DUMMYFUNCTION("""COMPUTED_VALUE"""),"Pachavi")</f>
        <v>Pachavi</v>
      </c>
      <c r="B10" s="103">
        <v>9.0</v>
      </c>
      <c r="C10" s="123">
        <f t="shared" si="1"/>
        <v>997.5674982</v>
      </c>
      <c r="D10" s="124" t="str">
        <f>VLOOKUP(A10,'Classement S6'!$B$2:$C$150,1,0)</f>
        <v>Pachavi</v>
      </c>
      <c r="E10" s="125" t="str">
        <f t="shared" si="2"/>
        <v/>
      </c>
      <c r="F10" s="120" t="str">
        <f>VLOOKUP(A10,'Classement Général'!$B$2:$B$146,1,0)</f>
        <v>Pachavi</v>
      </c>
    </row>
    <row r="11" ht="14.25" customHeight="1">
      <c r="A11" s="122" t="str">
        <f>IFERROR(__xludf.DUMMYFUNCTION("""COMPUTED_VALUE"""),"PrendmAmAin")</f>
        <v>PrendmAmAin</v>
      </c>
      <c r="B11" s="103">
        <v>10.0</v>
      </c>
      <c r="C11" s="123">
        <f t="shared" si="1"/>
        <v>947.3436186</v>
      </c>
      <c r="D11" s="124" t="str">
        <f>VLOOKUP(A11,'Classement S6'!$B$2:$C$150,1,0)</f>
        <v>PrendmAmAin</v>
      </c>
      <c r="E11" s="125" t="str">
        <f t="shared" si="2"/>
        <v/>
      </c>
      <c r="F11" s="120" t="str">
        <f>VLOOKUP(A11,'Classement Général'!$B$2:$B$146,1,0)</f>
        <v>PrendmAmAin</v>
      </c>
    </row>
    <row r="12" ht="14.25" customHeight="1">
      <c r="A12" s="122" t="str">
        <f>IFERROR(__xludf.DUMMYFUNCTION("""COMPUTED_VALUE"""),"Ad-Ice")</f>
        <v>Ad-Ice</v>
      </c>
      <c r="B12" s="103">
        <v>11.0</v>
      </c>
      <c r="C12" s="123">
        <f t="shared" si="1"/>
        <v>901.3186391</v>
      </c>
      <c r="D12" s="124" t="str">
        <f>VLOOKUP(A12,'Classement S6'!$B$2:$C$150,1,0)</f>
        <v>AD-ICE</v>
      </c>
      <c r="E12" s="125" t="str">
        <f t="shared" si="2"/>
        <v/>
      </c>
      <c r="F12" s="120" t="str">
        <f>VLOOKUP(A12,'Classement Général'!$B$2:$B$146,1,0)</f>
        <v>AD-ICE</v>
      </c>
    </row>
    <row r="13" ht="14.25" customHeight="1">
      <c r="A13" s="122" t="str">
        <f>IFERROR(__xludf.DUMMYFUNCTION("""COMPUTED_VALUE"""),"NezuKO-demon")</f>
        <v>NezuKO-demon</v>
      </c>
      <c r="B13" s="103">
        <v>12.0</v>
      </c>
      <c r="C13" s="123">
        <f t="shared" si="1"/>
        <v>858.715574</v>
      </c>
      <c r="D13" s="124" t="str">
        <f>VLOOKUP(A13,'Classement S6'!$B$2:$C$150,1,0)</f>
        <v>NezuKO-demon</v>
      </c>
      <c r="E13" s="125" t="str">
        <f t="shared" si="2"/>
        <v/>
      </c>
      <c r="F13" s="120" t="str">
        <f>VLOOKUP(A13,'Classement Général'!$B$2:$B$146,1,0)</f>
        <v>NezuKO-demon</v>
      </c>
    </row>
    <row r="14" ht="14.25" customHeight="1">
      <c r="A14" s="122" t="str">
        <f>IFERROR(__xludf.DUMMYFUNCTION("""COMPUTED_VALUE"""),"VietNems86")</f>
        <v>VietNems86</v>
      </c>
      <c r="B14" s="103">
        <v>13.0</v>
      </c>
      <c r="C14" s="123">
        <f t="shared" si="1"/>
        <v>818.9541531</v>
      </c>
      <c r="D14" s="124" t="str">
        <f>VLOOKUP(A14,'Classement S6'!$B$2:$C$150,1,0)</f>
        <v>VietNems86</v>
      </c>
      <c r="E14" s="125" t="str">
        <f t="shared" si="2"/>
        <v/>
      </c>
      <c r="F14" s="120" t="str">
        <f>VLOOKUP(A14,'Classement Général'!$B$2:$B$146,1,0)</f>
        <v>VietNems86</v>
      </c>
    </row>
    <row r="15" ht="14.25" customHeight="1">
      <c r="A15" s="122" t="str">
        <f>IFERROR(__xludf.DUMMYFUNCTION("""COMPUTED_VALUE"""),"vicmackey86")</f>
        <v>vicmackey86</v>
      </c>
      <c r="B15" s="103">
        <v>14.0</v>
      </c>
      <c r="C15" s="123">
        <f t="shared" si="1"/>
        <v>781.5899428</v>
      </c>
      <c r="D15" s="124" t="str">
        <f>VLOOKUP(A15,'Classement S6'!$B$2:$C$150,1,0)</f>
        <v>vicmackey86</v>
      </c>
      <c r="E15" s="125" t="str">
        <f t="shared" si="2"/>
        <v/>
      </c>
      <c r="F15" s="120" t="str">
        <f>VLOOKUP(A15,'Classement Général'!$B$2:$B$146,1,0)</f>
        <v>vicmackey86</v>
      </c>
    </row>
    <row r="16" ht="14.25" customHeight="1">
      <c r="A16" s="122" t="str">
        <f>IFERROR(__xludf.DUMMYFUNCTION("""COMPUTED_VALUE"""),"Mako Lemore")</f>
        <v>Mako Lemore</v>
      </c>
      <c r="B16" s="103">
        <v>15.0</v>
      </c>
      <c r="C16" s="123">
        <f t="shared" si="1"/>
        <v>746.2752339</v>
      </c>
      <c r="D16" s="124" t="str">
        <f>VLOOKUP(A16,'Classement S6'!$B$2:$C$150,1,0)</f>
        <v>Mako Lemore</v>
      </c>
      <c r="E16" s="125" t="str">
        <f t="shared" si="2"/>
        <v/>
      </c>
      <c r="F16" s="120" t="str">
        <f>VLOOKUP(A16,'Classement Général'!$B$2:$B$146,1,0)</f>
        <v>Mako Lemore</v>
      </c>
    </row>
    <row r="17" ht="14.25" customHeight="1">
      <c r="A17" s="122" t="str">
        <f>IFERROR(__xludf.DUMMYFUNCTION("""COMPUTED_VALUE"""),"GooodJooob")</f>
        <v>GooodJooob</v>
      </c>
      <c r="B17" s="103">
        <v>16.0</v>
      </c>
      <c r="C17" s="123">
        <f t="shared" si="1"/>
        <v>712.7330062</v>
      </c>
      <c r="D17" s="124" t="str">
        <f>VLOOKUP(A17,'Classement S6'!$B$2:$C$150,1,0)</f>
        <v>GooodJooob</v>
      </c>
      <c r="E17" s="125" t="str">
        <f t="shared" si="2"/>
        <v/>
      </c>
      <c r="F17" s="120" t="str">
        <f>VLOOKUP(A17,'Classement Général'!$B$2:$B$146,1,0)</f>
        <v>GooodJooob</v>
      </c>
    </row>
    <row r="18" ht="14.25" customHeight="1">
      <c r="A18" s="122" t="str">
        <f>IFERROR(__xludf.DUMMYFUNCTION("""COMPUTED_VALUE"""),"kiki86 x")</f>
        <v>kiki86 x</v>
      </c>
      <c r="B18" s="103">
        <v>17.0</v>
      </c>
      <c r="C18" s="123">
        <f t="shared" si="1"/>
        <v>680.7390668</v>
      </c>
      <c r="D18" s="124" t="str">
        <f>VLOOKUP(A18,'Classement S6'!$B$2:$C$150,1,0)</f>
        <v>kiki86 x</v>
      </c>
      <c r="E18" s="125" t="str">
        <f t="shared" si="2"/>
        <v/>
      </c>
      <c r="F18" s="120" t="str">
        <f>VLOOKUP(A18,'Classement Général'!$B$2:$B$146,1,0)</f>
        <v>kiki86 x</v>
      </c>
    </row>
    <row r="19" ht="14.25" customHeight="1">
      <c r="A19" s="122" t="str">
        <f>IFERROR(__xludf.DUMMYFUNCTION("""COMPUTED_VALUE"""),"Kevfurious")</f>
        <v>Kevfurious</v>
      </c>
      <c r="B19" s="103">
        <v>18.0</v>
      </c>
      <c r="C19" s="123">
        <f t="shared" si="1"/>
        <v>650.1094733</v>
      </c>
      <c r="D19" s="124" t="str">
        <f>VLOOKUP(A19,'Classement S6'!$B$2:$C$150,1,0)</f>
        <v>Kevfurious</v>
      </c>
      <c r="E19" s="125" t="str">
        <f t="shared" si="2"/>
        <v/>
      </c>
      <c r="F19" s="120" t="str">
        <f>VLOOKUP(A19,'Classement Général'!$B$2:$B$146,1,0)</f>
        <v>Kevfurious</v>
      </c>
    </row>
    <row r="20" ht="14.25" customHeight="1">
      <c r="A20" s="122" t="str">
        <f>IFERROR(__xludf.DUMMYFUNCTION("""COMPUTED_VALUE"""),"UniThe")</f>
        <v>UniThe</v>
      </c>
      <c r="B20" s="103">
        <v>19.0</v>
      </c>
      <c r="C20" s="123">
        <f t="shared" si="1"/>
        <v>620.6914763</v>
      </c>
      <c r="D20" s="124" t="str">
        <f>VLOOKUP(A20,'Classement S6'!$B$2:$C$150,1,0)</f>
        <v>UniThe</v>
      </c>
      <c r="E20" s="125" t="str">
        <f t="shared" si="2"/>
        <v/>
      </c>
      <c r="F20" s="120" t="str">
        <f>VLOOKUP(A20,'Classement Général'!$B$2:$B$146,1,0)</f>
        <v>UniThe</v>
      </c>
    </row>
    <row r="21" ht="14.25" customHeight="1">
      <c r="A21" s="122" t="str">
        <f>IFERROR(__xludf.DUMMYFUNCTION("""COMPUTED_VALUE"""),". BARBAPAPA66")</f>
        <v>. BARBAPAPA66</v>
      </c>
      <c r="B21" s="103">
        <v>20.0</v>
      </c>
      <c r="C21" s="123">
        <f t="shared" si="1"/>
        <v>592.356865</v>
      </c>
      <c r="D21" s="124" t="str">
        <f>VLOOKUP(A21,'Classement S6'!$B$2:$C$150,1,0)</f>
        <v>. BARBAPAPA66</v>
      </c>
      <c r="E21" s="125" t="str">
        <f t="shared" si="2"/>
        <v/>
      </c>
      <c r="F21" s="120" t="str">
        <f>VLOOKUP(A21,'Classement Général'!$B$2:$B$146,1,0)</f>
        <v>. BARBAPAPA66</v>
      </c>
    </row>
    <row r="22" ht="14.25" customHeight="1">
      <c r="A22" s="122" t="str">
        <f>IFERROR(__xludf.DUMMYFUNCTION("""COMPUTED_VALUE"""),"8kinder6")</f>
        <v>8kinder6</v>
      </c>
      <c r="B22" s="103">
        <v>21.0</v>
      </c>
      <c r="C22" s="123">
        <f t="shared" si="1"/>
        <v>564.9969906</v>
      </c>
      <c r="D22" s="124" t="str">
        <f>VLOOKUP(A22,'Classement S6'!$B$2:$C$150,1,0)</f>
        <v>8kinder6</v>
      </c>
      <c r="E22" s="125" t="str">
        <f t="shared" si="2"/>
        <v/>
      </c>
      <c r="F22" s="120" t="str">
        <f>VLOOKUP(A22,'Classement Général'!$B$2:$B$146,1,0)</f>
        <v>8kinder6</v>
      </c>
    </row>
    <row r="23" ht="14.25" customHeight="1">
      <c r="A23" s="122" t="str">
        <f>IFERROR(__xludf.DUMMYFUNCTION("""COMPUTED_VALUE"""),"Chuckzim")</f>
        <v>Chuckzim</v>
      </c>
      <c r="B23" s="103">
        <v>22.0</v>
      </c>
      <c r="C23" s="123">
        <f t="shared" si="1"/>
        <v>538.5189879</v>
      </c>
      <c r="D23" s="124" t="str">
        <f>VLOOKUP(A23,'Classement S6'!$B$2:$C$150,1,0)</f>
        <v>Chuckzim</v>
      </c>
      <c r="E23" s="125" t="str">
        <f t="shared" si="2"/>
        <v/>
      </c>
      <c r="F23" s="120" t="str">
        <f>VLOOKUP(A23,'Classement Général'!$B$2:$B$146,1,0)</f>
        <v>Chuckzim</v>
      </c>
    </row>
    <row r="24" ht="14.25" customHeight="1">
      <c r="A24" s="122" t="str">
        <f>IFERROR(__xludf.DUMMYFUNCTION("""COMPUTED_VALUE"""),"fiodor86")</f>
        <v>fiodor86</v>
      </c>
      <c r="B24" s="103">
        <v>23.0</v>
      </c>
      <c r="C24" s="123">
        <f t="shared" si="1"/>
        <v>512.8428629</v>
      </c>
      <c r="D24" s="124" t="str">
        <f>VLOOKUP(A24,'Classement S6'!$B$2:$C$150,1,0)</f>
        <v>fiodor86</v>
      </c>
      <c r="E24" s="125" t="str">
        <f t="shared" si="2"/>
        <v/>
      </c>
      <c r="F24" s="120" t="str">
        <f>VLOOKUP(A24,'Classement Général'!$B$2:$B$146,1,0)</f>
        <v>fiodor86</v>
      </c>
    </row>
    <row r="25" ht="14.25" customHeight="1">
      <c r="A25" s="122" t="str">
        <f>IFERROR(__xludf.DUMMYFUNCTION("""COMPUTED_VALUE"""),"-Feline")</f>
        <v>-Feline</v>
      </c>
      <c r="B25" s="103">
        <v>24.0</v>
      </c>
      <c r="C25" s="123">
        <f t="shared" si="1"/>
        <v>487.8992216</v>
      </c>
      <c r="D25" s="124" t="str">
        <f>VLOOKUP(A25,'Classement S6'!$B$2:$C$150,1,0)</f>
        <v>-Feline</v>
      </c>
      <c r="E25" s="125" t="str">
        <f t="shared" si="2"/>
        <v/>
      </c>
      <c r="F25" s="120" t="str">
        <f>VLOOKUP(A25,'Classement Général'!$B$2:$B$146,1,0)</f>
        <v>-Feline</v>
      </c>
    </row>
    <row r="26" ht="14.25" customHeight="1">
      <c r="A26" s="122" t="str">
        <f>IFERROR(__xludf.DUMMYFUNCTION("""COMPUTED_VALUE"""),"Elfy")</f>
        <v>Elfy</v>
      </c>
      <c r="B26" s="103">
        <v>25.0</v>
      </c>
      <c r="C26" s="123">
        <f t="shared" si="1"/>
        <v>463.6274769</v>
      </c>
      <c r="D26" s="124" t="str">
        <f>VLOOKUP(A26,'Classement S6'!$B$2:$C$150,1,0)</f>
        <v>Elfy</v>
      </c>
      <c r="E26" s="125" t="str">
        <f t="shared" si="2"/>
        <v/>
      </c>
      <c r="F26" s="120" t="str">
        <f>VLOOKUP(A26,'Classement Général'!$B$2:$B$146,1,0)</f>
        <v>Elfy</v>
      </c>
    </row>
    <row r="27" ht="14.25" customHeight="1">
      <c r="A27" s="122" t="str">
        <f>IFERROR(__xludf.DUMMYFUNCTION("""COMPUTED_VALUE"""),"christ86000")</f>
        <v>christ86000</v>
      </c>
      <c r="B27" s="103">
        <v>26.0</v>
      </c>
      <c r="C27" s="123">
        <f t="shared" si="1"/>
        <v>439.9744185</v>
      </c>
      <c r="D27" s="124" t="str">
        <f>VLOOKUP(A27,'Classement S6'!$B$2:$C$150,1,0)</f>
        <v>christ86000</v>
      </c>
      <c r="E27" s="125" t="str">
        <f t="shared" si="2"/>
        <v/>
      </c>
      <c r="F27" s="120" t="str">
        <f>VLOOKUP(A27,'Classement Général'!$B$2:$B$146,1,0)</f>
        <v>christ86000</v>
      </c>
    </row>
    <row r="28" ht="14.25" customHeight="1">
      <c r="A28" s="122" t="str">
        <f>IFERROR(__xludf.DUMMYFUNCTION("""COMPUTED_VALUE"""),".choco")</f>
        <v>.choco</v>
      </c>
      <c r="B28" s="103">
        <v>27.0</v>
      </c>
      <c r="C28" s="123">
        <f t="shared" si="1"/>
        <v>416.8930612</v>
      </c>
      <c r="D28" s="124" t="str">
        <f>VLOOKUP(A28,'Classement S6'!$B$2:$C$150,1,0)</f>
        <v>.choco</v>
      </c>
      <c r="E28" s="125" t="str">
        <f t="shared" si="2"/>
        <v/>
      </c>
      <c r="F28" s="120" t="str">
        <f>VLOOKUP(A28,'Classement Général'!$B$2:$B$146,1,0)</f>
        <v>.choco</v>
      </c>
    </row>
    <row r="29" ht="14.25" customHeight="1">
      <c r="A29" s="122" t="str">
        <f>IFERROR(__xludf.DUMMYFUNCTION("""COMPUTED_VALUE"""),"Psgjm")</f>
        <v>Psgjm</v>
      </c>
      <c r="B29" s="103">
        <v>28.0</v>
      </c>
      <c r="C29" s="123">
        <f t="shared" si="1"/>
        <v>394.3417086</v>
      </c>
      <c r="D29" s="124" t="str">
        <f>VLOOKUP(A29,'Classement S6'!$B$2:$C$150,1,0)</f>
        <v>PSGJM</v>
      </c>
      <c r="E29" s="125" t="str">
        <f t="shared" si="2"/>
        <v/>
      </c>
      <c r="F29" s="120" t="str">
        <f>VLOOKUP(A29,'Classement Général'!$B$2:$B$146,1,0)</f>
        <v>PSGJM</v>
      </c>
    </row>
    <row r="30" ht="14.25" customHeight="1">
      <c r="A30" s="122" t="str">
        <f>IFERROR(__xludf.DUMMYFUNCTION("""COMPUTED_VALUE"""),"DonnesTchips")</f>
        <v>DonnesTchips</v>
      </c>
      <c r="B30" s="103">
        <v>29.0</v>
      </c>
      <c r="C30" s="123">
        <f t="shared" si="1"/>
        <v>372.283187</v>
      </c>
      <c r="D30" s="124" t="str">
        <f>VLOOKUP(A30,'Classement S6'!$B$2:$C$150,1,0)</f>
        <v>DonnesTchips</v>
      </c>
      <c r="E30" s="125" t="str">
        <f t="shared" si="2"/>
        <v/>
      </c>
      <c r="F30" s="120" t="str">
        <f>VLOOKUP(A30,'Classement Général'!$B$2:$B$146,1,0)</f>
        <v>DonnesTchips</v>
      </c>
    </row>
    <row r="31" ht="14.25" customHeight="1">
      <c r="A31" s="122" t="str">
        <f>IFERROR(__xludf.DUMMYFUNCTION("""COMPUTED_VALUE"""),"Sab86360")</f>
        <v>Sab86360</v>
      </c>
      <c r="B31" s="103">
        <v>30.0</v>
      </c>
      <c r="C31" s="123">
        <f t="shared" si="1"/>
        <v>350.6842121</v>
      </c>
      <c r="D31" s="124" t="str">
        <f>VLOOKUP(A31,'Classement S6'!$B$2:$C$150,1,0)</f>
        <v>Sab86360</v>
      </c>
      <c r="E31" s="125" t="str">
        <f t="shared" si="2"/>
        <v/>
      </c>
      <c r="F31" s="120" t="str">
        <f>VLOOKUP(A31,'Classement Général'!$B$2:$B$146,1,0)</f>
        <v>Sab86360</v>
      </c>
    </row>
    <row r="32" ht="14.25" customHeight="1">
      <c r="A32" s="122" t="str">
        <f>IFERROR(__xludf.DUMMYFUNCTION("""COMPUTED_VALUE"""),"Jm-Chatte")</f>
        <v>Jm-Chatte</v>
      </c>
      <c r="B32" s="103">
        <v>31.0</v>
      </c>
      <c r="C32" s="123">
        <f t="shared" si="1"/>
        <v>329.5148631</v>
      </c>
      <c r="D32" s="124" t="str">
        <f>VLOOKUP(A32,'Classement S6'!$B$2:$C$150,1,0)</f>
        <v>JM-Chatte</v>
      </c>
      <c r="E32" s="125" t="str">
        <f t="shared" si="2"/>
        <v/>
      </c>
      <c r="F32" s="120" t="str">
        <f>VLOOKUP(A32,'Classement Général'!$B$2:$B$146,1,0)</f>
        <v>JM-Chatte</v>
      </c>
    </row>
    <row r="33" ht="14.25" customHeight="1">
      <c r="A33" s="122" t="str">
        <f>IFERROR(__xludf.DUMMYFUNCTION("""COMPUTED_VALUE"""),"immond")</f>
        <v>immond</v>
      </c>
      <c r="B33" s="103">
        <v>32.0</v>
      </c>
      <c r="C33" s="123">
        <f t="shared" si="1"/>
        <v>308.7481427</v>
      </c>
      <c r="D33" s="124" t="str">
        <f>VLOOKUP(A33,'Classement S6'!$B$2:$C$150,1,0)</f>
        <v>immond</v>
      </c>
      <c r="E33" s="125" t="str">
        <f t="shared" si="2"/>
        <v/>
      </c>
      <c r="F33" s="120" t="str">
        <f>VLOOKUP(A33,'Classement Général'!$B$2:$B$146,1,0)</f>
        <v>immond</v>
      </c>
    </row>
    <row r="34" ht="14.25" customHeight="1">
      <c r="A34" s="122" t="str">
        <f>IFERROR(__xludf.DUMMYFUNCTION("""COMPUTED_VALUE"""),"Butterfly-as")</f>
        <v>Butterfly-as</v>
      </c>
      <c r="B34" s="103">
        <v>33.0</v>
      </c>
      <c r="C34" s="123">
        <f t="shared" si="1"/>
        <v>288.3596068</v>
      </c>
      <c r="D34" s="124" t="str">
        <f>VLOOKUP(A34,'Classement S6'!$B$2:$C$150,1,0)</f>
        <v>Butterfly-as</v>
      </c>
      <c r="E34" s="125" t="str">
        <f t="shared" si="2"/>
        <v/>
      </c>
      <c r="F34" s="120" t="str">
        <f>VLOOKUP(A34,'Classement Général'!$B$2:$B$146,1,0)</f>
        <v>Butterfly-as</v>
      </c>
    </row>
    <row r="35" ht="14.25" customHeight="1">
      <c r="A35" s="122" t="str">
        <f>IFERROR(__xludf.DUMMYFUNCTION("""COMPUTED_VALUE"""),"chatouill86")</f>
        <v>chatouill86</v>
      </c>
      <c r="B35" s="103">
        <v>34.0</v>
      </c>
      <c r="C35" s="123">
        <f t="shared" si="1"/>
        <v>268.3270505</v>
      </c>
      <c r="D35" s="124" t="str">
        <f>VLOOKUP(A35,'Classement S6'!$B$2:$C$150,1,0)</f>
        <v>chatouill86</v>
      </c>
      <c r="E35" s="125" t="str">
        <f t="shared" si="2"/>
        <v/>
      </c>
      <c r="F35" s="120" t="str">
        <f>VLOOKUP(A35,'Classement Général'!$B$2:$B$146,1,0)</f>
        <v>chatouill86</v>
      </c>
    </row>
    <row r="36" ht="14.25" customHeight="1">
      <c r="A36" s="122" t="str">
        <f>IFERROR(__xludf.DUMMYFUNCTION("""COMPUTED_VALUE"""),"m86600b")</f>
        <v>m86600b</v>
      </c>
      <c r="B36" s="103">
        <v>35.0</v>
      </c>
      <c r="C36" s="123">
        <f t="shared" si="1"/>
        <v>248.6302414</v>
      </c>
      <c r="D36" s="124" t="str">
        <f>VLOOKUP(A36,'Classement S6'!$B$2:$C$150,1,0)</f>
        <v>m86600b</v>
      </c>
      <c r="E36" s="125" t="str">
        <f t="shared" si="2"/>
        <v/>
      </c>
      <c r="F36" s="120" t="str">
        <f>VLOOKUP(A36,'Classement Général'!$B$2:$B$146,1,0)</f>
        <v>m86600b</v>
      </c>
    </row>
    <row r="37" ht="14.25" customHeight="1">
      <c r="A37" s="122" t="str">
        <f>IFERROR(__xludf.DUMMYFUNCTION("""COMPUTED_VALUE"""),"Phil1308")</f>
        <v>Phil1308</v>
      </c>
      <c r="B37" s="103">
        <v>36.0</v>
      </c>
      <c r="C37" s="123">
        <f t="shared" si="1"/>
        <v>229.2506914</v>
      </c>
      <c r="D37" s="124" t="str">
        <f>VLOOKUP(A37,'Classement S6'!$B$2:$C$150,1,0)</f>
        <v>Phil1308</v>
      </c>
      <c r="E37" s="125" t="str">
        <f t="shared" si="2"/>
        <v/>
      </c>
      <c r="F37" s="120" t="str">
        <f>VLOOKUP(A37,'Classement Général'!$B$2:$B$146,1,0)</f>
        <v>Phil1308</v>
      </c>
    </row>
    <row r="38" ht="14.25" customHeight="1">
      <c r="A38" s="122" t="str">
        <f>IFERROR(__xludf.DUMMYFUNCTION("""COMPUTED_VALUE"""),"Redblood92")</f>
        <v>Redblood92</v>
      </c>
      <c r="B38" s="103">
        <v>37.0</v>
      </c>
      <c r="C38" s="123">
        <f t="shared" si="1"/>
        <v>210.1714604</v>
      </c>
      <c r="D38" s="124" t="str">
        <f>VLOOKUP(A38,'Classement S6'!$B$2:$C$150,1,0)</f>
        <v>Redblood92</v>
      </c>
      <c r="E38" s="125" t="str">
        <f t="shared" si="2"/>
        <v/>
      </c>
      <c r="F38" s="120" t="str">
        <f>VLOOKUP(A38,'Classement Général'!$B$2:$B$146,1,0)</f>
        <v>Redblood92</v>
      </c>
    </row>
    <row r="39" ht="14.25" customHeight="1">
      <c r="A39" s="122" t="str">
        <f>IFERROR(__xludf.DUMMYFUNCTION("""COMPUTED_VALUE"""),"cassius-86")</f>
        <v>cassius-86</v>
      </c>
      <c r="B39" s="103">
        <v>38.0</v>
      </c>
      <c r="C39" s="123">
        <f t="shared" si="1"/>
        <v>191.3769871</v>
      </c>
      <c r="D39" s="124" t="str">
        <f>VLOOKUP(A39,'Classement S6'!$B$2:$C$150,1,0)</f>
        <v>cassius-86</v>
      </c>
      <c r="E39" s="125" t="str">
        <f t="shared" si="2"/>
        <v/>
      </c>
      <c r="F39" s="120" t="str">
        <f>VLOOKUP(A39,'Classement Général'!$B$2:$B$146,1,0)</f>
        <v>cassius-86</v>
      </c>
    </row>
    <row r="40" ht="14.25" customHeight="1">
      <c r="A40" s="122" t="str">
        <f>IFERROR(__xludf.DUMMYFUNCTION("""COMPUTED_VALUE"""),"Shrekozor")</f>
        <v>Shrekozor</v>
      </c>
      <c r="B40" s="103">
        <v>39.0</v>
      </c>
      <c r="C40" s="123">
        <f t="shared" si="1"/>
        <v>172.8529418</v>
      </c>
      <c r="D40" s="124" t="str">
        <f>VLOOKUP(A40,'Classement S6'!$B$2:$C$150,1,0)</f>
        <v>Shrekozor</v>
      </c>
      <c r="E40" s="125" t="str">
        <f t="shared" si="2"/>
        <v/>
      </c>
      <c r="F40" s="120" t="str">
        <f>VLOOKUP(A40,'Classement Général'!$B$2:$B$146,1,0)</f>
        <v>Shrekozor</v>
      </c>
    </row>
    <row r="41" ht="14.25" customHeight="1">
      <c r="A41" s="122" t="str">
        <f>IFERROR(__xludf.DUMMYFUNCTION("""COMPUTED_VALUE"""),"LEGOLEGOTE")</f>
        <v>LEGOLEGOTE</v>
      </c>
      <c r="B41" s="103">
        <v>40.0</v>
      </c>
      <c r="C41" s="123">
        <f t="shared" si="1"/>
        <v>154.5860993</v>
      </c>
      <c r="D41" s="124" t="str">
        <f>VLOOKUP(A41,'Classement S6'!$B$2:$C$150,1,0)</f>
        <v>LEGOLEGOTE</v>
      </c>
      <c r="E41" s="125" t="str">
        <f t="shared" si="2"/>
        <v/>
      </c>
      <c r="F41" s="120" t="str">
        <f>VLOOKUP(A41,'Classement Général'!$B$2:$B$146,1,0)</f>
        <v>LEGOLEGOTE</v>
      </c>
    </row>
    <row r="42" ht="14.25" customHeight="1">
      <c r="A42" s="122" t="str">
        <f>IFERROR(__xludf.DUMMYFUNCTION("""COMPUTED_VALUE"""),"Jennyyy8")</f>
        <v>Jennyyy8</v>
      </c>
      <c r="B42" s="103">
        <v>41.0</v>
      </c>
      <c r="C42" s="123">
        <f t="shared" si="1"/>
        <v>136.5642267</v>
      </c>
      <c r="D42" s="124" t="str">
        <f>VLOOKUP(A42,'Classement S6'!$B$2:$C$150,1,0)</f>
        <v>Jennyyy8</v>
      </c>
      <c r="E42" s="125" t="str">
        <f t="shared" si="2"/>
        <v/>
      </c>
      <c r="F42" s="120" t="str">
        <f>VLOOKUP(A42,'Classement Général'!$B$2:$B$146,1,0)</f>
        <v>Jennyyy8</v>
      </c>
    </row>
    <row r="43" ht="14.25" customHeight="1">
      <c r="A43" s="122" t="str">
        <f>IFERROR(__xludf.DUMMYFUNCTION("""COMPUTED_VALUE"""),"Modoriya")</f>
        <v>Modoriya</v>
      </c>
      <c r="B43" s="103">
        <v>42.0</v>
      </c>
      <c r="C43" s="123">
        <f t="shared" si="1"/>
        <v>118.775986</v>
      </c>
      <c r="D43" s="124" t="str">
        <f>VLOOKUP(A43,'Classement S6'!$B$2:$C$150,1,0)</f>
        <v>Modoriya</v>
      </c>
      <c r="E43" s="125" t="str">
        <f t="shared" si="2"/>
        <v/>
      </c>
      <c r="F43" s="120" t="str">
        <f>VLOOKUP(A43,'Classement Général'!$B$2:$B$146,1,0)</f>
        <v>Modoriya</v>
      </c>
    </row>
    <row r="44" ht="14.25" customHeight="1">
      <c r="A44" s="122" t="str">
        <f>IFERROR(__xludf.DUMMYFUNCTION("""COMPUTED_VALUE"""),"Rod_John_VI")</f>
        <v>Rod_John_VI</v>
      </c>
      <c r="B44" s="103">
        <v>43.0</v>
      </c>
      <c r="C44" s="123">
        <f t="shared" si="1"/>
        <v>101.210848</v>
      </c>
      <c r="D44" s="124" t="str">
        <f>VLOOKUP(A44,'Classement S6'!$B$2:$C$150,1,0)</f>
        <v>Rod_John_VI</v>
      </c>
      <c r="E44" s="125" t="str">
        <f t="shared" si="2"/>
        <v/>
      </c>
      <c r="F44" s="120" t="str">
        <f>VLOOKUP(A44,'Classement Général'!$B$2:$B$146,1,0)</f>
        <v>Rod_John_VI</v>
      </c>
    </row>
    <row r="45" ht="14.25" customHeight="1">
      <c r="A45" s="122" t="str">
        <f>IFERROR(__xludf.DUMMYFUNCTION("""COMPUTED_VALUE"""),"gregmoore")</f>
        <v>gregmoore</v>
      </c>
      <c r="B45" s="103">
        <v>44.0</v>
      </c>
      <c r="C45" s="123">
        <f t="shared" si="1"/>
        <v>83.85901602</v>
      </c>
      <c r="D45" s="124" t="str">
        <f>VLOOKUP(A45,'Classement S6'!$B$2:$C$150,1,0)</f>
        <v>gregmoore</v>
      </c>
      <c r="E45" s="125" t="str">
        <f t="shared" si="2"/>
        <v/>
      </c>
      <c r="F45" s="120" t="str">
        <f>VLOOKUP(A45,'Classement Général'!$B$2:$B$146,1,0)</f>
        <v>gregmoore</v>
      </c>
    </row>
    <row r="46" ht="14.25" customHeight="1">
      <c r="A46" s="122" t="str">
        <f>IFERROR(__xludf.DUMMYFUNCTION("""COMPUTED_VALUE"""),"AKlibur")</f>
        <v>AKlibur</v>
      </c>
      <c r="B46" s="103">
        <v>45.0</v>
      </c>
      <c r="C46" s="123">
        <f t="shared" si="1"/>
        <v>66.7113593</v>
      </c>
      <c r="D46" s="124" t="str">
        <f>VLOOKUP(A46,'Classement S6'!$B$2:$C$150,1,0)</f>
        <v>AKlibur</v>
      </c>
      <c r="E46" s="125" t="str">
        <f t="shared" si="2"/>
        <v/>
      </c>
      <c r="F46" s="120" t="str">
        <f>VLOOKUP(A46,'Classement Général'!$B$2:$B$146,1,0)</f>
        <v>AKlibur</v>
      </c>
    </row>
    <row r="47" ht="14.25" customHeight="1">
      <c r="A47" s="122" t="str">
        <f>IFERROR(__xludf.DUMMYFUNCTION("""COMPUTED_VALUE"""),"Le_Pictavien")</f>
        <v>Le_Pictavien</v>
      </c>
      <c r="B47" s="103">
        <v>46.0</v>
      </c>
      <c r="C47" s="123">
        <f t="shared" si="1"/>
        <v>49.75935289</v>
      </c>
      <c r="D47" s="124" t="str">
        <f>VLOOKUP(A47,'Classement S6'!$B$2:$C$150,1,0)</f>
        <v>Le_Pictavien</v>
      </c>
      <c r="E47" s="125" t="str">
        <f t="shared" si="2"/>
        <v/>
      </c>
      <c r="F47" s="120" t="str">
        <f>VLOOKUP(A47,'Classement Général'!$B$2:$B$146,1,0)</f>
        <v>Le_Pictavien</v>
      </c>
    </row>
    <row r="48" ht="14.25" customHeight="1">
      <c r="A48" s="122" t="str">
        <f>IFERROR(__xludf.DUMMYFUNCTION("""COMPUTED_VALUE"""),"FridAKahlo")</f>
        <v>FridAKahlo</v>
      </c>
      <c r="B48" s="103">
        <v>47.0</v>
      </c>
      <c r="C48" s="123">
        <f t="shared" si="1"/>
        <v>32.99502473</v>
      </c>
      <c r="D48" s="124" t="str">
        <f>VLOOKUP(A48,'Classement S6'!$B$2:$C$150,1,0)</f>
        <v>FridAKahlo</v>
      </c>
      <c r="E48" s="125" t="str">
        <f t="shared" si="2"/>
        <v/>
      </c>
      <c r="F48" s="120" t="str">
        <f>VLOOKUP(A48,'Classement Général'!$B$2:$B$146,1,0)</f>
        <v>FridAKahlo</v>
      </c>
    </row>
    <row r="49" ht="14.25" customHeight="1">
      <c r="A49" s="122" t="str">
        <f>IFERROR(__xludf.DUMMYFUNCTION("""COMPUTED_VALUE"""),"ariba")</f>
        <v>ariba</v>
      </c>
      <c r="B49" s="103">
        <v>48.0</v>
      </c>
      <c r="C49" s="123">
        <f t="shared" si="1"/>
        <v>16.41090826</v>
      </c>
      <c r="D49" s="124" t="str">
        <f>VLOOKUP(A49,'Classement S6'!$B$2:$C$150,1,0)</f>
        <v>ariba</v>
      </c>
      <c r="E49" s="125" t="str">
        <f t="shared" si="2"/>
        <v/>
      </c>
      <c r="F49" s="120" t="str">
        <f>VLOOKUP(A49,'Classement Général'!$B$2:$B$146,1,0)</f>
        <v>ariba</v>
      </c>
    </row>
    <row r="50" ht="14.25" customHeight="1">
      <c r="A50" s="122"/>
      <c r="B50" s="103">
        <v>49.0</v>
      </c>
      <c r="C50" s="123">
        <f t="shared" si="1"/>
        <v>0</v>
      </c>
      <c r="D50" s="124" t="str">
        <f>VLOOKUP(A50,'Classement S6'!$B$2:$C$150,1,0)</f>
        <v>#N/A</v>
      </c>
      <c r="E50" s="125" t="str">
        <f t="shared" si="2"/>
        <v>#N/A</v>
      </c>
      <c r="F50" s="120" t="str">
        <f>VLOOKUP(A50,'Classement Général'!$B$2:$B$146,1,0)</f>
        <v>#N/A</v>
      </c>
    </row>
    <row r="51" ht="14.25" customHeight="1">
      <c r="A51" s="122"/>
      <c r="B51" s="103">
        <v>50.0</v>
      </c>
      <c r="C51" s="123">
        <f t="shared" si="1"/>
        <v>-16.24427847</v>
      </c>
      <c r="D51" s="124" t="str">
        <f>VLOOKUP(A51,'Classement S6'!$B$2:$C$150,1,0)</f>
        <v>#N/A</v>
      </c>
      <c r="E51" s="125" t="str">
        <f t="shared" si="2"/>
        <v>#N/A</v>
      </c>
      <c r="F51" s="120" t="str">
        <f>VLOOKUP(A51,'Classement Général'!$B$2:$B$146,1,0)</f>
        <v>#N/A</v>
      </c>
    </row>
    <row r="52" ht="14.25" customHeight="1">
      <c r="A52" s="122"/>
      <c r="B52" s="103">
        <v>51.0</v>
      </c>
      <c r="C52" s="123">
        <f t="shared" si="1"/>
        <v>-32.32811472</v>
      </c>
      <c r="D52" s="124" t="str">
        <f>VLOOKUP(A52,'Classement S6'!$B$2:$C$150,1,0)</f>
        <v>#N/A</v>
      </c>
      <c r="E52" s="125" t="str">
        <f t="shared" si="2"/>
        <v>#N/A</v>
      </c>
      <c r="F52" s="120" t="str">
        <f>VLOOKUP(A52,'Classement Général'!$B$2:$B$146,1,0)</f>
        <v>#N/A</v>
      </c>
    </row>
    <row r="53" ht="14.25" customHeight="1">
      <c r="A53" s="122"/>
      <c r="B53" s="103">
        <v>52.0</v>
      </c>
      <c r="C53" s="123">
        <f t="shared" si="1"/>
        <v>-48.25733626</v>
      </c>
      <c r="D53" s="124" t="str">
        <f>VLOOKUP(A53,'Classement S6'!$B$2:$C$150,1,0)</f>
        <v>#N/A</v>
      </c>
      <c r="E53" s="125" t="str">
        <f t="shared" si="2"/>
        <v>#N/A</v>
      </c>
      <c r="F53" s="120" t="str">
        <f>VLOOKUP(A53,'Classement Général'!$B$2:$B$146,1,0)</f>
        <v>#N/A</v>
      </c>
    </row>
    <row r="54" ht="14.25" customHeight="1">
      <c r="A54" s="122"/>
      <c r="B54" s="103">
        <v>53.0</v>
      </c>
      <c r="C54" s="123">
        <f t="shared" si="1"/>
        <v>-64.03743837</v>
      </c>
      <c r="D54" s="124" t="str">
        <f>VLOOKUP(A54,'Classement S6'!$B$2:$C$150,1,0)</f>
        <v>#N/A</v>
      </c>
      <c r="E54" s="125" t="str">
        <f t="shared" si="2"/>
        <v>#N/A</v>
      </c>
      <c r="F54" s="120" t="str">
        <f>VLOOKUP(A54,'Classement Général'!$B$2:$B$146,1,0)</f>
        <v>#N/A</v>
      </c>
    </row>
    <row r="55" ht="14.25" customHeight="1">
      <c r="A55" s="122"/>
      <c r="B55" s="103">
        <v>54.0</v>
      </c>
      <c r="C55" s="123">
        <f t="shared" si="1"/>
        <v>-79.67360925</v>
      </c>
      <c r="D55" s="124" t="str">
        <f>VLOOKUP(A55,'Classement S6'!$B$2:$C$150,1,0)</f>
        <v>#N/A</v>
      </c>
      <c r="E55" s="125" t="str">
        <f t="shared" si="2"/>
        <v>#N/A</v>
      </c>
      <c r="F55" s="120" t="str">
        <f>VLOOKUP(A55,'Classement Général'!$B$2:$B$146,1,0)</f>
        <v>#N/A</v>
      </c>
    </row>
    <row r="56" ht="14.25" customHeight="1">
      <c r="A56" s="122"/>
      <c r="B56" s="103">
        <v>55.0</v>
      </c>
      <c r="C56" s="123">
        <f t="shared" si="1"/>
        <v>-95.17075289</v>
      </c>
      <c r="D56" s="124" t="str">
        <f>VLOOKUP(A56,'Classement S6'!$B$2:$C$150,1,0)</f>
        <v>#N/A</v>
      </c>
      <c r="E56" s="125" t="str">
        <f t="shared" si="2"/>
        <v>#N/A</v>
      </c>
      <c r="F56" s="120" t="str">
        <f>VLOOKUP(A56,'Classement Général'!$B$2:$B$146,1,0)</f>
        <v>#N/A</v>
      </c>
    </row>
    <row r="57" ht="14.25" customHeight="1">
      <c r="A57" s="122"/>
      <c r="B57" s="103">
        <v>56.0</v>
      </c>
      <c r="C57" s="123">
        <f t="shared" si="1"/>
        <v>-110.5335097</v>
      </c>
      <c r="D57" s="124" t="str">
        <f>VLOOKUP(A57,'Classement S6'!$B$2:$C$150,1,0)</f>
        <v>#N/A</v>
      </c>
      <c r="E57" s="125" t="str">
        <f t="shared" si="2"/>
        <v>#N/A</v>
      </c>
      <c r="F57" s="120" t="str">
        <f>VLOOKUP(A57,'Classement Général'!$B$2:$B$146,1,0)</f>
        <v>#N/A</v>
      </c>
    </row>
    <row r="58" ht="14.25" customHeight="1">
      <c r="A58" s="122"/>
      <c r="B58" s="103">
        <v>57.0</v>
      </c>
      <c r="C58" s="123">
        <f t="shared" si="1"/>
        <v>-125.7662756</v>
      </c>
      <c r="D58" s="124" t="str">
        <f>VLOOKUP(A58,'Classement S6'!$B$2:$C$150,1,0)</f>
        <v>#N/A</v>
      </c>
      <c r="E58" s="125" t="str">
        <f t="shared" si="2"/>
        <v>#N/A</v>
      </c>
      <c r="F58" s="120" t="str">
        <f>VLOOKUP(A58,'Classement Général'!$B$2:$B$146,1,0)</f>
        <v>#N/A</v>
      </c>
    </row>
    <row r="59" ht="14.25" customHeight="1">
      <c r="A59" s="122"/>
      <c r="B59" s="103">
        <v>58.0</v>
      </c>
      <c r="C59" s="123">
        <f t="shared" si="1"/>
        <v>-140.8732188</v>
      </c>
      <c r="D59" s="124" t="str">
        <f>VLOOKUP(A59,'Classement S6'!$B$2:$C$150,1,0)</f>
        <v>#N/A</v>
      </c>
      <c r="E59" s="125" t="str">
        <f t="shared" si="2"/>
        <v>#N/A</v>
      </c>
      <c r="F59" s="120" t="str">
        <f>VLOOKUP(A59,'Classement Général'!$B$2:$B$146,1,0)</f>
        <v>#N/A</v>
      </c>
    </row>
    <row r="60" ht="14.25" customHeight="1">
      <c r="A60" s="122"/>
      <c r="B60" s="103">
        <v>59.0</v>
      </c>
      <c r="C60" s="123">
        <f t="shared" si="1"/>
        <v>-155.8582961</v>
      </c>
      <c r="D60" s="124" t="str">
        <f>VLOOKUP(A60,'Classement S6'!$B$2:$C$150,1,0)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22"/>
      <c r="B61" s="103">
        <v>60.0</v>
      </c>
      <c r="C61" s="123">
        <f t="shared" si="1"/>
        <v>-170.7252666</v>
      </c>
      <c r="D61" s="124" t="str">
        <f>VLOOKUP(A61,'Classement S6'!$B$2:$C$150,1,0)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22"/>
      <c r="B62" s="103">
        <v>61.0</v>
      </c>
      <c r="C62" s="123">
        <f t="shared" si="1"/>
        <v>-185.4777053</v>
      </c>
      <c r="D62" s="124" t="str">
        <f>VLOOKUP(A62,'Classement S6'!$B$2:$C$150,1,0)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22"/>
      <c r="B63" s="103">
        <v>62.0</v>
      </c>
      <c r="C63" s="123">
        <f t="shared" si="1"/>
        <v>-200.1190151</v>
      </c>
      <c r="D63" s="124" t="str">
        <f>VLOOKUP(A63,'Classement S6'!$B$2:$C$150,1,0)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22"/>
      <c r="B64" s="103">
        <v>63.0</v>
      </c>
      <c r="C64" s="123">
        <f t="shared" si="1"/>
        <v>-214.6524379</v>
      </c>
      <c r="D64" s="124" t="str">
        <f>VLOOKUP(A64,'Classement S6'!$B$2:$C$150,1,0)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22"/>
      <c r="B65" s="103">
        <v>64.0</v>
      </c>
      <c r="C65" s="123">
        <f t="shared" si="1"/>
        <v>-229.0810645</v>
      </c>
      <c r="D65" s="124" t="str">
        <f>VLOOKUP(A65,'Classement S6'!$B$2:$C$150,1,0)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22"/>
      <c r="B66" s="103">
        <v>65.0</v>
      </c>
      <c r="C66" s="123">
        <f t="shared" si="1"/>
        <v>-243.4078445</v>
      </c>
      <c r="D66" s="124" t="str">
        <f>VLOOKUP(A66,'Classement S6'!$B$2:$C$150,1,0)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22"/>
      <c r="B67" s="103">
        <v>66.0</v>
      </c>
      <c r="C67" s="123">
        <f t="shared" si="1"/>
        <v>-257.6355946</v>
      </c>
      <c r="D67" s="124" t="str">
        <f>VLOOKUP(A67,'Classement S6'!$B$2:$C$150,1,0)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22"/>
      <c r="B68" s="103">
        <v>67.0</v>
      </c>
      <c r="C68" s="123">
        <f t="shared" si="1"/>
        <v>-271.767007</v>
      </c>
      <c r="D68" s="124" t="str">
        <f>VLOOKUP(A68,'Classement S6'!$B$2:$C$150,1,0)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22"/>
      <c r="B69" s="103">
        <v>68.0</v>
      </c>
      <c r="C69" s="123">
        <f t="shared" si="1"/>
        <v>-285.8046561</v>
      </c>
      <c r="D69" s="124" t="str">
        <f>VLOOKUP(A69,'Classement S6'!$B$2:$C$150,1,0)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22"/>
      <c r="B70" s="103">
        <v>69.0</v>
      </c>
      <c r="C70" s="123">
        <f t="shared" si="1"/>
        <v>-299.7510064</v>
      </c>
      <c r="D70" s="124" t="str">
        <f>VLOOKUP(A70,'Classement S6'!$B$2:$C$150,1,0)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22"/>
      <c r="B71" s="103">
        <v>70.0</v>
      </c>
      <c r="C71" s="123">
        <f t="shared" si="1"/>
        <v>-313.608418</v>
      </c>
      <c r="D71" s="124" t="str">
        <f>VLOOKUP(A71,'Classement S6'!$B$2:$C$150,1,0)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22"/>
      <c r="B72" s="103">
        <v>71.0</v>
      </c>
      <c r="C72" s="123">
        <f t="shared" si="1"/>
        <v>-327.3791529</v>
      </c>
      <c r="D72" s="124" t="str">
        <f>VLOOKUP(A72,'Classement S6'!$B$2:$C$150,1,0)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22"/>
      <c r="B73" s="103">
        <v>72.0</v>
      </c>
      <c r="C73" s="123">
        <f t="shared" si="1"/>
        <v>-341.0653804</v>
      </c>
      <c r="D73" s="124" t="str">
        <f>VLOOKUP(A73,'Classement S6'!$B$2:$C$150,1,0)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22"/>
      <c r="B74" s="103">
        <v>73.0</v>
      </c>
      <c r="C74" s="123">
        <f t="shared" si="1"/>
        <v>-354.6691823</v>
      </c>
      <c r="D74" s="124" t="str">
        <f>VLOOKUP(A74,'Classement S6'!$B$2:$C$150,1,0)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22"/>
      <c r="B75" s="103">
        <v>74.0</v>
      </c>
      <c r="C75" s="123">
        <f t="shared" si="1"/>
        <v>-368.1925576</v>
      </c>
      <c r="D75" s="124" t="str">
        <f>VLOOKUP(A75,'Classement S6'!$B$2:$C$150,1,0)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22"/>
      <c r="B76" s="103">
        <v>75.0</v>
      </c>
      <c r="C76" s="123">
        <f t="shared" si="1"/>
        <v>-381.6374269</v>
      </c>
      <c r="D76" s="124" t="str">
        <f>VLOOKUP(A76,'Classement S6'!$B$2:$C$150,1,0)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22"/>
      <c r="B77" s="103">
        <v>76.0</v>
      </c>
      <c r="C77" s="123">
        <f t="shared" si="1"/>
        <v>-395.0056367</v>
      </c>
      <c r="D77" s="124" t="str">
        <f>VLOOKUP(A77,'Classement S6'!$B$2:$C$150,1,0)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22"/>
      <c r="B78" s="103">
        <v>77.0</v>
      </c>
      <c r="C78" s="123">
        <f t="shared" si="1"/>
        <v>-408.2989631</v>
      </c>
      <c r="D78" s="124" t="str">
        <f>VLOOKUP(A78,'Classement S6'!$B$2:$C$150,1,0)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22"/>
      <c r="B79" s="103">
        <v>78.0</v>
      </c>
      <c r="C79" s="123">
        <f t="shared" si="1"/>
        <v>-421.5191154</v>
      </c>
      <c r="D79" s="124" t="str">
        <f>VLOOKUP(A79,'Classement S6'!$B$2:$C$150,1,0)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27"/>
      <c r="B80" s="103">
        <v>79.0</v>
      </c>
      <c r="C80" s="123">
        <f t="shared" si="1"/>
        <v>-434.6677398</v>
      </c>
      <c r="D80" s="124" t="str">
        <f>VLOOKUP(A80,'Classement S6'!$B$2:$C$150,1,0)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27"/>
      <c r="B81" s="103">
        <v>80.0</v>
      </c>
      <c r="C81" s="123">
        <f t="shared" si="1"/>
        <v>-447.746422</v>
      </c>
      <c r="D81" s="124" t="str">
        <f>VLOOKUP(A81,'Classement S6'!$B$2:$C$150,1,0)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27"/>
      <c r="B82" s="103">
        <v>81.0</v>
      </c>
      <c r="C82" s="123">
        <f t="shared" si="1"/>
        <v>-460.7566909</v>
      </c>
      <c r="D82" s="124" t="str">
        <f>VLOOKUP(A82,'Classement S6'!$B$2:$C$150,1,0)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27"/>
      <c r="B83" s="103">
        <v>82.0</v>
      </c>
      <c r="C83" s="123">
        <f t="shared" si="1"/>
        <v>-473.7000208</v>
      </c>
      <c r="D83" s="124" t="str">
        <f>VLOOKUP(A83,'Classement S6'!$B$2:$C$150,1,0)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27"/>
      <c r="B84" s="103">
        <v>83.0</v>
      </c>
      <c r="C84" s="123">
        <f t="shared" si="1"/>
        <v>-486.5778341</v>
      </c>
      <c r="D84" s="124" t="str">
        <f>VLOOKUP(A84,'Classement S6'!$B$2:$C$150,1,0)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27"/>
      <c r="B85" s="103">
        <v>84.0</v>
      </c>
      <c r="C85" s="123">
        <f t="shared" si="1"/>
        <v>-499.3915043</v>
      </c>
      <c r="D85" s="124" t="str">
        <f>VLOOKUP(A85,'Classement S6'!$B$2:$C$150,1,0)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27"/>
      <c r="B86" s="103">
        <v>85.0</v>
      </c>
      <c r="C86" s="123">
        <f t="shared" si="1"/>
        <v>-512.1423575</v>
      </c>
      <c r="D86" s="124" t="str">
        <f>VLOOKUP(A86,'Classement S6'!$B$2:$C$150,1,0)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27"/>
      <c r="B87" s="103">
        <v>86.0</v>
      </c>
      <c r="C87" s="123">
        <f t="shared" si="1"/>
        <v>-524.8316753</v>
      </c>
      <c r="D87" s="124" t="str">
        <f>VLOOKUP(A87,'Classement S6'!$B$2:$C$150,1,0)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27"/>
      <c r="B88" s="103">
        <v>87.0</v>
      </c>
      <c r="C88" s="123">
        <f t="shared" si="1"/>
        <v>-537.4606963</v>
      </c>
      <c r="D88" s="124" t="str">
        <f>VLOOKUP(A88,'Classement S6'!$B$2:$C$150,1,0)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27"/>
      <c r="B89" s="103">
        <v>88.0</v>
      </c>
      <c r="C89" s="123">
        <f t="shared" si="1"/>
        <v>-550.0306185</v>
      </c>
      <c r="D89" s="124" t="str">
        <f>VLOOKUP(A89,'Classement S6'!$B$2:$C$150,1,0)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27"/>
      <c r="B90" s="103">
        <v>89.0</v>
      </c>
      <c r="C90" s="123">
        <f t="shared" si="1"/>
        <v>-562.5426007</v>
      </c>
      <c r="D90" s="124" t="str">
        <f>VLOOKUP(A90,'Classement S6'!$B$2:$C$150,1,0)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27"/>
      <c r="B91" s="103">
        <v>90.0</v>
      </c>
      <c r="C91" s="123">
        <f t="shared" si="1"/>
        <v>-574.9977646</v>
      </c>
      <c r="D91" s="124" t="str">
        <f>VLOOKUP(A91,'Classement S6'!$B$2:$C$150,1,0)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27"/>
      <c r="B92" s="103">
        <v>91.0</v>
      </c>
      <c r="C92" s="123">
        <f t="shared" si="1"/>
        <v>-587.3971963</v>
      </c>
      <c r="D92" s="124" t="str">
        <f>VLOOKUP(A92,'Classement S6'!$B$2:$C$150,1,0)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27"/>
      <c r="B93" s="103">
        <v>92.0</v>
      </c>
      <c r="C93" s="123">
        <f t="shared" si="1"/>
        <v>-599.7419477</v>
      </c>
      <c r="D93" s="124" t="str">
        <f>VLOOKUP(A93,'Classement S6'!$B$2:$C$150,1,0)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27"/>
      <c r="B94" s="103">
        <v>93.0</v>
      </c>
      <c r="C94" s="123">
        <f t="shared" si="1"/>
        <v>-612.033038</v>
      </c>
      <c r="D94" s="124" t="str">
        <f>VLOOKUP(A94,'Classement S6'!$B$2:$C$150,1,0)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27"/>
      <c r="B95" s="103">
        <v>94.0</v>
      </c>
      <c r="C95" s="123">
        <f t="shared" si="1"/>
        <v>-624.2714553</v>
      </c>
      <c r="D95" s="124" t="str">
        <f>VLOOKUP(A95,'Classement S6'!$B$2:$C$150,1,0)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27"/>
      <c r="B96" s="103">
        <v>95.0</v>
      </c>
      <c r="C96" s="123">
        <f t="shared" si="1"/>
        <v>-636.4581577</v>
      </c>
      <c r="D96" s="124" t="str">
        <f>VLOOKUP(A96,'Classement S6'!$B$2:$C$150,1,0)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27"/>
      <c r="B97" s="103">
        <v>96.0</v>
      </c>
      <c r="C97" s="123">
        <f t="shared" si="1"/>
        <v>-648.5940745</v>
      </c>
      <c r="D97" s="124" t="str">
        <f>VLOOKUP(A97,'Classement S6'!$B$2:$C$150,1,0)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27"/>
      <c r="B98" s="103">
        <v>97.0</v>
      </c>
      <c r="C98" s="123">
        <f t="shared" si="1"/>
        <v>-660.6801075</v>
      </c>
      <c r="D98" s="124" t="str">
        <f>VLOOKUP(A98,'Classement S6'!$B$2:$C$150,1,0)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27"/>
      <c r="B99" s="103">
        <v>98.0</v>
      </c>
      <c r="C99" s="123">
        <f t="shared" si="1"/>
        <v>-672.7171322</v>
      </c>
      <c r="D99" s="124" t="str">
        <f>VLOOKUP(A99,'Classement S6'!$B$2:$C$150,1,0)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27"/>
      <c r="B100" s="103">
        <v>99.0</v>
      </c>
      <c r="C100" s="123">
        <f t="shared" si="1"/>
        <v>-684.7059986</v>
      </c>
      <c r="D100" s="124" t="str">
        <f>VLOOKUP(A100,'Classement S6'!$B$2:$C$150,1,0)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27"/>
      <c r="B101" s="103">
        <v>100.0</v>
      </c>
      <c r="C101" s="123">
        <f t="shared" si="1"/>
        <v>-696.6475323</v>
      </c>
      <c r="D101" s="124" t="str">
        <f>VLOOKUP(A101,'Classement S6'!$B$2:$C$150,1,0)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27"/>
      <c r="B102" s="103">
        <v>101.0</v>
      </c>
      <c r="C102" s="123">
        <f t="shared" si="1"/>
        <v>-708.5425356</v>
      </c>
      <c r="D102" s="124" t="str">
        <f>VLOOKUP(A102,'Classement S6'!$B$2:$C$150,1,0)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27"/>
      <c r="B103" s="103">
        <v>102.0</v>
      </c>
      <c r="C103" s="123">
        <f t="shared" si="1"/>
        <v>-720.3917882</v>
      </c>
      <c r="D103" s="124" t="str">
        <f>VLOOKUP(A103,'Classement S6'!$B$2:$C$150,1,0)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27"/>
      <c r="B104" s="103">
        <v>103.0</v>
      </c>
      <c r="C104" s="123">
        <f t="shared" si="1"/>
        <v>-732.1960483</v>
      </c>
      <c r="D104" s="124" t="str">
        <f>VLOOKUP(A104,'Classement S6'!$B$2:$C$150,1,0)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27"/>
      <c r="B105" s="103">
        <v>104.0</v>
      </c>
      <c r="C105" s="123">
        <f t="shared" si="1"/>
        <v>-743.956053</v>
      </c>
      <c r="D105" s="124" t="str">
        <f>VLOOKUP(A105,'Classement S6'!$B$2:$C$150,1,0)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27"/>
      <c r="B106" s="103">
        <v>105.0</v>
      </c>
      <c r="C106" s="123">
        <f t="shared" si="1"/>
        <v>-755.6725197</v>
      </c>
      <c r="D106" s="124" t="str">
        <f>VLOOKUP(A106,'Classement S6'!$B$2:$C$150,1,0)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27"/>
      <c r="B107" s="103">
        <v>106.0</v>
      </c>
      <c r="C107" s="123">
        <f t="shared" si="1"/>
        <v>-767.3461462</v>
      </c>
      <c r="D107" s="124" t="str">
        <f>VLOOKUP(A107,'Classement S6'!$B$2:$C$150,1,0)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27"/>
      <c r="B108" s="103">
        <v>107.0</v>
      </c>
      <c r="C108" s="123">
        <f t="shared" si="1"/>
        <v>-778.977612</v>
      </c>
      <c r="D108" s="124" t="str">
        <f>VLOOKUP(A108,'Classement S6'!$B$2:$C$150,1,0)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27"/>
      <c r="B109" s="103">
        <v>108.0</v>
      </c>
      <c r="C109" s="123">
        <f t="shared" si="1"/>
        <v>-790.5675784</v>
      </c>
      <c r="D109" s="124" t="str">
        <f>VLOOKUP(A109,'Classement S6'!$B$2:$C$150,1,0)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27"/>
      <c r="B110" s="103">
        <v>109.0</v>
      </c>
      <c r="C110" s="123">
        <f t="shared" si="1"/>
        <v>-802.1166898</v>
      </c>
      <c r="D110" s="124" t="str">
        <f>VLOOKUP(A110,'Classement S6'!$B$2:$C$150,1,0)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27"/>
      <c r="B111" s="103">
        <v>110.0</v>
      </c>
      <c r="C111" s="123">
        <f t="shared" si="1"/>
        <v>-813.6255735</v>
      </c>
      <c r="D111" s="124" t="str">
        <f>VLOOKUP(A111,'Classement S6'!$B$2:$C$150,1,0)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27"/>
      <c r="B112" s="103">
        <v>111.0</v>
      </c>
      <c r="C112" s="123">
        <f t="shared" si="1"/>
        <v>-825.0948412</v>
      </c>
      <c r="D112" s="124" t="str">
        <f>VLOOKUP(A112,'Classement S6'!$B$2:$C$150,1,0)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27"/>
      <c r="B113" s="103">
        <v>112.0</v>
      </c>
      <c r="C113" s="123">
        <f t="shared" si="1"/>
        <v>-836.5250889</v>
      </c>
      <c r="D113" s="124" t="str">
        <f>VLOOKUP(A113,'Classement S6'!$B$2:$C$150,1,0)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27"/>
      <c r="B114" s="103">
        <v>113.0</v>
      </c>
      <c r="C114" s="123">
        <f t="shared" si="1"/>
        <v>-847.9168975</v>
      </c>
      <c r="D114" s="124" t="str">
        <f>VLOOKUP(A114,'Classement S6'!$B$2:$C$150,1,0)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27"/>
      <c r="B115" s="103">
        <v>114.0</v>
      </c>
      <c r="C115" s="123">
        <f t="shared" si="1"/>
        <v>-859.2708338</v>
      </c>
      <c r="D115" s="124" t="str">
        <f>VLOOKUP(A115,'Classement S6'!$B$2:$C$150,1,0)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27"/>
      <c r="B116" s="103">
        <v>115.0</v>
      </c>
      <c r="C116" s="123">
        <f t="shared" si="1"/>
        <v>-870.5874503</v>
      </c>
      <c r="D116" s="124" t="str">
        <f>VLOOKUP(A116,'Classement S6'!$B$2:$C$150,1,0)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27"/>
      <c r="B117" s="103">
        <v>116.0</v>
      </c>
      <c r="C117" s="123">
        <f t="shared" si="1"/>
        <v>-881.8672864</v>
      </c>
      <c r="D117" s="124" t="str">
        <f>VLOOKUP(A117,'Classement S6'!$B$2:$C$150,1,0)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27"/>
      <c r="B118" s="103">
        <v>117.0</v>
      </c>
      <c r="C118" s="123">
        <f t="shared" si="1"/>
        <v>-893.1108681</v>
      </c>
      <c r="D118" s="124" t="str">
        <f>VLOOKUP(A118,'Classement S6'!$B$2:$C$150,1,0)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27"/>
      <c r="B119" s="103">
        <v>118.0</v>
      </c>
      <c r="C119" s="123">
        <f t="shared" si="1"/>
        <v>-904.3187091</v>
      </c>
      <c r="D119" s="124" t="str">
        <f>VLOOKUP(A119,'Classement S6'!$B$2:$C$150,1,0)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27"/>
      <c r="B120" s="103">
        <v>119.0</v>
      </c>
      <c r="C120" s="123">
        <f t="shared" si="1"/>
        <v>-915.4913108</v>
      </c>
      <c r="D120" s="124" t="str">
        <f>VLOOKUP(A120,'Classement S6'!$B$2:$C$150,1,0)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27"/>
      <c r="B121" s="103">
        <v>120.0</v>
      </c>
      <c r="C121" s="123">
        <f t="shared" si="1"/>
        <v>-926.6291628</v>
      </c>
      <c r="D121" s="124" t="str">
        <f>VLOOKUP(A121,'Classement S6'!$B$2:$C$150,1,0)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27"/>
      <c r="B122" s="103">
        <v>121.0</v>
      </c>
      <c r="C122" s="123">
        <f t="shared" si="1"/>
        <v>-937.7327434</v>
      </c>
      <c r="D122" s="124" t="str">
        <f>VLOOKUP(A122,'Classement S6'!$B$2:$C$150,1,0)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27"/>
      <c r="B123" s="103">
        <v>122.0</v>
      </c>
      <c r="C123" s="123">
        <f t="shared" si="1"/>
        <v>-948.8025198</v>
      </c>
      <c r="D123" s="124" t="str">
        <f>VLOOKUP(A123,'Classement S6'!$B$2:$C$150,1,0)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27"/>
      <c r="B124" s="103">
        <v>123.0</v>
      </c>
      <c r="C124" s="123">
        <f t="shared" si="1"/>
        <v>-959.8389485</v>
      </c>
      <c r="D124" s="124" t="str">
        <f>VLOOKUP(A124,'Classement S6'!$B$2:$C$150,1,0)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27"/>
      <c r="B125" s="103">
        <v>124.0</v>
      </c>
      <c r="C125" s="123">
        <f t="shared" si="1"/>
        <v>-970.8424757</v>
      </c>
      <c r="D125" s="124" t="str">
        <f>VLOOKUP(A125,'Classement S6'!$B$2:$C$150,1,0)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27"/>
      <c r="B126" s="103">
        <v>125.0</v>
      </c>
      <c r="C126" s="123">
        <f t="shared" si="1"/>
        <v>-981.8135376</v>
      </c>
      <c r="D126" s="124" t="str">
        <f>VLOOKUP(A126,'Classement S6'!$B$2:$C$150,1,0)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27"/>
      <c r="B127" s="103">
        <v>126.0</v>
      </c>
      <c r="C127" s="123">
        <f t="shared" si="1"/>
        <v>-992.7525605</v>
      </c>
      <c r="D127" s="124" t="str">
        <f>VLOOKUP(A127,'Classement S6'!$B$2:$C$150,1,0)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27"/>
      <c r="B128" s="103">
        <v>127.0</v>
      </c>
      <c r="C128" s="123">
        <f t="shared" si="1"/>
        <v>-1003.659962</v>
      </c>
      <c r="D128" s="124" t="str">
        <f>VLOOKUP(A128,'Classement S6'!$B$2:$C$150,1,0)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27"/>
      <c r="B129" s="103">
        <v>128.0</v>
      </c>
      <c r="C129" s="123">
        <f t="shared" si="1"/>
        <v>-1014.536149</v>
      </c>
      <c r="D129" s="124" t="str">
        <f>VLOOKUP(A129,'Classement S6'!$B$2:$C$150,1,0)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27"/>
      <c r="B130" s="103">
        <v>129.0</v>
      </c>
      <c r="C130" s="123">
        <f t="shared" si="1"/>
        <v>-1025.381521</v>
      </c>
      <c r="D130" s="124" t="str">
        <f>VLOOKUP(A130,'Classement S6'!$B$2:$C$150,1,0)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27"/>
      <c r="B131" s="103">
        <v>130.0</v>
      </c>
      <c r="C131" s="123">
        <f t="shared" si="1"/>
        <v>-1036.196468</v>
      </c>
      <c r="D131" s="124" t="str">
        <f>VLOOKUP(A131,'Classement S6'!$B$2:$C$150,1,0)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27"/>
      <c r="B132" s="103">
        <v>131.0</v>
      </c>
      <c r="C132" s="123">
        <f t="shared" si="1"/>
        <v>-1046.981374</v>
      </c>
      <c r="D132" s="124" t="str">
        <f>VLOOKUP(A132,'Classement S6'!$B$2:$C$150,1,0)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27"/>
      <c r="B133" s="103">
        <v>132.0</v>
      </c>
      <c r="C133" s="123">
        <f t="shared" si="1"/>
        <v>-1057.736611</v>
      </c>
      <c r="D133" s="124" t="str">
        <f>VLOOKUP(A133,'Classement S6'!$B$2:$C$150,1,0)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27"/>
      <c r="B134" s="103">
        <v>133.0</v>
      </c>
      <c r="C134" s="123">
        <f t="shared" si="1"/>
        <v>-1068.462546</v>
      </c>
      <c r="D134" s="124" t="str">
        <f>VLOOKUP(A134,'Classement S6'!$B$2:$C$150,1,0)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27"/>
      <c r="B135" s="103">
        <v>134.0</v>
      </c>
      <c r="C135" s="123">
        <f t="shared" si="1"/>
        <v>-1079.159537</v>
      </c>
      <c r="D135" s="124" t="str">
        <f>VLOOKUP(A135,'Classement S6'!$B$2:$C$150,1,0)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27"/>
      <c r="B136" s="103">
        <v>135.0</v>
      </c>
      <c r="C136" s="123">
        <f t="shared" si="1"/>
        <v>-1089.827936</v>
      </c>
      <c r="D136" s="124" t="str">
        <f>VLOOKUP(A136,'Classement S6'!$B$2:$C$150,1,0)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27"/>
      <c r="B137" s="103">
        <v>136.0</v>
      </c>
      <c r="C137" s="123">
        <f t="shared" si="1"/>
        <v>-1100.468086</v>
      </c>
      <c r="D137" s="124" t="str">
        <f>VLOOKUP(A137,'Classement S6'!$B$2:$C$150,1,0)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27"/>
      <c r="B138" s="103">
        <v>137.0</v>
      </c>
      <c r="C138" s="123">
        <f t="shared" si="1"/>
        <v>-1111.080325</v>
      </c>
      <c r="D138" s="124" t="str">
        <f>VLOOKUP(A138,'Classement S6'!$B$2:$C$150,1,0)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27"/>
      <c r="B139" s="103">
        <v>138.0</v>
      </c>
      <c r="C139" s="123">
        <f t="shared" si="1"/>
        <v>-1121.664983</v>
      </c>
      <c r="D139" s="124" t="str">
        <f>VLOOKUP(A139,'Classement S6'!$B$2:$C$150,1,0)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27"/>
      <c r="B140" s="103">
        <v>139.0</v>
      </c>
      <c r="C140" s="123">
        <f t="shared" si="1"/>
        <v>-1132.222383</v>
      </c>
      <c r="D140" s="124" t="str">
        <f>VLOOKUP(A140,'Classement S6'!$B$2:$C$150,1,0)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27"/>
      <c r="B141" s="103">
        <v>140.0</v>
      </c>
      <c r="C141" s="123">
        <f t="shared" si="1"/>
        <v>-1142.752843</v>
      </c>
      <c r="D141" s="124" t="str">
        <f>VLOOKUP(A141,'Classement S6'!$B$2:$C$150,1,0)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27"/>
      <c r="B142" s="103">
        <v>141.0</v>
      </c>
      <c r="C142" s="123">
        <f t="shared" si="1"/>
        <v>-1153.256673</v>
      </c>
      <c r="D142" s="124" t="str">
        <f>VLOOKUP(A142,'Classement S6'!$B$2:$C$150,1,0)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27"/>
      <c r="B143" s="103">
        <v>142.0</v>
      </c>
      <c r="C143" s="123">
        <f t="shared" si="1"/>
        <v>-1163.734178</v>
      </c>
      <c r="D143" s="124" t="str">
        <f>VLOOKUP(A143,'Classement S6'!$B$2:$C$150,1,0)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27"/>
      <c r="B144" s="103">
        <v>143.0</v>
      </c>
      <c r="C144" s="123">
        <f t="shared" si="1"/>
        <v>-1174.185657</v>
      </c>
      <c r="D144" s="124" t="str">
        <f>VLOOKUP(A144,'Classement S6'!$B$2:$C$150,1,0)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27"/>
      <c r="B145" s="103">
        <v>144.0</v>
      </c>
      <c r="C145" s="123">
        <f t="shared" si="1"/>
        <v>-1184.611404</v>
      </c>
      <c r="D145" s="124" t="str">
        <f>VLOOKUP(A145,'Classement S6'!$B$2:$C$150,1,0)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27"/>
      <c r="B146" s="103">
        <v>145.0</v>
      </c>
      <c r="C146" s="123">
        <f t="shared" si="1"/>
        <v>-1195.011706</v>
      </c>
      <c r="D146" s="124" t="str">
        <f>VLOOKUP(A146,'Classement S6'!$B$2:$C$150,1,0)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27"/>
      <c r="B147" s="103">
        <v>146.0</v>
      </c>
      <c r="C147" s="123">
        <f t="shared" si="1"/>
        <v>-1205.386844</v>
      </c>
      <c r="D147" s="124" t="str">
        <f>VLOOKUP(A147,'Classement S6'!$B$2:$C$150,1,0)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27"/>
      <c r="B148" s="103">
        <v>147.0</v>
      </c>
      <c r="C148" s="123">
        <f t="shared" si="1"/>
        <v>-1215.737097</v>
      </c>
      <c r="D148" s="124" t="str">
        <f>VLOOKUP(A148,'Classement S6'!$B$2:$C$150,1,0)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27"/>
      <c r="B149" s="103">
        <v>148.0</v>
      </c>
      <c r="C149" s="123">
        <f t="shared" si="1"/>
        <v>-1226.062735</v>
      </c>
      <c r="D149" s="124" t="str">
        <f>VLOOKUP(A149,'Classement S6'!$B$2:$C$150,1,0)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27"/>
      <c r="B150" s="103">
        <v>149.0</v>
      </c>
      <c r="C150" s="123">
        <f t="shared" si="1"/>
        <v>-1236.364025</v>
      </c>
      <c r="D150" s="124" t="str">
        <f>VLOOKUP(A150,'Classement S6'!$B$2:$C$150,1,0)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27"/>
      <c r="B151" s="103">
        <v>150.0</v>
      </c>
      <c r="C151" s="123">
        <f t="shared" si="1"/>
        <v>-1246.64123</v>
      </c>
      <c r="D151" s="124" t="str">
        <f>VLOOKUP(A151,'Classement S6'!$B$2:$C$150,1,0)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27"/>
      <c r="B152" s="103">
        <v>151.0</v>
      </c>
      <c r="C152" s="123">
        <f t="shared" si="1"/>
        <v>-1256.894604</v>
      </c>
      <c r="D152" s="124" t="str">
        <f>VLOOKUP(A152,'Classement S6'!$B$2:$C$150,1,0)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27"/>
      <c r="B153" s="103">
        <v>152.0</v>
      </c>
      <c r="C153" s="123">
        <f t="shared" si="1"/>
        <v>-1267.124402</v>
      </c>
      <c r="D153" s="124" t="str">
        <f>VLOOKUP(A153,'Classement S6'!$B$2:$C$150,1,0)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27"/>
      <c r="B154" s="103">
        <v>153.0</v>
      </c>
      <c r="C154" s="123">
        <f t="shared" si="1"/>
        <v>-1277.330871</v>
      </c>
      <c r="D154" s="124" t="str">
        <f>VLOOKUP(A154,'Classement S6'!$B$2:$C$150,1,0)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27"/>
      <c r="B155" s="103">
        <v>154.0</v>
      </c>
      <c r="C155" s="123">
        <f t="shared" si="1"/>
        <v>-1287.514254</v>
      </c>
      <c r="D155" s="124" t="str">
        <f>VLOOKUP(A155,'Classement S6'!$B$2:$C$150,1,0)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27"/>
      <c r="B156" s="103">
        <v>155.0</v>
      </c>
      <c r="C156" s="123">
        <f t="shared" si="1"/>
        <v>-1297.67479</v>
      </c>
      <c r="D156" s="124" t="str">
        <f>VLOOKUP(A156,'Classement S6'!$B$2:$C$150,1,0)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27"/>
      <c r="B157" s="103">
        <v>156.0</v>
      </c>
      <c r="C157" s="123">
        <f t="shared" si="1"/>
        <v>-1307.812714</v>
      </c>
      <c r="D157" s="124" t="str">
        <f>VLOOKUP(A157,'Classement S6'!$B$2:$C$150,1,0)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27"/>
      <c r="B158" s="103">
        <v>157.0</v>
      </c>
      <c r="C158" s="123">
        <f t="shared" si="1"/>
        <v>-1317.928256</v>
      </c>
      <c r="D158" s="124" t="str">
        <f>VLOOKUP(A158,'Classement S6'!$B$2:$C$150,1,0)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27"/>
      <c r="B159" s="103">
        <v>158.0</v>
      </c>
      <c r="C159" s="123">
        <f t="shared" si="1"/>
        <v>-1328.021644</v>
      </c>
      <c r="D159" s="124" t="str">
        <f>VLOOKUP(A159,'Classement S6'!$B$2:$C$150,1,0)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27"/>
      <c r="B160" s="103">
        <v>159.0</v>
      </c>
      <c r="C160" s="123">
        <f t="shared" si="1"/>
        <v>-1338.093099</v>
      </c>
      <c r="D160" s="124" t="str">
        <f>VLOOKUP(A160,'Classement S6'!$B$2:$C$150,1,0)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27"/>
      <c r="B161" s="103">
        <v>160.0</v>
      </c>
      <c r="C161" s="123">
        <f t="shared" si="1"/>
        <v>-1348.142842</v>
      </c>
      <c r="D161" s="124" t="str">
        <f>VLOOKUP(A161,'Classement S6'!$B$2:$C$150,1,0)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B162" s="128"/>
    </row>
    <row r="163" ht="14.25" customHeight="1">
      <c r="B163" s="128"/>
    </row>
    <row r="164" ht="14.25" customHeight="1">
      <c r="B164" s="128"/>
    </row>
    <row r="165" ht="14.25" customHeight="1">
      <c r="B165" s="128"/>
    </row>
    <row r="166" ht="14.25" customHeight="1">
      <c r="B166" s="128"/>
    </row>
    <row r="167" ht="14.25" customHeight="1">
      <c r="B167" s="128"/>
    </row>
    <row r="168" ht="14.25" customHeight="1">
      <c r="B168" s="128"/>
    </row>
    <row r="169" ht="14.25" customHeight="1">
      <c r="B169" s="128"/>
    </row>
    <row r="170" ht="14.25" customHeight="1">
      <c r="B170" s="128"/>
    </row>
    <row r="171" ht="14.25" customHeight="1">
      <c r="B171" s="128"/>
    </row>
    <row r="172" ht="14.25" customHeight="1">
      <c r="B172" s="128"/>
    </row>
    <row r="173" ht="14.25" customHeight="1">
      <c r="B173" s="128"/>
    </row>
    <row r="174" ht="14.25" customHeight="1">
      <c r="B174" s="128"/>
    </row>
    <row r="175" ht="14.25" customHeight="1">
      <c r="B175" s="128"/>
    </row>
    <row r="176" ht="14.25" customHeight="1">
      <c r="B176" s="128"/>
    </row>
    <row r="177" ht="14.25" customHeight="1">
      <c r="B177" s="128"/>
    </row>
    <row r="178" ht="14.25" customHeight="1">
      <c r="B178" s="128"/>
    </row>
    <row r="179" ht="14.25" customHeight="1">
      <c r="B179" s="128"/>
    </row>
    <row r="180" ht="14.25" customHeight="1">
      <c r="B180" s="128"/>
    </row>
    <row r="181" ht="14.25" customHeight="1">
      <c r="B181" s="128"/>
    </row>
    <row r="182" ht="14.25" customHeight="1">
      <c r="B182" s="128"/>
    </row>
    <row r="183" ht="14.25" customHeight="1">
      <c r="B183" s="128"/>
    </row>
    <row r="184" ht="14.25" customHeight="1">
      <c r="B184" s="128"/>
    </row>
    <row r="185" ht="14.25" customHeight="1">
      <c r="B185" s="128"/>
    </row>
    <row r="186" ht="14.25" customHeight="1">
      <c r="B186" s="128"/>
    </row>
    <row r="187" ht="14.25" customHeight="1">
      <c r="B187" s="128"/>
    </row>
    <row r="188" ht="14.25" customHeight="1">
      <c r="B188" s="128"/>
    </row>
    <row r="189" ht="14.25" customHeight="1">
      <c r="B189" s="128"/>
    </row>
    <row r="190" ht="14.25" customHeight="1">
      <c r="B190" s="128"/>
    </row>
    <row r="191" ht="14.25" customHeight="1">
      <c r="B191" s="128"/>
    </row>
    <row r="192" ht="14.25" customHeight="1">
      <c r="B192" s="128"/>
    </row>
    <row r="193" ht="14.25" customHeight="1">
      <c r="B193" s="128"/>
    </row>
    <row r="194" ht="14.25" customHeight="1">
      <c r="B194" s="128"/>
    </row>
    <row r="195" ht="14.25" customHeight="1">
      <c r="B195" s="128"/>
    </row>
    <row r="196" ht="14.25" customHeight="1">
      <c r="B196" s="128"/>
    </row>
    <row r="197" ht="14.25" customHeight="1">
      <c r="B197" s="128"/>
    </row>
    <row r="198" ht="14.25" customHeight="1">
      <c r="B198" s="128"/>
    </row>
    <row r="199" ht="14.25" customHeight="1">
      <c r="B199" s="128"/>
    </row>
    <row r="200" ht="14.25" customHeight="1">
      <c r="B200" s="128"/>
    </row>
    <row r="201" ht="14.25" customHeight="1">
      <c r="B201" s="128"/>
    </row>
    <row r="202" ht="14.25" customHeight="1">
      <c r="B202" s="128"/>
    </row>
    <row r="203" ht="14.25" customHeight="1">
      <c r="B203" s="128"/>
    </row>
    <row r="204" ht="14.25" customHeight="1">
      <c r="B204" s="128"/>
    </row>
    <row r="205" ht="14.25" customHeight="1">
      <c r="B205" s="128"/>
    </row>
    <row r="206" ht="14.25" customHeight="1">
      <c r="B206" s="128"/>
    </row>
    <row r="207" ht="14.25" customHeight="1">
      <c r="B207" s="128"/>
    </row>
    <row r="208" ht="14.25" customHeight="1">
      <c r="B208" s="128"/>
    </row>
    <row r="209" ht="14.25" customHeight="1">
      <c r="B209" s="128"/>
    </row>
    <row r="210" ht="14.25" customHeight="1">
      <c r="B210" s="128"/>
    </row>
    <row r="211" ht="14.25" customHeight="1">
      <c r="B211" s="128"/>
    </row>
    <row r="212" ht="14.25" customHeight="1">
      <c r="B212" s="128"/>
    </row>
    <row r="213" ht="14.25" customHeight="1">
      <c r="B213" s="128"/>
    </row>
    <row r="214" ht="14.25" customHeight="1">
      <c r="B214" s="128"/>
    </row>
    <row r="215" ht="14.25" customHeight="1">
      <c r="B215" s="128"/>
    </row>
    <row r="216" ht="14.25" customHeight="1">
      <c r="B216" s="128"/>
    </row>
    <row r="217" ht="14.25" customHeight="1">
      <c r="B217" s="128"/>
    </row>
    <row r="218" ht="14.25" customHeight="1">
      <c r="B218" s="128"/>
    </row>
    <row r="219" ht="14.25" customHeight="1">
      <c r="B219" s="128"/>
    </row>
    <row r="220" ht="14.25" customHeight="1">
      <c r="B220" s="128"/>
    </row>
    <row r="221" ht="14.25" customHeight="1">
      <c r="B221" s="128"/>
    </row>
    <row r="222" ht="14.25" customHeight="1">
      <c r="B222" s="128"/>
    </row>
    <row r="223" ht="14.25" customHeight="1">
      <c r="B223" s="128"/>
    </row>
    <row r="224" ht="14.25" customHeight="1">
      <c r="B224" s="128"/>
    </row>
    <row r="225" ht="14.25" customHeight="1">
      <c r="B225" s="128"/>
    </row>
    <row r="226" ht="14.25" customHeight="1">
      <c r="B226" s="128"/>
    </row>
    <row r="227" ht="14.25" customHeight="1">
      <c r="B227" s="128"/>
    </row>
    <row r="228" ht="14.25" customHeight="1">
      <c r="B228" s="128"/>
    </row>
    <row r="229" ht="14.25" customHeight="1">
      <c r="B229" s="128"/>
    </row>
    <row r="230" ht="14.25" customHeight="1">
      <c r="B230" s="128"/>
    </row>
    <row r="231" ht="14.25" customHeight="1">
      <c r="B231" s="128"/>
    </row>
    <row r="232" ht="14.25" customHeight="1">
      <c r="B232" s="128"/>
    </row>
    <row r="233" ht="14.25" customHeight="1">
      <c r="B233" s="128"/>
    </row>
    <row r="234" ht="14.25" customHeight="1">
      <c r="B234" s="128"/>
    </row>
    <row r="235" ht="14.25" customHeight="1">
      <c r="B235" s="128"/>
    </row>
    <row r="236" ht="14.25" customHeight="1">
      <c r="B236" s="128"/>
    </row>
    <row r="237" ht="14.25" customHeight="1">
      <c r="B237" s="128"/>
    </row>
    <row r="238" ht="14.25" customHeight="1">
      <c r="B238" s="128"/>
    </row>
    <row r="239" ht="14.25" customHeight="1">
      <c r="B239" s="128"/>
    </row>
    <row r="240" ht="14.25" customHeight="1">
      <c r="B240" s="128"/>
    </row>
    <row r="241" ht="14.25" customHeight="1">
      <c r="B241" s="128"/>
    </row>
    <row r="242" ht="14.25" customHeight="1">
      <c r="B242" s="128"/>
    </row>
    <row r="243" ht="14.25" customHeight="1">
      <c r="B243" s="128"/>
    </row>
    <row r="244" ht="14.25" customHeight="1">
      <c r="B244" s="128"/>
    </row>
    <row r="245" ht="14.25" customHeight="1">
      <c r="B245" s="128"/>
    </row>
    <row r="246" ht="14.25" customHeight="1">
      <c r="B246" s="128"/>
    </row>
    <row r="247" ht="14.25" customHeight="1">
      <c r="B247" s="128"/>
    </row>
    <row r="248" ht="14.25" customHeight="1">
      <c r="B248" s="128"/>
    </row>
    <row r="249" ht="14.25" customHeight="1">
      <c r="B249" s="128"/>
    </row>
    <row r="250" ht="14.25" customHeight="1">
      <c r="B250" s="128"/>
    </row>
    <row r="251" ht="14.25" customHeight="1">
      <c r="B251" s="128"/>
    </row>
    <row r="252" ht="14.25" customHeight="1">
      <c r="B252" s="128"/>
    </row>
    <row r="253" ht="14.25" customHeight="1">
      <c r="B253" s="128"/>
    </row>
    <row r="254" ht="14.25" customHeight="1">
      <c r="B254" s="128"/>
    </row>
    <row r="255" ht="14.25" customHeight="1">
      <c r="B255" s="128"/>
    </row>
    <row r="256" ht="14.25" customHeight="1">
      <c r="B256" s="128"/>
    </row>
    <row r="257" ht="14.25" customHeight="1">
      <c r="B257" s="128"/>
    </row>
    <row r="258" ht="14.25" customHeight="1">
      <c r="B258" s="128"/>
    </row>
    <row r="259" ht="14.25" customHeight="1">
      <c r="B259" s="128"/>
    </row>
    <row r="260" ht="14.25" customHeight="1">
      <c r="B260" s="128"/>
    </row>
    <row r="261" ht="14.25" customHeight="1">
      <c r="B261" s="128"/>
    </row>
    <row r="262" ht="14.25" customHeight="1">
      <c r="B262" s="128"/>
    </row>
    <row r="263" ht="14.25" customHeight="1">
      <c r="B263" s="128"/>
    </row>
    <row r="264" ht="14.25" customHeight="1">
      <c r="B264" s="128"/>
    </row>
    <row r="265" ht="14.25" customHeight="1">
      <c r="B265" s="128"/>
    </row>
    <row r="266" ht="14.25" customHeight="1">
      <c r="B266" s="128"/>
    </row>
    <row r="267" ht="14.25" customHeight="1">
      <c r="B267" s="128"/>
    </row>
    <row r="268" ht="14.25" customHeight="1">
      <c r="B268" s="128"/>
    </row>
    <row r="269" ht="14.25" customHeight="1">
      <c r="B269" s="128"/>
    </row>
    <row r="270" ht="14.25" customHeight="1">
      <c r="B270" s="128"/>
    </row>
    <row r="271" ht="14.25" customHeight="1">
      <c r="B271" s="128"/>
    </row>
    <row r="272" ht="14.25" customHeight="1">
      <c r="B272" s="128"/>
    </row>
    <row r="273" ht="14.25" customHeight="1">
      <c r="B273" s="128"/>
    </row>
    <row r="274" ht="14.25" customHeight="1">
      <c r="B274" s="128"/>
    </row>
    <row r="275" ht="14.25" customHeight="1">
      <c r="B275" s="128"/>
    </row>
    <row r="276" ht="14.25" customHeight="1">
      <c r="B276" s="128"/>
    </row>
    <row r="277" ht="14.25" customHeight="1">
      <c r="B277" s="128"/>
    </row>
    <row r="278" ht="14.25" customHeight="1">
      <c r="B278" s="128"/>
    </row>
    <row r="279" ht="14.25" customHeight="1">
      <c r="B279" s="128"/>
    </row>
    <row r="280" ht="14.25" customHeight="1">
      <c r="B280" s="128"/>
    </row>
    <row r="281" ht="14.25" customHeight="1">
      <c r="B281" s="128"/>
    </row>
    <row r="282" ht="14.25" customHeight="1">
      <c r="B282" s="128"/>
    </row>
    <row r="283" ht="14.25" customHeight="1">
      <c r="B283" s="128"/>
    </row>
    <row r="284" ht="14.25" customHeight="1">
      <c r="B284" s="128"/>
    </row>
    <row r="285" ht="14.25" customHeight="1">
      <c r="B285" s="128"/>
    </row>
    <row r="286" ht="14.25" customHeight="1">
      <c r="B286" s="128"/>
    </row>
    <row r="287" ht="14.25" customHeight="1">
      <c r="B287" s="128"/>
    </row>
    <row r="288" ht="14.25" customHeight="1">
      <c r="B288" s="128"/>
    </row>
    <row r="289" ht="14.25" customHeight="1">
      <c r="B289" s="128"/>
    </row>
    <row r="290" ht="14.25" customHeight="1">
      <c r="B290" s="128"/>
    </row>
    <row r="291" ht="14.25" customHeight="1">
      <c r="B291" s="128"/>
    </row>
    <row r="292" ht="14.25" customHeight="1">
      <c r="B292" s="128"/>
    </row>
    <row r="293" ht="14.25" customHeight="1">
      <c r="B293" s="128"/>
    </row>
    <row r="294" ht="14.25" customHeight="1">
      <c r="B294" s="128"/>
    </row>
    <row r="295" ht="14.25" customHeight="1">
      <c r="B295" s="128"/>
    </row>
    <row r="296" ht="14.25" customHeight="1">
      <c r="B296" s="128"/>
    </row>
    <row r="297" ht="14.25" customHeight="1">
      <c r="B297" s="128"/>
    </row>
    <row r="298" ht="14.25" customHeight="1">
      <c r="B298" s="128"/>
    </row>
    <row r="299" ht="14.25" customHeight="1">
      <c r="B299" s="128"/>
    </row>
    <row r="300" ht="14.25" customHeight="1">
      <c r="B300" s="128"/>
    </row>
    <row r="301" ht="14.25" customHeight="1">
      <c r="B301" s="128"/>
    </row>
    <row r="302" ht="14.25" customHeight="1">
      <c r="B302" s="128"/>
    </row>
    <row r="303" ht="14.25" customHeight="1">
      <c r="B303" s="128"/>
    </row>
    <row r="304" ht="14.25" customHeight="1">
      <c r="B304" s="128"/>
    </row>
    <row r="305" ht="14.25" customHeight="1">
      <c r="B305" s="128"/>
    </row>
    <row r="306" ht="14.25" customHeight="1">
      <c r="B306" s="128"/>
    </row>
    <row r="307" ht="14.25" customHeight="1">
      <c r="B307" s="128"/>
    </row>
    <row r="308" ht="14.25" customHeight="1">
      <c r="B308" s="128"/>
    </row>
    <row r="309" ht="14.25" customHeight="1">
      <c r="B309" s="128"/>
    </row>
    <row r="310" ht="14.25" customHeight="1">
      <c r="B310" s="128"/>
    </row>
    <row r="311" ht="14.25" customHeight="1">
      <c r="B311" s="128"/>
    </row>
    <row r="312" ht="14.25" customHeight="1">
      <c r="B312" s="128"/>
    </row>
    <row r="313" ht="14.25" customHeight="1">
      <c r="B313" s="128"/>
    </row>
    <row r="314" ht="14.25" customHeight="1">
      <c r="B314" s="128"/>
    </row>
    <row r="315" ht="14.25" customHeight="1">
      <c r="B315" s="128"/>
    </row>
    <row r="316" ht="14.25" customHeight="1">
      <c r="B316" s="128"/>
    </row>
    <row r="317" ht="14.25" customHeight="1">
      <c r="B317" s="128"/>
    </row>
    <row r="318" ht="14.25" customHeight="1">
      <c r="B318" s="128"/>
    </row>
    <row r="319" ht="14.25" customHeight="1">
      <c r="B319" s="128"/>
    </row>
    <row r="320" ht="14.25" customHeight="1">
      <c r="B320" s="128"/>
    </row>
    <row r="321" ht="14.25" customHeight="1">
      <c r="B321" s="128"/>
    </row>
    <row r="322" ht="14.25" customHeight="1">
      <c r="B322" s="128"/>
    </row>
    <row r="323" ht="14.25" customHeight="1">
      <c r="B323" s="128"/>
    </row>
    <row r="324" ht="14.25" customHeight="1">
      <c r="B324" s="128"/>
    </row>
    <row r="325" ht="14.25" customHeight="1">
      <c r="B325" s="128"/>
    </row>
    <row r="326" ht="14.25" customHeight="1">
      <c r="B326" s="128"/>
    </row>
    <row r="327" ht="14.25" customHeight="1">
      <c r="B327" s="128"/>
    </row>
    <row r="328" ht="14.25" customHeight="1">
      <c r="B328" s="128"/>
    </row>
    <row r="329" ht="14.25" customHeight="1">
      <c r="B329" s="128"/>
    </row>
    <row r="330" ht="14.25" customHeight="1">
      <c r="B330" s="128"/>
    </row>
    <row r="331" ht="14.25" customHeight="1">
      <c r="B331" s="128"/>
    </row>
    <row r="332" ht="14.25" customHeight="1">
      <c r="B332" s="128"/>
    </row>
    <row r="333" ht="14.25" customHeight="1">
      <c r="B333" s="128"/>
    </row>
    <row r="334" ht="14.25" customHeight="1">
      <c r="B334" s="128"/>
    </row>
    <row r="335" ht="14.25" customHeight="1">
      <c r="B335" s="128"/>
    </row>
    <row r="336" ht="14.25" customHeight="1">
      <c r="B336" s="128"/>
    </row>
    <row r="337" ht="14.25" customHeight="1">
      <c r="B337" s="128"/>
    </row>
    <row r="338" ht="14.25" customHeight="1">
      <c r="B338" s="128"/>
    </row>
    <row r="339" ht="14.25" customHeight="1">
      <c r="B339" s="128"/>
    </row>
    <row r="340" ht="14.25" customHeight="1">
      <c r="B340" s="128"/>
    </row>
    <row r="341" ht="14.25" customHeight="1">
      <c r="B341" s="128"/>
    </row>
    <row r="342" ht="14.25" customHeight="1">
      <c r="B342" s="128"/>
    </row>
    <row r="343" ht="14.25" customHeight="1">
      <c r="B343" s="128"/>
    </row>
    <row r="344" ht="14.25" customHeight="1">
      <c r="B344" s="128"/>
    </row>
    <row r="345" ht="14.25" customHeight="1">
      <c r="B345" s="128"/>
    </row>
    <row r="346" ht="14.25" customHeight="1">
      <c r="B346" s="128"/>
    </row>
    <row r="347" ht="14.25" customHeight="1">
      <c r="B347" s="128"/>
    </row>
    <row r="348" ht="14.25" customHeight="1">
      <c r="B348" s="128"/>
    </row>
    <row r="349" ht="14.25" customHeight="1">
      <c r="B349" s="128"/>
    </row>
    <row r="350" ht="14.25" customHeight="1">
      <c r="B350" s="128"/>
    </row>
    <row r="351" ht="14.25" customHeight="1">
      <c r="B351" s="128"/>
    </row>
    <row r="352" ht="14.25" customHeight="1">
      <c r="B352" s="128"/>
    </row>
    <row r="353" ht="14.25" customHeight="1">
      <c r="B353" s="128"/>
    </row>
    <row r="354" ht="14.25" customHeight="1">
      <c r="B354" s="128"/>
    </row>
    <row r="355" ht="14.25" customHeight="1">
      <c r="B355" s="128"/>
    </row>
    <row r="356" ht="14.25" customHeight="1">
      <c r="B356" s="128"/>
    </row>
    <row r="357" ht="14.25" customHeight="1">
      <c r="B357" s="128"/>
    </row>
    <row r="358" ht="14.25" customHeight="1">
      <c r="B358" s="128"/>
    </row>
    <row r="359" ht="14.25" customHeight="1">
      <c r="B359" s="128"/>
    </row>
    <row r="360" ht="14.25" customHeight="1">
      <c r="B360" s="128"/>
    </row>
    <row r="361" ht="14.25" customHeight="1"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1:A1000">
    <cfRule type="containsText" dxfId="0" priority="1" operator="containsText" text="0">
      <formula>NOT(ISERROR(SEARCH(("0"),(A1))))</formula>
    </cfRule>
  </conditionalFormatting>
  <conditionalFormatting sqref="L16:Z16">
    <cfRule type="expression" dxfId="0" priority="2">
      <formula>"si(0;;)"</formula>
    </cfRule>
  </conditionalFormatting>
  <conditionalFormatting sqref="A1:A1000">
    <cfRule type="containsText" dxfId="0" priority="3" operator="containsText" text="0">
      <formula>NOT(ISERROR(SEARCH(("0"),(A1))))</formula>
    </cfRule>
  </conditionalFormatting>
  <conditionalFormatting sqref="L16:Z16">
    <cfRule type="expression" dxfId="0" priority="4">
      <formula>"si(0;;)"</formula>
    </cfRule>
  </conditionalFormatting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D965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64</v>
      </c>
    </row>
    <row r="2" ht="14.25" customHeight="1">
      <c r="A2" s="122" t="str">
        <f>IFERROR(__xludf.DUMMYFUNCTION(" IMPORTRANGE(""https://docs.google.com/spreadsheets/d/1EPHsKiAtea1CIz9GrikE7g_aSVHynjBCYba5ihQXehw/edit#gid=1983908333"",""So6!A2:A161"")"),"JM-Chatte")</f>
        <v>JM-Chatte</v>
      </c>
      <c r="B2" s="103">
        <v>1.0</v>
      </c>
      <c r="C2" s="123">
        <f t="shared" ref="C2:C161" si="1">800*(1-(B2/($H$1+1)))*POWER((SQRT(($H$1+1)/B2)),1/2)</f>
        <v>2236.582608</v>
      </c>
      <c r="D2" s="124" t="str">
        <f>VLOOKUP(A2,'Classement S6'!$B$2:$C$150,1,0)</f>
        <v>JM-Chatte</v>
      </c>
      <c r="E2" s="125" t="str">
        <f t="shared" ref="E2:E161" si="2">IF(D2=A2,"","erreur")</f>
        <v/>
      </c>
      <c r="F2" s="120" t="str">
        <f>VLOOKUP(A2,'Classement Général'!$B$2:$B$146,1,0)</f>
        <v>JM-Chatte</v>
      </c>
    </row>
    <row r="3" ht="14.25" customHeight="1">
      <c r="A3" s="122" t="str">
        <f>IFERROR(__xludf.DUMMYFUNCTION("""COMPUTED_VALUE"""),". BARBAPAPA66")</f>
        <v>. BARBAPAPA66</v>
      </c>
      <c r="B3" s="103">
        <v>2.0</v>
      </c>
      <c r="C3" s="123">
        <f t="shared" si="1"/>
        <v>1851.347824</v>
      </c>
      <c r="D3" s="124" t="str">
        <f>VLOOKUP(A3,'Classement S6'!$B$2:$C$150,1,0)</f>
        <v>. BARBAPAPA66</v>
      </c>
      <c r="E3" s="125" t="str">
        <f t="shared" si="2"/>
        <v/>
      </c>
      <c r="F3" s="120" t="str">
        <f>VLOOKUP(A3,'Classement Général'!$B$2:$B$146,1,0)</f>
        <v>. BARBAPAPA66</v>
      </c>
      <c r="G3" s="126"/>
    </row>
    <row r="4" ht="14.25" customHeight="1">
      <c r="A4" s="122" t="str">
        <f>IFERROR(__xludf.DUMMYFUNCTION("""COMPUTED_VALUE"""),"Kiki Bazaar")</f>
        <v>Kiki Bazaar</v>
      </c>
      <c r="B4" s="103">
        <v>3.0</v>
      </c>
      <c r="C4" s="123">
        <f t="shared" si="1"/>
        <v>1646.327927</v>
      </c>
      <c r="D4" s="124" t="str">
        <f>VLOOKUP(A4,'Classement S6'!$B$2:$C$150,1,0)</f>
        <v>Kiki Bazaar</v>
      </c>
      <c r="E4" s="125" t="str">
        <f t="shared" si="2"/>
        <v/>
      </c>
      <c r="F4" s="120" t="str">
        <f>VLOOKUP(A4,'Classement Général'!$B$2:$B$146,1,0)</f>
        <v>Kiki Bazaar</v>
      </c>
    </row>
    <row r="5" ht="14.25" customHeight="1">
      <c r="A5" s="122" t="str">
        <f>IFERROR(__xludf.DUMMYFUNCTION("""COMPUTED_VALUE"""),"KKPTETYO")</f>
        <v>KKPTETYO</v>
      </c>
      <c r="B5" s="103">
        <v>4.0</v>
      </c>
      <c r="C5" s="123">
        <f t="shared" si="1"/>
        <v>1507.369789</v>
      </c>
      <c r="D5" s="124" t="str">
        <f>VLOOKUP(A5,'Classement S6'!$B$2:$C$150,1,0)</f>
        <v>KKPTETYO</v>
      </c>
      <c r="E5" s="125" t="str">
        <f t="shared" si="2"/>
        <v/>
      </c>
      <c r="F5" s="120" t="str">
        <f>VLOOKUP(A5,'Classement Général'!$B$2:$B$146,1,0)</f>
        <v>KKPTETYO</v>
      </c>
    </row>
    <row r="6" ht="14.25" customHeight="1">
      <c r="A6" s="122" t="str">
        <f>IFERROR(__xludf.DUMMYFUNCTION("""COMPUTED_VALUE"""),"--WondeR--")</f>
        <v>--WondeR--</v>
      </c>
      <c r="B6" s="103">
        <v>5.0</v>
      </c>
      <c r="C6" s="123">
        <f t="shared" si="1"/>
        <v>1402.212127</v>
      </c>
      <c r="D6" s="124" t="str">
        <f>VLOOKUP(A6,'Classement S6'!$B$2:$C$150,1,0)</f>
        <v>--WondeR--</v>
      </c>
      <c r="E6" s="125" t="str">
        <f t="shared" si="2"/>
        <v/>
      </c>
      <c r="F6" s="120" t="str">
        <f>VLOOKUP(A6,'Classement Général'!$B$2:$B$146,1,0)</f>
        <v>--WondeR--</v>
      </c>
    </row>
    <row r="7" ht="14.25" customHeight="1">
      <c r="A7" s="122" t="str">
        <f>IFERROR(__xludf.DUMMYFUNCTION("""COMPUTED_VALUE"""),"CheckMoiCaaa")</f>
        <v>CheckMoiCaaa</v>
      </c>
      <c r="B7" s="103">
        <v>6.0</v>
      </c>
      <c r="C7" s="123">
        <f t="shared" si="1"/>
        <v>1317.404579</v>
      </c>
      <c r="D7" s="124" t="str">
        <f>VLOOKUP(A7,'Classement S6'!$B$2:$C$150,1,0)</f>
        <v>CheckMoiCaaa</v>
      </c>
      <c r="E7" s="125" t="str">
        <f t="shared" si="2"/>
        <v/>
      </c>
      <c r="F7" s="120" t="str">
        <f>VLOOKUP(A7,'Classement Général'!$B$2:$B$146,1,0)</f>
        <v>CheckMoiCaaa</v>
      </c>
    </row>
    <row r="8" ht="14.25" customHeight="1">
      <c r="A8" s="122" t="str">
        <f>IFERROR(__xludf.DUMMYFUNCTION("""COMPUTED_VALUE"""),"Odile2Raise")</f>
        <v>Odile2Raise</v>
      </c>
      <c r="B8" s="103">
        <v>7.0</v>
      </c>
      <c r="C8" s="123">
        <f t="shared" si="1"/>
        <v>1246.115945</v>
      </c>
      <c r="D8" s="124" t="str">
        <f>VLOOKUP(A8,'Classement S6'!$B$2:$C$150,1,0)</f>
        <v>Odile2Raise</v>
      </c>
      <c r="E8" s="125" t="str">
        <f t="shared" si="2"/>
        <v/>
      </c>
      <c r="F8" s="120" t="str">
        <f>VLOOKUP(A8,'Classement Général'!$B$2:$B$146,1,0)</f>
        <v>Odile2Raise</v>
      </c>
    </row>
    <row r="9" ht="14.25" customHeight="1">
      <c r="A9" s="122" t="str">
        <f>IFERROR(__xludf.DUMMYFUNCTION("""COMPUTED_VALUE"""),"FridAKahlo")</f>
        <v>FridAKahlo</v>
      </c>
      <c r="B9" s="103">
        <v>8.0</v>
      </c>
      <c r="C9" s="123">
        <f t="shared" si="1"/>
        <v>1184.424353</v>
      </c>
      <c r="D9" s="124" t="str">
        <f>VLOOKUP(A9,'Classement S6'!$B$2:$C$150,1,0)</f>
        <v>FridAKahlo</v>
      </c>
      <c r="E9" s="125" t="str">
        <f t="shared" si="2"/>
        <v/>
      </c>
      <c r="F9" s="120" t="str">
        <f>VLOOKUP(A9,'Classement Général'!$B$2:$B$146,1,0)</f>
        <v>FridAKahlo</v>
      </c>
    </row>
    <row r="10" ht="14.25" customHeight="1">
      <c r="A10" s="122" t="str">
        <f>IFERROR(__xludf.DUMMYFUNCTION("""COMPUTED_VALUE"""),".choco")</f>
        <v>.choco</v>
      </c>
      <c r="B10" s="103">
        <v>9.0</v>
      </c>
      <c r="C10" s="123">
        <f t="shared" si="1"/>
        <v>1129.880125</v>
      </c>
      <c r="D10" s="124" t="str">
        <f>VLOOKUP(A10,'Classement S6'!$B$2:$C$150,1,0)</f>
        <v>.choco</v>
      </c>
      <c r="E10" s="125" t="str">
        <f t="shared" si="2"/>
        <v/>
      </c>
      <c r="F10" s="120" t="str">
        <f>VLOOKUP(A10,'Classement Général'!$B$2:$B$146,1,0)</f>
        <v>.choco</v>
      </c>
    </row>
    <row r="11" ht="14.25" customHeight="1">
      <c r="A11" s="122" t="str">
        <f>IFERROR(__xludf.DUMMYFUNCTION("""COMPUTED_VALUE"""),"LEGOLEGOTE")</f>
        <v>LEGOLEGOTE</v>
      </c>
      <c r="B11" s="103">
        <v>10.0</v>
      </c>
      <c r="C11" s="123">
        <f t="shared" si="1"/>
        <v>1080.855555</v>
      </c>
      <c r="D11" s="124" t="str">
        <f>VLOOKUP(A11,'Classement S6'!$B$2:$C$150,1,0)</f>
        <v>LEGOLEGOTE</v>
      </c>
      <c r="E11" s="125" t="str">
        <f t="shared" si="2"/>
        <v/>
      </c>
      <c r="F11" s="120" t="str">
        <f>VLOOKUP(A11,'Classement Général'!$B$2:$B$146,1,0)</f>
        <v>LEGOLEGOTE</v>
      </c>
    </row>
    <row r="12" ht="14.25" customHeight="1">
      <c r="A12" s="122" t="str">
        <f>IFERROR(__xludf.DUMMYFUNCTION("""COMPUTED_VALUE"""),"Manu8671")</f>
        <v>Manu8671</v>
      </c>
      <c r="B12" s="103">
        <v>11.0</v>
      </c>
      <c r="C12" s="123">
        <f t="shared" si="1"/>
        <v>1036.21663</v>
      </c>
      <c r="D12" s="124" t="str">
        <f>VLOOKUP(A12,'Classement S6'!$B$2:$C$150,1,0)</f>
        <v>Manu8671</v>
      </c>
      <c r="E12" s="125" t="str">
        <f t="shared" si="2"/>
        <v/>
      </c>
      <c r="F12" s="120" t="str">
        <f>VLOOKUP(A12,'Classement Général'!$B$2:$B$146,1,0)</f>
        <v>Manu8671</v>
      </c>
    </row>
    <row r="13" ht="14.25" customHeight="1">
      <c r="A13" s="122" t="str">
        <f>IFERROR(__xludf.DUMMYFUNCTION("""COMPUTED_VALUE"""),"Fistipanda")</f>
        <v>Fistipanda</v>
      </c>
      <c r="B13" s="103">
        <v>12.0</v>
      </c>
      <c r="C13" s="123">
        <f t="shared" si="1"/>
        <v>995.1430805</v>
      </c>
      <c r="D13" s="124" t="str">
        <f>VLOOKUP(A13,'Classement S6'!$B$2:$C$150,1,0)</f>
        <v>Fistipanda</v>
      </c>
      <c r="E13" s="125" t="str">
        <f t="shared" si="2"/>
        <v/>
      </c>
      <c r="F13" s="120" t="str">
        <f>VLOOKUP(A13,'Classement Général'!$B$2:$B$146,1,0)</f>
        <v>Fistipanda</v>
      </c>
    </row>
    <row r="14" ht="14.25" customHeight="1">
      <c r="A14" s="122" t="str">
        <f>IFERROR(__xludf.DUMMYFUNCTION("""COMPUTED_VALUE"""),"DevilBock")</f>
        <v>DevilBock</v>
      </c>
      <c r="B14" s="103">
        <v>13.0</v>
      </c>
      <c r="C14" s="123">
        <f t="shared" si="1"/>
        <v>957.02322</v>
      </c>
      <c r="D14" s="124" t="str">
        <f>VLOOKUP(A14,'Classement S6'!$B$2:$C$150,1,0)</f>
        <v>DevilBock</v>
      </c>
      <c r="E14" s="125" t="str">
        <f t="shared" si="2"/>
        <v/>
      </c>
      <c r="F14" s="120" t="str">
        <f>VLOOKUP(A14,'Classement Général'!$B$2:$B$146,1,0)</f>
        <v>DevilBock</v>
      </c>
    </row>
    <row r="15" ht="14.25" customHeight="1">
      <c r="A15" s="122" t="str">
        <f>IFERROR(__xludf.DUMMYFUNCTION("""COMPUTED_VALUE"""),"8kinder6")</f>
        <v>8kinder6</v>
      </c>
      <c r="B15" s="103">
        <v>14.0</v>
      </c>
      <c r="C15" s="123">
        <f t="shared" si="1"/>
        <v>921.3892409</v>
      </c>
      <c r="D15" s="124" t="str">
        <f>VLOOKUP(A15,'Classement S6'!$B$2:$C$150,1,0)</f>
        <v>8kinder6</v>
      </c>
      <c r="E15" s="125" t="str">
        <f t="shared" si="2"/>
        <v/>
      </c>
      <c r="F15" s="120" t="str">
        <f>VLOOKUP(A15,'Classement Général'!$B$2:$B$146,1,0)</f>
        <v>8kinder6</v>
      </c>
    </row>
    <row r="16" ht="14.25" customHeight="1">
      <c r="A16" s="122" t="str">
        <f>IFERROR(__xludf.DUMMYFUNCTION("""COMPUTED_VALUE"""),"Patgaret")</f>
        <v>Patgaret</v>
      </c>
      <c r="B16" s="103">
        <v>15.0</v>
      </c>
      <c r="C16" s="123">
        <f t="shared" si="1"/>
        <v>887.8756775</v>
      </c>
      <c r="D16" s="124" t="str">
        <f>VLOOKUP(A16,'Classement S6'!$B$2:$C$150,1,0)</f>
        <v>Patgaret</v>
      </c>
      <c r="E16" s="125" t="str">
        <f t="shared" si="2"/>
        <v/>
      </c>
      <c r="F16" s="120" t="str">
        <f>VLOOKUP(A16,'Classement Général'!$B$2:$B$146,1,0)</f>
        <v>Patgaret</v>
      </c>
    </row>
    <row r="17" ht="14.25" customHeight="1">
      <c r="A17" s="122" t="str">
        <f>IFERROR(__xludf.DUMMYFUNCTION("""COMPUTED_VALUE"""),"Bratake")</f>
        <v>Bratake</v>
      </c>
      <c r="B17" s="103">
        <v>16.0</v>
      </c>
      <c r="C17" s="123">
        <f t="shared" si="1"/>
        <v>856.1917797</v>
      </c>
      <c r="D17" s="124" t="str">
        <f>VLOOKUP(A17,'Classement S6'!$B$2:$C$150,1,0)</f>
        <v>Bratake</v>
      </c>
      <c r="E17" s="125" t="str">
        <f t="shared" si="2"/>
        <v/>
      </c>
      <c r="F17" s="120" t="str">
        <f>VLOOKUP(A17,'Classement Général'!$B$2:$B$146,1,0)</f>
        <v>Bratake</v>
      </c>
    </row>
    <row r="18" ht="14.25" customHeight="1">
      <c r="A18" s="122" t="str">
        <f>IFERROR(__xludf.DUMMYFUNCTION("""COMPUTED_VALUE"""),"A_iniesta")</f>
        <v>A_iniesta</v>
      </c>
      <c r="B18" s="103">
        <v>17.0</v>
      </c>
      <c r="C18" s="123">
        <f t="shared" si="1"/>
        <v>826.1025763</v>
      </c>
      <c r="D18" s="124" t="str">
        <f>VLOOKUP(A18,'Classement S6'!$B$2:$C$150,1,0)</f>
        <v>A_iniesta</v>
      </c>
      <c r="E18" s="125" t="str">
        <f t="shared" si="2"/>
        <v/>
      </c>
      <c r="F18" s="120" t="str">
        <f>VLOOKUP(A18,'Classement Général'!$B$2:$B$146,1,0)</f>
        <v>A_iniesta</v>
      </c>
    </row>
    <row r="19" ht="14.25" customHeight="1">
      <c r="A19" s="122" t="str">
        <f>IFERROR(__xludf.DUMMYFUNCTION("""COMPUTED_VALUE"""),"POMB1664")</f>
        <v>POMB1664</v>
      </c>
      <c r="B19" s="103">
        <v>18.0</v>
      </c>
      <c r="C19" s="123">
        <f t="shared" si="1"/>
        <v>797.4155515</v>
      </c>
      <c r="D19" s="124" t="str">
        <f>VLOOKUP(A19,'Classement S6'!$B$2:$C$150,1,0)</f>
        <v>POMB1664</v>
      </c>
      <c r="E19" s="125" t="str">
        <f t="shared" si="2"/>
        <v/>
      </c>
      <c r="F19" s="120" t="str">
        <f>VLOOKUP(A19,'Classement Général'!$B$2:$B$146,1,0)</f>
        <v>POMB1664</v>
      </c>
    </row>
    <row r="20" ht="14.25" customHeight="1">
      <c r="A20" s="122" t="str">
        <f>IFERROR(__xludf.DUMMYFUNCTION("""COMPUTED_VALUE"""),"SINGE7")</f>
        <v>SINGE7</v>
      </c>
      <c r="B20" s="103">
        <v>19.0</v>
      </c>
      <c r="C20" s="123">
        <f t="shared" si="1"/>
        <v>769.9710579</v>
      </c>
      <c r="D20" s="124" t="str">
        <f>VLOOKUP(A20,'Classement S6'!$B$2:$C$150,1,0)</f>
        <v>SINGE7</v>
      </c>
      <c r="E20" s="125" t="str">
        <f t="shared" si="2"/>
        <v/>
      </c>
      <c r="F20" s="120" t="str">
        <f>VLOOKUP(A20,'Classement Général'!$B$2:$B$146,1,0)</f>
        <v>SINGE7</v>
      </c>
    </row>
    <row r="21" ht="14.25" customHeight="1">
      <c r="A21" s="122" t="str">
        <f>IFERROR(__xludf.DUMMYFUNCTION("""COMPUTED_VALUE"""),"Or&amp;l1")</f>
        <v>Or&amp;l1</v>
      </c>
      <c r="B21" s="103">
        <v>20.0</v>
      </c>
      <c r="C21" s="123">
        <f t="shared" si="1"/>
        <v>743.6352778</v>
      </c>
      <c r="D21" s="124" t="str">
        <f>VLOOKUP(A21,'Classement S6'!$B$2:$C$150,1,0)</f>
        <v>Or&amp;l1</v>
      </c>
      <c r="E21" s="125" t="str">
        <f t="shared" si="2"/>
        <v/>
      </c>
      <c r="F21" s="120" t="str">
        <f>VLOOKUP(A21,'Classement Général'!$B$2:$B$146,1,0)</f>
        <v>Or&amp;l1</v>
      </c>
    </row>
    <row r="22" ht="14.25" customHeight="1">
      <c r="A22" s="122" t="str">
        <f>IFERROR(__xludf.DUMMYFUNCTION("""COMPUTED_VALUE"""),"Jennyyy8")</f>
        <v>Jennyyy8</v>
      </c>
      <c r="B22" s="103">
        <v>21.0</v>
      </c>
      <c r="C22" s="123">
        <f t="shared" si="1"/>
        <v>718.2949652</v>
      </c>
      <c r="D22" s="124" t="str">
        <f>VLOOKUP(A22,'Classement S6'!$B$2:$C$150,1,0)</f>
        <v>Jennyyy8</v>
      </c>
      <c r="E22" s="125" t="str">
        <f t="shared" si="2"/>
        <v/>
      </c>
      <c r="F22" s="120" t="str">
        <f>VLOOKUP(A22,'Classement Général'!$B$2:$B$146,1,0)</f>
        <v>Jennyyy8</v>
      </c>
    </row>
    <row r="23" ht="14.25" customHeight="1">
      <c r="A23" s="122" t="str">
        <f>IFERROR(__xludf.DUMMYFUNCTION("""COMPUTED_VALUE"""),"Phil1308")</f>
        <v>Phil1308</v>
      </c>
      <c r="B23" s="103">
        <v>22.0</v>
      </c>
      <c r="C23" s="123">
        <f t="shared" si="1"/>
        <v>693.8534545</v>
      </c>
      <c r="D23" s="124" t="str">
        <f>VLOOKUP(A23,'Classement S6'!$B$2:$C$150,1,0)</f>
        <v>Phil1308</v>
      </c>
      <c r="E23" s="125" t="str">
        <f t="shared" si="2"/>
        <v/>
      </c>
      <c r="F23" s="120" t="str">
        <f>VLOOKUP(A23,'Classement Général'!$B$2:$B$146,1,0)</f>
        <v>Phil1308</v>
      </c>
    </row>
    <row r="24" ht="14.25" customHeight="1">
      <c r="A24" s="122" t="str">
        <f>IFERROR(__xludf.DUMMYFUNCTION("""COMPUTED_VALUE"""),"Rod_John_VI")</f>
        <v>Rod_John_VI</v>
      </c>
      <c r="B24" s="103">
        <v>23.0</v>
      </c>
      <c r="C24" s="123">
        <f t="shared" si="1"/>
        <v>670.2275888</v>
      </c>
      <c r="D24" s="124" t="str">
        <f>VLOOKUP(A24,'Classement S6'!$B$2:$C$150,1,0)</f>
        <v>Rod_John_VI</v>
      </c>
      <c r="E24" s="125" t="str">
        <f t="shared" si="2"/>
        <v/>
      </c>
      <c r="F24" s="120" t="str">
        <f>VLOOKUP(A24,'Classement Général'!$B$2:$B$146,1,0)</f>
        <v>Rod_John_VI</v>
      </c>
    </row>
    <row r="25" ht="14.25" customHeight="1">
      <c r="A25" s="122" t="str">
        <f>IFERROR(__xludf.DUMMYFUNCTION("""COMPUTED_VALUE"""),"fiodor86")</f>
        <v>fiodor86</v>
      </c>
      <c r="B25" s="103">
        <v>24.0</v>
      </c>
      <c r="C25" s="123">
        <f t="shared" si="1"/>
        <v>647.3453248</v>
      </c>
      <c r="D25" s="124" t="str">
        <f>VLOOKUP(A25,'Classement S6'!$B$2:$C$150,1,0)</f>
        <v>fiodor86</v>
      </c>
      <c r="E25" s="125" t="str">
        <f t="shared" si="2"/>
        <v/>
      </c>
      <c r="F25" s="120" t="str">
        <f>VLOOKUP(A25,'Classement Général'!$B$2:$B$146,1,0)</f>
        <v>fiodor86</v>
      </c>
    </row>
    <row r="26" ht="14.25" customHeight="1">
      <c r="A26" s="122" t="str">
        <f>IFERROR(__xludf.DUMMYFUNCTION("""COMPUTED_VALUE"""),"Elfy")</f>
        <v>Elfy</v>
      </c>
      <c r="B26" s="103">
        <v>25.0</v>
      </c>
      <c r="C26" s="123">
        <f t="shared" si="1"/>
        <v>625.1438437</v>
      </c>
      <c r="D26" s="124" t="str">
        <f>VLOOKUP(A26,'Classement S6'!$B$2:$C$150,1,0)</f>
        <v>Elfy</v>
      </c>
      <c r="E26" s="125" t="str">
        <f t="shared" si="2"/>
        <v/>
      </c>
      <c r="F26" s="120" t="str">
        <f>VLOOKUP(A26,'Classement Général'!$B$2:$B$146,1,0)</f>
        <v>Elfy</v>
      </c>
    </row>
    <row r="27" ht="14.25" customHeight="1">
      <c r="A27" s="122" t="str">
        <f>IFERROR(__xludf.DUMMYFUNCTION("""COMPUTED_VALUE"""),"cassius-86")</f>
        <v>cassius-86</v>
      </c>
      <c r="B27" s="103">
        <v>26.0</v>
      </c>
      <c r="C27" s="123">
        <f t="shared" si="1"/>
        <v>603.5680462</v>
      </c>
      <c r="D27" s="124" t="str">
        <f>VLOOKUP(A27,'Classement S6'!$B$2:$C$150,1,0)</f>
        <v>cassius-86</v>
      </c>
      <c r="E27" s="125" t="str">
        <f t="shared" si="2"/>
        <v/>
      </c>
      <c r="F27" s="120" t="str">
        <f>VLOOKUP(A27,'Classement Général'!$B$2:$B$146,1,0)</f>
        <v>cassius-86</v>
      </c>
    </row>
    <row r="28" ht="14.25" customHeight="1">
      <c r="A28" s="122" t="str">
        <f>IFERROR(__xludf.DUMMYFUNCTION("""COMPUTED_VALUE"""),"immond")</f>
        <v>immond</v>
      </c>
      <c r="B28" s="103">
        <v>27.0</v>
      </c>
      <c r="C28" s="123">
        <f t="shared" si="1"/>
        <v>582.5693409</v>
      </c>
      <c r="D28" s="124" t="str">
        <f>VLOOKUP(A28,'Classement S6'!$B$2:$C$150,1,0)</f>
        <v>immond</v>
      </c>
      <c r="E28" s="125" t="str">
        <f t="shared" si="2"/>
        <v/>
      </c>
      <c r="F28" s="120" t="str">
        <f>VLOOKUP(A28,'Classement Général'!$B$2:$B$146,1,0)</f>
        <v>immond</v>
      </c>
    </row>
    <row r="29" ht="14.25" customHeight="1">
      <c r="A29" s="122" t="str">
        <f>IFERROR(__xludf.DUMMYFUNCTION("""COMPUTED_VALUE"""),"karibette86")</f>
        <v>karibette86</v>
      </c>
      <c r="B29" s="103">
        <v>28.0</v>
      </c>
      <c r="C29" s="123">
        <f t="shared" si="1"/>
        <v>562.10466</v>
      </c>
      <c r="D29" s="124" t="str">
        <f>VLOOKUP(A29,'Classement S6'!$B$2:$C$150,1,0)</f>
        <v>karibette86</v>
      </c>
      <c r="E29" s="125" t="str">
        <f t="shared" si="2"/>
        <v/>
      </c>
      <c r="F29" s="120" t="str">
        <f>VLOOKUP(A29,'Classement Général'!$B$2:$B$146,1,0)</f>
        <v>karibette86</v>
      </c>
    </row>
    <row r="30" ht="14.25" customHeight="1">
      <c r="A30" s="122" t="str">
        <f>IFERROR(__xludf.DUMMYFUNCTION("""COMPUTED_VALUE"""),"BnHuR_MarCL.")</f>
        <v>BnHuR_MarCL.</v>
      </c>
      <c r="B30" s="103">
        <v>29.0</v>
      </c>
      <c r="C30" s="123">
        <f t="shared" si="1"/>
        <v>542.1356551</v>
      </c>
      <c r="D30" s="124" t="str">
        <f>VLOOKUP(A30,'Classement S6'!$B$2:$C$150,1,0)</f>
        <v>BnHuR_MarCL.</v>
      </c>
      <c r="E30" s="125" t="str">
        <f t="shared" si="2"/>
        <v/>
      </c>
      <c r="F30" s="120" t="str">
        <f>VLOOKUP(A30,'Classement Général'!$B$2:$B$146,1,0)</f>
        <v>BnHuR_MarCL.</v>
      </c>
    </row>
    <row r="31" ht="14.25" customHeight="1">
      <c r="A31" s="122" t="str">
        <f>IFERROR(__xludf.DUMMYFUNCTION("""COMPUTED_VALUE"""),"_VisMaVie_")</f>
        <v>_VisMaVie_</v>
      </c>
      <c r="B31" s="103">
        <v>30.0</v>
      </c>
      <c r="C31" s="123">
        <f t="shared" si="1"/>
        <v>522.6280321</v>
      </c>
      <c r="D31" s="124" t="str">
        <f>VLOOKUP(A31,'Classement S6'!$B$2:$C$150,1,0)</f>
        <v>_VisMaVie_</v>
      </c>
      <c r="E31" s="125" t="str">
        <f t="shared" si="2"/>
        <v/>
      </c>
      <c r="F31" s="120" t="str">
        <f>VLOOKUP(A31,'Classement Général'!$B$2:$B$146,1,0)</f>
        <v>_VisMaVie_</v>
      </c>
    </row>
    <row r="32" ht="14.25" customHeight="1">
      <c r="A32" s="122" t="str">
        <f>IFERROR(__xludf.DUMMYFUNCTION("""COMPUTED_VALUE"""),"Mar1desbois")</f>
        <v>Mar1desbois</v>
      </c>
      <c r="B32" s="103">
        <v>31.0</v>
      </c>
      <c r="C32" s="123">
        <f t="shared" si="1"/>
        <v>503.5510004</v>
      </c>
      <c r="D32" s="124" t="str">
        <f>VLOOKUP(A32,'Classement S6'!$B$2:$C$150,1,0)</f>
        <v>Mar1desbois</v>
      </c>
      <c r="E32" s="125" t="str">
        <f t="shared" si="2"/>
        <v/>
      </c>
      <c r="F32" s="120" t="str">
        <f>VLOOKUP(A32,'Classement Général'!$B$2:$B$146,1,0)</f>
        <v>Mar1desbois</v>
      </c>
    </row>
    <row r="33" ht="14.25" customHeight="1">
      <c r="A33" s="122" t="str">
        <f>IFERROR(__xludf.DUMMYFUNCTION("""COMPUTED_VALUE"""),"Le_Pictavien")</f>
        <v>Le_Pictavien</v>
      </c>
      <c r="B33" s="103">
        <v>32.0</v>
      </c>
      <c r="C33" s="123">
        <f t="shared" si="1"/>
        <v>484.8768111</v>
      </c>
      <c r="D33" s="124" t="str">
        <f>VLOOKUP(A33,'Classement S6'!$B$2:$C$150,1,0)</f>
        <v>Le_Pictavien</v>
      </c>
      <c r="E33" s="125" t="str">
        <f t="shared" si="2"/>
        <v/>
      </c>
      <c r="F33" s="120" t="str">
        <f>VLOOKUP(A33,'Classement Général'!$B$2:$B$146,1,0)</f>
        <v>Le_Pictavien</v>
      </c>
    </row>
    <row r="34" ht="14.25" customHeight="1">
      <c r="A34" s="122" t="str">
        <f>IFERROR(__xludf.DUMMYFUNCTION("""COMPUTED_VALUE"""),"UnPetitJaune")</f>
        <v>UnPetitJaune</v>
      </c>
      <c r="B34" s="103">
        <v>33.0</v>
      </c>
      <c r="C34" s="123">
        <f t="shared" si="1"/>
        <v>466.5803697</v>
      </c>
      <c r="D34" s="124" t="str">
        <f>VLOOKUP(A34,'Classement S6'!$B$2:$C$150,1,0)</f>
        <v>UnPetitJaune</v>
      </c>
      <c r="E34" s="125" t="str">
        <f t="shared" si="2"/>
        <v/>
      </c>
      <c r="F34" s="120" t="str">
        <f>VLOOKUP(A34,'Classement Général'!$B$2:$B$146,1,0)</f>
        <v>UnPetitJaune</v>
      </c>
    </row>
    <row r="35" ht="14.25" customHeight="1">
      <c r="A35" s="122" t="str">
        <f>IFERROR(__xludf.DUMMYFUNCTION("""COMPUTED_VALUE"""),"Pachavi")</f>
        <v>Pachavi</v>
      </c>
      <c r="B35" s="103">
        <v>34.0</v>
      </c>
      <c r="C35" s="123">
        <f t="shared" si="1"/>
        <v>448.6389072</v>
      </c>
      <c r="D35" s="124" t="str">
        <f>VLOOKUP(A35,'Classement S6'!$B$2:$C$150,1,0)</f>
        <v>Pachavi</v>
      </c>
      <c r="E35" s="125" t="str">
        <f t="shared" si="2"/>
        <v/>
      </c>
      <c r="F35" s="120" t="str">
        <f>VLOOKUP(A35,'Classement Général'!$B$2:$B$146,1,0)</f>
        <v>Pachavi</v>
      </c>
    </row>
    <row r="36" ht="14.25" customHeight="1">
      <c r="A36" s="122" t="str">
        <f>IFERROR(__xludf.DUMMYFUNCTION("""COMPUTED_VALUE"""),"lifeofpark")</f>
        <v>lifeofpark</v>
      </c>
      <c r="B36" s="103">
        <v>35.0</v>
      </c>
      <c r="C36" s="123">
        <f t="shared" si="1"/>
        <v>431.0317018</v>
      </c>
      <c r="D36" s="124" t="str">
        <f>VLOOKUP(A36,'Classement S6'!$B$2:$C$150,1,0)</f>
        <v>lifeofpark</v>
      </c>
      <c r="E36" s="125" t="str">
        <f t="shared" si="2"/>
        <v/>
      </c>
      <c r="F36" s="120" t="str">
        <f>VLOOKUP(A36,'Classement Général'!$B$2:$B$146,1,0)</f>
        <v>lifeofpark</v>
      </c>
    </row>
    <row r="37" ht="14.25" customHeight="1">
      <c r="A37" s="122" t="str">
        <f>IFERROR(__xludf.DUMMYFUNCTION("""COMPUTED_VALUE"""),"NOVICEMYSTIC")</f>
        <v>NOVICEMYSTIC</v>
      </c>
      <c r="B37" s="103">
        <v>36.0</v>
      </c>
      <c r="C37" s="123">
        <f t="shared" si="1"/>
        <v>413.73984</v>
      </c>
      <c r="D37" s="124" t="str">
        <f>VLOOKUP(A37,'Classement S6'!$B$2:$C$150,1,0)</f>
        <v>NOVICEMYSTIC</v>
      </c>
      <c r="E37" s="125" t="str">
        <f t="shared" si="2"/>
        <v/>
      </c>
      <c r="F37" s="120" t="str">
        <f>VLOOKUP(A37,'Classement Général'!$B$2:$B$146,1,0)</f>
        <v>NOVICEMYSTIC</v>
      </c>
    </row>
    <row r="38" ht="14.25" customHeight="1">
      <c r="A38" s="122" t="str">
        <f>IFERROR(__xludf.DUMMYFUNCTION("""COMPUTED_VALUE"""),"QQKicall")</f>
        <v>QQKicall</v>
      </c>
      <c r="B38" s="103">
        <v>37.0</v>
      </c>
      <c r="C38" s="123">
        <f t="shared" si="1"/>
        <v>396.7460118</v>
      </c>
      <c r="D38" s="124" t="str">
        <f>VLOOKUP(A38,'Classement S6'!$B$2:$C$150,1,0)</f>
        <v>QQKicall</v>
      </c>
      <c r="E38" s="125" t="str">
        <f t="shared" si="2"/>
        <v/>
      </c>
      <c r="F38" s="120" t="str">
        <f>VLOOKUP(A38,'Classement Général'!$B$2:$B$146,1,0)</f>
        <v>QQKicall</v>
      </c>
    </row>
    <row r="39" ht="14.25" customHeight="1">
      <c r="A39" s="122" t="str">
        <f>IFERROR(__xludf.DUMMYFUNCTION("""COMPUTED_VALUE"""),"_Sale-Bet_")</f>
        <v>_Sale-Bet_</v>
      </c>
      <c r="B39" s="103">
        <v>38.0</v>
      </c>
      <c r="C39" s="123">
        <f t="shared" si="1"/>
        <v>380.034334</v>
      </c>
      <c r="D39" s="124" t="str">
        <f>VLOOKUP(A39,'Classement S6'!$B$2:$C$150,1,0)</f>
        <v>_Sale-Bet_</v>
      </c>
      <c r="E39" s="125" t="str">
        <f t="shared" si="2"/>
        <v/>
      </c>
      <c r="F39" s="120" t="str">
        <f>VLOOKUP(A39,'Classement Général'!$B$2:$B$146,1,0)</f>
        <v>_Sale-Bet_</v>
      </c>
    </row>
    <row r="40" ht="14.25" customHeight="1">
      <c r="A40" s="122" t="str">
        <f>IFERROR(__xludf.DUMMYFUNCTION("""COMPUTED_VALUE"""),"Sab86360")</f>
        <v>Sab86360</v>
      </c>
      <c r="B40" s="103">
        <v>39.0</v>
      </c>
      <c r="C40" s="123">
        <f t="shared" si="1"/>
        <v>363.5901973</v>
      </c>
      <c r="D40" s="124" t="str">
        <f>VLOOKUP(A40,'Classement S6'!$B$2:$C$150,1,0)</f>
        <v>Sab86360</v>
      </c>
      <c r="E40" s="125" t="str">
        <f t="shared" si="2"/>
        <v/>
      </c>
      <c r="F40" s="120" t="str">
        <f>VLOOKUP(A40,'Classement Général'!$B$2:$B$146,1,0)</f>
        <v>Sab86360</v>
      </c>
    </row>
    <row r="41" ht="14.25" customHeight="1">
      <c r="A41" s="122" t="str">
        <f>IFERROR(__xludf.DUMMYFUNCTION("""COMPUTED_VALUE"""),"Titounio")</f>
        <v>Titounio</v>
      </c>
      <c r="B41" s="103">
        <v>40.0</v>
      </c>
      <c r="C41" s="123">
        <f t="shared" si="1"/>
        <v>347.400133</v>
      </c>
      <c r="D41" s="124" t="str">
        <f>VLOOKUP(A41,'Classement S6'!$B$2:$C$150,1,0)</f>
        <v>Titounio</v>
      </c>
      <c r="E41" s="125" t="str">
        <f t="shared" si="2"/>
        <v/>
      </c>
      <c r="F41" s="120" t="str">
        <f>VLOOKUP(A41,'Classement Général'!$B$2:$B$146,1,0)</f>
        <v>Titounio</v>
      </c>
    </row>
    <row r="42" ht="14.25" customHeight="1">
      <c r="A42" s="122" t="str">
        <f>IFERROR(__xludf.DUMMYFUNCTION("""COMPUTED_VALUE"""),"DonnesTchips")</f>
        <v>DonnesTchips</v>
      </c>
      <c r="B42" s="103">
        <v>41.0</v>
      </c>
      <c r="C42" s="123">
        <f t="shared" si="1"/>
        <v>331.4516971</v>
      </c>
      <c r="D42" s="124" t="str">
        <f>VLOOKUP(A42,'Classement S6'!$B$2:$C$150,1,0)</f>
        <v>DonnesTchips</v>
      </c>
      <c r="E42" s="125" t="str">
        <f t="shared" si="2"/>
        <v/>
      </c>
      <c r="F42" s="120" t="str">
        <f>VLOOKUP(A42,'Classement Général'!$B$2:$B$146,1,0)</f>
        <v>DonnesTchips</v>
      </c>
    </row>
    <row r="43" ht="14.25" customHeight="1">
      <c r="A43" s="122" t="str">
        <f>IFERROR(__xludf.DUMMYFUNCTION("""COMPUTED_VALUE"""),"Forzouille57")</f>
        <v>Forzouille57</v>
      </c>
      <c r="B43" s="103">
        <v>42.0</v>
      </c>
      <c r="C43" s="123">
        <f t="shared" si="1"/>
        <v>315.7333684</v>
      </c>
      <c r="D43" s="124" t="str">
        <f>VLOOKUP(A43,'Classement S6'!$B$2:$C$150,1,0)</f>
        <v>Forzouille57</v>
      </c>
      <c r="E43" s="125" t="str">
        <f t="shared" si="2"/>
        <v/>
      </c>
      <c r="F43" s="120" t="str">
        <f>VLOOKUP(A43,'Classement Général'!$B$2:$B$146,1,0)</f>
        <v>Forzouille57</v>
      </c>
    </row>
    <row r="44" ht="14.25" customHeight="1">
      <c r="A44" s="122" t="str">
        <f>IFERROR(__xludf.DUMMYFUNCTION("""COMPUTED_VALUE"""),"AKlibur")</f>
        <v>AKlibur</v>
      </c>
      <c r="B44" s="103">
        <v>43.0</v>
      </c>
      <c r="C44" s="123">
        <f t="shared" si="1"/>
        <v>300.2344591</v>
      </c>
      <c r="D44" s="124" t="str">
        <f>VLOOKUP(A44,'Classement S6'!$B$2:$C$150,1,0)</f>
        <v>AKlibur</v>
      </c>
      <c r="E44" s="125" t="str">
        <f t="shared" si="2"/>
        <v/>
      </c>
      <c r="F44" s="120" t="str">
        <f>VLOOKUP(A44,'Classement Général'!$B$2:$B$146,1,0)</f>
        <v>AKlibur</v>
      </c>
    </row>
    <row r="45" ht="14.25" customHeight="1">
      <c r="A45" s="122" t="str">
        <f>IFERROR(__xludf.DUMMYFUNCTION("""COMPUTED_VALUE"""),"Redblood92")</f>
        <v>Redblood92</v>
      </c>
      <c r="B45" s="103">
        <v>44.0</v>
      </c>
      <c r="C45" s="123">
        <f t="shared" si="1"/>
        <v>284.9450357</v>
      </c>
      <c r="D45" s="124" t="str">
        <f>VLOOKUP(A45,'Classement S6'!$B$2:$C$150,1,0)</f>
        <v>Redblood92</v>
      </c>
      <c r="E45" s="125" t="str">
        <f t="shared" si="2"/>
        <v/>
      </c>
      <c r="F45" s="120" t="str">
        <f>VLOOKUP(A45,'Classement Général'!$B$2:$B$146,1,0)</f>
        <v>Redblood92</v>
      </c>
    </row>
    <row r="46" ht="14.25" customHeight="1">
      <c r="A46" s="122" t="str">
        <f>IFERROR(__xludf.DUMMYFUNCTION("""COMPUTED_VALUE"""),"gregmoore")</f>
        <v>gregmoore</v>
      </c>
      <c r="B46" s="103">
        <v>45.0</v>
      </c>
      <c r="C46" s="123">
        <f t="shared" si="1"/>
        <v>269.8558497</v>
      </c>
      <c r="D46" s="124" t="str">
        <f>VLOOKUP(A46,'Classement S6'!$B$2:$C$150,1,0)</f>
        <v>gregmoore</v>
      </c>
      <c r="E46" s="125" t="str">
        <f t="shared" si="2"/>
        <v/>
      </c>
      <c r="F46" s="120" t="str">
        <f>VLOOKUP(A46,'Classement Général'!$B$2:$B$146,1,0)</f>
        <v>gregmoore</v>
      </c>
    </row>
    <row r="47" ht="14.25" customHeight="1">
      <c r="A47" s="122" t="str">
        <f>IFERROR(__xludf.DUMMYFUNCTION("""COMPUTED_VALUE"""),"Belussac")</f>
        <v>Belussac</v>
      </c>
      <c r="B47" s="103">
        <v>46.0</v>
      </c>
      <c r="C47" s="123">
        <f t="shared" si="1"/>
        <v>254.9582752</v>
      </c>
      <c r="D47" s="124" t="str">
        <f>VLOOKUP(A47,'Classement S6'!$B$2:$C$150,1,0)</f>
        <v>belussac</v>
      </c>
      <c r="E47" s="125" t="str">
        <f t="shared" si="2"/>
        <v/>
      </c>
      <c r="F47" s="120" t="str">
        <f>VLOOKUP(A47,'Classement Général'!$B$2:$B$146,1,0)</f>
        <v>belussac</v>
      </c>
    </row>
    <row r="48" ht="14.25" customHeight="1">
      <c r="A48" s="122" t="str">
        <f>IFERROR(__xludf.DUMMYFUNCTION("""COMPUTED_VALUE"""),"PrendmAmAin")</f>
        <v>PrendmAmAin</v>
      </c>
      <c r="B48" s="103">
        <v>47.0</v>
      </c>
      <c r="C48" s="123">
        <f t="shared" si="1"/>
        <v>240.2442545</v>
      </c>
      <c r="D48" s="124" t="str">
        <f>VLOOKUP(A48,'Classement S6'!$B$2:$C$150,1,0)</f>
        <v>PrendmAmAin</v>
      </c>
      <c r="E48" s="125" t="str">
        <f t="shared" si="2"/>
        <v/>
      </c>
      <c r="F48" s="120" t="str">
        <f>VLOOKUP(A48,'Classement Général'!$B$2:$B$146,1,0)</f>
        <v>PrendmAmAin</v>
      </c>
    </row>
    <row r="49" ht="14.25" customHeight="1">
      <c r="A49" s="122" t="str">
        <f>IFERROR(__xludf.DUMMYFUNCTION("""COMPUTED_VALUE"""),"Marypops64")</f>
        <v>Marypops64</v>
      </c>
      <c r="B49" s="103">
        <v>48.0</v>
      </c>
      <c r="C49" s="123">
        <f t="shared" si="1"/>
        <v>225.7062481</v>
      </c>
      <c r="D49" s="124" t="str">
        <f>VLOOKUP(A49,'Classement S6'!$B$2:$C$150,1,0)</f>
        <v>Marypops64</v>
      </c>
      <c r="E49" s="125" t="str">
        <f t="shared" si="2"/>
        <v/>
      </c>
      <c r="F49" s="120" t="str">
        <f>VLOOKUP(A49,'Classement Général'!$B$2:$B$146,1,0)</f>
        <v>marypops64</v>
      </c>
    </row>
    <row r="50" ht="14.25" customHeight="1">
      <c r="A50" s="122" t="str">
        <f>IFERROR(__xludf.DUMMYFUNCTION("""COMPUTED_VALUE"""),"christ86000")</f>
        <v>christ86000</v>
      </c>
      <c r="B50" s="103">
        <v>49.0</v>
      </c>
      <c r="C50" s="123">
        <f t="shared" si="1"/>
        <v>211.3371917</v>
      </c>
      <c r="D50" s="124" t="str">
        <f>VLOOKUP(A50,'Classement S6'!$B$2:$C$150,1,0)</f>
        <v>christ86000</v>
      </c>
      <c r="E50" s="125" t="str">
        <f t="shared" si="2"/>
        <v/>
      </c>
      <c r="F50" s="120" t="str">
        <f>VLOOKUP(A50,'Classement Général'!$B$2:$B$146,1,0)</f>
        <v>christ86000</v>
      </c>
    </row>
    <row r="51" ht="14.25" customHeight="1">
      <c r="A51" s="122" t="str">
        <f>IFERROR(__xludf.DUMMYFUNCTION("""COMPUTED_VALUE"""),"m86600b")</f>
        <v>m86600b</v>
      </c>
      <c r="B51" s="103">
        <v>50.0</v>
      </c>
      <c r="C51" s="123">
        <f t="shared" si="1"/>
        <v>197.1304564</v>
      </c>
      <c r="D51" s="124" t="str">
        <f>VLOOKUP(A51,'Classement S6'!$B$2:$C$150,1,0)</f>
        <v>m86600b</v>
      </c>
      <c r="E51" s="125" t="str">
        <f t="shared" si="2"/>
        <v/>
      </c>
      <c r="F51" s="120" t="str">
        <f>VLOOKUP(A51,'Classement Général'!$B$2:$B$146,1,0)</f>
        <v>m86600b</v>
      </c>
    </row>
    <row r="52" ht="14.25" customHeight="1">
      <c r="A52" s="122" t="str">
        <f>IFERROR(__xludf.DUMMYFUNCTION("""COMPUTED_VALUE"""),"NezuKO-demon")</f>
        <v>NezuKO-demon</v>
      </c>
      <c r="B52" s="103">
        <v>51.0</v>
      </c>
      <c r="C52" s="123">
        <f t="shared" si="1"/>
        <v>183.0798134</v>
      </c>
      <c r="D52" s="124" t="str">
        <f>VLOOKUP(A52,'Classement S6'!$B$2:$C$150,1,0)</f>
        <v>NezuKO-demon</v>
      </c>
      <c r="E52" s="125" t="str">
        <f t="shared" si="2"/>
        <v/>
      </c>
      <c r="F52" s="120" t="str">
        <f>VLOOKUP(A52,'Classement Général'!$B$2:$B$146,1,0)</f>
        <v>NezuKO-demon</v>
      </c>
    </row>
    <row r="53" ht="14.25" customHeight="1">
      <c r="A53" s="122" t="str">
        <f>IFERROR(__xludf.DUMMYFUNCTION("""COMPUTED_VALUE"""),"kiki86 x")</f>
        <v>kiki86 x</v>
      </c>
      <c r="B53" s="103">
        <v>52.0</v>
      </c>
      <c r="C53" s="123">
        <f t="shared" si="1"/>
        <v>169.1794022</v>
      </c>
      <c r="D53" s="124" t="str">
        <f>VLOOKUP(A53,'Classement S6'!$B$2:$C$150,1,0)</f>
        <v>kiki86 x</v>
      </c>
      <c r="E53" s="125" t="str">
        <f t="shared" si="2"/>
        <v/>
      </c>
      <c r="F53" s="120" t="str">
        <f>VLOOKUP(A53,'Classement Général'!$B$2:$B$146,1,0)</f>
        <v>kiki86 x</v>
      </c>
    </row>
    <row r="54" ht="14.25" customHeight="1">
      <c r="A54" s="122" t="str">
        <f>IFERROR(__xludf.DUMMYFUNCTION("""COMPUTED_VALUE"""),"Kevfurious")</f>
        <v>Kevfurious</v>
      </c>
      <c r="B54" s="103">
        <v>53.0</v>
      </c>
      <c r="C54" s="123">
        <f t="shared" si="1"/>
        <v>155.4237017</v>
      </c>
      <c r="D54" s="124" t="str">
        <f>VLOOKUP(A54,'Classement S6'!$B$2:$C$150,1,0)</f>
        <v>Kevfurious</v>
      </c>
      <c r="E54" s="125" t="str">
        <f t="shared" si="2"/>
        <v/>
      </c>
      <c r="F54" s="120" t="str">
        <f>VLOOKUP(A54,'Classement Général'!$B$2:$B$146,1,0)</f>
        <v>Kevfurious</v>
      </c>
    </row>
    <row r="55" ht="14.25" customHeight="1">
      <c r="A55" s="122" t="str">
        <f>IFERROR(__xludf.DUMMYFUNCTION("""COMPUTED_VALUE"""),"AD-ICE")</f>
        <v>AD-ICE</v>
      </c>
      <c r="B55" s="103">
        <v>54.0</v>
      </c>
      <c r="C55" s="123">
        <f t="shared" si="1"/>
        <v>141.8075046</v>
      </c>
      <c r="D55" s="124" t="str">
        <f>VLOOKUP(A55,'Classement S6'!$B$2:$C$150,1,0)</f>
        <v>AD-ICE</v>
      </c>
      <c r="E55" s="125" t="str">
        <f t="shared" si="2"/>
        <v/>
      </c>
      <c r="F55" s="120" t="str">
        <f>VLOOKUP(A55,'Classement Général'!$B$2:$B$146,1,0)</f>
        <v>AD-ICE</v>
      </c>
    </row>
    <row r="56" ht="14.25" customHeight="1">
      <c r="A56" s="122" t="str">
        <f>IFERROR(__xludf.DUMMYFUNCTION("""COMPUTED_VALUE"""),"Vaillant 86")</f>
        <v>Vaillant 86</v>
      </c>
      <c r="B56" s="103">
        <v>55.0</v>
      </c>
      <c r="C56" s="123">
        <f t="shared" si="1"/>
        <v>128.3258936</v>
      </c>
      <c r="D56" s="124" t="str">
        <f>VLOOKUP(A56,'Classement S6'!$B$2:$C$150,1,0)</f>
        <v>Vaillant 86</v>
      </c>
      <c r="E56" s="125" t="str">
        <f t="shared" si="2"/>
        <v/>
      </c>
      <c r="F56" s="120" t="str">
        <f>VLOOKUP(A56,'Classement Général'!$B$2:$B$146,1,0)</f>
        <v>Vaillant 86</v>
      </c>
    </row>
    <row r="57" ht="14.25" customHeight="1">
      <c r="A57" s="122" t="str">
        <f>IFERROR(__xludf.DUMMYFUNCTION("""COMPUTED_VALUE"""),"erniedog56x")</f>
        <v>erniedog56x</v>
      </c>
      <c r="B57" s="103">
        <v>56.0</v>
      </c>
      <c r="C57" s="123">
        <f t="shared" si="1"/>
        <v>114.9742201</v>
      </c>
      <c r="D57" s="124" t="str">
        <f>VLOOKUP(A57,'Classement S6'!$B$2:$C$150,1,0)</f>
        <v>erniedog56x</v>
      </c>
      <c r="E57" s="125" t="str">
        <f t="shared" si="2"/>
        <v/>
      </c>
      <c r="F57" s="120" t="str">
        <f>VLOOKUP(A57,'Classement Général'!$B$2:$B$146,1,0)</f>
        <v>erniedog56x</v>
      </c>
    </row>
    <row r="58" ht="14.25" customHeight="1">
      <c r="A58" s="122" t="str">
        <f>IFERROR(__xludf.DUMMYFUNCTION("""COMPUTED_VALUE"""),"Legabodu86")</f>
        <v>Legabodu86</v>
      </c>
      <c r="B58" s="103">
        <v>57.0</v>
      </c>
      <c r="C58" s="123">
        <f t="shared" si="1"/>
        <v>101.7480846</v>
      </c>
      <c r="D58" s="124" t="str">
        <f>VLOOKUP(A58,'Classement S6'!$B$2:$C$150,1,0)</f>
        <v>Legabodu86</v>
      </c>
      <c r="E58" s="125" t="str">
        <f t="shared" si="2"/>
        <v/>
      </c>
      <c r="F58" s="120" t="str">
        <f>VLOOKUP(A58,'Classement Général'!$B$2:$B$146,1,0)</f>
        <v>Legabodu86</v>
      </c>
    </row>
    <row r="59" ht="14.25" customHeight="1">
      <c r="A59" s="122" t="str">
        <f>IFERROR(__xludf.DUMMYFUNCTION("""COMPUTED_VALUE"""),"Mako Lemore")</f>
        <v>Mako Lemore</v>
      </c>
      <c r="B59" s="103">
        <v>58.0</v>
      </c>
      <c r="C59" s="123">
        <f t="shared" si="1"/>
        <v>88.64331951</v>
      </c>
      <c r="D59" s="124" t="str">
        <f>VLOOKUP(A59,'Classement S6'!$B$2:$C$150,1,0)</f>
        <v>Mako Lemore</v>
      </c>
      <c r="E59" s="125" t="str">
        <f t="shared" si="2"/>
        <v/>
      </c>
      <c r="F59" s="120" t="str">
        <f>VLOOKUP(A59,'Classement Général'!$B$2:$B$146,1,0)</f>
        <v>Mako Lemore</v>
      </c>
    </row>
    <row r="60" ht="14.25" customHeight="1">
      <c r="A60" s="122" t="str">
        <f>IFERROR(__xludf.DUMMYFUNCTION("""COMPUTED_VALUE"""),"VietNems86")</f>
        <v>VietNems86</v>
      </c>
      <c r="B60" s="103">
        <v>59.0</v>
      </c>
      <c r="C60" s="123">
        <f t="shared" si="1"/>
        <v>75.65597229</v>
      </c>
      <c r="D60" s="124" t="str">
        <f>VLOOKUP(A60,'Classement S6'!$B$2:$C$150,1,0)</f>
        <v>VietNems86</v>
      </c>
      <c r="E60" s="125" t="str">
        <f t="shared" si="2"/>
        <v/>
      </c>
      <c r="F60" s="120" t="str">
        <f>VLOOKUP(A60,'Classement Général'!$B$2:$B$146,1,0)</f>
        <v>VietNems86</v>
      </c>
    </row>
    <row r="61" ht="14.25" customHeight="1">
      <c r="A61" s="122" t="str">
        <f>IFERROR(__xludf.DUMMYFUNCTION("""COMPUTED_VALUE"""),"vicmackey86")</f>
        <v>vicmackey86</v>
      </c>
      <c r="B61" s="103">
        <v>60.0</v>
      </c>
      <c r="C61" s="123">
        <f t="shared" si="1"/>
        <v>62.78229124</v>
      </c>
      <c r="D61" s="124" t="str">
        <f>VLOOKUP(A61,'Classement S6'!$B$2:$C$150,1,0)</f>
        <v>vicmackey86</v>
      </c>
      <c r="E61" s="125" t="str">
        <f t="shared" si="2"/>
        <v/>
      </c>
      <c r="F61" s="120" t="str">
        <f>VLOOKUP(A61,'Classement Général'!$B$2:$B$146,1,0)</f>
        <v>vicmackey86</v>
      </c>
    </row>
    <row r="62" ht="14.25" customHeight="1">
      <c r="A62" s="122" t="str">
        <f>IFERROR(__xludf.DUMMYFUNCTION("""COMPUTED_VALUE"""),"Dirty Bazaar")</f>
        <v>Dirty Bazaar</v>
      </c>
      <c r="B62" s="103">
        <v>61.0</v>
      </c>
      <c r="C62" s="123">
        <f t="shared" si="1"/>
        <v>50.01871175</v>
      </c>
      <c r="D62" s="124" t="str">
        <f>VLOOKUP(A62,'Classement S6'!$B$2:$C$150,1,0)</f>
        <v>Dirty Bazaar</v>
      </c>
      <c r="E62" s="125" t="str">
        <f t="shared" si="2"/>
        <v/>
      </c>
      <c r="F62" s="120" t="str">
        <f>VLOOKUP(A62,'Classement Général'!$B$2:$B$146,1,0)</f>
        <v>Dirty Bazaar</v>
      </c>
    </row>
    <row r="63" ht="14.25" customHeight="1">
      <c r="A63" s="122" t="str">
        <f>IFERROR(__xludf.DUMMYFUNCTION("""COMPUTED_VALUE"""),"Butterfly-as")</f>
        <v>Butterfly-as</v>
      </c>
      <c r="B63" s="103">
        <v>62.0</v>
      </c>
      <c r="C63" s="123">
        <f t="shared" si="1"/>
        <v>37.36184392</v>
      </c>
      <c r="D63" s="124" t="str">
        <f>VLOOKUP(A63,'Classement S6'!$B$2:$C$150,1,0)</f>
        <v>Butterfly-as</v>
      </c>
      <c r="E63" s="125" t="str">
        <f t="shared" si="2"/>
        <v/>
      </c>
      <c r="F63" s="120" t="str">
        <f>VLOOKUP(A63,'Classement Général'!$B$2:$B$146,1,0)</f>
        <v>Butterfly-as</v>
      </c>
    </row>
    <row r="64" ht="14.25" customHeight="1">
      <c r="A64" s="122" t="str">
        <f>IFERROR(__xludf.DUMMYFUNCTION("""COMPUTED_VALUE"""),"Garou du 86")</f>
        <v>Garou du 86</v>
      </c>
      <c r="B64" s="103">
        <v>63.0</v>
      </c>
      <c r="C64" s="123">
        <f t="shared" si="1"/>
        <v>24.80846124</v>
      </c>
      <c r="D64" s="124" t="str">
        <f>VLOOKUP(A64,'Classement S6'!$B$2:$C$150,1,0)</f>
        <v>Garou du 86</v>
      </c>
      <c r="E64" s="125" t="str">
        <f t="shared" si="2"/>
        <v/>
      </c>
      <c r="F64" s="120" t="str">
        <f>VLOOKUP(A64,'Classement Général'!$B$2:$B$146,1,0)</f>
        <v>Garou du 86</v>
      </c>
    </row>
    <row r="65" ht="14.25" customHeight="1">
      <c r="A65" s="122" t="str">
        <f>IFERROR(__xludf.DUMMYFUNCTION("""COMPUTED_VALUE"""),"hmnyocleaver")</f>
        <v>hmnyocleaver</v>
      </c>
      <c r="B65" s="103">
        <v>64.0</v>
      </c>
      <c r="C65" s="123">
        <f t="shared" si="1"/>
        <v>12.35549007</v>
      </c>
      <c r="D65" s="124" t="str">
        <f>VLOOKUP(A65,'Classement S6'!$B$2:$C$150,1,0)</f>
        <v>hmnyocleaver</v>
      </c>
      <c r="E65" s="125" t="str">
        <f t="shared" si="2"/>
        <v/>
      </c>
      <c r="F65" s="120" t="str">
        <f>VLOOKUP(A65,'Classement Général'!$B$2:$B$146,1,0)</f>
        <v>hmnyocleaver</v>
      </c>
    </row>
    <row r="66" ht="14.25" customHeight="1">
      <c r="A66" s="122"/>
      <c r="B66" s="103">
        <v>65.0</v>
      </c>
      <c r="C66" s="123">
        <f t="shared" si="1"/>
        <v>0</v>
      </c>
      <c r="D66" s="124" t="str">
        <f>VLOOKUP(A66,'Classement S6'!$B$2:$C$150,1,0)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22"/>
      <c r="B67" s="103">
        <v>66.0</v>
      </c>
      <c r="C67" s="123">
        <f t="shared" si="1"/>
        <v>-12.26080501</v>
      </c>
      <c r="D67" s="124" t="str">
        <f>VLOOKUP(A67,'Classement S6'!$B$2:$C$150,1,0)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22"/>
      <c r="B68" s="103">
        <v>67.0</v>
      </c>
      <c r="C68" s="123">
        <f t="shared" si="1"/>
        <v>-24.42959485</v>
      </c>
      <c r="D68" s="124" t="str">
        <f>VLOOKUP(A68,'Classement S6'!$B$2:$C$150,1,0)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22"/>
      <c r="B69" s="103">
        <v>68.0</v>
      </c>
      <c r="C69" s="123">
        <f t="shared" si="1"/>
        <v>-36.50892085</v>
      </c>
      <c r="D69" s="124" t="str">
        <f>VLOOKUP(A69,'Classement S6'!$B$2:$C$150,1,0)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22"/>
      <c r="B70" s="103">
        <v>69.0</v>
      </c>
      <c r="C70" s="123">
        <f t="shared" si="1"/>
        <v>-48.50122281</v>
      </c>
      <c r="D70" s="124" t="str">
        <f>VLOOKUP(A70,'Classement S6'!$B$2:$C$150,1,0)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22"/>
      <c r="B71" s="103">
        <v>70.0</v>
      </c>
      <c r="C71" s="123">
        <f t="shared" si="1"/>
        <v>-60.40883549</v>
      </c>
      <c r="D71" s="124" t="str">
        <f>VLOOKUP(A71,'Classement S6'!$B$2:$C$150,1,0)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22"/>
      <c r="B72" s="103">
        <v>71.0</v>
      </c>
      <c r="C72" s="123">
        <f t="shared" si="1"/>
        <v>-72.23399466</v>
      </c>
      <c r="D72" s="124" t="str">
        <f>VLOOKUP(A72,'Classement S6'!$B$2:$C$150,1,0)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22"/>
      <c r="B73" s="103">
        <v>72.0</v>
      </c>
      <c r="C73" s="123">
        <f t="shared" si="1"/>
        <v>-83.9788427</v>
      </c>
      <c r="D73" s="124" t="str">
        <f>VLOOKUP(A73,'Classement S6'!$B$2:$C$150,1,0)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22"/>
      <c r="B74" s="103">
        <v>73.0</v>
      </c>
      <c r="C74" s="123">
        <f t="shared" si="1"/>
        <v>-95.64543385</v>
      </c>
      <c r="D74" s="124" t="str">
        <f>VLOOKUP(A74,'Classement S6'!$B$2:$C$150,1,0)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22"/>
      <c r="B75" s="103">
        <v>74.0</v>
      </c>
      <c r="C75" s="123">
        <f t="shared" si="1"/>
        <v>-107.235739</v>
      </c>
      <c r="D75" s="124" t="str">
        <f>VLOOKUP(A75,'Classement S6'!$B$2:$C$150,1,0)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22"/>
      <c r="B76" s="103">
        <v>75.0</v>
      </c>
      <c r="C76" s="123">
        <f t="shared" si="1"/>
        <v>-118.7516503</v>
      </c>
      <c r="D76" s="124" t="str">
        <f>VLOOKUP(A76,'Classement S6'!$B$2:$C$150,1,0)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22"/>
      <c r="B77" s="103">
        <v>76.0</v>
      </c>
      <c r="C77" s="123">
        <f t="shared" si="1"/>
        <v>-130.1949852</v>
      </c>
      <c r="D77" s="124" t="str">
        <f>VLOOKUP(A77,'Classement S6'!$B$2:$C$150,1,0)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22"/>
      <c r="B78" s="103">
        <v>77.0</v>
      </c>
      <c r="C78" s="123">
        <f t="shared" si="1"/>
        <v>-141.5674907</v>
      </c>
      <c r="D78" s="124" t="str">
        <f>VLOOKUP(A78,'Classement S6'!$B$2:$C$150,1,0)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22"/>
      <c r="B79" s="103">
        <v>78.0</v>
      </c>
      <c r="C79" s="123">
        <f t="shared" si="1"/>
        <v>-152.8708468</v>
      </c>
      <c r="D79" s="124" t="str">
        <f>VLOOKUP(A79,'Classement S6'!$B$2:$C$150,1,0)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27"/>
      <c r="B80" s="103">
        <v>79.0</v>
      </c>
      <c r="C80" s="123">
        <f t="shared" si="1"/>
        <v>-164.1066698</v>
      </c>
      <c r="D80" s="124" t="str">
        <f>VLOOKUP(A80,'Classement S6'!$B$2:$C$150,1,0)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27"/>
      <c r="B81" s="103">
        <v>80.0</v>
      </c>
      <c r="C81" s="123">
        <f t="shared" si="1"/>
        <v>-175.2765159</v>
      </c>
      <c r="D81" s="124" t="str">
        <f>VLOOKUP(A81,'Classement S6'!$B$2:$C$150,1,0)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27"/>
      <c r="B82" s="103">
        <v>81.0</v>
      </c>
      <c r="C82" s="123">
        <f t="shared" si="1"/>
        <v>-186.381884</v>
      </c>
      <c r="D82" s="124" t="str">
        <f>VLOOKUP(A82,'Classement S6'!$B$2:$C$150,1,0)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27"/>
      <c r="B83" s="103">
        <v>82.0</v>
      </c>
      <c r="C83" s="123">
        <f t="shared" si="1"/>
        <v>-197.4242186</v>
      </c>
      <c r="D83" s="124" t="str">
        <f>VLOOKUP(A83,'Classement S6'!$B$2:$C$150,1,0)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27"/>
      <c r="B84" s="103">
        <v>83.0</v>
      </c>
      <c r="C84" s="123">
        <f t="shared" si="1"/>
        <v>-208.4049123</v>
      </c>
      <c r="D84" s="124" t="str">
        <f>VLOOKUP(A84,'Classement S6'!$B$2:$C$150,1,0)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27"/>
      <c r="B85" s="103">
        <v>84.0</v>
      </c>
      <c r="C85" s="123">
        <f t="shared" si="1"/>
        <v>-219.3253085</v>
      </c>
      <c r="D85" s="124" t="str">
        <f>VLOOKUP(A85,'Classement S6'!$B$2:$C$150,1,0)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27"/>
      <c r="B86" s="103">
        <v>85.0</v>
      </c>
      <c r="C86" s="123">
        <f t="shared" si="1"/>
        <v>-230.1867037</v>
      </c>
      <c r="D86" s="124" t="str">
        <f>VLOOKUP(A86,'Classement S6'!$B$2:$C$150,1,0)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27"/>
      <c r="B87" s="103">
        <v>86.0</v>
      </c>
      <c r="C87" s="123">
        <f t="shared" si="1"/>
        <v>-240.9903494</v>
      </c>
      <c r="D87" s="124" t="str">
        <f>VLOOKUP(A87,'Classement S6'!$B$2:$C$150,1,0)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27"/>
      <c r="B88" s="103">
        <v>87.0</v>
      </c>
      <c r="C88" s="123">
        <f t="shared" si="1"/>
        <v>-251.7374549</v>
      </c>
      <c r="D88" s="124" t="str">
        <f>VLOOKUP(A88,'Classement S6'!$B$2:$C$150,1,0)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27"/>
      <c r="B89" s="103">
        <v>88.0</v>
      </c>
      <c r="C89" s="123">
        <f t="shared" si="1"/>
        <v>-262.4291885</v>
      </c>
      <c r="D89" s="124" t="str">
        <f>VLOOKUP(A89,'Classement S6'!$B$2:$C$150,1,0)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27"/>
      <c r="B90" s="103">
        <v>89.0</v>
      </c>
      <c r="C90" s="123">
        <f t="shared" si="1"/>
        <v>-273.0666796</v>
      </c>
      <c r="D90" s="124" t="str">
        <f>VLOOKUP(A90,'Classement S6'!$B$2:$C$150,1,0)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27"/>
      <c r="B91" s="103">
        <v>90.0</v>
      </c>
      <c r="C91" s="123">
        <f t="shared" si="1"/>
        <v>-283.6510208</v>
      </c>
      <c r="D91" s="124" t="str">
        <f>VLOOKUP(A91,'Classement S6'!$B$2:$C$150,1,0)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27"/>
      <c r="B92" s="103">
        <v>91.0</v>
      </c>
      <c r="C92" s="123">
        <f t="shared" si="1"/>
        <v>-294.1832689</v>
      </c>
      <c r="D92" s="124" t="str">
        <f>VLOOKUP(A92,'Classement S6'!$B$2:$C$150,1,0)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27"/>
      <c r="B93" s="103">
        <v>92.0</v>
      </c>
      <c r="C93" s="123">
        <f t="shared" si="1"/>
        <v>-304.6644469</v>
      </c>
      <c r="D93" s="124" t="str">
        <f>VLOOKUP(A93,'Classement S6'!$B$2:$C$150,1,0)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27"/>
      <c r="B94" s="103">
        <v>93.0</v>
      </c>
      <c r="C94" s="123">
        <f t="shared" si="1"/>
        <v>-315.0955456</v>
      </c>
      <c r="D94" s="124" t="str">
        <f>VLOOKUP(A94,'Classement S6'!$B$2:$C$150,1,0)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27"/>
      <c r="B95" s="103">
        <v>94.0</v>
      </c>
      <c r="C95" s="123">
        <f t="shared" si="1"/>
        <v>-325.4775244</v>
      </c>
      <c r="D95" s="124" t="str">
        <f>VLOOKUP(A95,'Classement S6'!$B$2:$C$150,1,0)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27"/>
      <c r="B96" s="103">
        <v>95.0</v>
      </c>
      <c r="C96" s="123">
        <f t="shared" si="1"/>
        <v>-335.8113131</v>
      </c>
      <c r="D96" s="124" t="str">
        <f>VLOOKUP(A96,'Classement S6'!$B$2:$C$150,1,0)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27"/>
      <c r="B97" s="103">
        <v>96.0</v>
      </c>
      <c r="C97" s="123">
        <f t="shared" si="1"/>
        <v>-346.0978131</v>
      </c>
      <c r="D97" s="124" t="str">
        <f>VLOOKUP(A97,'Classement S6'!$B$2:$C$150,1,0)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27"/>
      <c r="B98" s="103">
        <v>97.0</v>
      </c>
      <c r="C98" s="123">
        <f t="shared" si="1"/>
        <v>-356.3378984</v>
      </c>
      <c r="D98" s="124" t="str">
        <f>VLOOKUP(A98,'Classement S6'!$B$2:$C$150,1,0)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27"/>
      <c r="B99" s="103">
        <v>98.0</v>
      </c>
      <c r="C99" s="123">
        <f t="shared" si="1"/>
        <v>-366.5324168</v>
      </c>
      <c r="D99" s="124" t="str">
        <f>VLOOKUP(A99,'Classement S6'!$B$2:$C$150,1,0)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27"/>
      <c r="B100" s="103">
        <v>99.0</v>
      </c>
      <c r="C100" s="123">
        <f t="shared" si="1"/>
        <v>-376.682191</v>
      </c>
      <c r="D100" s="124" t="str">
        <f>VLOOKUP(A100,'Classement S6'!$B$2:$C$150,1,0)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27"/>
      <c r="B101" s="103">
        <v>100.0</v>
      </c>
      <c r="C101" s="123">
        <f t="shared" si="1"/>
        <v>-386.7880197</v>
      </c>
      <c r="D101" s="124" t="str">
        <f>VLOOKUP(A101,'Classement S6'!$B$2:$C$150,1,0)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27"/>
      <c r="B102" s="103">
        <v>101.0</v>
      </c>
      <c r="C102" s="123">
        <f t="shared" si="1"/>
        <v>-396.8506782</v>
      </c>
      <c r="D102" s="124" t="str">
        <f>VLOOKUP(A102,'Classement S6'!$B$2:$C$150,1,0)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27"/>
      <c r="B103" s="103">
        <v>102.0</v>
      </c>
      <c r="C103" s="123">
        <f t="shared" si="1"/>
        <v>-406.8709197</v>
      </c>
      <c r="D103" s="124" t="str">
        <f>VLOOKUP(A103,'Classement S6'!$B$2:$C$150,1,0)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27"/>
      <c r="B104" s="103">
        <v>103.0</v>
      </c>
      <c r="C104" s="123">
        <f t="shared" si="1"/>
        <v>-416.849476</v>
      </c>
      <c r="D104" s="124" t="str">
        <f>VLOOKUP(A104,'Classement S6'!$B$2:$C$150,1,0)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27"/>
      <c r="B105" s="103">
        <v>104.0</v>
      </c>
      <c r="C105" s="123">
        <f t="shared" si="1"/>
        <v>-426.7870584</v>
      </c>
      <c r="D105" s="124" t="str">
        <f>VLOOKUP(A105,'Classement S6'!$B$2:$C$150,1,0)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27"/>
      <c r="B106" s="103">
        <v>105.0</v>
      </c>
      <c r="C106" s="123">
        <f t="shared" si="1"/>
        <v>-436.6843583</v>
      </c>
      <c r="D106" s="124" t="str">
        <f>VLOOKUP(A106,'Classement S6'!$B$2:$C$150,1,0)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27"/>
      <c r="B107" s="103">
        <v>106.0</v>
      </c>
      <c r="C107" s="123">
        <f t="shared" si="1"/>
        <v>-446.542048</v>
      </c>
      <c r="D107" s="124" t="str">
        <f>VLOOKUP(A107,'Classement S6'!$B$2:$C$150,1,0)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27"/>
      <c r="B108" s="103">
        <v>107.0</v>
      </c>
      <c r="C108" s="123">
        <f t="shared" si="1"/>
        <v>-456.3607818</v>
      </c>
      <c r="D108" s="124" t="str">
        <f>VLOOKUP(A108,'Classement S6'!$B$2:$C$150,1,0)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27"/>
      <c r="B109" s="103">
        <v>108.0</v>
      </c>
      <c r="C109" s="123">
        <f t="shared" si="1"/>
        <v>-466.1411961</v>
      </c>
      <c r="D109" s="124" t="str">
        <f>VLOOKUP(A109,'Classement S6'!$B$2:$C$150,1,0)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27"/>
      <c r="B110" s="103">
        <v>109.0</v>
      </c>
      <c r="C110" s="123">
        <f t="shared" si="1"/>
        <v>-475.8839103</v>
      </c>
      <c r="D110" s="124" t="str">
        <f>VLOOKUP(A110,'Classement S6'!$B$2:$C$150,1,0)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27"/>
      <c r="B111" s="103">
        <v>110.0</v>
      </c>
      <c r="C111" s="123">
        <f t="shared" si="1"/>
        <v>-485.5895276</v>
      </c>
      <c r="D111" s="124" t="str">
        <f>VLOOKUP(A111,'Classement S6'!$B$2:$C$150,1,0)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27"/>
      <c r="B112" s="103">
        <v>111.0</v>
      </c>
      <c r="C112" s="123">
        <f t="shared" si="1"/>
        <v>-495.2586352</v>
      </c>
      <c r="D112" s="124" t="str">
        <f>VLOOKUP(A112,'Classement S6'!$B$2:$C$150,1,0)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27"/>
      <c r="B113" s="103">
        <v>112.0</v>
      </c>
      <c r="C113" s="123">
        <f t="shared" si="1"/>
        <v>-504.8918052</v>
      </c>
      <c r="D113" s="124" t="str">
        <f>VLOOKUP(A113,'Classement S6'!$B$2:$C$150,1,0)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27"/>
      <c r="B114" s="103">
        <v>113.0</v>
      </c>
      <c r="C114" s="123">
        <f t="shared" si="1"/>
        <v>-514.489595</v>
      </c>
      <c r="D114" s="124" t="str">
        <f>VLOOKUP(A114,'Classement S6'!$B$2:$C$150,1,0)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27"/>
      <c r="B115" s="103">
        <v>114.0</v>
      </c>
      <c r="C115" s="123">
        <f t="shared" si="1"/>
        <v>-524.0525477</v>
      </c>
      <c r="D115" s="124" t="str">
        <f>VLOOKUP(A115,'Classement S6'!$B$2:$C$150,1,0)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27"/>
      <c r="B116" s="103">
        <v>115.0</v>
      </c>
      <c r="C116" s="123">
        <f t="shared" si="1"/>
        <v>-533.5811931</v>
      </c>
      <c r="D116" s="124" t="str">
        <f>VLOOKUP(A116,'Classement S6'!$B$2:$C$150,1,0)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27"/>
      <c r="B117" s="103">
        <v>116.0</v>
      </c>
      <c r="C117" s="123">
        <f t="shared" si="1"/>
        <v>-543.0760472</v>
      </c>
      <c r="D117" s="124" t="str">
        <f>VLOOKUP(A117,'Classement S6'!$B$2:$C$150,1,0)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27"/>
      <c r="B118" s="103">
        <v>117.0</v>
      </c>
      <c r="C118" s="123">
        <f t="shared" si="1"/>
        <v>-552.5376137</v>
      </c>
      <c r="D118" s="124" t="str">
        <f>VLOOKUP(A118,'Classement S6'!$B$2:$C$150,1,0)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27"/>
      <c r="B119" s="103">
        <v>118.0</v>
      </c>
      <c r="C119" s="123">
        <f t="shared" si="1"/>
        <v>-561.9663837</v>
      </c>
      <c r="D119" s="124" t="str">
        <f>VLOOKUP(A119,'Classement S6'!$B$2:$C$150,1,0)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27"/>
      <c r="B120" s="103">
        <v>119.0</v>
      </c>
      <c r="C120" s="123">
        <f t="shared" si="1"/>
        <v>-571.3628366</v>
      </c>
      <c r="D120" s="124" t="str">
        <f>VLOOKUP(A120,'Classement S6'!$B$2:$C$150,1,0)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27"/>
      <c r="B121" s="103">
        <v>120.0</v>
      </c>
      <c r="C121" s="123">
        <f t="shared" si="1"/>
        <v>-580.7274401</v>
      </c>
      <c r="D121" s="124" t="str">
        <f>VLOOKUP(A121,'Classement S6'!$B$2:$C$150,1,0)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27"/>
      <c r="B122" s="103">
        <v>121.0</v>
      </c>
      <c r="C122" s="123">
        <f t="shared" si="1"/>
        <v>-590.0606508</v>
      </c>
      <c r="D122" s="124" t="str">
        <f>VLOOKUP(A122,'Classement S6'!$B$2:$C$150,1,0)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27"/>
      <c r="B123" s="103">
        <v>122.0</v>
      </c>
      <c r="C123" s="123">
        <f t="shared" si="1"/>
        <v>-599.3629145</v>
      </c>
      <c r="D123" s="124" t="str">
        <f>VLOOKUP(A123,'Classement S6'!$B$2:$C$150,1,0)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27"/>
      <c r="B124" s="103">
        <v>123.0</v>
      </c>
      <c r="C124" s="123">
        <f t="shared" si="1"/>
        <v>-608.6346665</v>
      </c>
      <c r="D124" s="124" t="str">
        <f>VLOOKUP(A124,'Classement S6'!$B$2:$C$150,1,0)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27"/>
      <c r="B125" s="103">
        <v>124.0</v>
      </c>
      <c r="C125" s="123">
        <f t="shared" si="1"/>
        <v>-617.8763322</v>
      </c>
      <c r="D125" s="124" t="str">
        <f>VLOOKUP(A125,'Classement S6'!$B$2:$C$150,1,0)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27"/>
      <c r="B126" s="103">
        <v>125.0</v>
      </c>
      <c r="C126" s="123">
        <f t="shared" si="1"/>
        <v>-627.088327</v>
      </c>
      <c r="D126" s="124" t="str">
        <f>VLOOKUP(A126,'Classement S6'!$B$2:$C$150,1,0)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27"/>
      <c r="B127" s="103">
        <v>126.0</v>
      </c>
      <c r="C127" s="123">
        <f t="shared" si="1"/>
        <v>-636.2710569</v>
      </c>
      <c r="D127" s="124" t="str">
        <f>VLOOKUP(A127,'Classement S6'!$B$2:$C$150,1,0)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27"/>
      <c r="B128" s="103">
        <v>127.0</v>
      </c>
      <c r="C128" s="123">
        <f t="shared" si="1"/>
        <v>-645.4249188</v>
      </c>
      <c r="D128" s="124" t="str">
        <f>VLOOKUP(A128,'Classement S6'!$B$2:$C$150,1,0)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27"/>
      <c r="B129" s="103">
        <v>128.0</v>
      </c>
      <c r="C129" s="123">
        <f t="shared" si="1"/>
        <v>-654.5503005</v>
      </c>
      <c r="D129" s="124" t="str">
        <f>VLOOKUP(A129,'Classement S6'!$B$2:$C$150,1,0)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27"/>
      <c r="B130" s="103">
        <v>129.0</v>
      </c>
      <c r="C130" s="123">
        <f t="shared" si="1"/>
        <v>-663.6475813</v>
      </c>
      <c r="D130" s="124" t="str">
        <f>VLOOKUP(A130,'Classement S6'!$B$2:$C$150,1,0)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27"/>
      <c r="B131" s="103">
        <v>130.0</v>
      </c>
      <c r="C131" s="123">
        <f t="shared" si="1"/>
        <v>-672.7171322</v>
      </c>
      <c r="D131" s="124" t="str">
        <f>VLOOKUP(A131,'Classement S6'!$B$2:$C$150,1,0)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27"/>
      <c r="B132" s="103">
        <v>131.0</v>
      </c>
      <c r="C132" s="123">
        <f t="shared" si="1"/>
        <v>-681.759316</v>
      </c>
      <c r="D132" s="124" t="str">
        <f>VLOOKUP(A132,'Classement S6'!$B$2:$C$150,1,0)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27"/>
      <c r="B133" s="103">
        <v>132.0</v>
      </c>
      <c r="C133" s="123">
        <f t="shared" si="1"/>
        <v>-690.7744877</v>
      </c>
      <c r="D133" s="124" t="str">
        <f>VLOOKUP(A133,'Classement S6'!$B$2:$C$150,1,0)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27"/>
      <c r="B134" s="103">
        <v>133.0</v>
      </c>
      <c r="C134" s="123">
        <f t="shared" si="1"/>
        <v>-699.7629945</v>
      </c>
      <c r="D134" s="124" t="str">
        <f>VLOOKUP(A134,'Classement S6'!$B$2:$C$150,1,0)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27"/>
      <c r="B135" s="103">
        <v>134.0</v>
      </c>
      <c r="C135" s="123">
        <f t="shared" si="1"/>
        <v>-708.7251763</v>
      </c>
      <c r="D135" s="124" t="str">
        <f>VLOOKUP(A135,'Classement S6'!$B$2:$C$150,1,0)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27"/>
      <c r="B136" s="103">
        <v>135.0</v>
      </c>
      <c r="C136" s="123">
        <f t="shared" si="1"/>
        <v>-717.661366</v>
      </c>
      <c r="D136" s="124" t="str">
        <f>VLOOKUP(A136,'Classement S6'!$B$2:$C$150,1,0)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27"/>
      <c r="B137" s="103">
        <v>136.0</v>
      </c>
      <c r="C137" s="123">
        <f t="shared" si="1"/>
        <v>-726.5718892</v>
      </c>
      <c r="D137" s="124" t="str">
        <f>VLOOKUP(A137,'Classement S6'!$B$2:$C$150,1,0)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27"/>
      <c r="B138" s="103">
        <v>137.0</v>
      </c>
      <c r="C138" s="123">
        <f t="shared" si="1"/>
        <v>-735.4570648</v>
      </c>
      <c r="D138" s="124" t="str">
        <f>VLOOKUP(A138,'Classement S6'!$B$2:$C$150,1,0)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27"/>
      <c r="B139" s="103">
        <v>138.0</v>
      </c>
      <c r="C139" s="123">
        <f t="shared" si="1"/>
        <v>-744.3172052</v>
      </c>
      <c r="D139" s="124" t="str">
        <f>VLOOKUP(A139,'Classement S6'!$B$2:$C$150,1,0)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27"/>
      <c r="B140" s="103">
        <v>139.0</v>
      </c>
      <c r="C140" s="123">
        <f t="shared" si="1"/>
        <v>-753.1526165</v>
      </c>
      <c r="D140" s="124" t="str">
        <f>VLOOKUP(A140,'Classement S6'!$B$2:$C$150,1,0)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27"/>
      <c r="B141" s="103">
        <v>140.0</v>
      </c>
      <c r="C141" s="123">
        <f t="shared" si="1"/>
        <v>-761.9635982</v>
      </c>
      <c r="D141" s="124" t="str">
        <f>VLOOKUP(A141,'Classement S6'!$B$2:$C$150,1,0)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27"/>
      <c r="B142" s="103">
        <v>141.0</v>
      </c>
      <c r="C142" s="123">
        <f t="shared" si="1"/>
        <v>-770.7504441</v>
      </c>
      <c r="D142" s="124" t="str">
        <f>VLOOKUP(A142,'Classement S6'!$B$2:$C$150,1,0)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27"/>
      <c r="B143" s="103">
        <v>142.0</v>
      </c>
      <c r="C143" s="123">
        <f t="shared" si="1"/>
        <v>-779.513442</v>
      </c>
      <c r="D143" s="124" t="str">
        <f>VLOOKUP(A143,'Classement S6'!$B$2:$C$150,1,0)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27"/>
      <c r="B144" s="103">
        <v>143.0</v>
      </c>
      <c r="C144" s="123">
        <f t="shared" si="1"/>
        <v>-788.2528739</v>
      </c>
      <c r="D144" s="124" t="str">
        <f>VLOOKUP(A144,'Classement S6'!$B$2:$C$150,1,0)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27"/>
      <c r="B145" s="103">
        <v>144.0</v>
      </c>
      <c r="C145" s="123">
        <f t="shared" si="1"/>
        <v>-796.9690165</v>
      </c>
      <c r="D145" s="124" t="str">
        <f>VLOOKUP(A145,'Classement S6'!$B$2:$C$150,1,0)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27"/>
      <c r="B146" s="103">
        <v>145.0</v>
      </c>
      <c r="C146" s="123">
        <f t="shared" si="1"/>
        <v>-805.6621407</v>
      </c>
      <c r="D146" s="124" t="str">
        <f>VLOOKUP(A146,'Classement S6'!$B$2:$C$150,1,0)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27"/>
      <c r="B147" s="103">
        <v>146.0</v>
      </c>
      <c r="C147" s="123">
        <f t="shared" si="1"/>
        <v>-814.3325124</v>
      </c>
      <c r="D147" s="124" t="str">
        <f>VLOOKUP(A147,'Classement S6'!$B$2:$C$150,1,0)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27"/>
      <c r="B148" s="103">
        <v>147.0</v>
      </c>
      <c r="C148" s="123">
        <f t="shared" si="1"/>
        <v>-822.9803924</v>
      </c>
      <c r="D148" s="124" t="str">
        <f>VLOOKUP(A148,'Classement S6'!$B$2:$C$150,1,0)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27"/>
      <c r="B149" s="103">
        <v>148.0</v>
      </c>
      <c r="C149" s="123">
        <f t="shared" si="1"/>
        <v>-831.6060363</v>
      </c>
      <c r="D149" s="124" t="str">
        <f>VLOOKUP(A149,'Classement S6'!$B$2:$C$150,1,0)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27"/>
      <c r="B150" s="103">
        <v>149.0</v>
      </c>
      <c r="C150" s="123">
        <f t="shared" si="1"/>
        <v>-840.209695</v>
      </c>
      <c r="D150" s="124" t="str">
        <f>VLOOKUP(A150,'Classement S6'!$B$2:$C$150,1,0)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27"/>
      <c r="B151" s="103">
        <v>150.0</v>
      </c>
      <c r="C151" s="123">
        <f t="shared" si="1"/>
        <v>-848.7916147</v>
      </c>
      <c r="D151" s="124" t="str">
        <f>VLOOKUP(A151,'Classement S6'!$B$2:$C$150,1,0)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27"/>
      <c r="B152" s="103">
        <v>151.0</v>
      </c>
      <c r="C152" s="123">
        <f t="shared" si="1"/>
        <v>-857.3520368</v>
      </c>
      <c r="D152" s="124" t="str">
        <f>VLOOKUP(A152,'Classement S6'!$B$2:$C$150,1,0)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27"/>
      <c r="B153" s="103">
        <v>152.0</v>
      </c>
      <c r="C153" s="123">
        <f t="shared" si="1"/>
        <v>-865.8911984</v>
      </c>
      <c r="D153" s="124" t="str">
        <f>VLOOKUP(A153,'Classement S6'!$B$2:$C$150,1,0)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27"/>
      <c r="B154" s="103">
        <v>153.0</v>
      </c>
      <c r="C154" s="123">
        <f t="shared" si="1"/>
        <v>-874.4093321</v>
      </c>
      <c r="D154" s="124" t="str">
        <f>VLOOKUP(A154,'Classement S6'!$B$2:$C$150,1,0)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27"/>
      <c r="B155" s="103">
        <v>154.0</v>
      </c>
      <c r="C155" s="123">
        <f t="shared" si="1"/>
        <v>-882.9066663</v>
      </c>
      <c r="D155" s="124" t="str">
        <f>VLOOKUP(A155,'Classement S6'!$B$2:$C$150,1,0)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27"/>
      <c r="B156" s="103">
        <v>155.0</v>
      </c>
      <c r="C156" s="123">
        <f t="shared" si="1"/>
        <v>-891.3834253</v>
      </c>
      <c r="D156" s="124" t="str">
        <f>VLOOKUP(A156,'Classement S6'!$B$2:$C$150,1,0)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27"/>
      <c r="B157" s="103">
        <v>156.0</v>
      </c>
      <c r="C157" s="123">
        <f t="shared" si="1"/>
        <v>-899.8398292</v>
      </c>
      <c r="D157" s="124" t="str">
        <f>VLOOKUP(A157,'Classement S6'!$B$2:$C$150,1,0)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27"/>
      <c r="B158" s="103">
        <v>157.0</v>
      </c>
      <c r="C158" s="123">
        <f t="shared" si="1"/>
        <v>-908.2760943</v>
      </c>
      <c r="D158" s="124" t="str">
        <f>VLOOKUP(A158,'Classement S6'!$B$2:$C$150,1,0)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27"/>
      <c r="B159" s="103">
        <v>158.0</v>
      </c>
      <c r="C159" s="123">
        <f t="shared" si="1"/>
        <v>-916.6924328</v>
      </c>
      <c r="D159" s="124" t="str">
        <f>VLOOKUP(A159,'Classement S6'!$B$2:$C$150,1,0)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27"/>
      <c r="B160" s="103">
        <v>159.0</v>
      </c>
      <c r="C160" s="123">
        <f t="shared" si="1"/>
        <v>-925.0890535</v>
      </c>
      <c r="D160" s="124" t="str">
        <f>VLOOKUP(A160,'Classement S6'!$B$2:$C$150,1,0)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27"/>
      <c r="B161" s="103">
        <v>160.0</v>
      </c>
      <c r="C161" s="123">
        <f t="shared" si="1"/>
        <v>-933.4661613</v>
      </c>
      <c r="D161" s="124" t="str">
        <f>VLOOKUP(A161,'Classement S6'!$B$2:$C$150,1,0)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B162" s="128"/>
    </row>
    <row r="163" ht="14.25" customHeight="1">
      <c r="B163" s="128"/>
    </row>
    <row r="164" ht="14.25" customHeight="1">
      <c r="B164" s="128"/>
    </row>
    <row r="165" ht="14.25" customHeight="1">
      <c r="B165" s="128"/>
    </row>
    <row r="166" ht="14.25" customHeight="1">
      <c r="B166" s="128"/>
    </row>
    <row r="167" ht="14.25" customHeight="1">
      <c r="B167" s="128"/>
    </row>
    <row r="168" ht="14.25" customHeight="1">
      <c r="B168" s="128"/>
    </row>
    <row r="169" ht="14.25" customHeight="1">
      <c r="B169" s="128"/>
    </row>
    <row r="170" ht="14.25" customHeight="1">
      <c r="B170" s="128"/>
    </row>
    <row r="171" ht="14.25" customHeight="1">
      <c r="B171" s="128"/>
    </row>
    <row r="172" ht="14.25" customHeight="1">
      <c r="B172" s="128"/>
    </row>
    <row r="173" ht="14.25" customHeight="1">
      <c r="B173" s="128"/>
    </row>
    <row r="174" ht="14.25" customHeight="1">
      <c r="B174" s="128"/>
    </row>
    <row r="175" ht="14.25" customHeight="1">
      <c r="B175" s="128"/>
    </row>
    <row r="176" ht="14.25" customHeight="1">
      <c r="B176" s="128"/>
    </row>
    <row r="177" ht="14.25" customHeight="1">
      <c r="B177" s="128"/>
    </row>
    <row r="178" ht="14.25" customHeight="1">
      <c r="B178" s="128"/>
    </row>
    <row r="179" ht="14.25" customHeight="1">
      <c r="B179" s="128"/>
    </row>
    <row r="180" ht="14.25" customHeight="1">
      <c r="B180" s="128"/>
    </row>
    <row r="181" ht="14.25" customHeight="1">
      <c r="B181" s="128"/>
    </row>
    <row r="182" ht="14.25" customHeight="1">
      <c r="B182" s="128"/>
    </row>
    <row r="183" ht="14.25" customHeight="1">
      <c r="B183" s="128"/>
    </row>
    <row r="184" ht="14.25" customHeight="1">
      <c r="B184" s="128"/>
    </row>
    <row r="185" ht="14.25" customHeight="1">
      <c r="B185" s="128"/>
    </row>
    <row r="186" ht="14.25" customHeight="1">
      <c r="B186" s="128"/>
    </row>
    <row r="187" ht="14.25" customHeight="1">
      <c r="B187" s="128"/>
    </row>
    <row r="188" ht="14.25" customHeight="1">
      <c r="B188" s="128"/>
    </row>
    <row r="189" ht="14.25" customHeight="1">
      <c r="B189" s="128"/>
    </row>
    <row r="190" ht="14.25" customHeight="1">
      <c r="B190" s="128"/>
    </row>
    <row r="191" ht="14.25" customHeight="1">
      <c r="B191" s="128"/>
    </row>
    <row r="192" ht="14.25" customHeight="1">
      <c r="B192" s="128"/>
    </row>
    <row r="193" ht="14.25" customHeight="1">
      <c r="B193" s="128"/>
    </row>
    <row r="194" ht="14.25" customHeight="1">
      <c r="B194" s="128"/>
    </row>
    <row r="195" ht="14.25" customHeight="1">
      <c r="B195" s="128"/>
    </row>
    <row r="196" ht="14.25" customHeight="1">
      <c r="B196" s="128"/>
    </row>
    <row r="197" ht="14.25" customHeight="1">
      <c r="B197" s="128"/>
    </row>
    <row r="198" ht="14.25" customHeight="1">
      <c r="B198" s="128"/>
    </row>
    <row r="199" ht="14.25" customHeight="1">
      <c r="B199" s="128"/>
    </row>
    <row r="200" ht="14.25" customHeight="1">
      <c r="B200" s="128"/>
    </row>
    <row r="201" ht="14.25" customHeight="1">
      <c r="B201" s="128"/>
    </row>
    <row r="202" ht="14.25" customHeight="1">
      <c r="B202" s="128"/>
    </row>
    <row r="203" ht="14.25" customHeight="1">
      <c r="B203" s="128"/>
    </row>
    <row r="204" ht="14.25" customHeight="1">
      <c r="B204" s="128"/>
    </row>
    <row r="205" ht="14.25" customHeight="1">
      <c r="B205" s="128"/>
    </row>
    <row r="206" ht="14.25" customHeight="1">
      <c r="B206" s="128"/>
    </row>
    <row r="207" ht="14.25" customHeight="1">
      <c r="B207" s="128"/>
    </row>
    <row r="208" ht="14.25" customHeight="1">
      <c r="B208" s="128"/>
    </row>
    <row r="209" ht="14.25" customHeight="1">
      <c r="B209" s="128"/>
    </row>
    <row r="210" ht="14.25" customHeight="1">
      <c r="B210" s="128"/>
    </row>
    <row r="211" ht="14.25" customHeight="1">
      <c r="B211" s="128"/>
    </row>
    <row r="212" ht="14.25" customHeight="1">
      <c r="B212" s="128"/>
    </row>
    <row r="213" ht="14.25" customHeight="1">
      <c r="B213" s="128"/>
    </row>
    <row r="214" ht="14.25" customHeight="1">
      <c r="B214" s="128"/>
    </row>
    <row r="215" ht="14.25" customHeight="1">
      <c r="B215" s="128"/>
    </row>
    <row r="216" ht="14.25" customHeight="1">
      <c r="B216" s="128"/>
    </row>
    <row r="217" ht="14.25" customHeight="1">
      <c r="B217" s="128"/>
    </row>
    <row r="218" ht="14.25" customHeight="1">
      <c r="B218" s="128"/>
    </row>
    <row r="219" ht="14.25" customHeight="1">
      <c r="B219" s="128"/>
    </row>
    <row r="220" ht="14.25" customHeight="1">
      <c r="B220" s="128"/>
    </row>
    <row r="221" ht="14.25" customHeight="1">
      <c r="B221" s="128"/>
    </row>
    <row r="222" ht="14.25" customHeight="1">
      <c r="B222" s="128"/>
    </row>
    <row r="223" ht="14.25" customHeight="1">
      <c r="B223" s="128"/>
    </row>
    <row r="224" ht="14.25" customHeight="1">
      <c r="B224" s="128"/>
    </row>
    <row r="225" ht="14.25" customHeight="1">
      <c r="B225" s="128"/>
    </row>
    <row r="226" ht="14.25" customHeight="1">
      <c r="B226" s="128"/>
    </row>
    <row r="227" ht="14.25" customHeight="1">
      <c r="B227" s="128"/>
    </row>
    <row r="228" ht="14.25" customHeight="1">
      <c r="B228" s="128"/>
    </row>
    <row r="229" ht="14.25" customHeight="1">
      <c r="B229" s="128"/>
    </row>
    <row r="230" ht="14.25" customHeight="1">
      <c r="B230" s="128"/>
    </row>
    <row r="231" ht="14.25" customHeight="1">
      <c r="B231" s="128"/>
    </row>
    <row r="232" ht="14.25" customHeight="1">
      <c r="B232" s="128"/>
    </row>
    <row r="233" ht="14.25" customHeight="1">
      <c r="B233" s="128"/>
    </row>
    <row r="234" ht="14.25" customHeight="1">
      <c r="B234" s="128"/>
    </row>
    <row r="235" ht="14.25" customHeight="1">
      <c r="B235" s="128"/>
    </row>
    <row r="236" ht="14.25" customHeight="1">
      <c r="B236" s="128"/>
    </row>
    <row r="237" ht="14.25" customHeight="1">
      <c r="B237" s="128"/>
    </row>
    <row r="238" ht="14.25" customHeight="1">
      <c r="B238" s="128"/>
    </row>
    <row r="239" ht="14.25" customHeight="1">
      <c r="B239" s="128"/>
    </row>
    <row r="240" ht="14.25" customHeight="1">
      <c r="B240" s="128"/>
    </row>
    <row r="241" ht="14.25" customHeight="1">
      <c r="B241" s="128"/>
    </row>
    <row r="242" ht="14.25" customHeight="1">
      <c r="B242" s="128"/>
    </row>
    <row r="243" ht="14.25" customHeight="1">
      <c r="B243" s="128"/>
    </row>
    <row r="244" ht="14.25" customHeight="1">
      <c r="B244" s="128"/>
    </row>
    <row r="245" ht="14.25" customHeight="1">
      <c r="B245" s="128"/>
    </row>
    <row r="246" ht="14.25" customHeight="1">
      <c r="B246" s="128"/>
    </row>
    <row r="247" ht="14.25" customHeight="1">
      <c r="B247" s="128"/>
    </row>
    <row r="248" ht="14.25" customHeight="1">
      <c r="B248" s="128"/>
    </row>
    <row r="249" ht="14.25" customHeight="1">
      <c r="B249" s="128"/>
    </row>
    <row r="250" ht="14.25" customHeight="1">
      <c r="B250" s="128"/>
    </row>
    <row r="251" ht="14.25" customHeight="1">
      <c r="B251" s="128"/>
    </row>
    <row r="252" ht="14.25" customHeight="1">
      <c r="B252" s="128"/>
    </row>
    <row r="253" ht="14.25" customHeight="1">
      <c r="B253" s="128"/>
    </row>
    <row r="254" ht="14.25" customHeight="1">
      <c r="B254" s="128"/>
    </row>
    <row r="255" ht="14.25" customHeight="1">
      <c r="B255" s="128"/>
    </row>
    <row r="256" ht="14.25" customHeight="1">
      <c r="B256" s="128"/>
    </row>
    <row r="257" ht="14.25" customHeight="1">
      <c r="B257" s="128"/>
    </row>
    <row r="258" ht="14.25" customHeight="1">
      <c r="B258" s="128"/>
    </row>
    <row r="259" ht="14.25" customHeight="1">
      <c r="B259" s="128"/>
    </row>
    <row r="260" ht="14.25" customHeight="1">
      <c r="B260" s="128"/>
    </row>
    <row r="261" ht="14.25" customHeight="1">
      <c r="B261" s="128"/>
    </row>
    <row r="262" ht="14.25" customHeight="1">
      <c r="B262" s="128"/>
    </row>
    <row r="263" ht="14.25" customHeight="1">
      <c r="B263" s="128"/>
    </row>
    <row r="264" ht="14.25" customHeight="1">
      <c r="B264" s="128"/>
    </row>
    <row r="265" ht="14.25" customHeight="1">
      <c r="B265" s="128"/>
    </row>
    <row r="266" ht="14.25" customHeight="1">
      <c r="B266" s="128"/>
    </row>
    <row r="267" ht="14.25" customHeight="1">
      <c r="B267" s="128"/>
    </row>
    <row r="268" ht="14.25" customHeight="1">
      <c r="B268" s="128"/>
    </row>
    <row r="269" ht="14.25" customHeight="1">
      <c r="B269" s="128"/>
    </row>
    <row r="270" ht="14.25" customHeight="1">
      <c r="B270" s="128"/>
    </row>
    <row r="271" ht="14.25" customHeight="1">
      <c r="B271" s="128"/>
    </row>
    <row r="272" ht="14.25" customHeight="1">
      <c r="B272" s="128"/>
    </row>
    <row r="273" ht="14.25" customHeight="1">
      <c r="B273" s="128"/>
    </row>
    <row r="274" ht="14.25" customHeight="1">
      <c r="B274" s="128"/>
    </row>
    <row r="275" ht="14.25" customHeight="1">
      <c r="B275" s="128"/>
    </row>
    <row r="276" ht="14.25" customHeight="1">
      <c r="B276" s="128"/>
    </row>
    <row r="277" ht="14.25" customHeight="1">
      <c r="B277" s="128"/>
    </row>
    <row r="278" ht="14.25" customHeight="1">
      <c r="B278" s="128"/>
    </row>
    <row r="279" ht="14.25" customHeight="1">
      <c r="B279" s="128"/>
    </row>
    <row r="280" ht="14.25" customHeight="1">
      <c r="B280" s="128"/>
    </row>
    <row r="281" ht="14.25" customHeight="1">
      <c r="B281" s="128"/>
    </row>
    <row r="282" ht="14.25" customHeight="1">
      <c r="B282" s="128"/>
    </row>
    <row r="283" ht="14.25" customHeight="1">
      <c r="B283" s="128"/>
    </row>
    <row r="284" ht="14.25" customHeight="1">
      <c r="B284" s="128"/>
    </row>
    <row r="285" ht="14.25" customHeight="1">
      <c r="B285" s="128"/>
    </row>
    <row r="286" ht="14.25" customHeight="1">
      <c r="B286" s="128"/>
    </row>
    <row r="287" ht="14.25" customHeight="1">
      <c r="B287" s="128"/>
    </row>
    <row r="288" ht="14.25" customHeight="1">
      <c r="B288" s="128"/>
    </row>
    <row r="289" ht="14.25" customHeight="1">
      <c r="B289" s="128"/>
    </row>
    <row r="290" ht="14.25" customHeight="1">
      <c r="B290" s="128"/>
    </row>
    <row r="291" ht="14.25" customHeight="1">
      <c r="B291" s="128"/>
    </row>
    <row r="292" ht="14.25" customHeight="1">
      <c r="B292" s="128"/>
    </row>
    <row r="293" ht="14.25" customHeight="1">
      <c r="B293" s="128"/>
    </row>
    <row r="294" ht="14.25" customHeight="1">
      <c r="B294" s="128"/>
    </row>
    <row r="295" ht="14.25" customHeight="1">
      <c r="B295" s="128"/>
    </row>
    <row r="296" ht="14.25" customHeight="1">
      <c r="B296" s="128"/>
    </row>
    <row r="297" ht="14.25" customHeight="1">
      <c r="B297" s="128"/>
    </row>
    <row r="298" ht="14.25" customHeight="1">
      <c r="B298" s="128"/>
    </row>
    <row r="299" ht="14.25" customHeight="1">
      <c r="B299" s="128"/>
    </row>
    <row r="300" ht="14.25" customHeight="1">
      <c r="B300" s="128"/>
    </row>
    <row r="301" ht="14.25" customHeight="1">
      <c r="B301" s="128"/>
    </row>
    <row r="302" ht="14.25" customHeight="1">
      <c r="B302" s="128"/>
    </row>
    <row r="303" ht="14.25" customHeight="1">
      <c r="B303" s="128"/>
    </row>
    <row r="304" ht="14.25" customHeight="1">
      <c r="B304" s="128"/>
    </row>
    <row r="305" ht="14.25" customHeight="1">
      <c r="B305" s="128"/>
    </row>
    <row r="306" ht="14.25" customHeight="1">
      <c r="B306" s="128"/>
    </row>
    <row r="307" ht="14.25" customHeight="1">
      <c r="B307" s="128"/>
    </row>
    <row r="308" ht="14.25" customHeight="1">
      <c r="B308" s="128"/>
    </row>
    <row r="309" ht="14.25" customHeight="1">
      <c r="B309" s="128"/>
    </row>
    <row r="310" ht="14.25" customHeight="1">
      <c r="B310" s="128"/>
    </row>
    <row r="311" ht="14.25" customHeight="1">
      <c r="B311" s="128"/>
    </row>
    <row r="312" ht="14.25" customHeight="1">
      <c r="B312" s="128"/>
    </row>
    <row r="313" ht="14.25" customHeight="1">
      <c r="B313" s="128"/>
    </row>
    <row r="314" ht="14.25" customHeight="1">
      <c r="B314" s="128"/>
    </row>
    <row r="315" ht="14.25" customHeight="1">
      <c r="B315" s="128"/>
    </row>
    <row r="316" ht="14.25" customHeight="1">
      <c r="B316" s="128"/>
    </row>
    <row r="317" ht="14.25" customHeight="1">
      <c r="B317" s="128"/>
    </row>
    <row r="318" ht="14.25" customHeight="1">
      <c r="B318" s="128"/>
    </row>
    <row r="319" ht="14.25" customHeight="1">
      <c r="B319" s="128"/>
    </row>
    <row r="320" ht="14.25" customHeight="1">
      <c r="B320" s="128"/>
    </row>
    <row r="321" ht="14.25" customHeight="1">
      <c r="B321" s="128"/>
    </row>
    <row r="322" ht="14.25" customHeight="1">
      <c r="B322" s="128"/>
    </row>
    <row r="323" ht="14.25" customHeight="1">
      <c r="B323" s="128"/>
    </row>
    <row r="324" ht="14.25" customHeight="1">
      <c r="B324" s="128"/>
    </row>
    <row r="325" ht="14.25" customHeight="1">
      <c r="B325" s="128"/>
    </row>
    <row r="326" ht="14.25" customHeight="1">
      <c r="B326" s="128"/>
    </row>
    <row r="327" ht="14.25" customHeight="1">
      <c r="B327" s="128"/>
    </row>
    <row r="328" ht="14.25" customHeight="1">
      <c r="B328" s="128"/>
    </row>
    <row r="329" ht="14.25" customHeight="1">
      <c r="B329" s="128"/>
    </row>
    <row r="330" ht="14.25" customHeight="1">
      <c r="B330" s="128"/>
    </row>
    <row r="331" ht="14.25" customHeight="1">
      <c r="B331" s="128"/>
    </row>
    <row r="332" ht="14.25" customHeight="1">
      <c r="B332" s="128"/>
    </row>
    <row r="333" ht="14.25" customHeight="1">
      <c r="B333" s="128"/>
    </row>
    <row r="334" ht="14.25" customHeight="1">
      <c r="B334" s="128"/>
    </row>
    <row r="335" ht="14.25" customHeight="1">
      <c r="B335" s="128"/>
    </row>
    <row r="336" ht="14.25" customHeight="1">
      <c r="B336" s="128"/>
    </row>
    <row r="337" ht="14.25" customHeight="1">
      <c r="B337" s="128"/>
    </row>
    <row r="338" ht="14.25" customHeight="1">
      <c r="B338" s="128"/>
    </row>
    <row r="339" ht="14.25" customHeight="1">
      <c r="B339" s="128"/>
    </row>
    <row r="340" ht="14.25" customHeight="1">
      <c r="B340" s="128"/>
    </row>
    <row r="341" ht="14.25" customHeight="1">
      <c r="B341" s="128"/>
    </row>
    <row r="342" ht="14.25" customHeight="1">
      <c r="B342" s="128"/>
    </row>
    <row r="343" ht="14.25" customHeight="1">
      <c r="B343" s="128"/>
    </row>
    <row r="344" ht="14.25" customHeight="1">
      <c r="B344" s="128"/>
    </row>
    <row r="345" ht="14.25" customHeight="1">
      <c r="B345" s="128"/>
    </row>
    <row r="346" ht="14.25" customHeight="1">
      <c r="B346" s="128"/>
    </row>
    <row r="347" ht="14.25" customHeight="1">
      <c r="B347" s="128"/>
    </row>
    <row r="348" ht="14.25" customHeight="1">
      <c r="B348" s="128"/>
    </row>
    <row r="349" ht="14.25" customHeight="1">
      <c r="B349" s="128"/>
    </row>
    <row r="350" ht="14.25" customHeight="1">
      <c r="B350" s="128"/>
    </row>
    <row r="351" ht="14.25" customHeight="1">
      <c r="B351" s="128"/>
    </row>
    <row r="352" ht="14.25" customHeight="1">
      <c r="B352" s="128"/>
    </row>
    <row r="353" ht="14.25" customHeight="1">
      <c r="B353" s="128"/>
    </row>
    <row r="354" ht="14.25" customHeight="1">
      <c r="B354" s="128"/>
    </row>
    <row r="355" ht="14.25" customHeight="1">
      <c r="B355" s="128"/>
    </row>
    <row r="356" ht="14.25" customHeight="1">
      <c r="B356" s="128"/>
    </row>
    <row r="357" ht="14.25" customHeight="1">
      <c r="B357" s="128"/>
    </row>
    <row r="358" ht="14.25" customHeight="1">
      <c r="B358" s="128"/>
    </row>
    <row r="359" ht="14.25" customHeight="1">
      <c r="B359" s="128"/>
    </row>
    <row r="360" ht="14.25" customHeight="1">
      <c r="B360" s="128"/>
    </row>
    <row r="361" ht="14.25" customHeight="1"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1:A1000">
    <cfRule type="containsText" dxfId="0" priority="1" operator="containsText" text="0">
      <formula>NOT(ISERROR(SEARCH(("0"),(A1))))</formula>
    </cfRule>
  </conditionalFormatting>
  <conditionalFormatting sqref="L16:Z16">
    <cfRule type="expression" dxfId="0" priority="2">
      <formula>"si(0;;)"</formula>
    </cfRule>
  </conditionalFormatting>
  <conditionalFormatting sqref="A1:A1000">
    <cfRule type="containsText" dxfId="0" priority="3" operator="containsText" text="0">
      <formula>NOT(ISERROR(SEARCH(("0"),(A1))))</formula>
    </cfRule>
  </conditionalFormatting>
  <conditionalFormatting sqref="L16:Z16">
    <cfRule type="expression" dxfId="0" priority="4">
      <formula>"si(0;;)"</formula>
    </cfRule>
  </conditionalFormatting>
  <printOptions/>
  <pageMargins bottom="0.75" footer="0.0" header="0.0" left="0.7" right="0.7" top="0.75"/>
  <pageSetup paperSize="9" orientation="portrait"/>
  <drawing r:id="rId1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69</v>
      </c>
    </row>
    <row r="2" ht="14.25" customHeight="1">
      <c r="A2" s="122" t="str">
        <f>IFERROR(__xludf.DUMMYFUNCTION(" IMPORTRANGE(""https://docs.google.com/spreadsheets/d/1e1NxPG9-5vyY0mD3AQu5_6rsJwoL4gMXnurHInd97Ts/edit#gid=2033363290"",""So6!A2:A161"")"),"DonnesTchips")</f>
        <v>DonnesTchips</v>
      </c>
      <c r="B2" s="103">
        <v>1.0</v>
      </c>
      <c r="C2" s="123">
        <f t="shared" ref="C2:C161" si="1">800*(1-(B2/($H$1+1)))*POWER((SQRT(($H$1+1)/B2)),1/2)</f>
        <v>2280.948857</v>
      </c>
      <c r="D2" s="124" t="str">
        <f>VLOOKUP(A2,'Classement S6'!$B$2:$C$150,1,0)</f>
        <v>DonnesTchips</v>
      </c>
      <c r="E2" s="125" t="str">
        <f t="shared" ref="E2:E161" si="2">IF(D2=A2,"","erreur")</f>
        <v/>
      </c>
      <c r="F2" s="120" t="str">
        <f>VLOOKUP(A2,'Classement Général'!$B$2:$B$146,1,0)</f>
        <v>DonnesTchips</v>
      </c>
    </row>
    <row r="3" ht="14.25" customHeight="1">
      <c r="A3" s="122" t="str">
        <f>IFERROR(__xludf.DUMMYFUNCTION("""COMPUTED_VALUE"""),"lifeofpark")</f>
        <v>lifeofpark</v>
      </c>
      <c r="B3" s="103">
        <v>2.0</v>
      </c>
      <c r="C3" s="123">
        <f t="shared" si="1"/>
        <v>1890.244011</v>
      </c>
      <c r="D3" s="124" t="str">
        <f>VLOOKUP(A3,'Classement S6'!$B$2:$C$150,1,0)</f>
        <v>lifeofpark</v>
      </c>
      <c r="E3" s="125" t="str">
        <f t="shared" si="2"/>
        <v/>
      </c>
      <c r="F3" s="120" t="str">
        <f>VLOOKUP(A3,'Classement Général'!$B$2:$B$146,1,0)</f>
        <v>lifeofpark</v>
      </c>
      <c r="G3" s="126"/>
    </row>
    <row r="4" ht="14.25" customHeight="1">
      <c r="A4" s="122" t="str">
        <f>IFERROR(__xludf.DUMMYFUNCTION("""COMPUTED_VALUE"""),"Garou du 86")</f>
        <v>Garou du 86</v>
      </c>
      <c r="B4" s="103">
        <v>3.0</v>
      </c>
      <c r="C4" s="123">
        <f t="shared" si="1"/>
        <v>1682.910213</v>
      </c>
      <c r="D4" s="124" t="str">
        <f>VLOOKUP(A4,'Classement S6'!$B$2:$C$150,1,0)</f>
        <v>Garou du 86</v>
      </c>
      <c r="E4" s="125" t="str">
        <f t="shared" si="2"/>
        <v/>
      </c>
      <c r="F4" s="120" t="str">
        <f>VLOOKUP(A4,'Classement Général'!$B$2:$B$146,1,0)</f>
        <v>Garou du 86</v>
      </c>
    </row>
    <row r="5" ht="14.25" customHeight="1">
      <c r="A5" s="122" t="str">
        <f>IFERROR(__xludf.DUMMYFUNCTION("""COMPUTED_VALUE"""),"FridAKahlo")</f>
        <v>FridAKahlo</v>
      </c>
      <c r="B5" s="103">
        <v>4.0</v>
      </c>
      <c r="C5" s="123">
        <f t="shared" si="1"/>
        <v>1542.74943</v>
      </c>
      <c r="D5" s="124" t="str">
        <f>VLOOKUP(A5,'Classement S6'!$B$2:$C$150,1,0)</f>
        <v>FridAKahlo</v>
      </c>
      <c r="E5" s="125" t="str">
        <f t="shared" si="2"/>
        <v/>
      </c>
      <c r="F5" s="120" t="str">
        <f>VLOOKUP(A5,'Classement Général'!$B$2:$B$146,1,0)</f>
        <v>FridAKahlo</v>
      </c>
    </row>
    <row r="6" ht="14.25" customHeight="1">
      <c r="A6" s="122" t="str">
        <f>IFERROR(__xludf.DUMMYFUNCTION("""COMPUTED_VALUE"""),"KamehamehAS")</f>
        <v>KamehamehAS</v>
      </c>
      <c r="B6" s="103">
        <v>5.0</v>
      </c>
      <c r="C6" s="123">
        <f t="shared" si="1"/>
        <v>1436.935626</v>
      </c>
      <c r="D6" s="124" t="str">
        <f>VLOOKUP(A6,'Classement S6'!$B$2:$C$150,1,0)</f>
        <v>KamehamehAS</v>
      </c>
      <c r="E6" s="125" t="str">
        <f t="shared" si="2"/>
        <v/>
      </c>
      <c r="F6" s="120" t="str">
        <f>VLOOKUP(A6,'Classement Général'!$B$2:$B$146,1,0)</f>
        <v>KamehamehAS</v>
      </c>
    </row>
    <row r="7" ht="14.25" customHeight="1">
      <c r="A7" s="122" t="str">
        <f>IFERROR(__xludf.DUMMYFUNCTION("""COMPUTED_VALUE"""),"Like_A_Fish")</f>
        <v>Like_A_Fish</v>
      </c>
      <c r="B7" s="103">
        <v>6.0</v>
      </c>
      <c r="C7" s="123">
        <f t="shared" si="1"/>
        <v>1351.788098</v>
      </c>
      <c r="D7" s="124" t="str">
        <f>VLOOKUP(A7,'Classement S6'!$B$2:$C$150,1,0)</f>
        <v>Like_A_Fish</v>
      </c>
      <c r="E7" s="125" t="str">
        <f t="shared" si="2"/>
        <v/>
      </c>
      <c r="F7" s="120" t="str">
        <f>VLOOKUP(A7,'Classement Général'!$B$2:$B$146,1,0)</f>
        <v>Like_A_Fish</v>
      </c>
    </row>
    <row r="8" ht="14.25" customHeight="1">
      <c r="A8" s="122" t="str">
        <f>IFERROR(__xludf.DUMMYFUNCTION("""COMPUTED_VALUE"""),"Stross411")</f>
        <v>Stross411</v>
      </c>
      <c r="B8" s="103">
        <v>7.0</v>
      </c>
      <c r="C8" s="123">
        <f t="shared" si="1"/>
        <v>1280.361175</v>
      </c>
      <c r="D8" s="124" t="str">
        <f>VLOOKUP(A8,'Classement S6'!$B$2:$C$150,1,0)</f>
        <v>Stross411</v>
      </c>
      <c r="E8" s="125" t="str">
        <f t="shared" si="2"/>
        <v/>
      </c>
      <c r="F8" s="120" t="str">
        <f>VLOOKUP(A8,'Classement Général'!$B$2:$B$146,1,0)</f>
        <v>Stross411</v>
      </c>
    </row>
    <row r="9" ht="14.25" customHeight="1">
      <c r="A9" s="122" t="str">
        <f>IFERROR(__xludf.DUMMYFUNCTION("""COMPUTED_VALUE"""),"_VisMaVie_")</f>
        <v>_VisMaVie_</v>
      </c>
      <c r="B9" s="103">
        <v>8.0</v>
      </c>
      <c r="C9" s="123">
        <f t="shared" si="1"/>
        <v>1218.66868</v>
      </c>
      <c r="D9" s="124" t="str">
        <f>VLOOKUP(A9,'Classement S6'!$B$2:$C$150,1,0)</f>
        <v>_VisMaVie_</v>
      </c>
      <c r="E9" s="125" t="str">
        <f t="shared" si="2"/>
        <v/>
      </c>
      <c r="F9" s="120" t="str">
        <f>VLOOKUP(A9,'Classement Général'!$B$2:$B$146,1,0)</f>
        <v>_VisMaVie_</v>
      </c>
    </row>
    <row r="10" ht="14.25" customHeight="1">
      <c r="A10" s="122" t="str">
        <f>IFERROR(__xludf.DUMMYFUNCTION("""COMPUTED_VALUE"""),".choco")</f>
        <v>.choco</v>
      </c>
      <c r="B10" s="103">
        <v>9.0</v>
      </c>
      <c r="C10" s="123">
        <f t="shared" si="1"/>
        <v>1164.221632</v>
      </c>
      <c r="D10" s="124" t="str">
        <f>VLOOKUP(A10,'Classement S6'!$B$2:$C$150,1,0)</f>
        <v>.choco</v>
      </c>
      <c r="E10" s="125" t="str">
        <f t="shared" si="2"/>
        <v/>
      </c>
      <c r="F10" s="120" t="str">
        <f>VLOOKUP(A10,'Classement Général'!$B$2:$B$146,1,0)</f>
        <v>.choco</v>
      </c>
    </row>
    <row r="11" ht="14.25" customHeight="1">
      <c r="A11" s="122" t="str">
        <f>IFERROR(__xludf.DUMMYFUNCTION("""COMPUTED_VALUE"""),"immond")</f>
        <v>immond</v>
      </c>
      <c r="B11" s="103">
        <v>10.0</v>
      </c>
      <c r="C11" s="123">
        <f t="shared" si="1"/>
        <v>1115.366785</v>
      </c>
      <c r="D11" s="124" t="str">
        <f>VLOOKUP(A11,'Classement S6'!$B$2:$C$150,1,0)</f>
        <v>immond</v>
      </c>
      <c r="E11" s="125" t="str">
        <f t="shared" si="2"/>
        <v/>
      </c>
      <c r="F11" s="120" t="str">
        <f>VLOOKUP(A11,'Classement Général'!$B$2:$B$146,1,0)</f>
        <v>immond</v>
      </c>
    </row>
    <row r="12" ht="14.25" customHeight="1">
      <c r="A12" s="122" t="str">
        <f>IFERROR(__xludf.DUMMYFUNCTION("""COMPUTED_VALUE"""),"ludolab")</f>
        <v>ludolab</v>
      </c>
      <c r="B12" s="103">
        <v>11.0</v>
      </c>
      <c r="C12" s="123">
        <f t="shared" si="1"/>
        <v>1070.952718</v>
      </c>
      <c r="D12" s="124" t="str">
        <f>VLOOKUP(A12,'Classement S6'!$B$2:$C$150,1,0)</f>
        <v>ludolab</v>
      </c>
      <c r="E12" s="125" t="str">
        <f t="shared" si="2"/>
        <v/>
      </c>
      <c r="F12" s="120" t="str">
        <f>VLOOKUP(A12,'Classement Général'!$B$2:$B$146,1,0)</f>
        <v>ludolab</v>
      </c>
    </row>
    <row r="13" ht="14.25" customHeight="1">
      <c r="A13" s="122" t="str">
        <f>IFERROR(__xludf.DUMMYFUNCTION("""COMPUTED_VALUE"""),"GooodJooob")</f>
        <v>GooodJooob</v>
      </c>
      <c r="B13" s="103">
        <v>12.0</v>
      </c>
      <c r="C13" s="123">
        <f t="shared" si="1"/>
        <v>1030.14685</v>
      </c>
      <c r="D13" s="124" t="str">
        <f>VLOOKUP(A13,'Classement S6'!$B$2:$C$150,1,0)</f>
        <v>GooodJooob</v>
      </c>
      <c r="E13" s="125" t="str">
        <f t="shared" si="2"/>
        <v/>
      </c>
      <c r="F13" s="120" t="str">
        <f>VLOOKUP(A13,'Classement Général'!$B$2:$B$146,1,0)</f>
        <v>GooodJooob</v>
      </c>
    </row>
    <row r="14" ht="14.25" customHeight="1">
      <c r="A14" s="122" t="str">
        <f>IFERROR(__xludf.DUMMYFUNCTION("""COMPUTED_VALUE"""),"8kinder6")</f>
        <v>8kinder6</v>
      </c>
      <c r="B14" s="103">
        <v>13.0</v>
      </c>
      <c r="C14" s="123">
        <f t="shared" si="1"/>
        <v>992.3285228</v>
      </c>
      <c r="D14" s="124" t="str">
        <f>VLOOKUP(A14,'Classement S6'!$B$2:$C$150,1,0)</f>
        <v>8kinder6</v>
      </c>
      <c r="E14" s="125" t="str">
        <f t="shared" si="2"/>
        <v/>
      </c>
      <c r="F14" s="120" t="str">
        <f>VLOOKUP(A14,'Classement Général'!$B$2:$B$146,1,0)</f>
        <v>8kinder6</v>
      </c>
    </row>
    <row r="15" ht="14.25" customHeight="1">
      <c r="A15" s="122" t="str">
        <f>IFERROR(__xludf.DUMMYFUNCTION("""COMPUTED_VALUE"""),"A_iniesta")</f>
        <v>A_iniesta</v>
      </c>
      <c r="B15" s="103">
        <v>14.0</v>
      </c>
      <c r="C15" s="123">
        <f t="shared" si="1"/>
        <v>957.02322</v>
      </c>
      <c r="D15" s="124" t="str">
        <f>VLOOKUP(A15,'Classement S6'!$B$2:$C$150,1,0)</f>
        <v>A_iniesta</v>
      </c>
      <c r="E15" s="125" t="str">
        <f t="shared" si="2"/>
        <v/>
      </c>
      <c r="F15" s="120" t="str">
        <f>VLOOKUP(A15,'Classement Général'!$B$2:$B$146,1,0)</f>
        <v>A_iniesta</v>
      </c>
    </row>
    <row r="16" ht="14.25" customHeight="1">
      <c r="A16" s="122" t="str">
        <f>IFERROR(__xludf.DUMMYFUNCTION("""COMPUTED_VALUE"""),"Odile2Raise")</f>
        <v>Odile2Raise</v>
      </c>
      <c r="B16" s="103">
        <v>15.0</v>
      </c>
      <c r="C16" s="123">
        <f t="shared" si="1"/>
        <v>923.8603567</v>
      </c>
      <c r="D16" s="124" t="str">
        <f>VLOOKUP(A16,'Classement S6'!$B$2:$C$150,1,0)</f>
        <v>Odile2Raise</v>
      </c>
      <c r="E16" s="125" t="str">
        <f t="shared" si="2"/>
        <v/>
      </c>
      <c r="F16" s="120" t="str">
        <f>VLOOKUP(A16,'Classement Général'!$B$2:$B$146,1,0)</f>
        <v>Odile2Raise</v>
      </c>
    </row>
    <row r="17" ht="14.25" customHeight="1">
      <c r="A17" s="122" t="str">
        <f>IFERROR(__xludf.DUMMYFUNCTION("""COMPUTED_VALUE"""),"Mako Lemore")</f>
        <v>Mako Lemore</v>
      </c>
      <c r="B17" s="103">
        <v>16.0</v>
      </c>
      <c r="C17" s="123">
        <f t="shared" si="1"/>
        <v>892.5452049</v>
      </c>
      <c r="D17" s="124" t="str">
        <f>VLOOKUP(A17,'Classement S6'!$B$2:$C$150,1,0)</f>
        <v>Mako Lemore</v>
      </c>
      <c r="E17" s="125" t="str">
        <f t="shared" si="2"/>
        <v/>
      </c>
      <c r="F17" s="120" t="str">
        <f>VLOOKUP(A17,'Classement Général'!$B$2:$B$146,1,0)</f>
        <v>Mako Lemore</v>
      </c>
    </row>
    <row r="18" ht="14.25" customHeight="1">
      <c r="A18" s="122" t="str">
        <f>IFERROR(__xludf.DUMMYFUNCTION("""COMPUTED_VALUE"""),"UnPetitJaune")</f>
        <v>UnPetitJaune</v>
      </c>
      <c r="B18" s="103">
        <v>17.0</v>
      </c>
      <c r="C18" s="123">
        <f t="shared" si="1"/>
        <v>862.8396545</v>
      </c>
      <c r="D18" s="124" t="str">
        <f>VLOOKUP(A18,'Classement S6'!$B$2:$C$150,1,0)</f>
        <v>UnPetitJaune</v>
      </c>
      <c r="E18" s="125" t="str">
        <f t="shared" si="2"/>
        <v/>
      </c>
      <c r="F18" s="120" t="str">
        <f>VLOOKUP(A18,'Classement Général'!$B$2:$B$146,1,0)</f>
        <v>UnPetitJaune</v>
      </c>
    </row>
    <row r="19" ht="14.25" customHeight="1">
      <c r="A19" s="122" t="str">
        <f>IFERROR(__xludf.DUMMYFUNCTION("""COMPUTED_VALUE"""),"BnHuR_MarCL.")</f>
        <v>BnHuR_MarCL.</v>
      </c>
      <c r="B19" s="103">
        <v>18.0</v>
      </c>
      <c r="C19" s="123">
        <f t="shared" si="1"/>
        <v>834.5486796</v>
      </c>
      <c r="D19" s="124" t="str">
        <f>VLOOKUP(A19,'Classement S6'!$B$2:$C$150,1,0)</f>
        <v>BnHuR_MarCL.</v>
      </c>
      <c r="E19" s="125" t="str">
        <f t="shared" si="2"/>
        <v/>
      </c>
      <c r="F19" s="120" t="str">
        <f>VLOOKUP(A19,'Classement Général'!$B$2:$B$146,1,0)</f>
        <v>BnHuR_MarCL.</v>
      </c>
    </row>
    <row r="20" ht="14.25" customHeight="1">
      <c r="A20" s="122" t="str">
        <f>IFERROR(__xludf.DUMMYFUNCTION("""COMPUTED_VALUE"""),"StephBoss05")</f>
        <v>StephBoss05</v>
      </c>
      <c r="B20" s="103">
        <v>19.0</v>
      </c>
      <c r="C20" s="123">
        <f t="shared" si="1"/>
        <v>807.5106017</v>
      </c>
      <c r="D20" s="124" t="str">
        <f>VLOOKUP(A20,'Classement S6'!$B$2:$C$150,1,0)</f>
        <v>StephBoss05</v>
      </c>
      <c r="E20" s="125" t="str">
        <f t="shared" si="2"/>
        <v/>
      </c>
      <c r="F20" s="120" t="str">
        <f>VLOOKUP(A20,'Classement Général'!$B$2:$B$146,1,0)</f>
        <v>StephBoss05</v>
      </c>
    </row>
    <row r="21" ht="14.25" customHeight="1">
      <c r="A21" s="122" t="str">
        <f>IFERROR(__xludf.DUMMYFUNCTION("""COMPUTED_VALUE"""),"Tontonzgueg")</f>
        <v>Tontonzgueg</v>
      </c>
      <c r="B21" s="103">
        <v>20.0</v>
      </c>
      <c r="C21" s="123">
        <f t="shared" si="1"/>
        <v>781.5899428</v>
      </c>
      <c r="D21" s="124" t="str">
        <f>VLOOKUP(A21,'Classement S6'!$B$2:$C$150,1,0)</f>
        <v>Tontonzgueg</v>
      </c>
      <c r="E21" s="125" t="str">
        <f t="shared" si="2"/>
        <v/>
      </c>
      <c r="F21" s="120" t="str">
        <f>VLOOKUP(A21,'Classement Général'!$B$2:$B$146,1,0)</f>
        <v>Tontonzgueg</v>
      </c>
    </row>
    <row r="22" ht="14.25" customHeight="1">
      <c r="A22" s="122" t="str">
        <f>IFERROR(__xludf.DUMMYFUNCTION("""COMPUTED_VALUE"""),"POMB1664")</f>
        <v>POMB1664</v>
      </c>
      <c r="B22" s="103">
        <v>21.0</v>
      </c>
      <c r="C22" s="123">
        <f t="shared" si="1"/>
        <v>756.6720867</v>
      </c>
      <c r="D22" s="124" t="str">
        <f>VLOOKUP(A22,'Classement S6'!$B$2:$C$150,1,0)</f>
        <v>POMB1664</v>
      </c>
      <c r="E22" s="125" t="str">
        <f t="shared" si="2"/>
        <v/>
      </c>
      <c r="F22" s="120" t="str">
        <f>VLOOKUP(A22,'Classement Général'!$B$2:$B$146,1,0)</f>
        <v>POMB1664</v>
      </c>
    </row>
    <row r="23" ht="14.25" customHeight="1">
      <c r="A23" s="122" t="str">
        <f>IFERROR(__xludf.DUMMYFUNCTION("""COMPUTED_VALUE"""),"Kiki Bazaar")</f>
        <v>Kiki Bazaar</v>
      </c>
      <c r="B23" s="103">
        <v>22.0</v>
      </c>
      <c r="C23" s="123">
        <f t="shared" si="1"/>
        <v>732.6592282</v>
      </c>
      <c r="D23" s="124" t="str">
        <f>VLOOKUP(A23,'Classement S6'!$B$2:$C$150,1,0)</f>
        <v>Kiki Bazaar</v>
      </c>
      <c r="E23" s="125" t="str">
        <f t="shared" si="2"/>
        <v/>
      </c>
      <c r="F23" s="120" t="str">
        <f>VLOOKUP(A23,'Classement Général'!$B$2:$B$146,1,0)</f>
        <v>Kiki Bazaar</v>
      </c>
    </row>
    <row r="24" ht="14.25" customHeight="1">
      <c r="A24" s="122" t="str">
        <f>IFERROR(__xludf.DUMMYFUNCTION("""COMPUTED_VALUE"""),"cassius-86")</f>
        <v>cassius-86</v>
      </c>
      <c r="B24" s="103">
        <v>23.0</v>
      </c>
      <c r="C24" s="123">
        <f t="shared" si="1"/>
        <v>709.4672554</v>
      </c>
      <c r="D24" s="124" t="str">
        <f>VLOOKUP(A24,'Classement S6'!$B$2:$C$150,1,0)</f>
        <v>cassius-86</v>
      </c>
      <c r="E24" s="125" t="str">
        <f t="shared" si="2"/>
        <v/>
      </c>
      <c r="F24" s="120" t="str">
        <f>VLOOKUP(A24,'Classement Général'!$B$2:$B$146,1,0)</f>
        <v>cassius-86</v>
      </c>
    </row>
    <row r="25" ht="14.25" customHeight="1">
      <c r="A25" s="122" t="str">
        <f>IFERROR(__xludf.DUMMYFUNCTION("""COMPUTED_VALUE"""),"Dirty Bazaar")</f>
        <v>Dirty Bazaar</v>
      </c>
      <c r="B25" s="103">
        <v>24.0</v>
      </c>
      <c r="C25" s="123">
        <f t="shared" si="1"/>
        <v>687.0233191</v>
      </c>
      <c r="D25" s="124" t="str">
        <f>VLOOKUP(A25,'Classement S6'!$B$2:$C$150,1,0)</f>
        <v>Dirty Bazaar</v>
      </c>
      <c r="E25" s="125" t="str">
        <f t="shared" si="2"/>
        <v/>
      </c>
      <c r="F25" s="120" t="str">
        <f>VLOOKUP(A25,'Classement Général'!$B$2:$B$146,1,0)</f>
        <v>Dirty Bazaar</v>
      </c>
    </row>
    <row r="26" ht="14.25" customHeight="1">
      <c r="A26" s="122" t="str">
        <f>IFERROR(__xludf.DUMMYFUNCTION("""COMPUTED_VALUE"""),"Bratake")</f>
        <v>Bratake</v>
      </c>
      <c r="B26" s="103">
        <v>25.0</v>
      </c>
      <c r="C26" s="123">
        <f t="shared" si="1"/>
        <v>665.2639171</v>
      </c>
      <c r="D26" s="124" t="str">
        <f>VLOOKUP(A26,'Classement S6'!$B$2:$C$150,1,0)</f>
        <v>Bratake</v>
      </c>
      <c r="E26" s="125" t="str">
        <f t="shared" si="2"/>
        <v/>
      </c>
      <c r="F26" s="120" t="str">
        <f>VLOOKUP(A26,'Classement Général'!$B$2:$B$146,1,0)</f>
        <v>Bratake</v>
      </c>
    </row>
    <row r="27" ht="14.25" customHeight="1">
      <c r="A27" s="122" t="str">
        <f>IFERROR(__xludf.DUMMYFUNCTION("""COMPUTED_VALUE"""),"H S L G")</f>
        <v>H S L G</v>
      </c>
      <c r="B27" s="103">
        <v>26.0</v>
      </c>
      <c r="C27" s="123">
        <f t="shared" si="1"/>
        <v>644.1333665</v>
      </c>
      <c r="D27" s="124" t="str">
        <f>VLOOKUP(A27,'Classement S6'!$B$2:$C$150,1,0)</f>
        <v>H S L G</v>
      </c>
      <c r="E27" s="125" t="str">
        <f t="shared" si="2"/>
        <v/>
      </c>
      <c r="F27" s="120" t="str">
        <f>VLOOKUP(A27,'Classement Général'!$B$2:$B$146,1,0)</f>
        <v>H S L G</v>
      </c>
    </row>
    <row r="28" ht="14.25" customHeight="1">
      <c r="A28" s="122" t="str">
        <f>IFERROR(__xludf.DUMMYFUNCTION("""COMPUTED_VALUE"""),"_Sale-Bet_")</f>
        <v>_Sale-Bet_</v>
      </c>
      <c r="B28" s="103">
        <v>27.0</v>
      </c>
      <c r="C28" s="123">
        <f t="shared" si="1"/>
        <v>623.5825757</v>
      </c>
      <c r="D28" s="124" t="str">
        <f>VLOOKUP(A28,'Classement S6'!$B$2:$C$150,1,0)</f>
        <v>_Sale-Bet_</v>
      </c>
      <c r="E28" s="125" t="str">
        <f t="shared" si="2"/>
        <v/>
      </c>
      <c r="F28" s="120" t="str">
        <f>VLOOKUP(A28,'Classement Général'!$B$2:$B$146,1,0)</f>
        <v>_Sale-Bet_</v>
      </c>
    </row>
    <row r="29" ht="14.25" customHeight="1">
      <c r="A29" s="122" t="str">
        <f>IFERROR(__xludf.DUMMYFUNCTION("""COMPUTED_VALUE"""),"imberbe")</f>
        <v>imberbe</v>
      </c>
      <c r="B29" s="103">
        <v>28.0</v>
      </c>
      <c r="C29" s="123">
        <f t="shared" si="1"/>
        <v>603.5680462</v>
      </c>
      <c r="D29" s="124" t="str">
        <f>VLOOKUP(A29,'Classement S6'!$B$2:$C$150,1,0)</f>
        <v>imberbe</v>
      </c>
      <c r="E29" s="125" t="str">
        <f t="shared" si="2"/>
        <v/>
      </c>
      <c r="F29" s="120" t="str">
        <f>VLOOKUP(A29,'Classement Général'!$B$2:$B$146,1,0)</f>
        <v>imberbe</v>
      </c>
    </row>
    <row r="30" ht="14.25" customHeight="1">
      <c r="A30" s="122" t="str">
        <f>IFERROR(__xludf.DUMMYFUNCTION("""COMPUTED_VALUE"""),"Or&amp;l1")</f>
        <v>Or&amp;l1</v>
      </c>
      <c r="B30" s="103">
        <v>29.0</v>
      </c>
      <c r="C30" s="123">
        <f t="shared" si="1"/>
        <v>584.051057</v>
      </c>
      <c r="D30" s="124" t="str">
        <f>VLOOKUP(A30,'Classement S6'!$B$2:$C$150,1,0)</f>
        <v>Or&amp;l1</v>
      </c>
      <c r="E30" s="125" t="str">
        <f t="shared" si="2"/>
        <v/>
      </c>
      <c r="F30" s="120" t="str">
        <f>VLOOKUP(A30,'Classement Général'!$B$2:$B$146,1,0)</f>
        <v>Or&amp;l1</v>
      </c>
    </row>
    <row r="31" ht="14.25" customHeight="1">
      <c r="A31" s="122" t="str">
        <f>IFERROR(__xludf.DUMMYFUNCTION("""COMPUTED_VALUE"""),"Le_Pictavien")</f>
        <v>Le_Pictavien</v>
      </c>
      <c r="B31" s="103">
        <v>30.0</v>
      </c>
      <c r="C31" s="123">
        <f t="shared" si="1"/>
        <v>564.9969906</v>
      </c>
      <c r="D31" s="124" t="str">
        <f>VLOOKUP(A31,'Classement S6'!$B$2:$C$150,1,0)</f>
        <v>Le_Pictavien</v>
      </c>
      <c r="E31" s="125" t="str">
        <f t="shared" si="2"/>
        <v/>
      </c>
      <c r="F31" s="120" t="str">
        <f>VLOOKUP(A31,'Classement Général'!$B$2:$B$146,1,0)</f>
        <v>Le_Pictavien</v>
      </c>
    </row>
    <row r="32" ht="14.25" customHeight="1">
      <c r="A32" s="122" t="str">
        <f>IFERROR(__xludf.DUMMYFUNCTION("""COMPUTED_VALUE"""),"karibette86")</f>
        <v>karibette86</v>
      </c>
      <c r="B32" s="103">
        <v>31.0</v>
      </c>
      <c r="C32" s="123">
        <f t="shared" si="1"/>
        <v>546.3747749</v>
      </c>
      <c r="D32" s="124" t="str">
        <f>VLOOKUP(A32,'Classement S6'!$B$2:$C$150,1,0)</f>
        <v>karibette86</v>
      </c>
      <c r="E32" s="125" t="str">
        <f t="shared" si="2"/>
        <v/>
      </c>
      <c r="F32" s="120" t="str">
        <f>VLOOKUP(A32,'Classement Général'!$B$2:$B$146,1,0)</f>
        <v>karibette86</v>
      </c>
    </row>
    <row r="33" ht="14.25" customHeight="1">
      <c r="A33" s="122" t="str">
        <f>IFERROR(__xludf.DUMMYFUNCTION("""COMPUTED_VALUE"""),"gregmoore")</f>
        <v>gregmoore</v>
      </c>
      <c r="B33" s="103">
        <v>32.0</v>
      </c>
      <c r="C33" s="123">
        <f t="shared" si="1"/>
        <v>528.1564149</v>
      </c>
      <c r="D33" s="124" t="str">
        <f>VLOOKUP(A33,'Classement S6'!$B$2:$C$150,1,0)</f>
        <v>gregmoore</v>
      </c>
      <c r="E33" s="125" t="str">
        <f t="shared" si="2"/>
        <v/>
      </c>
      <c r="F33" s="120" t="str">
        <f>VLOOKUP(A33,'Classement Général'!$B$2:$B$146,1,0)</f>
        <v>gregmoore</v>
      </c>
    </row>
    <row r="34" ht="14.25" customHeight="1">
      <c r="A34" s="122" t="str">
        <f>IFERROR(__xludf.DUMMYFUNCTION("""COMPUTED_VALUE"""),"Legabodu86")</f>
        <v>Legabodu86</v>
      </c>
      <c r="B34" s="103">
        <v>33.0</v>
      </c>
      <c r="C34" s="123">
        <f t="shared" si="1"/>
        <v>510.3166005</v>
      </c>
      <c r="D34" s="124" t="str">
        <f>VLOOKUP(A34,'Classement S6'!$B$2:$C$150,1,0)</f>
        <v>Legabodu86</v>
      </c>
      <c r="E34" s="125" t="str">
        <f t="shared" si="2"/>
        <v/>
      </c>
      <c r="F34" s="120" t="str">
        <f>VLOOKUP(A34,'Classement Général'!$B$2:$B$146,1,0)</f>
        <v>Legabodu86</v>
      </c>
    </row>
    <row r="35" ht="14.25" customHeight="1">
      <c r="A35" s="122" t="str">
        <f>IFERROR(__xludf.DUMMYFUNCTION("""COMPUTED_VALUE"""),"Steprou86")</f>
        <v>Steprou86</v>
      </c>
      <c r="B35" s="103">
        <v>34.0</v>
      </c>
      <c r="C35" s="123">
        <f t="shared" si="1"/>
        <v>492.8323737</v>
      </c>
      <c r="D35" s="124" t="str">
        <f>VLOOKUP(A35,'Classement S6'!$B$2:$C$150,1,0)</f>
        <v>Steprou86</v>
      </c>
      <c r="E35" s="125" t="str">
        <f t="shared" si="2"/>
        <v/>
      </c>
      <c r="F35" s="120" t="str">
        <f>VLOOKUP(A35,'Classement Général'!$B$2:$B$146,1,0)</f>
        <v>Steprou86</v>
      </c>
    </row>
    <row r="36" ht="14.25" customHeight="1">
      <c r="A36" s="122" t="str">
        <f>IFERROR(__xludf.DUMMYFUNCTION("""COMPUTED_VALUE"""),"Jennyyy8")</f>
        <v>Jennyyy8</v>
      </c>
      <c r="B36" s="103">
        <v>35.0</v>
      </c>
      <c r="C36" s="123">
        <f t="shared" si="1"/>
        <v>475.682846</v>
      </c>
      <c r="D36" s="124" t="str">
        <f>VLOOKUP(A36,'Classement S6'!$B$2:$C$150,1,0)</f>
        <v>Jennyyy8</v>
      </c>
      <c r="E36" s="125" t="str">
        <f t="shared" si="2"/>
        <v/>
      </c>
      <c r="F36" s="120" t="str">
        <f>VLOOKUP(A36,'Classement Général'!$B$2:$B$146,1,0)</f>
        <v>Jennyyy8</v>
      </c>
    </row>
    <row r="37" ht="14.25" customHeight="1">
      <c r="A37" s="122" t="str">
        <f>IFERROR(__xludf.DUMMYFUNCTION("""COMPUTED_VALUE"""),"kiki86 x")</f>
        <v>kiki86 x</v>
      </c>
      <c r="B37" s="103">
        <v>36.0</v>
      </c>
      <c r="C37" s="123">
        <f t="shared" si="1"/>
        <v>458.848957</v>
      </c>
      <c r="D37" s="124" t="str">
        <f>VLOOKUP(A37,'Classement S6'!$B$2:$C$150,1,0)</f>
        <v>kiki86 x</v>
      </c>
      <c r="E37" s="125" t="str">
        <f t="shared" si="2"/>
        <v/>
      </c>
      <c r="F37" s="120" t="str">
        <f>VLOOKUP(A37,'Classement Général'!$B$2:$B$146,1,0)</f>
        <v>kiki86 x</v>
      </c>
    </row>
    <row r="38" ht="14.25" customHeight="1">
      <c r="A38" s="122" t="str">
        <f>IFERROR(__xludf.DUMMYFUNCTION("""COMPUTED_VALUE"""),"mailie86")</f>
        <v>mailie86</v>
      </c>
      <c r="B38" s="103">
        <v>37.0</v>
      </c>
      <c r="C38" s="123">
        <f t="shared" si="1"/>
        <v>442.3132668</v>
      </c>
      <c r="D38" s="124" t="str">
        <f>VLOOKUP(A38,'Classement S6'!$B$2:$C$150,1,0)</f>
        <v>mailie86</v>
      </c>
      <c r="E38" s="125" t="str">
        <f t="shared" si="2"/>
        <v/>
      </c>
      <c r="F38" s="120" t="str">
        <f>VLOOKUP(A38,'Classement Général'!$B$2:$B$146,1,0)</f>
        <v>mailie86</v>
      </c>
    </row>
    <row r="39" ht="14.25" customHeight="1">
      <c r="A39" s="122" t="str">
        <f>IFERROR(__xludf.DUMMYFUNCTION("""COMPUTED_VALUE"""),"Titounio")</f>
        <v>Titounio</v>
      </c>
      <c r="B39" s="103">
        <v>38.0</v>
      </c>
      <c r="C39" s="123">
        <f t="shared" si="1"/>
        <v>426.0597774</v>
      </c>
      <c r="D39" s="124" t="str">
        <f>VLOOKUP(A39,'Classement S6'!$B$2:$C$150,1,0)</f>
        <v>Titounio</v>
      </c>
      <c r="E39" s="125" t="str">
        <f t="shared" si="2"/>
        <v/>
      </c>
      <c r="F39" s="120" t="str">
        <f>VLOOKUP(A39,'Classement Général'!$B$2:$B$146,1,0)</f>
        <v>Titounio</v>
      </c>
    </row>
    <row r="40" ht="14.25" customHeight="1">
      <c r="A40" s="122" t="str">
        <f>IFERROR(__xludf.DUMMYFUNCTION("""COMPUTED_VALUE"""),"LEGOLEGOTE")</f>
        <v>LEGOLEGOTE</v>
      </c>
      <c r="B40" s="103">
        <v>39.0</v>
      </c>
      <c r="C40" s="123">
        <f t="shared" si="1"/>
        <v>410.0737777</v>
      </c>
      <c r="D40" s="124" t="str">
        <f>VLOOKUP(A40,'Classement S6'!$B$2:$C$150,1,0)</f>
        <v>LEGOLEGOTE</v>
      </c>
      <c r="E40" s="125" t="str">
        <f t="shared" si="2"/>
        <v/>
      </c>
      <c r="F40" s="120" t="str">
        <f>VLOOKUP(A40,'Classement Général'!$B$2:$B$146,1,0)</f>
        <v>LEGOLEGOTE</v>
      </c>
    </row>
    <row r="41" ht="14.25" customHeight="1">
      <c r="A41" s="122" t="str">
        <f>IFERROR(__xludf.DUMMYFUNCTION("""COMPUTED_VALUE"""),"christ86000")</f>
        <v>christ86000</v>
      </c>
      <c r="B41" s="103">
        <v>40.0</v>
      </c>
      <c r="C41" s="123">
        <f t="shared" si="1"/>
        <v>394.3417086</v>
      </c>
      <c r="D41" s="124" t="str">
        <f>VLOOKUP(A41,'Classement S6'!$B$2:$C$150,1,0)</f>
        <v>christ86000</v>
      </c>
      <c r="E41" s="125" t="str">
        <f t="shared" si="2"/>
        <v/>
      </c>
      <c r="F41" s="120" t="str">
        <f>VLOOKUP(A41,'Classement Général'!$B$2:$B$146,1,0)</f>
        <v>christ86000</v>
      </c>
    </row>
    <row r="42" ht="14.25" customHeight="1">
      <c r="A42" s="122" t="str">
        <f>IFERROR(__xludf.DUMMYFUNCTION("""COMPUTED_VALUE"""),"Vaillant 86")</f>
        <v>Vaillant 86</v>
      </c>
      <c r="B42" s="103">
        <v>41.0</v>
      </c>
      <c r="C42" s="123">
        <f t="shared" si="1"/>
        <v>378.851046</v>
      </c>
      <c r="D42" s="124" t="str">
        <f>VLOOKUP(A42,'Classement S6'!$B$2:$C$150,1,0)</f>
        <v>Vaillant 86</v>
      </c>
      <c r="E42" s="125" t="str">
        <f t="shared" si="2"/>
        <v/>
      </c>
      <c r="F42" s="120" t="str">
        <f>VLOOKUP(A42,'Classement Général'!$B$2:$B$146,1,0)</f>
        <v>Vaillant 86</v>
      </c>
    </row>
    <row r="43" ht="14.25" customHeight="1">
      <c r="A43" s="122" t="str">
        <f>IFERROR(__xludf.DUMMYFUNCTION("""COMPUTED_VALUE"""),"Phil1308")</f>
        <v>Phil1308</v>
      </c>
      <c r="B43" s="103">
        <v>42.0</v>
      </c>
      <c r="C43" s="123">
        <f t="shared" si="1"/>
        <v>363.5901973</v>
      </c>
      <c r="D43" s="124" t="str">
        <f>VLOOKUP(A43,'Classement S6'!$B$2:$C$150,1,0)</f>
        <v>Phil1308</v>
      </c>
      <c r="E43" s="125" t="str">
        <f t="shared" si="2"/>
        <v/>
      </c>
      <c r="F43" s="120" t="str">
        <f>VLOOKUP(A43,'Classement Général'!$B$2:$B$146,1,0)</f>
        <v>Phil1308</v>
      </c>
    </row>
    <row r="44" ht="14.25" customHeight="1">
      <c r="A44" s="122" t="str">
        <f>IFERROR(__xludf.DUMMYFUNCTION("""COMPUTED_VALUE"""),"Blochedu86")</f>
        <v>Blochedu86</v>
      </c>
      <c r="B44" s="103">
        <v>43.0</v>
      </c>
      <c r="C44" s="123">
        <f t="shared" si="1"/>
        <v>348.5484111</v>
      </c>
      <c r="D44" s="124" t="str">
        <f>VLOOKUP(A44,'Classement S6'!$B$2:$C$150,1,0)</f>
        <v>Blochedu86</v>
      </c>
      <c r="E44" s="125" t="str">
        <f t="shared" si="2"/>
        <v/>
      </c>
      <c r="F44" s="120" t="str">
        <f>VLOOKUP(A44,'Classement Général'!$B$2:$B$146,1,0)</f>
        <v>Blochedu86</v>
      </c>
    </row>
    <row r="45" ht="14.25" customHeight="1">
      <c r="A45" s="122" t="str">
        <f>IFERROR(__xludf.DUMMYFUNCTION("""COMPUTED_VALUE"""),"m86600b")</f>
        <v>m86600b</v>
      </c>
      <c r="B45" s="103">
        <v>44.0</v>
      </c>
      <c r="C45" s="123">
        <f t="shared" si="1"/>
        <v>333.7156976</v>
      </c>
      <c r="D45" s="124" t="str">
        <f>VLOOKUP(A45,'Classement S6'!$B$2:$C$150,1,0)</f>
        <v>m86600b</v>
      </c>
      <c r="E45" s="125" t="str">
        <f t="shared" si="2"/>
        <v/>
      </c>
      <c r="F45" s="120" t="str">
        <f>VLOOKUP(A45,'Classement Général'!$B$2:$B$146,1,0)</f>
        <v>m86600b</v>
      </c>
    </row>
    <row r="46" ht="14.25" customHeight="1">
      <c r="A46" s="122" t="str">
        <f>IFERROR(__xludf.DUMMYFUNCTION("""COMPUTED_VALUE"""),"chatouill86")</f>
        <v>chatouill86</v>
      </c>
      <c r="B46" s="103">
        <v>45.0</v>
      </c>
      <c r="C46" s="123">
        <f t="shared" si="1"/>
        <v>319.082758</v>
      </c>
      <c r="D46" s="124" t="str">
        <f>VLOOKUP(A46,'Classement S6'!$B$2:$C$150,1,0)</f>
        <v>chatouill86</v>
      </c>
      <c r="E46" s="125" t="str">
        <f t="shared" si="2"/>
        <v/>
      </c>
      <c r="F46" s="120" t="str">
        <f>VLOOKUP(A46,'Classement Général'!$B$2:$B$146,1,0)</f>
        <v>chatouill86</v>
      </c>
    </row>
    <row r="47" ht="14.25" customHeight="1">
      <c r="A47" s="122" t="str">
        <f>IFERROR(__xludf.DUMMYFUNCTION("""COMPUTED_VALUE"""),"sonic86")</f>
        <v>sonic86</v>
      </c>
      <c r="B47" s="103">
        <v>46.0</v>
      </c>
      <c r="C47" s="123">
        <f t="shared" si="1"/>
        <v>304.6409218</v>
      </c>
      <c r="D47" s="124" t="str">
        <f>VLOOKUP(A47,'Classement S6'!$B$2:$C$150,1,0)</f>
        <v>sonic86</v>
      </c>
      <c r="E47" s="125" t="str">
        <f t="shared" si="2"/>
        <v/>
      </c>
      <c r="F47" s="120" t="str">
        <f>VLOOKUP(A47,'Classement Général'!$B$2:$B$146,1,0)</f>
        <v>sonic86</v>
      </c>
    </row>
    <row r="48" ht="14.25" customHeight="1">
      <c r="A48" s="122" t="str">
        <f>IFERROR(__xludf.DUMMYFUNCTION("""COMPUTED_VALUE"""),"SINGE7")</f>
        <v>SINGE7</v>
      </c>
      <c r="B48" s="103">
        <v>47.0</v>
      </c>
      <c r="C48" s="123">
        <f t="shared" si="1"/>
        <v>290.3820912</v>
      </c>
      <c r="D48" s="124" t="str">
        <f>VLOOKUP(A48,'Classement S6'!$B$2:$C$150,1,0)</f>
        <v>SINGE7</v>
      </c>
      <c r="E48" s="125" t="str">
        <f t="shared" si="2"/>
        <v/>
      </c>
      <c r="F48" s="120" t="str">
        <f>VLOOKUP(A48,'Classement Général'!$B$2:$B$146,1,0)</f>
        <v>SINGE7</v>
      </c>
    </row>
    <row r="49" ht="14.25" customHeight="1">
      <c r="A49" s="122" t="str">
        <f>IFERROR(__xludf.DUMMYFUNCTION("""COMPUTED_VALUE"""),"Sab86360")</f>
        <v>Sab86360</v>
      </c>
      <c r="B49" s="103">
        <v>48.0</v>
      </c>
      <c r="C49" s="123">
        <f t="shared" si="1"/>
        <v>276.2986917</v>
      </c>
      <c r="D49" s="124" t="str">
        <f>VLOOKUP(A49,'Classement S6'!$B$2:$C$150,1,0)</f>
        <v>Sab86360</v>
      </c>
      <c r="E49" s="125" t="str">
        <f t="shared" si="2"/>
        <v/>
      </c>
      <c r="F49" s="120" t="str">
        <f>VLOOKUP(A49,'Classement Général'!$B$2:$B$146,1,0)</f>
        <v>Sab86360</v>
      </c>
    </row>
    <row r="50" ht="14.25" customHeight="1">
      <c r="A50" s="122" t="str">
        <f>IFERROR(__xludf.DUMMYFUNCTION("""COMPUTED_VALUE"""),"ariba")</f>
        <v>ariba</v>
      </c>
      <c r="B50" s="103">
        <v>49.0</v>
      </c>
      <c r="C50" s="123">
        <f t="shared" si="1"/>
        <v>262.3836273</v>
      </c>
      <c r="D50" s="124" t="str">
        <f>VLOOKUP(A50,'Classement S6'!$B$2:$C$150,1,0)</f>
        <v>ariba</v>
      </c>
      <c r="E50" s="125" t="str">
        <f t="shared" si="2"/>
        <v/>
      </c>
      <c r="F50" s="120" t="str">
        <f>VLOOKUP(A50,'Classement Général'!$B$2:$B$146,1,0)</f>
        <v>ariba</v>
      </c>
    </row>
    <row r="51" ht="14.25" customHeight="1">
      <c r="A51" s="122" t="str">
        <f>IFERROR(__xludf.DUMMYFUNCTION("""COMPUTED_VALUE"""),"KKPTETYO")</f>
        <v>KKPTETYO</v>
      </c>
      <c r="B51" s="103">
        <v>50.0</v>
      </c>
      <c r="C51" s="123">
        <f t="shared" si="1"/>
        <v>248.6302414</v>
      </c>
      <c r="D51" s="124" t="str">
        <f>VLOOKUP(A51,'Classement S6'!$B$2:$C$150,1,0)</f>
        <v>KKPTETYO</v>
      </c>
      <c r="E51" s="125" t="str">
        <f t="shared" si="2"/>
        <v/>
      </c>
      <c r="F51" s="120" t="str">
        <f>VLOOKUP(A51,'Classement Général'!$B$2:$B$146,1,0)</f>
        <v>KKPTETYO</v>
      </c>
    </row>
    <row r="52" ht="14.25" customHeight="1">
      <c r="A52" s="122" t="str">
        <f>IFERROR(__xludf.DUMMYFUNCTION("""COMPUTED_VALUE"""),"hmnyocleaver")</f>
        <v>hmnyocleaver</v>
      </c>
      <c r="B52" s="103">
        <v>51.0</v>
      </c>
      <c r="C52" s="123">
        <f t="shared" si="1"/>
        <v>235.0322802</v>
      </c>
      <c r="D52" s="124" t="str">
        <f>VLOOKUP(A52,'Classement S6'!$B$2:$C$150,1,0)</f>
        <v>hmnyocleaver</v>
      </c>
      <c r="E52" s="125" t="str">
        <f t="shared" si="2"/>
        <v/>
      </c>
      <c r="F52" s="120" t="str">
        <f>VLOOKUP(A52,'Classement Général'!$B$2:$B$146,1,0)</f>
        <v>hmnyocleaver</v>
      </c>
    </row>
    <row r="53" ht="14.25" customHeight="1">
      <c r="A53" s="122" t="str">
        <f>IFERROR(__xludf.DUMMYFUNCTION("""COMPUTED_VALUE"""),"Fistipanda")</f>
        <v>Fistipanda</v>
      </c>
      <c r="B53" s="103">
        <v>52.0</v>
      </c>
      <c r="C53" s="123">
        <f t="shared" si="1"/>
        <v>221.5838614</v>
      </c>
      <c r="D53" s="124" t="str">
        <f>VLOOKUP(A53,'Classement S6'!$B$2:$C$150,1,0)</f>
        <v>Fistipanda</v>
      </c>
      <c r="E53" s="125" t="str">
        <f t="shared" si="2"/>
        <v/>
      </c>
      <c r="F53" s="120" t="str">
        <f>VLOOKUP(A53,'Classement Général'!$B$2:$B$146,1,0)</f>
        <v>Fistipanda</v>
      </c>
    </row>
    <row r="54" ht="14.25" customHeight="1">
      <c r="A54" s="122" t="str">
        <f>IFERROR(__xludf.DUMMYFUNCTION("""COMPUTED_VALUE"""),"hamsteroide")</f>
        <v>hamsteroide</v>
      </c>
      <c r="B54" s="103">
        <v>53.0</v>
      </c>
      <c r="C54" s="123">
        <f t="shared" si="1"/>
        <v>208.2794446</v>
      </c>
      <c r="D54" s="124" t="str">
        <f>VLOOKUP(A54,'Classement S6'!$B$2:$C$150,1,0)</f>
        <v>hamsteroide</v>
      </c>
      <c r="E54" s="125" t="str">
        <f t="shared" si="2"/>
        <v/>
      </c>
      <c r="F54" s="120" t="str">
        <f>VLOOKUP(A54,'Classement Général'!$B$2:$B$146,1,0)</f>
        <v>hamsteroide</v>
      </c>
    </row>
    <row r="55" ht="14.25" customHeight="1">
      <c r="A55" s="122" t="str">
        <f>IFERROR(__xludf.DUMMYFUNCTION("""COMPUTED_VALUE"""),"AKlibur")</f>
        <v>AKlibur</v>
      </c>
      <c r="B55" s="103">
        <v>54.0</v>
      </c>
      <c r="C55" s="123">
        <f t="shared" si="1"/>
        <v>195.1138056</v>
      </c>
      <c r="D55" s="124" t="str">
        <f>VLOOKUP(A55,'Classement S6'!$B$2:$C$150,1,0)</f>
        <v>AKlibur</v>
      </c>
      <c r="E55" s="125" t="str">
        <f t="shared" si="2"/>
        <v/>
      </c>
      <c r="F55" s="120" t="str">
        <f>VLOOKUP(A55,'Classement Général'!$B$2:$B$146,1,0)</f>
        <v>AKlibur</v>
      </c>
    </row>
    <row r="56" ht="14.25" customHeight="1">
      <c r="A56" s="122" t="str">
        <f>IFERROR(__xludf.DUMMYFUNCTION("""COMPUTED_VALUE"""),"Patgaret")</f>
        <v>Patgaret</v>
      </c>
      <c r="B56" s="103">
        <v>55.0</v>
      </c>
      <c r="C56" s="123">
        <f t="shared" si="1"/>
        <v>182.082012</v>
      </c>
      <c r="D56" s="124" t="str">
        <f>VLOOKUP(A56,'Classement S6'!$B$2:$C$150,1,0)</f>
        <v>Patgaret</v>
      </c>
      <c r="E56" s="125" t="str">
        <f t="shared" si="2"/>
        <v/>
      </c>
      <c r="F56" s="120" t="str">
        <f>VLOOKUP(A56,'Classement Général'!$B$2:$B$146,1,0)</f>
        <v>Patgaret</v>
      </c>
    </row>
    <row r="57" ht="14.25" customHeight="1">
      <c r="A57" s="122" t="str">
        <f>IFERROR(__xludf.DUMMYFUNCTION("""COMPUTED_VALUE"""),"fiodor86")</f>
        <v>fiodor86</v>
      </c>
      <c r="B57" s="103">
        <v>56.0</v>
      </c>
      <c r="C57" s="123">
        <f t="shared" si="1"/>
        <v>169.1794022</v>
      </c>
      <c r="D57" s="124" t="str">
        <f>VLOOKUP(A57,'Classement S6'!$B$2:$C$150,1,0)</f>
        <v>fiodor86</v>
      </c>
      <c r="E57" s="125" t="str">
        <f t="shared" si="2"/>
        <v/>
      </c>
      <c r="F57" s="120" t="str">
        <f>VLOOKUP(A57,'Classement Général'!$B$2:$B$146,1,0)</f>
        <v>fiodor86</v>
      </c>
    </row>
    <row r="58" ht="14.25" customHeight="1">
      <c r="A58" s="122" t="str">
        <f>IFERROR(__xludf.DUMMYFUNCTION("""COMPUTED_VALUE"""),"COMBERS")</f>
        <v>COMBERS</v>
      </c>
      <c r="B58" s="103">
        <v>57.0</v>
      </c>
      <c r="C58" s="123">
        <f t="shared" si="1"/>
        <v>156.4015653</v>
      </c>
      <c r="D58" s="124" t="str">
        <f>VLOOKUP(A58,'Classement S6'!$B$2:$C$150,1,0)</f>
        <v>COMBERS</v>
      </c>
      <c r="E58" s="125" t="str">
        <f t="shared" si="2"/>
        <v/>
      </c>
      <c r="F58" s="120" t="str">
        <f>VLOOKUP(A58,'Classement Général'!$B$2:$B$146,1,0)</f>
        <v>COMBERS</v>
      </c>
    </row>
    <row r="59" ht="14.25" customHeight="1">
      <c r="A59" s="122" t="str">
        <f>IFERROR(__xludf.DUMMYFUNCTION("""COMPUTED_VALUE"""),"-bartman-")</f>
        <v>-bartman-</v>
      </c>
      <c r="B59" s="103">
        <v>58.0</v>
      </c>
      <c r="C59" s="123">
        <f t="shared" si="1"/>
        <v>143.7443239</v>
      </c>
      <c r="D59" s="124" t="str">
        <f>VLOOKUP(A59,'Classement S6'!$B$2:$C$150,1,0)</f>
        <v>-bartman-</v>
      </c>
      <c r="E59" s="125" t="str">
        <f t="shared" si="2"/>
        <v/>
      </c>
      <c r="F59" s="120" t="str">
        <f>VLOOKUP(A59,'Classement Général'!$B$2:$B$146,1,0)</f>
        <v>-bartman-</v>
      </c>
    </row>
    <row r="60" ht="14.25" customHeight="1">
      <c r="A60" s="122" t="str">
        <f>IFERROR(__xludf.DUMMYFUNCTION("""COMPUTED_VALUE"""),"Pachavi")</f>
        <v>Pachavi</v>
      </c>
      <c r="B60" s="103">
        <v>59.0</v>
      </c>
      <c r="C60" s="123">
        <f t="shared" si="1"/>
        <v>131.2037171</v>
      </c>
      <c r="D60" s="124" t="str">
        <f>VLOOKUP(A60,'Classement S6'!$B$2:$C$150,1,0)</f>
        <v>Pachavi</v>
      </c>
      <c r="E60" s="125" t="str">
        <f t="shared" si="2"/>
        <v/>
      </c>
      <c r="F60" s="120" t="str">
        <f>VLOOKUP(A60,'Classement Général'!$B$2:$B$146,1,0)</f>
        <v>Pachavi</v>
      </c>
    </row>
    <row r="61" ht="14.25" customHeight="1">
      <c r="A61" s="122" t="str">
        <f>IFERROR(__xludf.DUMMYFUNCTION("""COMPUTED_VALUE"""),"PrendmAmAin")</f>
        <v>PrendmAmAin</v>
      </c>
      <c r="B61" s="103">
        <v>60.0</v>
      </c>
      <c r="C61" s="123">
        <f t="shared" si="1"/>
        <v>118.775986</v>
      </c>
      <c r="D61" s="124" t="str">
        <f>VLOOKUP(A61,'Classement S6'!$B$2:$C$150,1,0)</f>
        <v>PrendmAmAin</v>
      </c>
      <c r="E61" s="125" t="str">
        <f t="shared" si="2"/>
        <v/>
      </c>
      <c r="F61" s="120" t="str">
        <f>VLOOKUP(A61,'Classement Général'!$B$2:$B$146,1,0)</f>
        <v>PrendmAmAin</v>
      </c>
    </row>
    <row r="62" ht="14.25" customHeight="1">
      <c r="A62" s="122" t="str">
        <f>IFERROR(__xludf.DUMMYFUNCTION("""COMPUTED_VALUE"""),"NezuKO-demon")</f>
        <v>NezuKO-demon</v>
      </c>
      <c r="B62" s="103">
        <v>61.0</v>
      </c>
      <c r="C62" s="123">
        <f t="shared" si="1"/>
        <v>106.4575599</v>
      </c>
      <c r="D62" s="124" t="str">
        <f>VLOOKUP(A62,'Classement S6'!$B$2:$C$150,1,0)</f>
        <v>NezuKO-demon</v>
      </c>
      <c r="E62" s="125" t="str">
        <f t="shared" si="2"/>
        <v/>
      </c>
      <c r="F62" s="120" t="str">
        <f>VLOOKUP(A62,'Classement Général'!$B$2:$B$146,1,0)</f>
        <v>NezuKO-demon</v>
      </c>
    </row>
    <row r="63" ht="14.25" customHeight="1">
      <c r="A63" s="122" t="str">
        <f>IFERROR(__xludf.DUMMYFUNCTION("""COMPUTED_VALUE"""),"erniedog56x")</f>
        <v>erniedog56x</v>
      </c>
      <c r="B63" s="103">
        <v>62.0</v>
      </c>
      <c r="C63" s="123">
        <f t="shared" si="1"/>
        <v>94.24504401</v>
      </c>
      <c r="D63" s="124" t="str">
        <f>VLOOKUP(A63,'Classement S6'!$B$2:$C$150,1,0)</f>
        <v>erniedog56x</v>
      </c>
      <c r="E63" s="125" t="str">
        <f t="shared" si="2"/>
        <v/>
      </c>
      <c r="F63" s="120" t="str">
        <f>VLOOKUP(A63,'Classement Général'!$B$2:$B$146,1,0)</f>
        <v>erniedog56x</v>
      </c>
    </row>
    <row r="64" ht="14.25" customHeight="1">
      <c r="A64" s="122" t="str">
        <f>IFERROR(__xludf.DUMMYFUNCTION("""COMPUTED_VALUE"""),"Elfy")</f>
        <v>Elfy</v>
      </c>
      <c r="B64" s="103">
        <v>63.0</v>
      </c>
      <c r="C64" s="123">
        <f t="shared" si="1"/>
        <v>82.13520769</v>
      </c>
      <c r="D64" s="124" t="str">
        <f>VLOOKUP(A64,'Classement S6'!$B$2:$C$150,1,0)</f>
        <v>Elfy</v>
      </c>
      <c r="E64" s="125" t="str">
        <f t="shared" si="2"/>
        <v/>
      </c>
      <c r="F64" s="120" t="str">
        <f>VLOOKUP(A64,'Classement Général'!$B$2:$B$146,1,0)</f>
        <v>Elfy</v>
      </c>
    </row>
    <row r="65" ht="14.25" customHeight="1">
      <c r="A65" s="122" t="str">
        <f>IFERROR(__xludf.DUMMYFUNCTION("""COMPUTED_VALUE"""),"Manu8671")</f>
        <v>Manu8671</v>
      </c>
      <c r="B65" s="103">
        <v>64.0</v>
      </c>
      <c r="C65" s="123">
        <f t="shared" si="1"/>
        <v>70.1249741</v>
      </c>
      <c r="D65" s="124" t="str">
        <f>VLOOKUP(A65,'Classement S6'!$B$2:$C$150,1,0)</f>
        <v>Manu8671</v>
      </c>
      <c r="E65" s="125" t="str">
        <f t="shared" si="2"/>
        <v/>
      </c>
      <c r="F65" s="120" t="str">
        <f>VLOOKUP(A65,'Classement Général'!$B$2:$B$146,1,0)</f>
        <v>Manu8671</v>
      </c>
    </row>
    <row r="66" ht="14.25" customHeight="1">
      <c r="A66" s="122" t="str">
        <f>IFERROR(__xludf.DUMMYFUNCTION("""COMPUTED_VALUE"""),"DevilBock")</f>
        <v>DevilBock</v>
      </c>
      <c r="B66" s="103">
        <v>65.0</v>
      </c>
      <c r="C66" s="123">
        <f t="shared" si="1"/>
        <v>58.21141043</v>
      </c>
      <c r="D66" s="124" t="str">
        <f>VLOOKUP(A66,'Classement S6'!$B$2:$C$150,1,0)</f>
        <v>DevilBock</v>
      </c>
      <c r="E66" s="125" t="str">
        <f t="shared" si="2"/>
        <v/>
      </c>
      <c r="F66" s="120" t="str">
        <f>VLOOKUP(A66,'Classement Général'!$B$2:$B$146,1,0)</f>
        <v>DevilBock</v>
      </c>
    </row>
    <row r="67" ht="14.25" customHeight="1">
      <c r="A67" s="122" t="str">
        <f>IFERROR(__xludf.DUMMYFUNCTION("""COMPUTED_VALUE"""),"Redblood92")</f>
        <v>Redblood92</v>
      </c>
      <c r="B67" s="103">
        <v>66.0</v>
      </c>
      <c r="C67" s="123">
        <f t="shared" si="1"/>
        <v>46.39171892</v>
      </c>
      <c r="D67" s="124" t="str">
        <f>VLOOKUP(A67,'Classement S6'!$B$2:$C$150,1,0)</f>
        <v>Redblood92</v>
      </c>
      <c r="E67" s="125" t="str">
        <f t="shared" si="2"/>
        <v/>
      </c>
      <c r="F67" s="120" t="str">
        <f>VLOOKUP(A67,'Classement Général'!$B$2:$B$146,1,0)</f>
        <v>Redblood92</v>
      </c>
    </row>
    <row r="68" ht="14.25" customHeight="1">
      <c r="A68" s="122" t="str">
        <f>IFERROR(__xludf.DUMMYFUNCTION("""COMPUTED_VALUE"""),". BARBAPAPA66")</f>
        <v>. BARBAPAPA66</v>
      </c>
      <c r="B68" s="103">
        <v>67.0</v>
      </c>
      <c r="C68" s="123">
        <f t="shared" si="1"/>
        <v>34.66322858</v>
      </c>
      <c r="D68" s="124" t="str">
        <f>VLOOKUP(A68,'Classement S6'!$B$2:$C$150,1,0)</f>
        <v>. BARBAPAPA66</v>
      </c>
      <c r="E68" s="125" t="str">
        <f t="shared" si="2"/>
        <v/>
      </c>
      <c r="F68" s="120" t="str">
        <f>VLOOKUP(A68,'Classement Général'!$B$2:$B$146,1,0)</f>
        <v>. BARBAPAPA66</v>
      </c>
    </row>
    <row r="69" ht="14.25" customHeight="1">
      <c r="A69" s="122" t="str">
        <f>IFERROR(__xludf.DUMMYFUNCTION("""COMPUTED_VALUE"""),"Cataleya86")</f>
        <v>Cataleya86</v>
      </c>
      <c r="B69" s="103">
        <v>68.0</v>
      </c>
      <c r="C69" s="123">
        <f t="shared" si="1"/>
        <v>23.02338758</v>
      </c>
      <c r="D69" s="124" t="str">
        <f>VLOOKUP(A69,'Classement S6'!$B$2:$C$150,1,0)</f>
        <v>Cataleya86</v>
      </c>
      <c r="E69" s="125" t="str">
        <f t="shared" si="2"/>
        <v/>
      </c>
      <c r="F69" s="120" t="str">
        <f>VLOOKUP(A69,'Classement Général'!$B$2:$B$146,1,0)</f>
        <v>Cataleya86</v>
      </c>
    </row>
    <row r="70" ht="14.25" customHeight="1">
      <c r="A70" s="122" t="str">
        <f>IFERROR(__xludf.DUMMYFUNCTION("""COMPUTED_VALUE"""),"Rod_John_VI")</f>
        <v>Rod_John_VI</v>
      </c>
      <c r="B70" s="103">
        <v>69.0</v>
      </c>
      <c r="C70" s="123">
        <f t="shared" si="1"/>
        <v>11.46975614</v>
      </c>
      <c r="D70" s="124" t="str">
        <f>VLOOKUP(A70,'Classement S6'!$B$2:$C$150,1,0)</f>
        <v>Rod_John_VI</v>
      </c>
      <c r="E70" s="125" t="str">
        <f t="shared" si="2"/>
        <v/>
      </c>
      <c r="F70" s="120" t="str">
        <f>VLOOKUP(A70,'Classement Général'!$B$2:$B$146,1,0)</f>
        <v>Rod_John_VI</v>
      </c>
    </row>
    <row r="71" ht="14.25" customHeight="1">
      <c r="A71" s="122"/>
      <c r="B71" s="103">
        <v>70.0</v>
      </c>
      <c r="C71" s="123">
        <f t="shared" si="1"/>
        <v>0</v>
      </c>
      <c r="D71" s="124" t="str">
        <f>VLOOKUP(A71,'Classement S6'!$B$2:$C$150,1,0)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22"/>
      <c r="B72" s="103">
        <v>71.0</v>
      </c>
      <c r="C72" s="123">
        <f t="shared" si="1"/>
        <v>-11.38811567</v>
      </c>
      <c r="D72" s="124" t="str">
        <f>VLOOKUP(A72,'Classement S6'!$B$2:$C$150,1,0)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22"/>
      <c r="B73" s="103">
        <v>72.0</v>
      </c>
      <c r="C73" s="123">
        <f t="shared" si="1"/>
        <v>-22.69673194</v>
      </c>
      <c r="D73" s="124" t="str">
        <f>VLOOKUP(A73,'Classement S6'!$B$2:$C$150,1,0)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22"/>
      <c r="B74" s="103">
        <v>73.0</v>
      </c>
      <c r="C74" s="123">
        <f t="shared" si="1"/>
        <v>-33.92790135</v>
      </c>
      <c r="D74" s="124" t="str">
        <f>VLOOKUP(A74,'Classement S6'!$B$2:$C$150,1,0)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22"/>
      <c r="B75" s="103">
        <v>74.0</v>
      </c>
      <c r="C75" s="123">
        <f t="shared" si="1"/>
        <v>-45.08359278</v>
      </c>
      <c r="D75" s="124" t="str">
        <f>VLOOKUP(A75,'Classement S6'!$B$2:$C$150,1,0)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22"/>
      <c r="B76" s="103">
        <v>75.0</v>
      </c>
      <c r="C76" s="123">
        <f t="shared" si="1"/>
        <v>-56.16569606</v>
      </c>
      <c r="D76" s="124" t="str">
        <f>VLOOKUP(A76,'Classement S6'!$B$2:$C$150,1,0)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22"/>
      <c r="B77" s="103">
        <v>76.0</v>
      </c>
      <c r="C77" s="123">
        <f t="shared" si="1"/>
        <v>-67.17602616</v>
      </c>
      <c r="D77" s="124" t="str">
        <f>VLOOKUP(A77,'Classement S6'!$B$2:$C$150,1,0)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22"/>
      <c r="B78" s="103">
        <v>77.0</v>
      </c>
      <c r="C78" s="123">
        <f t="shared" si="1"/>
        <v>-78.11632717</v>
      </c>
      <c r="D78" s="124" t="str">
        <f>VLOOKUP(A78,'Classement S6'!$B$2:$C$150,1,0)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22"/>
      <c r="B79" s="103">
        <v>78.0</v>
      </c>
      <c r="C79" s="123">
        <f t="shared" si="1"/>
        <v>-88.98827604</v>
      </c>
      <c r="D79" s="124" t="str">
        <f>VLOOKUP(A79,'Classement S6'!$B$2:$C$150,1,0)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27"/>
      <c r="B80" s="103">
        <v>79.0</v>
      </c>
      <c r="C80" s="123">
        <f t="shared" si="1"/>
        <v>-99.79348597</v>
      </c>
      <c r="D80" s="124" t="str">
        <f>VLOOKUP(A80,'Classement S6'!$B$2:$C$150,1,0)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27"/>
      <c r="B81" s="103">
        <v>80.0</v>
      </c>
      <c r="C81" s="123">
        <f t="shared" si="1"/>
        <v>-110.5335097</v>
      </c>
      <c r="D81" s="124" t="str">
        <f>VLOOKUP(A81,'Classement S6'!$B$2:$C$150,1,0)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27"/>
      <c r="B82" s="103">
        <v>81.0</v>
      </c>
      <c r="C82" s="123">
        <f t="shared" si="1"/>
        <v>-121.2098426</v>
      </c>
      <c r="D82" s="124" t="str">
        <f>VLOOKUP(A82,'Classement S6'!$B$2:$C$150,1,0)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27"/>
      <c r="B83" s="103">
        <v>82.0</v>
      </c>
      <c r="C83" s="123">
        <f t="shared" si="1"/>
        <v>-131.8239255</v>
      </c>
      <c r="D83" s="124" t="str">
        <f>VLOOKUP(A83,'Classement S6'!$B$2:$C$150,1,0)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27"/>
      <c r="B84" s="103">
        <v>83.0</v>
      </c>
      <c r="C84" s="123">
        <f t="shared" si="1"/>
        <v>-142.377147</v>
      </c>
      <c r="D84" s="124" t="str">
        <f>VLOOKUP(A84,'Classement S6'!$B$2:$C$150,1,0)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27"/>
      <c r="B85" s="103">
        <v>84.0</v>
      </c>
      <c r="C85" s="123">
        <f t="shared" si="1"/>
        <v>-152.8708468</v>
      </c>
      <c r="D85" s="124" t="str">
        <f>VLOOKUP(A85,'Classement S6'!$B$2:$C$150,1,0)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27"/>
      <c r="B86" s="103">
        <v>85.0</v>
      </c>
      <c r="C86" s="123">
        <f t="shared" si="1"/>
        <v>-163.3063171</v>
      </c>
      <c r="D86" s="124" t="str">
        <f>VLOOKUP(A86,'Classement S6'!$B$2:$C$150,1,0)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27"/>
      <c r="B87" s="103">
        <v>86.0</v>
      </c>
      <c r="C87" s="123">
        <f t="shared" si="1"/>
        <v>-173.6848056</v>
      </c>
      <c r="D87" s="124" t="str">
        <f>VLOOKUP(A87,'Classement S6'!$B$2:$C$150,1,0)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27"/>
      <c r="B88" s="103">
        <v>87.0</v>
      </c>
      <c r="C88" s="123">
        <f t="shared" si="1"/>
        <v>-184.0075171</v>
      </c>
      <c r="D88" s="124" t="str">
        <f>VLOOKUP(A88,'Classement S6'!$B$2:$C$150,1,0)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27"/>
      <c r="B89" s="103">
        <v>88.0</v>
      </c>
      <c r="C89" s="123">
        <f t="shared" si="1"/>
        <v>-194.2756157</v>
      </c>
      <c r="D89" s="124" t="str">
        <f>VLOOKUP(A89,'Classement S6'!$B$2:$C$150,1,0)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27"/>
      <c r="B90" s="103">
        <v>89.0</v>
      </c>
      <c r="C90" s="123">
        <f t="shared" si="1"/>
        <v>-204.4902266</v>
      </c>
      <c r="D90" s="124" t="str">
        <f>VLOOKUP(A90,'Classement S6'!$B$2:$C$150,1,0)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27"/>
      <c r="B91" s="103">
        <v>90.0</v>
      </c>
      <c r="C91" s="123">
        <f t="shared" si="1"/>
        <v>-214.6524379</v>
      </c>
      <c r="D91" s="124" t="str">
        <f>VLOOKUP(A91,'Classement S6'!$B$2:$C$150,1,0)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27"/>
      <c r="B92" s="103">
        <v>91.0</v>
      </c>
      <c r="C92" s="123">
        <f t="shared" si="1"/>
        <v>-224.763302</v>
      </c>
      <c r="D92" s="124" t="str">
        <f>VLOOKUP(A92,'Classement S6'!$B$2:$C$150,1,0)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27"/>
      <c r="B93" s="103">
        <v>92.0</v>
      </c>
      <c r="C93" s="123">
        <f t="shared" si="1"/>
        <v>-234.8238375</v>
      </c>
      <c r="D93" s="124" t="str">
        <f>VLOOKUP(A93,'Classement S6'!$B$2:$C$150,1,0)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27"/>
      <c r="B94" s="103">
        <v>93.0</v>
      </c>
      <c r="C94" s="123">
        <f t="shared" si="1"/>
        <v>-244.8350305</v>
      </c>
      <c r="D94" s="124" t="str">
        <f>VLOOKUP(A94,'Classement S6'!$B$2:$C$150,1,0)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27"/>
      <c r="B95" s="103">
        <v>94.0</v>
      </c>
      <c r="C95" s="123">
        <f t="shared" si="1"/>
        <v>-254.797836</v>
      </c>
      <c r="D95" s="124" t="str">
        <f>VLOOKUP(A95,'Classement S6'!$B$2:$C$150,1,0)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27"/>
      <c r="B96" s="103">
        <v>95.0</v>
      </c>
      <c r="C96" s="123">
        <f t="shared" si="1"/>
        <v>-264.7131794</v>
      </c>
      <c r="D96" s="124" t="str">
        <f>VLOOKUP(A96,'Classement S6'!$B$2:$C$150,1,0)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27"/>
      <c r="B97" s="103">
        <v>96.0</v>
      </c>
      <c r="C97" s="123">
        <f t="shared" si="1"/>
        <v>-274.5819574</v>
      </c>
      <c r="D97" s="124" t="str">
        <f>VLOOKUP(A97,'Classement S6'!$B$2:$C$150,1,0)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27"/>
      <c r="B98" s="103">
        <v>97.0</v>
      </c>
      <c r="C98" s="123">
        <f t="shared" si="1"/>
        <v>-284.4050395</v>
      </c>
      <c r="D98" s="124" t="str">
        <f>VLOOKUP(A98,'Classement S6'!$B$2:$C$150,1,0)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27"/>
      <c r="B99" s="103">
        <v>98.0</v>
      </c>
      <c r="C99" s="123">
        <f t="shared" si="1"/>
        <v>-294.1832689</v>
      </c>
      <c r="D99" s="124" t="str">
        <f>VLOOKUP(A99,'Classement S6'!$B$2:$C$150,1,0)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27"/>
      <c r="B100" s="103">
        <v>99.0</v>
      </c>
      <c r="C100" s="123">
        <f t="shared" si="1"/>
        <v>-303.9174637</v>
      </c>
      <c r="D100" s="124" t="str">
        <f>VLOOKUP(A100,'Classement S6'!$B$2:$C$150,1,0)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27"/>
      <c r="B101" s="103">
        <v>100.0</v>
      </c>
      <c r="C101" s="123">
        <f t="shared" si="1"/>
        <v>-313.608418</v>
      </c>
      <c r="D101" s="124" t="str">
        <f>VLOOKUP(A101,'Classement S6'!$B$2:$C$150,1,0)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27"/>
      <c r="B102" s="103">
        <v>101.0</v>
      </c>
      <c r="C102" s="123">
        <f t="shared" si="1"/>
        <v>-323.2569027</v>
      </c>
      <c r="D102" s="124" t="str">
        <f>VLOOKUP(A102,'Classement S6'!$B$2:$C$150,1,0)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27"/>
      <c r="B103" s="103">
        <v>102.0</v>
      </c>
      <c r="C103" s="123">
        <f t="shared" si="1"/>
        <v>-332.8636663</v>
      </c>
      <c r="D103" s="124" t="str">
        <f>VLOOKUP(A103,'Classement S6'!$B$2:$C$150,1,0)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27"/>
      <c r="B104" s="103">
        <v>103.0</v>
      </c>
      <c r="C104" s="123">
        <f t="shared" si="1"/>
        <v>-342.4294361</v>
      </c>
      <c r="D104" s="124" t="str">
        <f>VLOOKUP(A104,'Classement S6'!$B$2:$C$150,1,0)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27"/>
      <c r="B105" s="103">
        <v>104.0</v>
      </c>
      <c r="C105" s="123">
        <f t="shared" si="1"/>
        <v>-351.9549189</v>
      </c>
      <c r="D105" s="124" t="str">
        <f>VLOOKUP(A105,'Classement S6'!$B$2:$C$150,1,0)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27"/>
      <c r="B106" s="103">
        <v>105.0</v>
      </c>
      <c r="C106" s="123">
        <f t="shared" si="1"/>
        <v>-361.4408014</v>
      </c>
      <c r="D106" s="124" t="str">
        <f>VLOOKUP(A106,'Classement S6'!$B$2:$C$150,1,0)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27"/>
      <c r="B107" s="103">
        <v>106.0</v>
      </c>
      <c r="C107" s="123">
        <f t="shared" si="1"/>
        <v>-370.8877518</v>
      </c>
      <c r="D107" s="124" t="str">
        <f>VLOOKUP(A107,'Classement S6'!$B$2:$C$150,1,0)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27"/>
      <c r="B108" s="103">
        <v>107.0</v>
      </c>
      <c r="C108" s="123">
        <f t="shared" si="1"/>
        <v>-380.2964196</v>
      </c>
      <c r="D108" s="124" t="str">
        <f>VLOOKUP(A108,'Classement S6'!$B$2:$C$150,1,0)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27"/>
      <c r="B109" s="103">
        <v>108.0</v>
      </c>
      <c r="C109" s="123">
        <f t="shared" si="1"/>
        <v>-389.6674368</v>
      </c>
      <c r="D109" s="124" t="str">
        <f>VLOOKUP(A109,'Classement S6'!$B$2:$C$150,1,0)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27"/>
      <c r="B110" s="103">
        <v>109.0</v>
      </c>
      <c r="C110" s="123">
        <f t="shared" si="1"/>
        <v>-399.0014184</v>
      </c>
      <c r="D110" s="124" t="str">
        <f>VLOOKUP(A110,'Classement S6'!$B$2:$C$150,1,0)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27"/>
      <c r="B111" s="103">
        <v>110.0</v>
      </c>
      <c r="C111" s="123">
        <f t="shared" si="1"/>
        <v>-408.2989631</v>
      </c>
      <c r="D111" s="124" t="str">
        <f>VLOOKUP(A111,'Classement S6'!$B$2:$C$150,1,0)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27"/>
      <c r="B112" s="103">
        <v>111.0</v>
      </c>
      <c r="C112" s="123">
        <f t="shared" si="1"/>
        <v>-417.5606539</v>
      </c>
      <c r="D112" s="124" t="str">
        <f>VLOOKUP(A112,'Classement S6'!$B$2:$C$150,1,0)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27"/>
      <c r="B113" s="103">
        <v>112.0</v>
      </c>
      <c r="C113" s="123">
        <f t="shared" si="1"/>
        <v>-426.7870584</v>
      </c>
      <c r="D113" s="124" t="str">
        <f>VLOOKUP(A113,'Classement S6'!$B$2:$C$150,1,0)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27"/>
      <c r="B114" s="103">
        <v>113.0</v>
      </c>
      <c r="C114" s="123">
        <f t="shared" si="1"/>
        <v>-435.9787297</v>
      </c>
      <c r="D114" s="124" t="str">
        <f>VLOOKUP(A114,'Classement S6'!$B$2:$C$150,1,0)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27"/>
      <c r="B115" s="103">
        <v>114.0</v>
      </c>
      <c r="C115" s="123">
        <f t="shared" si="1"/>
        <v>-445.1362068</v>
      </c>
      <c r="D115" s="124" t="str">
        <f>VLOOKUP(A115,'Classement S6'!$B$2:$C$150,1,0)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27"/>
      <c r="B116" s="103">
        <v>115.0</v>
      </c>
      <c r="C116" s="123">
        <f t="shared" si="1"/>
        <v>-454.2600147</v>
      </c>
      <c r="D116" s="124" t="str">
        <f>VLOOKUP(A116,'Classement S6'!$B$2:$C$150,1,0)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27"/>
      <c r="B117" s="103">
        <v>116.0</v>
      </c>
      <c r="C117" s="123">
        <f t="shared" si="1"/>
        <v>-463.3506657</v>
      </c>
      <c r="D117" s="124" t="str">
        <f>VLOOKUP(A117,'Classement S6'!$B$2:$C$150,1,0)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27"/>
      <c r="B118" s="103">
        <v>117.0</v>
      </c>
      <c r="C118" s="123">
        <f t="shared" si="1"/>
        <v>-472.4086591</v>
      </c>
      <c r="D118" s="124" t="str">
        <f>VLOOKUP(A118,'Classement S6'!$B$2:$C$150,1,0)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27"/>
      <c r="B119" s="103">
        <v>118.0</v>
      </c>
      <c r="C119" s="123">
        <f t="shared" si="1"/>
        <v>-481.4344818</v>
      </c>
      <c r="D119" s="124" t="str">
        <f>VLOOKUP(A119,'Classement S6'!$B$2:$C$150,1,0)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27"/>
      <c r="B120" s="103">
        <v>119.0</v>
      </c>
      <c r="C120" s="123">
        <f t="shared" si="1"/>
        <v>-490.428609</v>
      </c>
      <c r="D120" s="124" t="str">
        <f>VLOOKUP(A120,'Classement S6'!$B$2:$C$150,1,0)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27"/>
      <c r="B121" s="103">
        <v>120.0</v>
      </c>
      <c r="C121" s="123">
        <f t="shared" si="1"/>
        <v>-499.3915043</v>
      </c>
      <c r="D121" s="124" t="str">
        <f>VLOOKUP(A121,'Classement S6'!$B$2:$C$150,1,0)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27"/>
      <c r="B122" s="103">
        <v>121.0</v>
      </c>
      <c r="C122" s="123">
        <f t="shared" si="1"/>
        <v>-508.3236202</v>
      </c>
      <c r="D122" s="124" t="str">
        <f>VLOOKUP(A122,'Classement S6'!$B$2:$C$150,1,0)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27"/>
      <c r="B123" s="103">
        <v>122.0</v>
      </c>
      <c r="C123" s="123">
        <f t="shared" si="1"/>
        <v>-517.2253986</v>
      </c>
      <c r="D123" s="124" t="str">
        <f>VLOOKUP(A123,'Classement S6'!$B$2:$C$150,1,0)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27"/>
      <c r="B124" s="103">
        <v>123.0</v>
      </c>
      <c r="C124" s="123">
        <f t="shared" si="1"/>
        <v>-526.0972707</v>
      </c>
      <c r="D124" s="124" t="str">
        <f>VLOOKUP(A124,'Classement S6'!$B$2:$C$150,1,0)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27"/>
      <c r="B125" s="103">
        <v>124.0</v>
      </c>
      <c r="C125" s="123">
        <f t="shared" si="1"/>
        <v>-534.9396578</v>
      </c>
      <c r="D125" s="124" t="str">
        <f>VLOOKUP(A125,'Classement S6'!$B$2:$C$150,1,0)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27"/>
      <c r="B126" s="103">
        <v>125.0</v>
      </c>
      <c r="C126" s="123">
        <f t="shared" si="1"/>
        <v>-543.7529714</v>
      </c>
      <c r="D126" s="124" t="str">
        <f>VLOOKUP(A126,'Classement S6'!$B$2:$C$150,1,0)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27"/>
      <c r="B127" s="103">
        <v>126.0</v>
      </c>
      <c r="C127" s="123">
        <f t="shared" si="1"/>
        <v>-552.5376137</v>
      </c>
      <c r="D127" s="124" t="str">
        <f>VLOOKUP(A127,'Classement S6'!$B$2:$C$150,1,0)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27"/>
      <c r="B128" s="103">
        <v>127.0</v>
      </c>
      <c r="C128" s="123">
        <f t="shared" si="1"/>
        <v>-561.2939775</v>
      </c>
      <c r="D128" s="124" t="str">
        <f>VLOOKUP(A128,'Classement S6'!$B$2:$C$150,1,0)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27"/>
      <c r="B129" s="103">
        <v>128.0</v>
      </c>
      <c r="C129" s="123">
        <f t="shared" si="1"/>
        <v>-570.022447</v>
      </c>
      <c r="D129" s="124" t="str">
        <f>VLOOKUP(A129,'Classement S6'!$B$2:$C$150,1,0)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27"/>
      <c r="B130" s="103">
        <v>129.0</v>
      </c>
      <c r="C130" s="123">
        <f t="shared" si="1"/>
        <v>-578.7233975</v>
      </c>
      <c r="D130" s="124" t="str">
        <f>VLOOKUP(A130,'Classement S6'!$B$2:$C$150,1,0)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27"/>
      <c r="B131" s="103">
        <v>130.0</v>
      </c>
      <c r="C131" s="123">
        <f t="shared" si="1"/>
        <v>-587.3971963</v>
      </c>
      <c r="D131" s="124" t="str">
        <f>VLOOKUP(A131,'Classement S6'!$B$2:$C$150,1,0)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27"/>
      <c r="B132" s="103">
        <v>131.0</v>
      </c>
      <c r="C132" s="123">
        <f t="shared" si="1"/>
        <v>-596.0442025</v>
      </c>
      <c r="D132" s="124" t="str">
        <f>VLOOKUP(A132,'Classement S6'!$B$2:$C$150,1,0)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27"/>
      <c r="B133" s="103">
        <v>132.0</v>
      </c>
      <c r="C133" s="123">
        <f t="shared" si="1"/>
        <v>-604.6647671</v>
      </c>
      <c r="D133" s="124" t="str">
        <f>VLOOKUP(A133,'Classement S6'!$B$2:$C$150,1,0)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27"/>
      <c r="B134" s="103">
        <v>133.0</v>
      </c>
      <c r="C134" s="123">
        <f t="shared" si="1"/>
        <v>-613.259234</v>
      </c>
      <c r="D134" s="124" t="str">
        <f>VLOOKUP(A134,'Classement S6'!$B$2:$C$150,1,0)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27"/>
      <c r="B135" s="103">
        <v>134.0</v>
      </c>
      <c r="C135" s="123">
        <f t="shared" si="1"/>
        <v>-621.8279393</v>
      </c>
      <c r="D135" s="124" t="str">
        <f>VLOOKUP(A135,'Classement S6'!$B$2:$C$150,1,0)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27"/>
      <c r="B136" s="103">
        <v>135.0</v>
      </c>
      <c r="C136" s="123">
        <f t="shared" si="1"/>
        <v>-630.3712121</v>
      </c>
      <c r="D136" s="124" t="str">
        <f>VLOOKUP(A136,'Classement S6'!$B$2:$C$150,1,0)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27"/>
      <c r="B137" s="103">
        <v>136.0</v>
      </c>
      <c r="C137" s="123">
        <f t="shared" si="1"/>
        <v>-638.8893746</v>
      </c>
      <c r="D137" s="124" t="str">
        <f>VLOOKUP(A137,'Classement S6'!$B$2:$C$150,1,0)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27"/>
      <c r="B138" s="103">
        <v>137.0</v>
      </c>
      <c r="C138" s="123">
        <f t="shared" si="1"/>
        <v>-647.3827422</v>
      </c>
      <c r="D138" s="124" t="str">
        <f>VLOOKUP(A138,'Classement S6'!$B$2:$C$150,1,0)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27"/>
      <c r="B139" s="103">
        <v>138.0</v>
      </c>
      <c r="C139" s="123">
        <f t="shared" si="1"/>
        <v>-655.8516237</v>
      </c>
      <c r="D139" s="124" t="str">
        <f>VLOOKUP(A139,'Classement S6'!$B$2:$C$150,1,0)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27"/>
      <c r="B140" s="103">
        <v>139.0</v>
      </c>
      <c r="C140" s="123">
        <f t="shared" si="1"/>
        <v>-664.2963216</v>
      </c>
      <c r="D140" s="124" t="str">
        <f>VLOOKUP(A140,'Classement S6'!$B$2:$C$150,1,0)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27"/>
      <c r="B141" s="103">
        <v>140.0</v>
      </c>
      <c r="C141" s="123">
        <f t="shared" si="1"/>
        <v>-672.7171322</v>
      </c>
      <c r="D141" s="124" t="str">
        <f>VLOOKUP(A141,'Classement S6'!$B$2:$C$150,1,0)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27"/>
      <c r="B142" s="103">
        <v>141.0</v>
      </c>
      <c r="C142" s="123">
        <f t="shared" si="1"/>
        <v>-681.1143457</v>
      </c>
      <c r="D142" s="124" t="str">
        <f>VLOOKUP(A142,'Classement S6'!$B$2:$C$150,1,0)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27"/>
      <c r="B143" s="103">
        <v>142.0</v>
      </c>
      <c r="C143" s="123">
        <f t="shared" si="1"/>
        <v>-689.4882465</v>
      </c>
      <c r="D143" s="124" t="str">
        <f>VLOOKUP(A143,'Classement S6'!$B$2:$C$150,1,0)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27"/>
      <c r="B144" s="103">
        <v>143.0</v>
      </c>
      <c r="C144" s="123">
        <f t="shared" si="1"/>
        <v>-697.8391135</v>
      </c>
      <c r="D144" s="124" t="str">
        <f>VLOOKUP(A144,'Classement S6'!$B$2:$C$150,1,0)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27"/>
      <c r="B145" s="103">
        <v>144.0</v>
      </c>
      <c r="C145" s="123">
        <f t="shared" si="1"/>
        <v>-706.1672196</v>
      </c>
      <c r="D145" s="124" t="str">
        <f>VLOOKUP(A145,'Classement S6'!$B$2:$C$150,1,0)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27"/>
      <c r="B146" s="103">
        <v>145.0</v>
      </c>
      <c r="C146" s="123">
        <f t="shared" si="1"/>
        <v>-714.4728329</v>
      </c>
      <c r="D146" s="124" t="str">
        <f>VLOOKUP(A146,'Classement S6'!$B$2:$C$150,1,0)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27"/>
      <c r="B147" s="103">
        <v>146.0</v>
      </c>
      <c r="C147" s="123">
        <f t="shared" si="1"/>
        <v>-722.7562157</v>
      </c>
      <c r="D147" s="124" t="str">
        <f>VLOOKUP(A147,'Classement S6'!$B$2:$C$150,1,0)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27"/>
      <c r="B148" s="103">
        <v>147.0</v>
      </c>
      <c r="C148" s="123">
        <f t="shared" si="1"/>
        <v>-731.0176257</v>
      </c>
      <c r="D148" s="124" t="str">
        <f>VLOOKUP(A148,'Classement S6'!$B$2:$C$150,1,0)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27"/>
      <c r="B149" s="103">
        <v>148.0</v>
      </c>
      <c r="C149" s="123">
        <f t="shared" si="1"/>
        <v>-739.2573154</v>
      </c>
      <c r="D149" s="124" t="str">
        <f>VLOOKUP(A149,'Classement S6'!$B$2:$C$150,1,0)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27"/>
      <c r="B150" s="103">
        <v>149.0</v>
      </c>
      <c r="C150" s="123">
        <f t="shared" si="1"/>
        <v>-747.4755324</v>
      </c>
      <c r="D150" s="124" t="str">
        <f>VLOOKUP(A150,'Classement S6'!$B$2:$C$150,1,0)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27"/>
      <c r="B151" s="103">
        <v>150.0</v>
      </c>
      <c r="C151" s="123">
        <f t="shared" si="1"/>
        <v>-755.6725197</v>
      </c>
      <c r="D151" s="124" t="str">
        <f>VLOOKUP(A151,'Classement S6'!$B$2:$C$150,1,0)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27"/>
      <c r="B152" s="103">
        <v>151.0</v>
      </c>
      <c r="C152" s="123">
        <f t="shared" si="1"/>
        <v>-763.8485157</v>
      </c>
      <c r="D152" s="124" t="str">
        <f>VLOOKUP(A152,'Classement S6'!$B$2:$C$150,1,0)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27"/>
      <c r="B153" s="103">
        <v>152.0</v>
      </c>
      <c r="C153" s="123">
        <f t="shared" si="1"/>
        <v>-772.0037544</v>
      </c>
      <c r="D153" s="124" t="str">
        <f>VLOOKUP(A153,'Classement S6'!$B$2:$C$150,1,0)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27"/>
      <c r="B154" s="103">
        <v>153.0</v>
      </c>
      <c r="C154" s="123">
        <f t="shared" si="1"/>
        <v>-780.1384653</v>
      </c>
      <c r="D154" s="124" t="str">
        <f>VLOOKUP(A154,'Classement S6'!$B$2:$C$150,1,0)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27"/>
      <c r="B155" s="103">
        <v>154.0</v>
      </c>
      <c r="C155" s="123">
        <f t="shared" si="1"/>
        <v>-788.2528739</v>
      </c>
      <c r="D155" s="124" t="str">
        <f>VLOOKUP(A155,'Classement S6'!$B$2:$C$150,1,0)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27"/>
      <c r="B156" s="103">
        <v>155.0</v>
      </c>
      <c r="C156" s="123">
        <f t="shared" si="1"/>
        <v>-796.3472014</v>
      </c>
      <c r="D156" s="124" t="str">
        <f>VLOOKUP(A156,'Classement S6'!$B$2:$C$150,1,0)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27"/>
      <c r="B157" s="103">
        <v>156.0</v>
      </c>
      <c r="C157" s="123">
        <f t="shared" si="1"/>
        <v>-804.4216649</v>
      </c>
      <c r="D157" s="124" t="str">
        <f>VLOOKUP(A157,'Classement S6'!$B$2:$C$150,1,0)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27"/>
      <c r="B158" s="103">
        <v>157.0</v>
      </c>
      <c r="C158" s="123">
        <f t="shared" si="1"/>
        <v>-812.4764779</v>
      </c>
      <c r="D158" s="124" t="str">
        <f>VLOOKUP(A158,'Classement S6'!$B$2:$C$150,1,0)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27"/>
      <c r="B159" s="103">
        <v>158.0</v>
      </c>
      <c r="C159" s="123">
        <f t="shared" si="1"/>
        <v>-820.5118496</v>
      </c>
      <c r="D159" s="124" t="str">
        <f>VLOOKUP(A159,'Classement S6'!$B$2:$C$150,1,0)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27"/>
      <c r="B160" s="103">
        <v>159.0</v>
      </c>
      <c r="C160" s="123">
        <f t="shared" si="1"/>
        <v>-828.5279859</v>
      </c>
      <c r="D160" s="124" t="str">
        <f>VLOOKUP(A160,'Classement S6'!$B$2:$C$150,1,0)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27"/>
      <c r="B161" s="103">
        <v>160.0</v>
      </c>
      <c r="C161" s="123">
        <f t="shared" si="1"/>
        <v>-836.5250889</v>
      </c>
      <c r="D161" s="124" t="str">
        <f>VLOOKUP(A161,'Classement S6'!$B$2:$C$150,1,0)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B162" s="128"/>
    </row>
    <row r="163" ht="14.25" customHeight="1">
      <c r="B163" s="128"/>
    </row>
    <row r="164" ht="14.25" customHeight="1">
      <c r="B164" s="128"/>
    </row>
    <row r="165" ht="14.25" customHeight="1">
      <c r="B165" s="128"/>
    </row>
    <row r="166" ht="14.25" customHeight="1">
      <c r="B166" s="128"/>
    </row>
    <row r="167" ht="14.25" customHeight="1">
      <c r="B167" s="128"/>
    </row>
    <row r="168" ht="14.25" customHeight="1">
      <c r="B168" s="128"/>
    </row>
    <row r="169" ht="14.25" customHeight="1">
      <c r="B169" s="128"/>
    </row>
    <row r="170" ht="14.25" customHeight="1">
      <c r="B170" s="128"/>
    </row>
    <row r="171" ht="14.25" customHeight="1">
      <c r="B171" s="128"/>
    </row>
    <row r="172" ht="14.25" customHeight="1">
      <c r="B172" s="128"/>
    </row>
    <row r="173" ht="14.25" customHeight="1">
      <c r="B173" s="128"/>
    </row>
    <row r="174" ht="14.25" customHeight="1">
      <c r="B174" s="128"/>
    </row>
    <row r="175" ht="14.25" customHeight="1">
      <c r="B175" s="128"/>
    </row>
    <row r="176" ht="14.25" customHeight="1">
      <c r="B176" s="128"/>
    </row>
    <row r="177" ht="14.25" customHeight="1">
      <c r="B177" s="128"/>
    </row>
    <row r="178" ht="14.25" customHeight="1">
      <c r="B178" s="128"/>
    </row>
    <row r="179" ht="14.25" customHeight="1">
      <c r="B179" s="128"/>
    </row>
    <row r="180" ht="14.25" customHeight="1">
      <c r="B180" s="128"/>
    </row>
    <row r="181" ht="14.25" customHeight="1">
      <c r="B181" s="128"/>
    </row>
    <row r="182" ht="14.25" customHeight="1">
      <c r="B182" s="128"/>
    </row>
    <row r="183" ht="14.25" customHeight="1">
      <c r="B183" s="128"/>
    </row>
    <row r="184" ht="14.25" customHeight="1">
      <c r="B184" s="128"/>
    </row>
    <row r="185" ht="14.25" customHeight="1">
      <c r="B185" s="128"/>
    </row>
    <row r="186" ht="14.25" customHeight="1">
      <c r="B186" s="128"/>
    </row>
    <row r="187" ht="14.25" customHeight="1">
      <c r="B187" s="128"/>
    </row>
    <row r="188" ht="14.25" customHeight="1">
      <c r="B188" s="128"/>
    </row>
    <row r="189" ht="14.25" customHeight="1">
      <c r="B189" s="128"/>
    </row>
    <row r="190" ht="14.25" customHeight="1">
      <c r="B190" s="128"/>
    </row>
    <row r="191" ht="14.25" customHeight="1">
      <c r="B191" s="128"/>
    </row>
    <row r="192" ht="14.25" customHeight="1">
      <c r="B192" s="128"/>
    </row>
    <row r="193" ht="14.25" customHeight="1">
      <c r="B193" s="128"/>
    </row>
    <row r="194" ht="14.25" customHeight="1">
      <c r="B194" s="128"/>
    </row>
    <row r="195" ht="14.25" customHeight="1">
      <c r="B195" s="128"/>
    </row>
    <row r="196" ht="14.25" customHeight="1">
      <c r="B196" s="128"/>
    </row>
    <row r="197" ht="14.25" customHeight="1">
      <c r="B197" s="128"/>
    </row>
    <row r="198" ht="14.25" customHeight="1">
      <c r="B198" s="128"/>
    </row>
    <row r="199" ht="14.25" customHeight="1">
      <c r="B199" s="128"/>
    </row>
    <row r="200" ht="14.25" customHeight="1">
      <c r="B200" s="128"/>
    </row>
    <row r="201" ht="14.25" customHeight="1">
      <c r="B201" s="128"/>
    </row>
    <row r="202" ht="14.25" customHeight="1">
      <c r="B202" s="128"/>
    </row>
    <row r="203" ht="14.25" customHeight="1">
      <c r="B203" s="128"/>
    </row>
    <row r="204" ht="14.25" customHeight="1">
      <c r="B204" s="128"/>
    </row>
    <row r="205" ht="14.25" customHeight="1">
      <c r="B205" s="128"/>
    </row>
    <row r="206" ht="14.25" customHeight="1">
      <c r="B206" s="128"/>
    </row>
    <row r="207" ht="14.25" customHeight="1">
      <c r="B207" s="128"/>
    </row>
    <row r="208" ht="14.25" customHeight="1">
      <c r="B208" s="128"/>
    </row>
    <row r="209" ht="14.25" customHeight="1">
      <c r="B209" s="128"/>
    </row>
    <row r="210" ht="14.25" customHeight="1">
      <c r="B210" s="128"/>
    </row>
    <row r="211" ht="14.25" customHeight="1">
      <c r="B211" s="128"/>
    </row>
    <row r="212" ht="14.25" customHeight="1">
      <c r="B212" s="128"/>
    </row>
    <row r="213" ht="14.25" customHeight="1">
      <c r="B213" s="128"/>
    </row>
    <row r="214" ht="14.25" customHeight="1">
      <c r="B214" s="128"/>
    </row>
    <row r="215" ht="14.25" customHeight="1">
      <c r="B215" s="128"/>
    </row>
    <row r="216" ht="14.25" customHeight="1">
      <c r="B216" s="128"/>
    </row>
    <row r="217" ht="14.25" customHeight="1">
      <c r="B217" s="128"/>
    </row>
    <row r="218" ht="14.25" customHeight="1">
      <c r="B218" s="128"/>
    </row>
    <row r="219" ht="14.25" customHeight="1">
      <c r="B219" s="128"/>
    </row>
    <row r="220" ht="14.25" customHeight="1">
      <c r="B220" s="128"/>
    </row>
    <row r="221" ht="14.25" customHeight="1">
      <c r="B221" s="128"/>
    </row>
    <row r="222" ht="14.25" customHeight="1">
      <c r="B222" s="128"/>
    </row>
    <row r="223" ht="14.25" customHeight="1">
      <c r="B223" s="128"/>
    </row>
    <row r="224" ht="14.25" customHeight="1">
      <c r="B224" s="128"/>
    </row>
    <row r="225" ht="14.25" customHeight="1">
      <c r="B225" s="128"/>
    </row>
    <row r="226" ht="14.25" customHeight="1">
      <c r="B226" s="128"/>
    </row>
    <row r="227" ht="14.25" customHeight="1">
      <c r="B227" s="128"/>
    </row>
    <row r="228" ht="14.25" customHeight="1">
      <c r="B228" s="128"/>
    </row>
    <row r="229" ht="14.25" customHeight="1">
      <c r="B229" s="128"/>
    </row>
    <row r="230" ht="14.25" customHeight="1">
      <c r="B230" s="128"/>
    </row>
    <row r="231" ht="14.25" customHeight="1">
      <c r="B231" s="128"/>
    </row>
    <row r="232" ht="14.25" customHeight="1">
      <c r="B232" s="128"/>
    </row>
    <row r="233" ht="14.25" customHeight="1">
      <c r="B233" s="128"/>
    </row>
    <row r="234" ht="14.25" customHeight="1">
      <c r="B234" s="128"/>
    </row>
    <row r="235" ht="14.25" customHeight="1">
      <c r="B235" s="128"/>
    </row>
    <row r="236" ht="14.25" customHeight="1">
      <c r="B236" s="128"/>
    </row>
    <row r="237" ht="14.25" customHeight="1">
      <c r="B237" s="128"/>
    </row>
    <row r="238" ht="14.25" customHeight="1">
      <c r="B238" s="128"/>
    </row>
    <row r="239" ht="14.25" customHeight="1">
      <c r="B239" s="128"/>
    </row>
    <row r="240" ht="14.25" customHeight="1">
      <c r="B240" s="128"/>
    </row>
    <row r="241" ht="14.25" customHeight="1">
      <c r="B241" s="128"/>
    </row>
    <row r="242" ht="14.25" customHeight="1">
      <c r="B242" s="128"/>
    </row>
    <row r="243" ht="14.25" customHeight="1">
      <c r="B243" s="128"/>
    </row>
    <row r="244" ht="14.25" customHeight="1">
      <c r="B244" s="128"/>
    </row>
    <row r="245" ht="14.25" customHeight="1">
      <c r="B245" s="128"/>
    </row>
    <row r="246" ht="14.25" customHeight="1">
      <c r="B246" s="128"/>
    </row>
    <row r="247" ht="14.25" customHeight="1">
      <c r="B247" s="128"/>
    </row>
    <row r="248" ht="14.25" customHeight="1">
      <c r="B248" s="128"/>
    </row>
    <row r="249" ht="14.25" customHeight="1">
      <c r="B249" s="128"/>
    </row>
    <row r="250" ht="14.25" customHeight="1">
      <c r="B250" s="128"/>
    </row>
    <row r="251" ht="14.25" customHeight="1">
      <c r="B251" s="128"/>
    </row>
    <row r="252" ht="14.25" customHeight="1">
      <c r="B252" s="128"/>
    </row>
    <row r="253" ht="14.25" customHeight="1">
      <c r="B253" s="128"/>
    </row>
    <row r="254" ht="14.25" customHeight="1">
      <c r="B254" s="128"/>
    </row>
    <row r="255" ht="14.25" customHeight="1">
      <c r="B255" s="128"/>
    </row>
    <row r="256" ht="14.25" customHeight="1">
      <c r="B256" s="128"/>
    </row>
    <row r="257" ht="14.25" customHeight="1">
      <c r="B257" s="128"/>
    </row>
    <row r="258" ht="14.25" customHeight="1">
      <c r="B258" s="128"/>
    </row>
    <row r="259" ht="14.25" customHeight="1">
      <c r="B259" s="128"/>
    </row>
    <row r="260" ht="14.25" customHeight="1">
      <c r="B260" s="128"/>
    </row>
    <row r="261" ht="14.25" customHeight="1">
      <c r="B261" s="128"/>
    </row>
    <row r="262" ht="14.25" customHeight="1">
      <c r="B262" s="128"/>
    </row>
    <row r="263" ht="14.25" customHeight="1">
      <c r="B263" s="128"/>
    </row>
    <row r="264" ht="14.25" customHeight="1">
      <c r="B264" s="128"/>
    </row>
    <row r="265" ht="14.25" customHeight="1">
      <c r="B265" s="128"/>
    </row>
    <row r="266" ht="14.25" customHeight="1">
      <c r="B266" s="128"/>
    </row>
    <row r="267" ht="14.25" customHeight="1">
      <c r="B267" s="128"/>
    </row>
    <row r="268" ht="14.25" customHeight="1">
      <c r="B268" s="128"/>
    </row>
    <row r="269" ht="14.25" customHeight="1">
      <c r="B269" s="128"/>
    </row>
    <row r="270" ht="14.25" customHeight="1">
      <c r="B270" s="128"/>
    </row>
    <row r="271" ht="14.25" customHeight="1">
      <c r="B271" s="128"/>
    </row>
    <row r="272" ht="14.25" customHeight="1">
      <c r="B272" s="128"/>
    </row>
    <row r="273" ht="14.25" customHeight="1">
      <c r="B273" s="128"/>
    </row>
    <row r="274" ht="14.25" customHeight="1">
      <c r="B274" s="128"/>
    </row>
    <row r="275" ht="14.25" customHeight="1">
      <c r="B275" s="128"/>
    </row>
    <row r="276" ht="14.25" customHeight="1">
      <c r="B276" s="128"/>
    </row>
    <row r="277" ht="14.25" customHeight="1">
      <c r="B277" s="128"/>
    </row>
    <row r="278" ht="14.25" customHeight="1">
      <c r="B278" s="128"/>
    </row>
    <row r="279" ht="14.25" customHeight="1">
      <c r="B279" s="128"/>
    </row>
    <row r="280" ht="14.25" customHeight="1">
      <c r="B280" s="128"/>
    </row>
    <row r="281" ht="14.25" customHeight="1">
      <c r="B281" s="128"/>
    </row>
    <row r="282" ht="14.25" customHeight="1">
      <c r="B282" s="128"/>
    </row>
    <row r="283" ht="14.25" customHeight="1">
      <c r="B283" s="128"/>
    </row>
    <row r="284" ht="14.25" customHeight="1">
      <c r="B284" s="128"/>
    </row>
    <row r="285" ht="14.25" customHeight="1">
      <c r="B285" s="128"/>
    </row>
    <row r="286" ht="14.25" customHeight="1">
      <c r="B286" s="128"/>
    </row>
    <row r="287" ht="14.25" customHeight="1">
      <c r="B287" s="128"/>
    </row>
    <row r="288" ht="14.25" customHeight="1">
      <c r="B288" s="128"/>
    </row>
    <row r="289" ht="14.25" customHeight="1">
      <c r="B289" s="128"/>
    </row>
    <row r="290" ht="14.25" customHeight="1">
      <c r="B290" s="128"/>
    </row>
    <row r="291" ht="14.25" customHeight="1">
      <c r="B291" s="128"/>
    </row>
    <row r="292" ht="14.25" customHeight="1">
      <c r="B292" s="128"/>
    </row>
    <row r="293" ht="14.25" customHeight="1">
      <c r="B293" s="128"/>
    </row>
    <row r="294" ht="14.25" customHeight="1">
      <c r="B294" s="128"/>
    </row>
    <row r="295" ht="14.25" customHeight="1">
      <c r="B295" s="128"/>
    </row>
    <row r="296" ht="14.25" customHeight="1">
      <c r="B296" s="128"/>
    </row>
    <row r="297" ht="14.25" customHeight="1">
      <c r="B297" s="128"/>
    </row>
    <row r="298" ht="14.25" customHeight="1">
      <c r="B298" s="128"/>
    </row>
    <row r="299" ht="14.25" customHeight="1">
      <c r="B299" s="128"/>
    </row>
    <row r="300" ht="14.25" customHeight="1">
      <c r="B300" s="128"/>
    </row>
    <row r="301" ht="14.25" customHeight="1">
      <c r="B301" s="128"/>
    </row>
    <row r="302" ht="14.25" customHeight="1">
      <c r="B302" s="128"/>
    </row>
    <row r="303" ht="14.25" customHeight="1">
      <c r="B303" s="128"/>
    </row>
    <row r="304" ht="14.25" customHeight="1">
      <c r="B304" s="128"/>
    </row>
    <row r="305" ht="14.25" customHeight="1">
      <c r="B305" s="128"/>
    </row>
    <row r="306" ht="14.25" customHeight="1">
      <c r="B306" s="128"/>
    </row>
    <row r="307" ht="14.25" customHeight="1">
      <c r="B307" s="128"/>
    </row>
    <row r="308" ht="14.25" customHeight="1">
      <c r="B308" s="128"/>
    </row>
    <row r="309" ht="14.25" customHeight="1">
      <c r="B309" s="128"/>
    </row>
    <row r="310" ht="14.25" customHeight="1">
      <c r="B310" s="128"/>
    </row>
    <row r="311" ht="14.25" customHeight="1">
      <c r="B311" s="128"/>
    </row>
    <row r="312" ht="14.25" customHeight="1">
      <c r="B312" s="128"/>
    </row>
    <row r="313" ht="14.25" customHeight="1">
      <c r="B313" s="128"/>
    </row>
    <row r="314" ht="14.25" customHeight="1">
      <c r="B314" s="128"/>
    </row>
    <row r="315" ht="14.25" customHeight="1">
      <c r="B315" s="128"/>
    </row>
    <row r="316" ht="14.25" customHeight="1">
      <c r="B316" s="128"/>
    </row>
    <row r="317" ht="14.25" customHeight="1">
      <c r="B317" s="128"/>
    </row>
    <row r="318" ht="14.25" customHeight="1">
      <c r="B318" s="128"/>
    </row>
    <row r="319" ht="14.25" customHeight="1">
      <c r="B319" s="128"/>
    </row>
    <row r="320" ht="14.25" customHeight="1">
      <c r="B320" s="128"/>
    </row>
    <row r="321" ht="14.25" customHeight="1">
      <c r="B321" s="128"/>
    </row>
    <row r="322" ht="14.25" customHeight="1">
      <c r="B322" s="128"/>
    </row>
    <row r="323" ht="14.25" customHeight="1">
      <c r="B323" s="128"/>
    </row>
    <row r="324" ht="14.25" customHeight="1">
      <c r="B324" s="128"/>
    </row>
    <row r="325" ht="14.25" customHeight="1">
      <c r="B325" s="128"/>
    </row>
    <row r="326" ht="14.25" customHeight="1">
      <c r="B326" s="128"/>
    </row>
    <row r="327" ht="14.25" customHeight="1">
      <c r="B327" s="128"/>
    </row>
    <row r="328" ht="14.25" customHeight="1">
      <c r="B328" s="128"/>
    </row>
    <row r="329" ht="14.25" customHeight="1">
      <c r="B329" s="128"/>
    </row>
    <row r="330" ht="14.25" customHeight="1">
      <c r="B330" s="128"/>
    </row>
    <row r="331" ht="14.25" customHeight="1">
      <c r="B331" s="128"/>
    </row>
    <row r="332" ht="14.25" customHeight="1">
      <c r="B332" s="128"/>
    </row>
    <row r="333" ht="14.25" customHeight="1">
      <c r="B333" s="128"/>
    </row>
    <row r="334" ht="14.25" customHeight="1">
      <c r="B334" s="128"/>
    </row>
    <row r="335" ht="14.25" customHeight="1">
      <c r="B335" s="128"/>
    </row>
    <row r="336" ht="14.25" customHeight="1">
      <c r="B336" s="128"/>
    </row>
    <row r="337" ht="14.25" customHeight="1">
      <c r="B337" s="128"/>
    </row>
    <row r="338" ht="14.25" customHeight="1">
      <c r="B338" s="128"/>
    </row>
    <row r="339" ht="14.25" customHeight="1">
      <c r="B339" s="128"/>
    </row>
    <row r="340" ht="14.25" customHeight="1">
      <c r="B340" s="128"/>
    </row>
    <row r="341" ht="14.25" customHeight="1">
      <c r="B341" s="128"/>
    </row>
    <row r="342" ht="14.25" customHeight="1">
      <c r="B342" s="128"/>
    </row>
    <row r="343" ht="14.25" customHeight="1">
      <c r="B343" s="128"/>
    </row>
    <row r="344" ht="14.25" customHeight="1">
      <c r="B344" s="128"/>
    </row>
    <row r="345" ht="14.25" customHeight="1">
      <c r="B345" s="128"/>
    </row>
    <row r="346" ht="14.25" customHeight="1">
      <c r="B346" s="128"/>
    </row>
    <row r="347" ht="14.25" customHeight="1">
      <c r="B347" s="128"/>
    </row>
    <row r="348" ht="14.25" customHeight="1">
      <c r="B348" s="128"/>
    </row>
    <row r="349" ht="14.25" customHeight="1">
      <c r="B349" s="128"/>
    </row>
    <row r="350" ht="14.25" customHeight="1">
      <c r="B350" s="128"/>
    </row>
    <row r="351" ht="14.25" customHeight="1">
      <c r="B351" s="128"/>
    </row>
    <row r="352" ht="14.25" customHeight="1">
      <c r="B352" s="128"/>
    </row>
    <row r="353" ht="14.25" customHeight="1">
      <c r="B353" s="128"/>
    </row>
    <row r="354" ht="14.25" customHeight="1">
      <c r="B354" s="128"/>
    </row>
    <row r="355" ht="14.25" customHeight="1">
      <c r="B355" s="128"/>
    </row>
    <row r="356" ht="14.25" customHeight="1">
      <c r="B356" s="128"/>
    </row>
    <row r="357" ht="14.25" customHeight="1">
      <c r="B357" s="128"/>
    </row>
    <row r="358" ht="14.25" customHeight="1">
      <c r="B358" s="128"/>
    </row>
    <row r="359" ht="14.25" customHeight="1">
      <c r="B359" s="128"/>
    </row>
    <row r="360" ht="14.25" customHeight="1">
      <c r="B360" s="128"/>
    </row>
    <row r="361" ht="14.25" customHeight="1"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L16:Z16">
    <cfRule type="expression" dxfId="0" priority="1">
      <formula>"si(0;;)"</formula>
    </cfRule>
  </conditionalFormatting>
  <conditionalFormatting sqref="L16:Z16">
    <cfRule type="expression" dxfId="0" priority="2">
      <formula>"si(0;;)"</formula>
    </cfRule>
  </conditionalFormatting>
  <conditionalFormatting sqref="A1:A1000">
    <cfRule type="containsText" dxfId="0" priority="3" operator="containsText" text="0">
      <formula>NOT(ISERROR(SEARCH(("0"),(A1))))</formula>
    </cfRule>
  </conditionalFormatting>
  <conditionalFormatting sqref="A1:A161">
    <cfRule type="containsText" dxfId="0" priority="4" operator="containsText" text="0">
      <formula>NOT(ISERROR(SEARCH(("0"),(A1))))</formula>
    </cfRule>
  </conditionalFormatting>
  <drawing r:id="rId1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65</v>
      </c>
    </row>
    <row r="2" ht="14.25" customHeight="1">
      <c r="A2" s="122" t="str">
        <f>IFERROR(__xludf.DUMMYFUNCTION(" IMPORTRANGE(""https://docs.google.com/spreadsheets/d/1HERUxGspoq8kOqqb1VRs3wCYrIwMxR9ZfpQDQNgF7_A/edit#gid=543592404"",""So6!A2:A161"")"),"gregmoore")</f>
        <v>gregmoore</v>
      </c>
      <c r="B2" s="103">
        <v>1.0</v>
      </c>
      <c r="C2" s="123">
        <f t="shared" ref="C2:C161" si="1">800*(1-(B2/($H$1+1)))*POWER((SQRT(($H$1+1)/B2)),1/2)</f>
        <v>2245.66718</v>
      </c>
      <c r="D2" s="124" t="str">
        <f>VLOOKUP(A2,'Classement S6'!$B$2:$C$150,1,0)</f>
        <v>gregmoore</v>
      </c>
      <c r="E2" s="125" t="str">
        <f t="shared" ref="E2:E161" si="2">IF(D2=A2,"","erreur")</f>
        <v/>
      </c>
      <c r="F2" s="120" t="str">
        <f>VLOOKUP(A2,'Classement Général'!$B$2:$B$146,1,0)</f>
        <v>gregmoore</v>
      </c>
    </row>
    <row r="3" ht="14.25" customHeight="1">
      <c r="A3" s="122" t="str">
        <f>IFERROR(__xludf.DUMMYFUNCTION("""COMPUTED_VALUE"""),"imberbe")</f>
        <v>imberbe</v>
      </c>
      <c r="B3" s="103">
        <v>2.0</v>
      </c>
      <c r="C3" s="123">
        <f t="shared" si="1"/>
        <v>1859.321582</v>
      </c>
      <c r="D3" s="124" t="str">
        <f>VLOOKUP(A3,'Classement S6'!$B$2:$C$150,1,0)</f>
        <v>imberbe</v>
      </c>
      <c r="E3" s="125" t="str">
        <f t="shared" si="2"/>
        <v/>
      </c>
      <c r="F3" s="120" t="str">
        <f>VLOOKUP(A3,'Classement Général'!$B$2:$B$146,1,0)</f>
        <v>imberbe</v>
      </c>
      <c r="G3" s="126"/>
    </row>
    <row r="4" ht="14.25" customHeight="1">
      <c r="A4" s="122" t="str">
        <f>IFERROR(__xludf.DUMMYFUNCTION("""COMPUTED_VALUE"""),"JM-Chatte")</f>
        <v>JM-Chatte</v>
      </c>
      <c r="B4" s="103">
        <v>3.0</v>
      </c>
      <c r="C4" s="123">
        <f t="shared" si="1"/>
        <v>1653.835352</v>
      </c>
      <c r="D4" s="124" t="str">
        <f>VLOOKUP(A4,'Classement S6'!$B$2:$C$150,1,0)</f>
        <v>JM-Chatte</v>
      </c>
      <c r="E4" s="125" t="str">
        <f t="shared" si="2"/>
        <v/>
      </c>
      <c r="F4" s="120" t="str">
        <f>VLOOKUP(A4,'Classement Général'!$B$2:$B$146,1,0)</f>
        <v>JM-Chatte</v>
      </c>
    </row>
    <row r="5" ht="14.25" customHeight="1">
      <c r="A5" s="122" t="str">
        <f>IFERROR(__xludf.DUMMYFUNCTION("""COMPUTED_VALUE"""),"Pachavi")</f>
        <v>Pachavi</v>
      </c>
      <c r="B5" s="103">
        <v>4.0</v>
      </c>
      <c r="C5" s="123">
        <f t="shared" si="1"/>
        <v>1514.637577</v>
      </c>
      <c r="D5" s="124" t="str">
        <f>VLOOKUP(A5,'Classement S6'!$B$2:$C$150,1,0)</f>
        <v>Pachavi</v>
      </c>
      <c r="E5" s="125" t="str">
        <f t="shared" si="2"/>
        <v/>
      </c>
      <c r="F5" s="120" t="str">
        <f>VLOOKUP(A5,'Classement Général'!$B$2:$B$146,1,0)</f>
        <v>Pachavi</v>
      </c>
    </row>
    <row r="6" ht="14.25" customHeight="1">
      <c r="A6" s="122" t="str">
        <f>IFERROR(__xludf.DUMMYFUNCTION("""COMPUTED_VALUE"""),"lifeofpark")</f>
        <v>lifeofpark</v>
      </c>
      <c r="B6" s="103">
        <v>5.0</v>
      </c>
      <c r="C6" s="123">
        <f t="shared" si="1"/>
        <v>1409.351653</v>
      </c>
      <c r="D6" s="124" t="str">
        <f>VLOOKUP(A6,'Classement S6'!$B$2:$C$150,1,0)</f>
        <v>lifeofpark</v>
      </c>
      <c r="E6" s="125" t="str">
        <f t="shared" si="2"/>
        <v/>
      </c>
      <c r="F6" s="120" t="str">
        <f>VLOOKUP(A6,'Classement Général'!$B$2:$B$146,1,0)</f>
        <v>lifeofpark</v>
      </c>
    </row>
    <row r="7" ht="14.25" customHeight="1">
      <c r="A7" s="122" t="str">
        <f>IFERROR(__xludf.DUMMYFUNCTION("""COMPUTED_VALUE"""),"_Sale-Bet_")</f>
        <v>_Sale-Bet_</v>
      </c>
      <c r="B7" s="103">
        <v>6.0</v>
      </c>
      <c r="C7" s="123">
        <f t="shared" si="1"/>
        <v>1324.480209</v>
      </c>
      <c r="D7" s="124" t="str">
        <f>VLOOKUP(A7,'Classement S6'!$B$2:$C$150,1,0)</f>
        <v>_Sale-Bet_</v>
      </c>
      <c r="E7" s="125" t="str">
        <f t="shared" si="2"/>
        <v/>
      </c>
      <c r="F7" s="120" t="str">
        <f>VLOOKUP(A7,'Classement Général'!$B$2:$B$146,1,0)</f>
        <v>_Sale-Bet_</v>
      </c>
    </row>
    <row r="8" ht="14.25" customHeight="1">
      <c r="A8" s="122" t="str">
        <f>IFERROR(__xludf.DUMMYFUNCTION("""COMPUTED_VALUE"""),"PrendmAmAin")</f>
        <v>PrendmAmAin</v>
      </c>
      <c r="B8" s="103">
        <v>7.0</v>
      </c>
      <c r="C8" s="123">
        <f t="shared" si="1"/>
        <v>1253.168694</v>
      </c>
      <c r="D8" s="124" t="str">
        <f>VLOOKUP(A8,'Classement S6'!$B$2:$C$150,1,0)</f>
        <v>PrendmAmAin</v>
      </c>
      <c r="E8" s="125" t="str">
        <f t="shared" si="2"/>
        <v/>
      </c>
      <c r="F8" s="120" t="str">
        <f>VLOOKUP(A8,'Classement Général'!$B$2:$B$146,1,0)</f>
        <v>PrendmAmAin</v>
      </c>
    </row>
    <row r="9" ht="14.25" customHeight="1">
      <c r="A9" s="122" t="str">
        <f>IFERROR(__xludf.DUMMYFUNCTION("""COMPUTED_VALUE"""),"Garou du 86")</f>
        <v>Garou du 86</v>
      </c>
      <c r="B9" s="103">
        <v>8.0</v>
      </c>
      <c r="C9" s="123">
        <f t="shared" si="1"/>
        <v>1191.482127</v>
      </c>
      <c r="D9" s="124" t="str">
        <f>VLOOKUP(A9,'Classement S6'!$B$2:$C$150,1,0)</f>
        <v>Garou du 86</v>
      </c>
      <c r="E9" s="125" t="str">
        <f t="shared" si="2"/>
        <v/>
      </c>
      <c r="F9" s="120" t="str">
        <f>VLOOKUP(A9,'Classement Général'!$B$2:$B$146,1,0)</f>
        <v>Garou du 86</v>
      </c>
    </row>
    <row r="10" ht="14.25" customHeight="1">
      <c r="A10" s="122" t="str">
        <f>IFERROR(__xludf.DUMMYFUNCTION("""COMPUTED_VALUE"""),"karibette86")</f>
        <v>karibette86</v>
      </c>
      <c r="B10" s="103">
        <v>9.0</v>
      </c>
      <c r="C10" s="123">
        <f t="shared" si="1"/>
        <v>1136.962822</v>
      </c>
      <c r="D10" s="124" t="str">
        <f>VLOOKUP(A10,'Classement S6'!$B$2:$C$150,1,0)</f>
        <v>karibette86</v>
      </c>
      <c r="E10" s="125" t="str">
        <f t="shared" si="2"/>
        <v/>
      </c>
      <c r="F10" s="120" t="str">
        <f>VLOOKUP(A10,'Classement Général'!$B$2:$B$146,1,0)</f>
        <v>karibette86</v>
      </c>
    </row>
    <row r="11" ht="14.25" customHeight="1">
      <c r="A11" s="122" t="str">
        <f>IFERROR(__xludf.DUMMYFUNCTION("""COMPUTED_VALUE"""),"Rod_John_VI")</f>
        <v>Rod_John_VI</v>
      </c>
      <c r="B11" s="103">
        <v>10.0</v>
      </c>
      <c r="C11" s="123">
        <f t="shared" si="1"/>
        <v>1087.977872</v>
      </c>
      <c r="D11" s="124" t="str">
        <f>VLOOKUP(A11,'Classement S6'!$B$2:$C$150,1,0)</f>
        <v>Rod_John_VI</v>
      </c>
      <c r="E11" s="125" t="str">
        <f t="shared" si="2"/>
        <v/>
      </c>
      <c r="F11" s="120" t="str">
        <f>VLOOKUP(A11,'Classement Général'!$B$2:$B$146,1,0)</f>
        <v>Rod_John_VI</v>
      </c>
    </row>
    <row r="12" ht="14.25" customHeight="1">
      <c r="A12" s="122" t="str">
        <f>IFERROR(__xludf.DUMMYFUNCTION("""COMPUTED_VALUE"""),"GooodJooob")</f>
        <v>GooodJooob</v>
      </c>
      <c r="B12" s="103">
        <v>11.0</v>
      </c>
      <c r="C12" s="123">
        <f t="shared" si="1"/>
        <v>1043.38972</v>
      </c>
      <c r="D12" s="124" t="str">
        <f>VLOOKUP(A12,'Classement S6'!$B$2:$C$150,1,0)</f>
        <v>GooodJooob</v>
      </c>
      <c r="E12" s="125" t="str">
        <f t="shared" si="2"/>
        <v/>
      </c>
      <c r="F12" s="120" t="str">
        <f>VLOOKUP(A12,'Classement Général'!$B$2:$B$146,1,0)</f>
        <v>GooodJooob</v>
      </c>
    </row>
    <row r="13" ht="14.25" customHeight="1">
      <c r="A13" s="122" t="str">
        <f>IFERROR(__xludf.DUMMYFUNCTION("""COMPUTED_VALUE"""),"LEGOLEGOTE")</f>
        <v>LEGOLEGOTE</v>
      </c>
      <c r="B13" s="103">
        <v>12.0</v>
      </c>
      <c r="C13" s="123">
        <f t="shared" si="1"/>
        <v>1002.375594</v>
      </c>
      <c r="D13" s="124" t="str">
        <f>VLOOKUP(A13,'Classement S6'!$B$2:$C$150,1,0)</f>
        <v>LEGOLEGOTE</v>
      </c>
      <c r="E13" s="125" t="str">
        <f t="shared" si="2"/>
        <v/>
      </c>
      <c r="F13" s="120" t="str">
        <f>VLOOKUP(A13,'Classement Général'!$B$2:$B$146,1,0)</f>
        <v>LEGOLEGOTE</v>
      </c>
    </row>
    <row r="14" ht="14.25" customHeight="1">
      <c r="A14" s="122" t="str">
        <f>IFERROR(__xludf.DUMMYFUNCTION("""COMPUTED_VALUE"""),"fiodor86")</f>
        <v>fiodor86</v>
      </c>
      <c r="B14" s="103">
        <v>13.0</v>
      </c>
      <c r="C14" s="123">
        <f t="shared" si="1"/>
        <v>964.3219823</v>
      </c>
      <c r="D14" s="124" t="str">
        <f>VLOOKUP(A14,'Classement S6'!$B$2:$C$150,1,0)</f>
        <v>fiodor86</v>
      </c>
      <c r="E14" s="125" t="str">
        <f t="shared" si="2"/>
        <v/>
      </c>
      <c r="F14" s="120" t="str">
        <f>VLOOKUP(A14,'Classement Général'!$B$2:$B$146,1,0)</f>
        <v>fiodor86</v>
      </c>
    </row>
    <row r="15" ht="14.25" customHeight="1">
      <c r="A15" s="122" t="str">
        <f>IFERROR(__xludf.DUMMYFUNCTION("""COMPUTED_VALUE"""),"-BartMan-")</f>
        <v>-BartMan-</v>
      </c>
      <c r="B15" s="103">
        <v>14.0</v>
      </c>
      <c r="C15" s="123">
        <f t="shared" si="1"/>
        <v>928.759716</v>
      </c>
      <c r="D15" s="124" t="str">
        <f>VLOOKUP(A15,'Classement S6'!$B$2:$C$150,1,0)</f>
        <v>-bartman-</v>
      </c>
      <c r="E15" s="125" t="str">
        <f t="shared" si="2"/>
        <v/>
      </c>
      <c r="F15" s="120" t="str">
        <f>VLOOKUP(A15,'Classement Général'!$B$2:$B$146,1,0)</f>
        <v>-bartman-</v>
      </c>
    </row>
    <row r="16" ht="14.25" customHeight="1">
      <c r="A16" s="122" t="str">
        <f>IFERROR(__xludf.DUMMYFUNCTION("""COMPUTED_VALUE"""),"christ86000")</f>
        <v>christ86000</v>
      </c>
      <c r="B16" s="103">
        <v>15.0</v>
      </c>
      <c r="C16" s="123">
        <f t="shared" si="1"/>
        <v>895.3222896</v>
      </c>
      <c r="D16" s="124" t="str">
        <f>VLOOKUP(A16,'Classement S6'!$B$2:$C$150,1,0)</f>
        <v>christ86000</v>
      </c>
      <c r="E16" s="125" t="str">
        <f t="shared" si="2"/>
        <v/>
      </c>
      <c r="F16" s="120" t="str">
        <f>VLOOKUP(A16,'Classement Général'!$B$2:$B$146,1,0)</f>
        <v>christ86000</v>
      </c>
    </row>
    <row r="17" ht="14.25" customHeight="1">
      <c r="A17" s="122" t="str">
        <f>IFERROR(__xludf.DUMMYFUNCTION("""COMPUTED_VALUE"""),"immond")</f>
        <v>immond</v>
      </c>
      <c r="B17" s="103">
        <v>16.0</v>
      </c>
      <c r="C17" s="123">
        <f t="shared" si="1"/>
        <v>863.7181463</v>
      </c>
      <c r="D17" s="124" t="str">
        <f>VLOOKUP(A17,'Classement S6'!$B$2:$C$150,1,0)</f>
        <v>immond</v>
      </c>
      <c r="E17" s="125" t="str">
        <f t="shared" si="2"/>
        <v/>
      </c>
      <c r="F17" s="120" t="str">
        <f>VLOOKUP(A17,'Classement Général'!$B$2:$B$146,1,0)</f>
        <v>immond</v>
      </c>
      <c r="J17" s="129"/>
    </row>
    <row r="18" ht="14.25" customHeight="1">
      <c r="A18" s="122" t="str">
        <f>IFERROR(__xludf.DUMMYFUNCTION("""COMPUTED_VALUE"""),"_VisMaVie_")</f>
        <v>_VisMaVie_</v>
      </c>
      <c r="B18" s="103">
        <v>17.0</v>
      </c>
      <c r="C18" s="123">
        <f t="shared" si="1"/>
        <v>833.7116784</v>
      </c>
      <c r="D18" s="124" t="str">
        <f>VLOOKUP(A18,'Classement S6'!$B$2:$C$150,1,0)</f>
        <v>_VisMaVie_</v>
      </c>
      <c r="E18" s="125" t="str">
        <f t="shared" si="2"/>
        <v/>
      </c>
      <c r="F18" s="120" t="str">
        <f>VLOOKUP(A18,'Classement Général'!$B$2:$B$146,1,0)</f>
        <v>_VisMaVie_</v>
      </c>
      <c r="J18" s="129"/>
    </row>
    <row r="19" ht="14.25" customHeight="1">
      <c r="A19" s="122" t="str">
        <f>IFERROR(__xludf.DUMMYFUNCTION("""COMPUTED_VALUE"""),"erniedog56x")</f>
        <v>erniedog56x</v>
      </c>
      <c r="B19" s="103">
        <v>18.0</v>
      </c>
      <c r="C19" s="123">
        <f t="shared" si="1"/>
        <v>805.109862</v>
      </c>
      <c r="D19" s="124" t="str">
        <f>VLOOKUP(A19,'Classement S6'!$B$2:$C$150,1,0)</f>
        <v>erniedog56x</v>
      </c>
      <c r="E19" s="125" t="str">
        <f t="shared" si="2"/>
        <v/>
      </c>
      <c r="F19" s="120" t="str">
        <f>VLOOKUP(A19,'Classement Général'!$B$2:$B$146,1,0)</f>
        <v>erniedog56x</v>
      </c>
      <c r="J19" s="129"/>
    </row>
    <row r="20" ht="14.25" customHeight="1">
      <c r="A20" s="122" t="str">
        <f>IFERROR(__xludf.DUMMYFUNCTION("""COMPUTED_VALUE"""),"chatouill86")</f>
        <v>chatouill86</v>
      </c>
      <c r="B20" s="103">
        <v>19.0</v>
      </c>
      <c r="C20" s="123">
        <f t="shared" si="1"/>
        <v>777.7526384</v>
      </c>
      <c r="D20" s="124" t="str">
        <f>VLOOKUP(A20,'Classement S6'!$B$2:$C$150,1,0)</f>
        <v>chatouill86</v>
      </c>
      <c r="E20" s="125" t="str">
        <f t="shared" si="2"/>
        <v/>
      </c>
      <c r="F20" s="120" t="str">
        <f>VLOOKUP(A20,'Classement Général'!$B$2:$B$146,1,0)</f>
        <v>chatouill86</v>
      </c>
      <c r="J20" s="129"/>
    </row>
    <row r="21" ht="14.25" customHeight="1">
      <c r="A21" s="122" t="str">
        <f>IFERROR(__xludf.DUMMYFUNCTION("""COMPUTED_VALUE"""),".choco")</f>
        <v>.choco</v>
      </c>
      <c r="B21" s="103">
        <v>20.0</v>
      </c>
      <c r="C21" s="123">
        <f t="shared" si="1"/>
        <v>751.5058542</v>
      </c>
      <c r="D21" s="124" t="str">
        <f>VLOOKUP(A21,'Classement S6'!$B$2:$C$150,1,0)</f>
        <v>.choco</v>
      </c>
      <c r="E21" s="125" t="str">
        <f t="shared" si="2"/>
        <v/>
      </c>
      <c r="F21" s="120" t="str">
        <f>VLOOKUP(A21,'Classement Général'!$B$2:$B$146,1,0)</f>
        <v>.choco</v>
      </c>
    </row>
    <row r="22" ht="14.25" customHeight="1">
      <c r="A22" s="122" t="str">
        <f>IFERROR(__xludf.DUMMYFUNCTION("""COMPUTED_VALUE"""),"FridAKahlo")</f>
        <v>FridAKahlo</v>
      </c>
      <c r="B22" s="103">
        <v>21.0</v>
      </c>
      <c r="C22" s="123">
        <f t="shared" si="1"/>
        <v>726.2559867</v>
      </c>
      <c r="D22" s="124" t="str">
        <f>VLOOKUP(A22,'Classement S6'!$B$2:$C$150,1,0)</f>
        <v>FridAKahlo</v>
      </c>
      <c r="E22" s="125" t="str">
        <f t="shared" si="2"/>
        <v/>
      </c>
      <c r="F22" s="120" t="str">
        <f>VLOOKUP(A22,'Classement Général'!$B$2:$B$146,1,0)</f>
        <v>FridAKahlo</v>
      </c>
    </row>
    <row r="23" ht="14.25" customHeight="1">
      <c r="A23" s="122" t="str">
        <f>IFERROR(__xludf.DUMMYFUNCTION("""COMPUTED_VALUE"""),"KamehamehAS")</f>
        <v>KamehamehAS</v>
      </c>
      <c r="B23" s="103">
        <v>22.0</v>
      </c>
      <c r="C23" s="123">
        <f t="shared" si="1"/>
        <v>701.9061402</v>
      </c>
      <c r="D23" s="124" t="str">
        <f>VLOOKUP(A23,'Classement S6'!$B$2:$C$150,1,0)</f>
        <v>KamehamehAS</v>
      </c>
      <c r="E23" s="125" t="str">
        <f t="shared" si="2"/>
        <v/>
      </c>
      <c r="F23" s="120" t="str">
        <f>VLOOKUP(A23,'Classement Général'!$B$2:$B$146,1,0)</f>
        <v>KamehamehAS</v>
      </c>
    </row>
    <row r="24" ht="14.25" customHeight="1">
      <c r="A24" s="122" t="str">
        <f>IFERROR(__xludf.DUMMYFUNCTION("""COMPUTED_VALUE"""),"AKlibur")</f>
        <v>AKlibur</v>
      </c>
      <c r="B24" s="103">
        <v>23.0</v>
      </c>
      <c r="C24" s="123">
        <f t="shared" si="1"/>
        <v>678.3729652</v>
      </c>
      <c r="D24" s="124" t="str">
        <f>VLOOKUP(A24,'Classement S6'!$B$2:$C$150,1,0)</f>
        <v>AKlibur</v>
      </c>
      <c r="E24" s="125" t="str">
        <f t="shared" si="2"/>
        <v/>
      </c>
      <c r="F24" s="120" t="str">
        <f>VLOOKUP(A24,'Classement Général'!$B$2:$B$146,1,0)</f>
        <v>AKlibur</v>
      </c>
    </row>
    <row r="25" ht="14.25" customHeight="1">
      <c r="A25" s="122" t="str">
        <f>IFERROR(__xludf.DUMMYFUNCTION("""COMPUTED_VALUE"""),"AD-ICE")</f>
        <v>AD-ICE</v>
      </c>
      <c r="B25" s="103">
        <v>24.0</v>
      </c>
      <c r="C25" s="123">
        <f t="shared" si="1"/>
        <v>655.5842559</v>
      </c>
      <c r="D25" s="124" t="str">
        <f>VLOOKUP(A25,'Classement S6'!$B$2:$C$150,1,0)</f>
        <v>AD-ICE</v>
      </c>
      <c r="E25" s="125" t="str">
        <f t="shared" si="2"/>
        <v/>
      </c>
      <c r="F25" s="120" t="str">
        <f>VLOOKUP(A25,'Classement Général'!$B$2:$B$146,1,0)</f>
        <v>AD-ICE</v>
      </c>
    </row>
    <row r="26" ht="14.25" customHeight="1">
      <c r="A26" s="122" t="str">
        <f>IFERROR(__xludf.DUMMYFUNCTION("""COMPUTED_VALUE"""),"Devil Fish")</f>
        <v>Devil Fish</v>
      </c>
      <c r="B26" s="103">
        <v>25.0</v>
      </c>
      <c r="C26" s="123">
        <f t="shared" si="1"/>
        <v>633.4770562</v>
      </c>
      <c r="D26" s="124" t="str">
        <f>VLOOKUP(A26,'Classement S6'!$B$2:$C$150,1,0)</f>
        <v>Devil Fish</v>
      </c>
      <c r="E26" s="125" t="str">
        <f t="shared" si="2"/>
        <v/>
      </c>
      <c r="F26" s="120" t="str">
        <f>VLOOKUP(A26,'Classement Général'!$B$2:$B$146,1,0)</f>
        <v>#N/A</v>
      </c>
    </row>
    <row r="27" ht="14.25" customHeight="1">
      <c r="A27" s="122" t="str">
        <f>IFERROR(__xludf.DUMMYFUNCTION("""COMPUTED_VALUE"""),"Le_Pictavien")</f>
        <v>Le_Pictavien</v>
      </c>
      <c r="B27" s="103">
        <v>26.0</v>
      </c>
      <c r="C27" s="123">
        <f t="shared" si="1"/>
        <v>611.9961495</v>
      </c>
      <c r="D27" s="124" t="str">
        <f>VLOOKUP(A27,'Classement S6'!$B$2:$C$150,1,0)</f>
        <v>Le_Pictavien</v>
      </c>
      <c r="E27" s="125" t="str">
        <f t="shared" si="2"/>
        <v/>
      </c>
      <c r="F27" s="120" t="str">
        <f>VLOOKUP(A27,'Classement Général'!$B$2:$B$146,1,0)</f>
        <v>Le_Pictavien</v>
      </c>
    </row>
    <row r="28" ht="14.25" customHeight="1">
      <c r="A28" s="122" t="str">
        <f>IFERROR(__xludf.DUMMYFUNCTION("""COMPUTED_VALUE"""),"Sab86360")</f>
        <v>Sab86360</v>
      </c>
      <c r="B28" s="103">
        <v>27.0</v>
      </c>
      <c r="C28" s="123">
        <f t="shared" si="1"/>
        <v>591.0928436</v>
      </c>
      <c r="D28" s="124" t="str">
        <f>VLOOKUP(A28,'Classement S6'!$B$2:$C$150,1,0)</f>
        <v>Sab86360</v>
      </c>
      <c r="E28" s="125" t="str">
        <f t="shared" si="2"/>
        <v/>
      </c>
      <c r="F28" s="120" t="str">
        <f>VLOOKUP(A28,'Classement Général'!$B$2:$B$146,1,0)</f>
        <v>Sab86360</v>
      </c>
    </row>
    <row r="29" ht="14.25" customHeight="1">
      <c r="A29" s="122" t="str">
        <f>IFERROR(__xludf.DUMMYFUNCTION("""COMPUTED_VALUE"""),"Divad")</f>
        <v>Divad</v>
      </c>
      <c r="B29" s="103">
        <v>28.0</v>
      </c>
      <c r="C29" s="123">
        <f t="shared" si="1"/>
        <v>570.7239846</v>
      </c>
      <c r="D29" s="124" t="str">
        <f>VLOOKUP(A29,'Classement S6'!$B$2:$C$150,1,0)</f>
        <v>Divad</v>
      </c>
      <c r="E29" s="125" t="str">
        <f t="shared" si="2"/>
        <v/>
      </c>
      <c r="F29" s="120" t="str">
        <f>VLOOKUP(A29,'Classement Général'!$B$2:$B$146,1,0)</f>
        <v>#N/A</v>
      </c>
    </row>
    <row r="30" ht="14.25" customHeight="1">
      <c r="A30" s="122" t="str">
        <f>IFERROR(__xludf.DUMMYFUNCTION("""COMPUTED_VALUE"""),"hmnyocleaver")</f>
        <v>hmnyocleaver</v>
      </c>
      <c r="B30" s="103">
        <v>29.0</v>
      </c>
      <c r="C30" s="123">
        <f t="shared" si="1"/>
        <v>550.8511494</v>
      </c>
      <c r="D30" s="124" t="str">
        <f>VLOOKUP(A30,'Classement S6'!$B$2:$C$150,1,0)</f>
        <v>hmnyocleaver</v>
      </c>
      <c r="E30" s="125" t="str">
        <f t="shared" si="2"/>
        <v/>
      </c>
      <c r="F30" s="120" t="str">
        <f>VLOOKUP(A30,'Classement Général'!$B$2:$B$146,1,0)</f>
        <v>hmnyocleaver</v>
      </c>
    </row>
    <row r="31" ht="14.25" customHeight="1">
      <c r="A31" s="122" t="str">
        <f>IFERROR(__xludf.DUMMYFUNCTION("""COMPUTED_VALUE"""),"PocketBike")</f>
        <v>PocketBike</v>
      </c>
      <c r="B31" s="103">
        <v>30.0</v>
      </c>
      <c r="C31" s="123">
        <f t="shared" si="1"/>
        <v>531.4399792</v>
      </c>
      <c r="D31" s="124" t="str">
        <f>VLOOKUP(A31,'Classement S6'!$B$2:$C$150,1,0)</f>
        <v>PocketBike</v>
      </c>
      <c r="E31" s="125" t="str">
        <f t="shared" si="2"/>
        <v/>
      </c>
      <c r="F31" s="120" t="str">
        <f>VLOOKUP(A31,'Classement Général'!$B$2:$B$146,1,0)</f>
        <v>PocketBike</v>
      </c>
    </row>
    <row r="32" ht="14.25" customHeight="1">
      <c r="A32" s="122" t="str">
        <f>IFERROR(__xludf.DUMMYFUNCTION("""COMPUTED_VALUE"""),"Or&amp;l1")</f>
        <v>Or&amp;l1</v>
      </c>
      <c r="B32" s="103">
        <v>31.0</v>
      </c>
      <c r="C32" s="123">
        <f t="shared" si="1"/>
        <v>512.4596271</v>
      </c>
      <c r="D32" s="124" t="str">
        <f>VLOOKUP(A32,'Classement S6'!$B$2:$C$150,1,0)</f>
        <v>Or&amp;l1</v>
      </c>
      <c r="E32" s="125" t="str">
        <f t="shared" si="2"/>
        <v/>
      </c>
      <c r="F32" s="120" t="str">
        <f>VLOOKUP(A32,'Classement Général'!$B$2:$B$146,1,0)</f>
        <v>Or&amp;l1</v>
      </c>
    </row>
    <row r="33" ht="14.25" customHeight="1">
      <c r="A33" s="122" t="str">
        <f>IFERROR(__xludf.DUMMYFUNCTION("""COMPUTED_VALUE"""),"Tontonzgueg")</f>
        <v>Tontonzgueg</v>
      </c>
      <c r="B33" s="103">
        <v>32.0</v>
      </c>
      <c r="C33" s="123">
        <f t="shared" si="1"/>
        <v>493.8822952</v>
      </c>
      <c r="D33" s="124" t="str">
        <f>VLOOKUP(A33,'Classement S6'!$B$2:$C$150,1,0)</f>
        <v>Tontonzgueg</v>
      </c>
      <c r="E33" s="125" t="str">
        <f t="shared" si="2"/>
        <v/>
      </c>
      <c r="F33" s="120" t="str">
        <f>VLOOKUP(A33,'Classement Général'!$B$2:$B$146,1,0)</f>
        <v>Tontonzgueg</v>
      </c>
    </row>
    <row r="34" ht="14.25" customHeight="1">
      <c r="A34" s="122" t="str">
        <f>IFERROR(__xludf.DUMMYFUNCTION("""COMPUTED_VALUE"""),"8kinder6")</f>
        <v>8kinder6</v>
      </c>
      <c r="B34" s="103">
        <v>33.0</v>
      </c>
      <c r="C34" s="123">
        <f t="shared" si="1"/>
        <v>475.682846</v>
      </c>
      <c r="D34" s="124" t="str">
        <f>VLOOKUP(A34,'Classement S6'!$B$2:$C$150,1,0)</f>
        <v>8kinder6</v>
      </c>
      <c r="E34" s="125" t="str">
        <f t="shared" si="2"/>
        <v/>
      </c>
      <c r="F34" s="120" t="str">
        <f>VLOOKUP(A34,'Classement Général'!$B$2:$B$146,1,0)</f>
        <v>8kinder6</v>
      </c>
    </row>
    <row r="35" ht="14.25" customHeight="1">
      <c r="A35" s="122" t="str">
        <f>IFERROR(__xludf.DUMMYFUNCTION("""COMPUTED_VALUE"""),"Odile2Raise")</f>
        <v>Odile2Raise</v>
      </c>
      <c r="B35" s="103">
        <v>34.0</v>
      </c>
      <c r="C35" s="123">
        <f t="shared" si="1"/>
        <v>457.838473</v>
      </c>
      <c r="D35" s="124" t="str">
        <f>VLOOKUP(A35,'Classement S6'!$B$2:$C$150,1,0)</f>
        <v>Odile2Raise</v>
      </c>
      <c r="E35" s="125" t="str">
        <f t="shared" si="2"/>
        <v/>
      </c>
      <c r="F35" s="120" t="str">
        <f>VLOOKUP(A35,'Classement Général'!$B$2:$B$146,1,0)</f>
        <v>Odile2Raise</v>
      </c>
    </row>
    <row r="36" ht="14.25" customHeight="1">
      <c r="A36" s="122" t="str">
        <f>IFERROR(__xludf.DUMMYFUNCTION("""COMPUTED_VALUE"""),"BBH 75")</f>
        <v>BBH 75</v>
      </c>
      <c r="B36" s="103">
        <v>35.0</v>
      </c>
      <c r="C36" s="123">
        <f t="shared" si="1"/>
        <v>440.3284212</v>
      </c>
      <c r="D36" s="124" t="str">
        <f>VLOOKUP(A36,'Classement S6'!$B$2:$C$150,1,0)</f>
        <v>BBH 75</v>
      </c>
      <c r="E36" s="125" t="str">
        <f t="shared" si="2"/>
        <v/>
      </c>
      <c r="F36" s="120" t="str">
        <f>VLOOKUP(A36,'Classement Général'!$B$2:$B$146,1,0)</f>
        <v>BBH 75</v>
      </c>
    </row>
    <row r="37" ht="14.25" customHeight="1">
      <c r="A37" s="122" t="str">
        <f>IFERROR(__xludf.DUMMYFUNCTION("""COMPUTED_VALUE"""),"Dirty Bazaar")</f>
        <v>Dirty Bazaar</v>
      </c>
      <c r="B37" s="103">
        <v>36.0</v>
      </c>
      <c r="C37" s="123">
        <f t="shared" si="1"/>
        <v>423.133748</v>
      </c>
      <c r="D37" s="124" t="str">
        <f>VLOOKUP(A37,'Classement S6'!$B$2:$C$150,1,0)</f>
        <v>Dirty Bazaar</v>
      </c>
      <c r="E37" s="125" t="str">
        <f t="shared" si="2"/>
        <v/>
      </c>
      <c r="F37" s="120" t="str">
        <f>VLOOKUP(A37,'Classement Général'!$B$2:$B$146,1,0)</f>
        <v>Dirty Bazaar</v>
      </c>
    </row>
    <row r="38" ht="14.25" customHeight="1">
      <c r="A38" s="122" t="str">
        <f>IFERROR(__xludf.DUMMYFUNCTION("""COMPUTED_VALUE"""),"Mako Lemore")</f>
        <v>Mako Lemore</v>
      </c>
      <c r="B38" s="103">
        <v>37.0</v>
      </c>
      <c r="C38" s="123">
        <f t="shared" si="1"/>
        <v>406.2371177</v>
      </c>
      <c r="D38" s="124" t="str">
        <f>VLOOKUP(A38,'Classement S6'!$B$2:$C$150,1,0)</f>
        <v>Mako Lemore</v>
      </c>
      <c r="E38" s="125" t="str">
        <f t="shared" si="2"/>
        <v/>
      </c>
      <c r="F38" s="120" t="str">
        <f>VLOOKUP(A38,'Classement Général'!$B$2:$B$146,1,0)</f>
        <v>Mako Lemore</v>
      </c>
    </row>
    <row r="39" ht="14.25" customHeight="1">
      <c r="A39" s="122" t="str">
        <f>IFERROR(__xludf.DUMMYFUNCTION("""COMPUTED_VALUE"""),"Kiki Bazaar")</f>
        <v>Kiki Bazaar</v>
      </c>
      <c r="B39" s="103">
        <v>38.0</v>
      </c>
      <c r="C39" s="123">
        <f t="shared" si="1"/>
        <v>389.6226246</v>
      </c>
      <c r="D39" s="124" t="str">
        <f>VLOOKUP(A39,'Classement S6'!$B$2:$C$150,1,0)</f>
        <v>Kiki Bazaar</v>
      </c>
      <c r="E39" s="125" t="str">
        <f t="shared" si="2"/>
        <v/>
      </c>
      <c r="F39" s="120" t="str">
        <f>VLOOKUP(A39,'Classement Général'!$B$2:$B$146,1,0)</f>
        <v>Kiki Bazaar</v>
      </c>
    </row>
    <row r="40" ht="14.25" customHeight="1">
      <c r="A40" s="122" t="str">
        <f>IFERROR(__xludf.DUMMYFUNCTION("""COMPUTED_VALUE"""),"Vaillant 86")</f>
        <v>Vaillant 86</v>
      </c>
      <c r="B40" s="103">
        <v>39.0</v>
      </c>
      <c r="C40" s="123">
        <f t="shared" si="1"/>
        <v>373.2756391</v>
      </c>
      <c r="D40" s="124" t="str">
        <f>VLOOKUP(A40,'Classement S6'!$B$2:$C$150,1,0)</f>
        <v>Vaillant 86</v>
      </c>
      <c r="E40" s="125" t="str">
        <f t="shared" si="2"/>
        <v/>
      </c>
      <c r="F40" s="120" t="str">
        <f>VLOOKUP(A40,'Classement Général'!$B$2:$B$146,1,0)</f>
        <v>Vaillant 86</v>
      </c>
    </row>
    <row r="41" ht="14.25" customHeight="1">
      <c r="A41" s="122" t="str">
        <f>IFERROR(__xludf.DUMMYFUNCTION("""COMPUTED_VALUE"""),"POMB1664")</f>
        <v>POMB1664</v>
      </c>
      <c r="B41" s="103">
        <v>40.0</v>
      </c>
      <c r="C41" s="123">
        <f t="shared" si="1"/>
        <v>357.182675</v>
      </c>
      <c r="D41" s="124" t="str">
        <f>VLOOKUP(A41,'Classement S6'!$B$2:$C$150,1,0)</f>
        <v>POMB1664</v>
      </c>
      <c r="E41" s="125" t="str">
        <f t="shared" si="2"/>
        <v/>
      </c>
      <c r="F41" s="120" t="str">
        <f>VLOOKUP(A41,'Classement Général'!$B$2:$B$146,1,0)</f>
        <v>POMB1664</v>
      </c>
    </row>
    <row r="42" ht="14.25" customHeight="1">
      <c r="A42" s="122" t="str">
        <f>IFERROR(__xludf.DUMMYFUNCTION("""COMPUTED_VALUE"""),"BnHuR_MarCL.")</f>
        <v>BnHuR_MarCL.</v>
      </c>
      <c r="B42" s="103">
        <v>41.0</v>
      </c>
      <c r="C42" s="123">
        <f t="shared" si="1"/>
        <v>341.3312725</v>
      </c>
      <c r="D42" s="124" t="str">
        <f>VLOOKUP(A42,'Classement S6'!$B$2:$C$150,1,0)</f>
        <v>BnHuR_MarCL.</v>
      </c>
      <c r="E42" s="125" t="str">
        <f t="shared" si="2"/>
        <v/>
      </c>
      <c r="F42" s="120" t="str">
        <f>VLOOKUP(A42,'Classement Général'!$B$2:$B$146,1,0)</f>
        <v>BnHuR_MarCL.</v>
      </c>
    </row>
    <row r="43" ht="14.25" customHeight="1">
      <c r="A43" s="122" t="str">
        <f>IFERROR(__xludf.DUMMYFUNCTION("""COMPUTED_VALUE"""),"Patgaret")</f>
        <v>Patgaret</v>
      </c>
      <c r="B43" s="103">
        <v>42.0</v>
      </c>
      <c r="C43" s="123">
        <f t="shared" si="1"/>
        <v>325.7098964</v>
      </c>
      <c r="D43" s="124" t="str">
        <f>VLOOKUP(A43,'Classement S6'!$B$2:$C$150,1,0)</f>
        <v>Patgaret</v>
      </c>
      <c r="E43" s="125" t="str">
        <f t="shared" si="2"/>
        <v/>
      </c>
      <c r="F43" s="120" t="str">
        <f>VLOOKUP(A43,'Classement Général'!$B$2:$B$146,1,0)</f>
        <v>Patgaret</v>
      </c>
    </row>
    <row r="44" ht="14.25" customHeight="1">
      <c r="A44" s="122" t="str">
        <f>IFERROR(__xludf.DUMMYFUNCTION("""COMPUTED_VALUE"""),"cassius-86")</f>
        <v>cassius-86</v>
      </c>
      <c r="B44" s="103">
        <v>43.0</v>
      </c>
      <c r="C44" s="123">
        <f t="shared" si="1"/>
        <v>310.3078466</v>
      </c>
      <c r="D44" s="124" t="str">
        <f>VLOOKUP(A44,'Classement S6'!$B$2:$C$150,1,0)</f>
        <v>cassius-86</v>
      </c>
      <c r="E44" s="125" t="str">
        <f t="shared" si="2"/>
        <v/>
      </c>
      <c r="F44" s="120" t="str">
        <f>VLOOKUP(A44,'Classement Général'!$B$2:$B$146,1,0)</f>
        <v>cassius-86</v>
      </c>
    </row>
    <row r="45" ht="14.25" customHeight="1">
      <c r="A45" s="122" t="str">
        <f>IFERROR(__xludf.DUMMYFUNCTION("""COMPUTED_VALUE"""),"Jennyyy8")</f>
        <v>Jennyyy8</v>
      </c>
      <c r="B45" s="103">
        <v>44.0</v>
      </c>
      <c r="C45" s="123">
        <f t="shared" si="1"/>
        <v>295.1151786</v>
      </c>
      <c r="D45" s="124" t="str">
        <f>VLOOKUP(A45,'Classement S6'!$B$2:$C$150,1,0)</f>
        <v>Jennyyy8</v>
      </c>
      <c r="E45" s="125" t="str">
        <f t="shared" si="2"/>
        <v/>
      </c>
      <c r="F45" s="120" t="str">
        <f>VLOOKUP(A45,'Classement Général'!$B$2:$B$146,1,0)</f>
        <v>Jennyyy8</v>
      </c>
    </row>
    <row r="46" ht="14.25" customHeight="1">
      <c r="A46" s="122" t="str">
        <f>IFERROR(__xludf.DUMMYFUNCTION("""COMPUTED_VALUE"""),"UniThe")</f>
        <v>UniThe</v>
      </c>
      <c r="B46" s="103">
        <v>45.0</v>
      </c>
      <c r="C46" s="123">
        <f t="shared" si="1"/>
        <v>280.1226342</v>
      </c>
      <c r="D46" s="124" t="str">
        <f>VLOOKUP(A46,'Classement S6'!$B$2:$C$150,1,0)</f>
        <v>UniThe</v>
      </c>
      <c r="E46" s="125" t="str">
        <f t="shared" si="2"/>
        <v/>
      </c>
      <c r="F46" s="120" t="str">
        <f>VLOOKUP(A46,'Classement Général'!$B$2:$B$146,1,0)</f>
        <v>UniThe</v>
      </c>
    </row>
    <row r="47" ht="14.25" customHeight="1">
      <c r="A47" s="122" t="str">
        <f>IFERROR(__xludf.DUMMYFUNCTION("""COMPUTED_VALUE"""),"Like_A_Fish")</f>
        <v>Like_A_Fish</v>
      </c>
      <c r="B47" s="103">
        <v>46.0</v>
      </c>
      <c r="C47" s="123">
        <f t="shared" si="1"/>
        <v>265.3215789</v>
      </c>
      <c r="D47" s="124" t="str">
        <f>VLOOKUP(A47,'Classement S6'!$B$2:$C$150,1,0)</f>
        <v>Like_A_Fish</v>
      </c>
      <c r="E47" s="125" t="str">
        <f t="shared" si="2"/>
        <v/>
      </c>
      <c r="F47" s="120" t="str">
        <f>VLOOKUP(A47,'Classement Général'!$B$2:$B$146,1,0)</f>
        <v>Like_A_Fish</v>
      </c>
    </row>
    <row r="48" ht="14.25" customHeight="1">
      <c r="A48" s="122" t="str">
        <f>IFERROR(__xludf.DUMMYFUNCTION("""COMPUTED_VALUE"""),"Phil1308")</f>
        <v>Phil1308</v>
      </c>
      <c r="B48" s="103">
        <v>47.0</v>
      </c>
      <c r="C48" s="123">
        <f t="shared" si="1"/>
        <v>250.7039472</v>
      </c>
      <c r="D48" s="124" t="str">
        <f>VLOOKUP(A48,'Classement S6'!$B$2:$C$150,1,0)</f>
        <v>Phil1308</v>
      </c>
      <c r="E48" s="125" t="str">
        <f t="shared" si="2"/>
        <v/>
      </c>
      <c r="F48" s="120" t="str">
        <f>VLOOKUP(A48,'Classement Général'!$B$2:$B$146,1,0)</f>
        <v>Phil1308</v>
      </c>
    </row>
    <row r="49" ht="14.25" customHeight="1">
      <c r="A49" s="122" t="str">
        <f>IFERROR(__xludf.DUMMYFUNCTION("""COMPUTED_VALUE"""),"ludolab")</f>
        <v>ludolab</v>
      </c>
      <c r="B49" s="103">
        <v>48.0</v>
      </c>
      <c r="C49" s="123">
        <f t="shared" si="1"/>
        <v>236.2621932</v>
      </c>
      <c r="D49" s="124" t="str">
        <f>VLOOKUP(A49,'Classement S6'!$B$2:$C$150,1,0)</f>
        <v>ludolab</v>
      </c>
      <c r="E49" s="125" t="str">
        <f t="shared" si="2"/>
        <v/>
      </c>
      <c r="F49" s="120" t="str">
        <f>VLOOKUP(A49,'Classement Général'!$B$2:$B$146,1,0)</f>
        <v>ludolab</v>
      </c>
    </row>
    <row r="50" ht="14.25" customHeight="1">
      <c r="A50" s="122" t="str">
        <f>IFERROR(__xludf.DUMMYFUNCTION("""COMPUTED_VALUE"""),"DonnesTchips")</f>
        <v>DonnesTchips</v>
      </c>
      <c r="B50" s="103">
        <v>49.0</v>
      </c>
      <c r="C50" s="123">
        <f t="shared" si="1"/>
        <v>221.9892463</v>
      </c>
      <c r="D50" s="124" t="str">
        <f>VLOOKUP(A50,'Classement S6'!$B$2:$C$150,1,0)</f>
        <v>DonnesTchips</v>
      </c>
      <c r="E50" s="125" t="str">
        <f t="shared" si="2"/>
        <v/>
      </c>
      <c r="F50" s="120" t="str">
        <f>VLOOKUP(A50,'Classement Général'!$B$2:$B$146,1,0)</f>
        <v>DonnesTchips</v>
      </c>
    </row>
    <row r="51" ht="14.25" customHeight="1">
      <c r="A51" s="122" t="str">
        <f>IFERROR(__xludf.DUMMYFUNCTION("""COMPUTED_VALUE"""),"NezuKO-demon")</f>
        <v>NezuKO-demon</v>
      </c>
      <c r="B51" s="103">
        <v>50.0</v>
      </c>
      <c r="C51" s="123">
        <f t="shared" si="1"/>
        <v>207.8784725</v>
      </c>
      <c r="D51" s="124" t="str">
        <f>VLOOKUP(A51,'Classement S6'!$B$2:$C$150,1,0)</f>
        <v>NezuKO-demon</v>
      </c>
      <c r="E51" s="125" t="str">
        <f t="shared" si="2"/>
        <v/>
      </c>
      <c r="F51" s="120" t="str">
        <f>VLOOKUP(A51,'Classement Général'!$B$2:$B$146,1,0)</f>
        <v>NezuKO-demon</v>
      </c>
    </row>
    <row r="52" ht="14.25" customHeight="1">
      <c r="A52" s="122" t="str">
        <f>IFERROR(__xludf.DUMMYFUNCTION("""COMPUTED_VALUE"""),"hamsteroide")</f>
        <v>hamsteroide</v>
      </c>
      <c r="B52" s="103">
        <v>51.0</v>
      </c>
      <c r="C52" s="123">
        <f t="shared" si="1"/>
        <v>193.9236382</v>
      </c>
      <c r="D52" s="124" t="str">
        <f>VLOOKUP(A52,'Classement S6'!$B$2:$C$150,1,0)</f>
        <v>hamsteroide</v>
      </c>
      <c r="E52" s="125" t="str">
        <f t="shared" si="2"/>
        <v/>
      </c>
      <c r="F52" s="120" t="str">
        <f>VLOOKUP(A52,'Classement Général'!$B$2:$B$146,1,0)</f>
        <v>hamsteroide</v>
      </c>
    </row>
    <row r="53" ht="14.25" customHeight="1">
      <c r="A53" s="122" t="str">
        <f>IFERROR(__xludf.DUMMYFUNCTION("""COMPUTED_VALUE"""),"Mitch")</f>
        <v>Mitch</v>
      </c>
      <c r="B53" s="103">
        <v>52.0</v>
      </c>
      <c r="C53" s="123">
        <f t="shared" si="1"/>
        <v>180.1188789</v>
      </c>
      <c r="D53" s="124" t="str">
        <f>VLOOKUP(A53,'Classement S6'!$B$2:$C$150,1,0)</f>
        <v>Mitch</v>
      </c>
      <c r="E53" s="125" t="str">
        <f t="shared" si="2"/>
        <v/>
      </c>
      <c r="F53" s="120" t="str">
        <f>VLOOKUP(A53,'Classement Général'!$B$2:$B$146,1,0)</f>
        <v>Mitch</v>
      </c>
    </row>
    <row r="54" ht="14.25" customHeight="1">
      <c r="A54" s="122" t="str">
        <f>IFERROR(__xludf.DUMMYFUNCTION("""COMPUTED_VALUE"""),"Kevfurious")</f>
        <v>Kevfurious</v>
      </c>
      <c r="B54" s="103">
        <v>53.0</v>
      </c>
      <c r="C54" s="123">
        <f t="shared" si="1"/>
        <v>166.45867</v>
      </c>
      <c r="D54" s="124" t="str">
        <f>VLOOKUP(A54,'Classement S6'!$B$2:$C$150,1,0)</f>
        <v>Kevfurious</v>
      </c>
      <c r="E54" s="125" t="str">
        <f t="shared" si="2"/>
        <v/>
      </c>
      <c r="F54" s="120" t="str">
        <f>VLOOKUP(A54,'Classement Général'!$B$2:$B$146,1,0)</f>
        <v>Kevfurious</v>
      </c>
    </row>
    <row r="55" ht="14.25" customHeight="1">
      <c r="A55" s="122" t="str">
        <f>IFERROR(__xludf.DUMMYFUNCTION("""COMPUTED_VALUE"""),"KKPTETYO")</f>
        <v>KKPTETYO</v>
      </c>
      <c r="B55" s="103">
        <v>54.0</v>
      </c>
      <c r="C55" s="123">
        <f t="shared" si="1"/>
        <v>152.937801</v>
      </c>
      <c r="D55" s="124" t="str">
        <f>VLOOKUP(A55,'Classement S6'!$B$2:$C$150,1,0)</f>
        <v>KKPTETYO</v>
      </c>
      <c r="E55" s="125" t="str">
        <f t="shared" si="2"/>
        <v/>
      </c>
      <c r="F55" s="120" t="str">
        <f>VLOOKUP(A55,'Classement Général'!$B$2:$B$146,1,0)</f>
        <v>KKPTETYO</v>
      </c>
    </row>
    <row r="56" ht="14.25" customHeight="1">
      <c r="A56" s="122" t="str">
        <f>IFERROR(__xludf.DUMMYFUNCTION("""COMPUTED_VALUE"""),"Fistipanda")</f>
        <v>Fistipanda</v>
      </c>
      <c r="B56" s="103">
        <v>55.0</v>
      </c>
      <c r="C56" s="123">
        <f t="shared" si="1"/>
        <v>139.5513519</v>
      </c>
      <c r="D56" s="124" t="str">
        <f>VLOOKUP(A56,'Classement S6'!$B$2:$C$150,1,0)</f>
        <v>Fistipanda</v>
      </c>
      <c r="E56" s="125" t="str">
        <f t="shared" si="2"/>
        <v/>
      </c>
      <c r="F56" s="120" t="str">
        <f>VLOOKUP(A56,'Classement Général'!$B$2:$B$146,1,0)</f>
        <v>Fistipanda</v>
      </c>
    </row>
    <row r="57" ht="14.25" customHeight="1">
      <c r="A57" s="122" t="str">
        <f>IFERROR(__xludf.DUMMYFUNCTION("""COMPUTED_VALUE"""),"kiki86 x")</f>
        <v>kiki86 x</v>
      </c>
      <c r="B57" s="103">
        <v>56.0</v>
      </c>
      <c r="C57" s="123">
        <f t="shared" si="1"/>
        <v>126.2946718</v>
      </c>
      <c r="D57" s="124" t="str">
        <f>VLOOKUP(A57,'Classement S6'!$B$2:$C$150,1,0)</f>
        <v>kiki86 x</v>
      </c>
      <c r="E57" s="125" t="str">
        <f t="shared" si="2"/>
        <v/>
      </c>
      <c r="F57" s="120" t="str">
        <f>VLOOKUP(A57,'Classement Général'!$B$2:$B$146,1,0)</f>
        <v>kiki86 x</v>
      </c>
    </row>
    <row r="58" ht="14.25" customHeight="1">
      <c r="A58" s="122" t="str">
        <f>IFERROR(__xludf.DUMMYFUNCTION("""COMPUTED_VALUE"""),"Butterfly-as")</f>
        <v>Butterfly-as</v>
      </c>
      <c r="B58" s="103">
        <v>57.0</v>
      </c>
      <c r="C58" s="123">
        <f t="shared" si="1"/>
        <v>113.1633592</v>
      </c>
      <c r="D58" s="124" t="str">
        <f>VLOOKUP(A58,'Classement S6'!$B$2:$C$150,1,0)</f>
        <v>Butterfly-as</v>
      </c>
      <c r="E58" s="125" t="str">
        <f t="shared" si="2"/>
        <v/>
      </c>
      <c r="F58" s="120" t="str">
        <f>VLOOKUP(A58,'Classement Général'!$B$2:$B$146,1,0)</f>
        <v>Butterfly-as</v>
      </c>
    </row>
    <row r="59" ht="14.25" customHeight="1">
      <c r="A59" s="122" t="str">
        <f>IFERROR(__xludf.DUMMYFUNCTION("""COMPUTED_VALUE"""),"mailie86")</f>
        <v>mailie86</v>
      </c>
      <c r="B59" s="103">
        <v>58.0</v>
      </c>
      <c r="C59" s="123">
        <f t="shared" si="1"/>
        <v>100.1532447</v>
      </c>
      <c r="D59" s="124" t="str">
        <f>VLOOKUP(A59,'Classement S6'!$B$2:$C$150,1,0)</f>
        <v>mailie86</v>
      </c>
      <c r="E59" s="125" t="str">
        <f t="shared" si="2"/>
        <v/>
      </c>
      <c r="F59" s="120" t="str">
        <f>VLOOKUP(A59,'Classement Général'!$B$2:$B$146,1,0)</f>
        <v>mailie86</v>
      </c>
    </row>
    <row r="60" ht="14.25" customHeight="1">
      <c r="A60" s="122" t="str">
        <f>IFERROR(__xludf.DUMMYFUNCTION("""COMPUTED_VALUE"""),"Bratake")</f>
        <v>Bratake</v>
      </c>
      <c r="B60" s="103">
        <v>59.0</v>
      </c>
      <c r="C60" s="123">
        <f t="shared" si="1"/>
        <v>87.26037448</v>
      </c>
      <c r="D60" s="124" t="str">
        <f>VLOOKUP(A60,'Classement S6'!$B$2:$C$150,1,0)</f>
        <v>Bratake</v>
      </c>
      <c r="E60" s="125" t="str">
        <f t="shared" si="2"/>
        <v/>
      </c>
      <c r="F60" s="120" t="str">
        <f>VLOOKUP(A60,'Classement Général'!$B$2:$B$146,1,0)</f>
        <v>Bratake</v>
      </c>
    </row>
    <row r="61" ht="14.25" customHeight="1">
      <c r="A61" s="122" t="str">
        <f>IFERROR(__xludf.DUMMYFUNCTION("""COMPUTED_VALUE"""),"vicmackey86")</f>
        <v>vicmackey86</v>
      </c>
      <c r="B61" s="103">
        <v>60.0</v>
      </c>
      <c r="C61" s="123">
        <f t="shared" si="1"/>
        <v>74.48099557</v>
      </c>
      <c r="D61" s="124" t="str">
        <f>VLOOKUP(A61,'Classement S6'!$B$2:$C$150,1,0)</f>
        <v>vicmackey86</v>
      </c>
      <c r="E61" s="125" t="str">
        <f t="shared" si="2"/>
        <v/>
      </c>
      <c r="F61" s="120" t="str">
        <f>VLOOKUP(A61,'Classement Général'!$B$2:$B$146,1,0)</f>
        <v>vicmackey86</v>
      </c>
    </row>
    <row r="62" ht="14.25" customHeight="1">
      <c r="A62" s="122" t="str">
        <f>IFERROR(__xludf.DUMMYFUNCTION("""COMPUTED_VALUE"""),"Titounio")</f>
        <v>Titounio</v>
      </c>
      <c r="B62" s="103">
        <v>61.0</v>
      </c>
      <c r="C62" s="123">
        <f t="shared" si="1"/>
        <v>61.81154242</v>
      </c>
      <c r="D62" s="124" t="str">
        <f>VLOOKUP(A62,'Classement S6'!$B$2:$C$150,1,0)</f>
        <v>Titounio</v>
      </c>
      <c r="E62" s="125" t="str">
        <f t="shared" si="2"/>
        <v/>
      </c>
      <c r="F62" s="120" t="str">
        <f>VLOOKUP(A62,'Classement Général'!$B$2:$B$146,1,0)</f>
        <v>Titounio</v>
      </c>
    </row>
    <row r="63" ht="14.25" customHeight="1">
      <c r="A63" s="122" t="str">
        <f>IFERROR(__xludf.DUMMYFUNCTION("""COMPUTED_VALUE"""),"SINGE7")</f>
        <v>SINGE7</v>
      </c>
      <c r="B63" s="103">
        <v>62.0</v>
      </c>
      <c r="C63" s="123">
        <f t="shared" si="1"/>
        <v>49.24862439</v>
      </c>
      <c r="D63" s="124" t="str">
        <f>VLOOKUP(A63,'Classement S6'!$B$2:$C$150,1,0)</f>
        <v>SINGE7</v>
      </c>
      <c r="E63" s="125" t="str">
        <f t="shared" si="2"/>
        <v/>
      </c>
      <c r="F63" s="120" t="str">
        <f>VLOOKUP(A63,'Classement Général'!$B$2:$B$146,1,0)</f>
        <v>SINGE7</v>
      </c>
    </row>
    <row r="64" ht="14.25" customHeight="1">
      <c r="A64" s="122" t="str">
        <f>IFERROR(__xludf.DUMMYFUNCTION("""COMPUTED_VALUE"""),". BARBAPAPA66")</f>
        <v>. BARBAPAPA66</v>
      </c>
      <c r="B64" s="103">
        <v>63.0</v>
      </c>
      <c r="C64" s="123">
        <f t="shared" si="1"/>
        <v>36.78901438</v>
      </c>
      <c r="D64" s="124" t="str">
        <f>VLOOKUP(A64,'Classement S6'!$B$2:$C$150,1,0)</f>
        <v>. BARBAPAPA66</v>
      </c>
      <c r="E64" s="125" t="str">
        <f t="shared" si="2"/>
        <v/>
      </c>
      <c r="F64" s="120" t="str">
        <f>VLOOKUP(A64,'Classement Général'!$B$2:$B$146,1,0)</f>
        <v>. BARBAPAPA66</v>
      </c>
    </row>
    <row r="65" ht="14.25" customHeight="1">
      <c r="A65" s="122" t="str">
        <f>IFERROR(__xludf.DUMMYFUNCTION("""COMPUTED_VALUE"""),"Elfy")</f>
        <v>Elfy</v>
      </c>
      <c r="B65" s="103">
        <v>64.0</v>
      </c>
      <c r="C65" s="123">
        <f t="shared" si="1"/>
        <v>24.42963833</v>
      </c>
      <c r="D65" s="124" t="str">
        <f>VLOOKUP(A65,'Classement S6'!$B$2:$C$150,1,0)</f>
        <v>Elfy</v>
      </c>
      <c r="E65" s="125" t="str">
        <f t="shared" si="2"/>
        <v/>
      </c>
      <c r="F65" s="120" t="str">
        <f>VLOOKUP(A65,'Classement Général'!$B$2:$B$146,1,0)</f>
        <v>Elfy</v>
      </c>
    </row>
    <row r="66" ht="14.25" customHeight="1">
      <c r="A66" s="122" t="str">
        <f>IFERROR(__xludf.DUMMYFUNCTION("""COMPUTED_VALUE"""),"Redblood92")</f>
        <v>Redblood92</v>
      </c>
      <c r="B66" s="103">
        <v>65.0</v>
      </c>
      <c r="C66" s="123">
        <f t="shared" si="1"/>
        <v>12.16756559</v>
      </c>
      <c r="D66" s="124" t="str">
        <f>VLOOKUP(A66,'Classement S6'!$B$2:$C$150,1,0)</f>
        <v>Redblood92</v>
      </c>
      <c r="E66" s="125" t="str">
        <f t="shared" si="2"/>
        <v/>
      </c>
      <c r="F66" s="120" t="str">
        <f>VLOOKUP(A66,'Classement Général'!$B$2:$B$146,1,0)</f>
        <v>Redblood92</v>
      </c>
    </row>
    <row r="67" ht="14.25" customHeight="1">
      <c r="A67" s="122"/>
      <c r="B67" s="103">
        <v>66.0</v>
      </c>
      <c r="C67" s="123">
        <f t="shared" si="1"/>
        <v>0</v>
      </c>
      <c r="D67" s="124" t="str">
        <f>VLOOKUP(A67,'Classement S6'!$B$2:$C$150,1,0)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22"/>
      <c r="B68" s="103">
        <v>67.0</v>
      </c>
      <c r="C68" s="123">
        <f t="shared" si="1"/>
        <v>-12.07572835</v>
      </c>
      <c r="D68" s="124" t="str">
        <f>VLOOKUP(A68,'Classement S6'!$B$2:$C$150,1,0)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22"/>
      <c r="B69" s="103">
        <v>68.0</v>
      </c>
      <c r="C69" s="123">
        <f t="shared" si="1"/>
        <v>-24.06217067</v>
      </c>
      <c r="D69" s="124" t="str">
        <f>VLOOKUP(A69,'Classement S6'!$B$2:$C$150,1,0)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22"/>
      <c r="B70" s="103">
        <v>69.0</v>
      </c>
      <c r="C70" s="123">
        <f t="shared" si="1"/>
        <v>-35.96176654</v>
      </c>
      <c r="D70" s="124" t="str">
        <f>VLOOKUP(A70,'Classement S6'!$B$2:$C$150,1,0)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22"/>
      <c r="B71" s="103">
        <v>70.0</v>
      </c>
      <c r="C71" s="123">
        <f t="shared" si="1"/>
        <v>-47.77685044</v>
      </c>
      <c r="D71" s="124" t="str">
        <f>VLOOKUP(A71,'Classement S6'!$B$2:$C$150,1,0)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22"/>
      <c r="B72" s="103">
        <v>71.0</v>
      </c>
      <c r="C72" s="123">
        <f t="shared" si="1"/>
        <v>-59.50965774</v>
      </c>
      <c r="D72" s="124" t="str">
        <f>VLOOKUP(A72,'Classement S6'!$B$2:$C$150,1,0)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22"/>
      <c r="B73" s="103">
        <v>72.0</v>
      </c>
      <c r="C73" s="123">
        <f t="shared" si="1"/>
        <v>-71.16233037</v>
      </c>
      <c r="D73" s="124" t="str">
        <f>VLOOKUP(A73,'Classement S6'!$B$2:$C$150,1,0)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22"/>
      <c r="B74" s="103">
        <v>73.0</v>
      </c>
      <c r="C74" s="123">
        <f t="shared" si="1"/>
        <v>-82.73692204</v>
      </c>
      <c r="D74" s="124" t="str">
        <f>VLOOKUP(A74,'Classement S6'!$B$2:$C$150,1,0)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22"/>
      <c r="B75" s="103">
        <v>74.0</v>
      </c>
      <c r="C75" s="123">
        <f t="shared" si="1"/>
        <v>-94.23540305</v>
      </c>
      <c r="D75" s="124" t="str">
        <f>VLOOKUP(A75,'Classement S6'!$B$2:$C$150,1,0)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22"/>
      <c r="B76" s="103">
        <v>75.0</v>
      </c>
      <c r="C76" s="123">
        <f t="shared" si="1"/>
        <v>-105.6596649</v>
      </c>
      <c r="D76" s="124" t="str">
        <f>VLOOKUP(A76,'Classement S6'!$B$2:$C$150,1,0)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22"/>
      <c r="B77" s="103">
        <v>76.0</v>
      </c>
      <c r="C77" s="123">
        <f t="shared" si="1"/>
        <v>-117.0115244</v>
      </c>
      <c r="D77" s="124" t="str">
        <f>VLOOKUP(A77,'Classement S6'!$B$2:$C$150,1,0)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22"/>
      <c r="B78" s="103">
        <v>77.0</v>
      </c>
      <c r="C78" s="123">
        <f t="shared" si="1"/>
        <v>-128.2927278</v>
      </c>
      <c r="D78" s="124" t="str">
        <f>VLOOKUP(A78,'Classement S6'!$B$2:$C$150,1,0)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22"/>
      <c r="B79" s="103">
        <v>78.0</v>
      </c>
      <c r="C79" s="123">
        <f t="shared" si="1"/>
        <v>-139.5049542</v>
      </c>
      <c r="D79" s="124" t="str">
        <f>VLOOKUP(A79,'Classement S6'!$B$2:$C$150,1,0)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27"/>
      <c r="B80" s="103">
        <v>79.0</v>
      </c>
      <c r="C80" s="123">
        <f t="shared" si="1"/>
        <v>-150.6498192</v>
      </c>
      <c r="D80" s="124" t="str">
        <f>VLOOKUP(A80,'Classement S6'!$B$2:$C$150,1,0)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27"/>
      <c r="B81" s="103">
        <v>80.0</v>
      </c>
      <c r="C81" s="123">
        <f t="shared" si="1"/>
        <v>-161.7288782</v>
      </c>
      <c r="D81" s="124" t="str">
        <f>VLOOKUP(A81,'Classement S6'!$B$2:$C$150,1,0)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27"/>
      <c r="B82" s="103">
        <v>81.0</v>
      </c>
      <c r="C82" s="123">
        <f t="shared" si="1"/>
        <v>-172.7436293</v>
      </c>
      <c r="D82" s="124" t="str">
        <f>VLOOKUP(A82,'Classement S6'!$B$2:$C$150,1,0)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27"/>
      <c r="B83" s="103">
        <v>82.0</v>
      </c>
      <c r="C83" s="123">
        <f t="shared" si="1"/>
        <v>-183.6955158</v>
      </c>
      <c r="D83" s="124" t="str">
        <f>VLOOKUP(A83,'Classement S6'!$B$2:$C$150,1,0)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27"/>
      <c r="B84" s="103">
        <v>83.0</v>
      </c>
      <c r="C84" s="123">
        <f t="shared" si="1"/>
        <v>-194.5859297</v>
      </c>
      <c r="D84" s="124" t="str">
        <f>VLOOKUP(A84,'Classement S6'!$B$2:$C$150,1,0)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27"/>
      <c r="B85" s="103">
        <v>84.0</v>
      </c>
      <c r="C85" s="123">
        <f t="shared" si="1"/>
        <v>-205.4162132</v>
      </c>
      <c r="D85" s="124" t="str">
        <f>VLOOKUP(A85,'Classement S6'!$B$2:$C$150,1,0)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27"/>
      <c r="B86" s="103">
        <v>85.0</v>
      </c>
      <c r="C86" s="123">
        <f t="shared" si="1"/>
        <v>-216.187662</v>
      </c>
      <c r="D86" s="124" t="str">
        <f>VLOOKUP(A86,'Classement S6'!$B$2:$C$150,1,0)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27"/>
      <c r="B87" s="103">
        <v>86.0</v>
      </c>
      <c r="C87" s="123">
        <f t="shared" si="1"/>
        <v>-226.9015268</v>
      </c>
      <c r="D87" s="124" t="str">
        <f>VLOOKUP(A87,'Classement S6'!$B$2:$C$150,1,0)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27"/>
      <c r="B88" s="103">
        <v>87.0</v>
      </c>
      <c r="C88" s="123">
        <f t="shared" si="1"/>
        <v>-237.5590156</v>
      </c>
      <c r="D88" s="124" t="str">
        <f>VLOOKUP(A88,'Classement S6'!$B$2:$C$150,1,0)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27"/>
      <c r="B89" s="103">
        <v>88.0</v>
      </c>
      <c r="C89" s="123">
        <f t="shared" si="1"/>
        <v>-248.1612958</v>
      </c>
      <c r="D89" s="124" t="str">
        <f>VLOOKUP(A89,'Classement S6'!$B$2:$C$150,1,0)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27"/>
      <c r="B90" s="103">
        <v>89.0</v>
      </c>
      <c r="C90" s="123">
        <f t="shared" si="1"/>
        <v>-258.7094959</v>
      </c>
      <c r="D90" s="124" t="str">
        <f>VLOOKUP(A90,'Classement S6'!$B$2:$C$150,1,0)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27"/>
      <c r="B91" s="103">
        <v>90.0</v>
      </c>
      <c r="C91" s="123">
        <f t="shared" si="1"/>
        <v>-269.2047073</v>
      </c>
      <c r="D91" s="124" t="str">
        <f>VLOOKUP(A91,'Classement S6'!$B$2:$C$150,1,0)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27"/>
      <c r="B92" s="103">
        <v>91.0</v>
      </c>
      <c r="C92" s="123">
        <f t="shared" si="1"/>
        <v>-279.647986</v>
      </c>
      <c r="D92" s="124" t="str">
        <f>VLOOKUP(A92,'Classement S6'!$B$2:$C$150,1,0)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27"/>
      <c r="B93" s="103">
        <v>92.0</v>
      </c>
      <c r="C93" s="123">
        <f t="shared" si="1"/>
        <v>-290.040354</v>
      </c>
      <c r="D93" s="124" t="str">
        <f>VLOOKUP(A93,'Classement S6'!$B$2:$C$150,1,0)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27"/>
      <c r="B94" s="103">
        <v>93.0</v>
      </c>
      <c r="C94" s="123">
        <f t="shared" si="1"/>
        <v>-300.3828008</v>
      </c>
      <c r="D94" s="124" t="str">
        <f>VLOOKUP(A94,'Classement S6'!$B$2:$C$150,1,0)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27"/>
      <c r="B95" s="103">
        <v>94.0</v>
      </c>
      <c r="C95" s="123">
        <f t="shared" si="1"/>
        <v>-310.676285</v>
      </c>
      <c r="D95" s="124" t="str">
        <f>VLOOKUP(A95,'Classement S6'!$B$2:$C$150,1,0)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27"/>
      <c r="B96" s="103">
        <v>95.0</v>
      </c>
      <c r="C96" s="123">
        <f t="shared" si="1"/>
        <v>-320.9217353</v>
      </c>
      <c r="D96" s="124" t="str">
        <f>VLOOKUP(A96,'Classement S6'!$B$2:$C$150,1,0)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27"/>
      <c r="B97" s="103">
        <v>96.0</v>
      </c>
      <c r="C97" s="123">
        <f t="shared" si="1"/>
        <v>-331.1200522</v>
      </c>
      <c r="D97" s="124" t="str">
        <f>VLOOKUP(A97,'Classement S6'!$B$2:$C$150,1,0)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27"/>
      <c r="B98" s="103">
        <v>97.0</v>
      </c>
      <c r="C98" s="123">
        <f t="shared" si="1"/>
        <v>-341.2721084</v>
      </c>
      <c r="D98" s="124" t="str">
        <f>VLOOKUP(A98,'Classement S6'!$B$2:$C$150,1,0)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27"/>
      <c r="B99" s="103">
        <v>98.0</v>
      </c>
      <c r="C99" s="123">
        <f t="shared" si="1"/>
        <v>-351.378751</v>
      </c>
      <c r="D99" s="124" t="str">
        <f>VLOOKUP(A99,'Classement S6'!$B$2:$C$150,1,0)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27"/>
      <c r="B100" s="103">
        <v>99.0</v>
      </c>
      <c r="C100" s="123">
        <f t="shared" si="1"/>
        <v>-361.4408014</v>
      </c>
      <c r="D100" s="124" t="str">
        <f>VLOOKUP(A100,'Classement S6'!$B$2:$C$150,1,0)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27"/>
      <c r="B101" s="103">
        <v>100.0</v>
      </c>
      <c r="C101" s="123">
        <f t="shared" si="1"/>
        <v>-371.4590574</v>
      </c>
      <c r="D101" s="124" t="str">
        <f>VLOOKUP(A101,'Classement S6'!$B$2:$C$150,1,0)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27"/>
      <c r="B102" s="103">
        <v>101.0</v>
      </c>
      <c r="C102" s="123">
        <f t="shared" si="1"/>
        <v>-381.4342933</v>
      </c>
      <c r="D102" s="124" t="str">
        <f>VLOOKUP(A102,'Classement S6'!$B$2:$C$150,1,0)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27"/>
      <c r="B103" s="103">
        <v>102.0</v>
      </c>
      <c r="C103" s="123">
        <f t="shared" si="1"/>
        <v>-391.3672613</v>
      </c>
      <c r="D103" s="124" t="str">
        <f>VLOOKUP(A103,'Classement S6'!$B$2:$C$150,1,0)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27"/>
      <c r="B104" s="103">
        <v>103.0</v>
      </c>
      <c r="C104" s="123">
        <f t="shared" si="1"/>
        <v>-401.2586921</v>
      </c>
      <c r="D104" s="124" t="str">
        <f>VLOOKUP(A104,'Classement S6'!$B$2:$C$150,1,0)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27"/>
      <c r="B105" s="103">
        <v>104.0</v>
      </c>
      <c r="C105" s="123">
        <f t="shared" si="1"/>
        <v>-411.109296</v>
      </c>
      <c r="D105" s="124" t="str">
        <f>VLOOKUP(A105,'Classement S6'!$B$2:$C$150,1,0)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27"/>
      <c r="B106" s="103">
        <v>105.0</v>
      </c>
      <c r="C106" s="123">
        <f t="shared" si="1"/>
        <v>-420.9197634</v>
      </c>
      <c r="D106" s="124" t="str">
        <f>VLOOKUP(A106,'Classement S6'!$B$2:$C$150,1,0)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27"/>
      <c r="B107" s="103">
        <v>106.0</v>
      </c>
      <c r="C107" s="123">
        <f t="shared" si="1"/>
        <v>-430.6907658</v>
      </c>
      <c r="D107" s="124" t="str">
        <f>VLOOKUP(A107,'Classement S6'!$B$2:$C$150,1,0)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27"/>
      <c r="B108" s="103">
        <v>107.0</v>
      </c>
      <c r="C108" s="123">
        <f t="shared" si="1"/>
        <v>-440.4229562</v>
      </c>
      <c r="D108" s="124" t="str">
        <f>VLOOKUP(A108,'Classement S6'!$B$2:$C$150,1,0)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27"/>
      <c r="B109" s="103">
        <v>108.0</v>
      </c>
      <c r="C109" s="123">
        <f t="shared" si="1"/>
        <v>-450.1169701</v>
      </c>
      <c r="D109" s="124" t="str">
        <f>VLOOKUP(A109,'Classement S6'!$B$2:$C$150,1,0)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27"/>
      <c r="B110" s="103">
        <v>109.0</v>
      </c>
      <c r="C110" s="123">
        <f t="shared" si="1"/>
        <v>-459.7734261</v>
      </c>
      <c r="D110" s="124" t="str">
        <f>VLOOKUP(A110,'Classement S6'!$B$2:$C$150,1,0)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27"/>
      <c r="B111" s="103">
        <v>110.0</v>
      </c>
      <c r="C111" s="123">
        <f t="shared" si="1"/>
        <v>-469.3929263</v>
      </c>
      <c r="D111" s="124" t="str">
        <f>VLOOKUP(A111,'Classement S6'!$B$2:$C$150,1,0)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27"/>
      <c r="B112" s="103">
        <v>111.0</v>
      </c>
      <c r="C112" s="123">
        <f t="shared" si="1"/>
        <v>-478.9760569</v>
      </c>
      <c r="D112" s="124" t="str">
        <f>VLOOKUP(A112,'Classement S6'!$B$2:$C$150,1,0)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27"/>
      <c r="B113" s="103">
        <v>112.0</v>
      </c>
      <c r="C113" s="123">
        <f t="shared" si="1"/>
        <v>-488.5233891</v>
      </c>
      <c r="D113" s="124" t="str">
        <f>VLOOKUP(A113,'Classement S6'!$B$2:$C$150,1,0)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27"/>
      <c r="B114" s="103">
        <v>113.0</v>
      </c>
      <c r="C114" s="123">
        <f t="shared" si="1"/>
        <v>-498.0354794</v>
      </c>
      <c r="D114" s="124" t="str">
        <f>VLOOKUP(A114,'Classement S6'!$B$2:$C$150,1,0)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27"/>
      <c r="B115" s="103">
        <v>114.0</v>
      </c>
      <c r="C115" s="123">
        <f t="shared" si="1"/>
        <v>-507.5128699</v>
      </c>
      <c r="D115" s="124" t="str">
        <f>VLOOKUP(A115,'Classement S6'!$B$2:$C$150,1,0)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27"/>
      <c r="B116" s="103">
        <v>115.0</v>
      </c>
      <c r="C116" s="123">
        <f t="shared" si="1"/>
        <v>-516.9560893</v>
      </c>
      <c r="D116" s="124" t="str">
        <f>VLOOKUP(A116,'Classement S6'!$B$2:$C$150,1,0)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27"/>
      <c r="B117" s="103">
        <v>116.0</v>
      </c>
      <c r="C117" s="123">
        <f t="shared" si="1"/>
        <v>-526.3656529</v>
      </c>
      <c r="D117" s="124" t="str">
        <f>VLOOKUP(A117,'Classement S6'!$B$2:$C$150,1,0)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27"/>
      <c r="B118" s="103">
        <v>117.0</v>
      </c>
      <c r="C118" s="123">
        <f t="shared" si="1"/>
        <v>-535.7420634</v>
      </c>
      <c r="D118" s="124" t="str">
        <f>VLOOKUP(A118,'Classement S6'!$B$2:$C$150,1,0)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27"/>
      <c r="B119" s="103">
        <v>118.0</v>
      </c>
      <c r="C119" s="123">
        <f t="shared" si="1"/>
        <v>-545.085811</v>
      </c>
      <c r="D119" s="124" t="str">
        <f>VLOOKUP(A119,'Classement S6'!$B$2:$C$150,1,0)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27"/>
      <c r="B120" s="103">
        <v>119.0</v>
      </c>
      <c r="C120" s="123">
        <f t="shared" si="1"/>
        <v>-554.3973741</v>
      </c>
      <c r="D120" s="124" t="str">
        <f>VLOOKUP(A120,'Classement S6'!$B$2:$C$150,1,0)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27"/>
      <c r="B121" s="103">
        <v>120.0</v>
      </c>
      <c r="C121" s="123">
        <f t="shared" si="1"/>
        <v>-563.6772196</v>
      </c>
      <c r="D121" s="124" t="str">
        <f>VLOOKUP(A121,'Classement S6'!$B$2:$C$150,1,0)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27"/>
      <c r="B122" s="103">
        <v>121.0</v>
      </c>
      <c r="C122" s="123">
        <f t="shared" si="1"/>
        <v>-572.9258032</v>
      </c>
      <c r="D122" s="124" t="str">
        <f>VLOOKUP(A122,'Classement S6'!$B$2:$C$150,1,0)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27"/>
      <c r="B123" s="103">
        <v>122.0</v>
      </c>
      <c r="C123" s="123">
        <f t="shared" si="1"/>
        <v>-582.1435697</v>
      </c>
      <c r="D123" s="124" t="str">
        <f>VLOOKUP(A123,'Classement S6'!$B$2:$C$150,1,0)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27"/>
      <c r="B124" s="103">
        <v>123.0</v>
      </c>
      <c r="C124" s="123">
        <f t="shared" si="1"/>
        <v>-591.3309538</v>
      </c>
      <c r="D124" s="124" t="str">
        <f>VLOOKUP(A124,'Classement S6'!$B$2:$C$150,1,0)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27"/>
      <c r="B125" s="103">
        <v>124.0</v>
      </c>
      <c r="C125" s="123">
        <f t="shared" si="1"/>
        <v>-600.4883797</v>
      </c>
      <c r="D125" s="124" t="str">
        <f>VLOOKUP(A125,'Classement S6'!$B$2:$C$150,1,0)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27"/>
      <c r="B126" s="103">
        <v>125.0</v>
      </c>
      <c r="C126" s="123">
        <f t="shared" si="1"/>
        <v>-609.6162621</v>
      </c>
      <c r="D126" s="124" t="str">
        <f>VLOOKUP(A126,'Classement S6'!$B$2:$C$150,1,0)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27"/>
      <c r="B127" s="103">
        <v>126.0</v>
      </c>
      <c r="C127" s="123">
        <f t="shared" si="1"/>
        <v>-618.7150062</v>
      </c>
      <c r="D127" s="124" t="str">
        <f>VLOOKUP(A127,'Classement S6'!$B$2:$C$150,1,0)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27"/>
      <c r="B128" s="103">
        <v>127.0</v>
      </c>
      <c r="C128" s="123">
        <f t="shared" si="1"/>
        <v>-627.7850079</v>
      </c>
      <c r="D128" s="124" t="str">
        <f>VLOOKUP(A128,'Classement S6'!$B$2:$C$150,1,0)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27"/>
      <c r="B129" s="103">
        <v>128.0</v>
      </c>
      <c r="C129" s="123">
        <f t="shared" si="1"/>
        <v>-636.8266543</v>
      </c>
      <c r="D129" s="124" t="str">
        <f>VLOOKUP(A129,'Classement S6'!$B$2:$C$150,1,0)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27"/>
      <c r="B130" s="103">
        <v>129.0</v>
      </c>
      <c r="C130" s="123">
        <f t="shared" si="1"/>
        <v>-645.8403238</v>
      </c>
      <c r="D130" s="124" t="str">
        <f>VLOOKUP(A130,'Classement S6'!$B$2:$C$150,1,0)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27"/>
      <c r="B131" s="103">
        <v>130.0</v>
      </c>
      <c r="C131" s="123">
        <f t="shared" si="1"/>
        <v>-654.8263866</v>
      </c>
      <c r="D131" s="124" t="str">
        <f>VLOOKUP(A131,'Classement S6'!$B$2:$C$150,1,0)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27"/>
      <c r="B132" s="103">
        <v>131.0</v>
      </c>
      <c r="C132" s="123">
        <f t="shared" si="1"/>
        <v>-663.7852047</v>
      </c>
      <c r="D132" s="124" t="str">
        <f>VLOOKUP(A132,'Classement S6'!$B$2:$C$150,1,0)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27"/>
      <c r="B133" s="103">
        <v>132.0</v>
      </c>
      <c r="C133" s="123">
        <f t="shared" si="1"/>
        <v>-672.7171322</v>
      </c>
      <c r="D133" s="124" t="str">
        <f>VLOOKUP(A133,'Classement S6'!$B$2:$C$150,1,0)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27"/>
      <c r="B134" s="103">
        <v>133.0</v>
      </c>
      <c r="C134" s="123">
        <f t="shared" si="1"/>
        <v>-681.6225156</v>
      </c>
      <c r="D134" s="124" t="str">
        <f>VLOOKUP(A134,'Classement S6'!$B$2:$C$150,1,0)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27"/>
      <c r="B135" s="103">
        <v>134.0</v>
      </c>
      <c r="C135" s="123">
        <f t="shared" si="1"/>
        <v>-690.5016941</v>
      </c>
      <c r="D135" s="124" t="str">
        <f>VLOOKUP(A135,'Classement S6'!$B$2:$C$150,1,0)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27"/>
      <c r="B136" s="103">
        <v>135.0</v>
      </c>
      <c r="C136" s="123">
        <f t="shared" si="1"/>
        <v>-699.3549996</v>
      </c>
      <c r="D136" s="124" t="str">
        <f>VLOOKUP(A136,'Classement S6'!$B$2:$C$150,1,0)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27"/>
      <c r="B137" s="103">
        <v>136.0</v>
      </c>
      <c r="C137" s="123">
        <f t="shared" si="1"/>
        <v>-708.182757</v>
      </c>
      <c r="D137" s="124" t="str">
        <f>VLOOKUP(A137,'Classement S6'!$B$2:$C$150,1,0)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27"/>
      <c r="B138" s="103">
        <v>137.0</v>
      </c>
      <c r="C138" s="123">
        <f t="shared" si="1"/>
        <v>-716.9852845</v>
      </c>
      <c r="D138" s="124" t="str">
        <f>VLOOKUP(A138,'Classement S6'!$B$2:$C$150,1,0)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27"/>
      <c r="B139" s="103">
        <v>138.0</v>
      </c>
      <c r="C139" s="123">
        <f t="shared" si="1"/>
        <v>-725.7628938</v>
      </c>
      <c r="D139" s="124" t="str">
        <f>VLOOKUP(A139,'Classement S6'!$B$2:$C$150,1,0)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27"/>
      <c r="B140" s="103">
        <v>139.0</v>
      </c>
      <c r="C140" s="123">
        <f t="shared" si="1"/>
        <v>-734.5158899</v>
      </c>
      <c r="D140" s="124" t="str">
        <f>VLOOKUP(A140,'Classement S6'!$B$2:$C$150,1,0)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27"/>
      <c r="B141" s="103">
        <v>140.0</v>
      </c>
      <c r="C141" s="123">
        <f t="shared" si="1"/>
        <v>-743.2445719</v>
      </c>
      <c r="D141" s="124" t="str">
        <f>VLOOKUP(A141,'Classement S6'!$B$2:$C$150,1,0)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27"/>
      <c r="B142" s="103">
        <v>141.0</v>
      </c>
      <c r="C142" s="123">
        <f t="shared" si="1"/>
        <v>-751.9492328</v>
      </c>
      <c r="D142" s="124" t="str">
        <f>VLOOKUP(A142,'Classement S6'!$B$2:$C$150,1,0)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27"/>
      <c r="B143" s="103">
        <v>142.0</v>
      </c>
      <c r="C143" s="123">
        <f t="shared" si="1"/>
        <v>-760.6301596</v>
      </c>
      <c r="D143" s="124" t="str">
        <f>VLOOKUP(A143,'Classement S6'!$B$2:$C$150,1,0)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27"/>
      <c r="B144" s="103">
        <v>143.0</v>
      </c>
      <c r="C144" s="123">
        <f t="shared" si="1"/>
        <v>-769.2876336</v>
      </c>
      <c r="D144" s="124" t="str">
        <f>VLOOKUP(A144,'Classement S6'!$B$2:$C$150,1,0)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27"/>
      <c r="B145" s="103">
        <v>144.0</v>
      </c>
      <c r="C145" s="123">
        <f t="shared" si="1"/>
        <v>-777.9219307</v>
      </c>
      <c r="D145" s="124" t="str">
        <f>VLOOKUP(A145,'Classement S6'!$B$2:$C$150,1,0)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27"/>
      <c r="B146" s="103">
        <v>145.0</v>
      </c>
      <c r="C146" s="123">
        <f t="shared" si="1"/>
        <v>-786.5333212</v>
      </c>
      <c r="D146" s="124" t="str">
        <f>VLOOKUP(A146,'Classement S6'!$B$2:$C$150,1,0)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27"/>
      <c r="B147" s="103">
        <v>146.0</v>
      </c>
      <c r="C147" s="123">
        <f t="shared" si="1"/>
        <v>-795.1220703</v>
      </c>
      <c r="D147" s="124" t="str">
        <f>VLOOKUP(A147,'Classement S6'!$B$2:$C$150,1,0)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27"/>
      <c r="B148" s="103">
        <v>147.0</v>
      </c>
      <c r="C148" s="123">
        <f t="shared" si="1"/>
        <v>-803.688438</v>
      </c>
      <c r="D148" s="124" t="str">
        <f>VLOOKUP(A148,'Classement S6'!$B$2:$C$150,1,0)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27"/>
      <c r="B149" s="103">
        <v>148.0</v>
      </c>
      <c r="C149" s="123">
        <f t="shared" si="1"/>
        <v>-812.2326793</v>
      </c>
      <c r="D149" s="124" t="str">
        <f>VLOOKUP(A149,'Classement S6'!$B$2:$C$150,1,0)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27"/>
      <c r="B150" s="103">
        <v>149.0</v>
      </c>
      <c r="C150" s="123">
        <f t="shared" si="1"/>
        <v>-820.7550444</v>
      </c>
      <c r="D150" s="124" t="str">
        <f>VLOOKUP(A150,'Classement S6'!$B$2:$C$150,1,0)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27"/>
      <c r="B151" s="103">
        <v>150.0</v>
      </c>
      <c r="C151" s="123">
        <f t="shared" si="1"/>
        <v>-829.2557788</v>
      </c>
      <c r="D151" s="124" t="str">
        <f>VLOOKUP(A151,'Classement S6'!$B$2:$C$150,1,0)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27"/>
      <c r="B152" s="103">
        <v>151.0</v>
      </c>
      <c r="C152" s="123">
        <f t="shared" si="1"/>
        <v>-837.7351232</v>
      </c>
      <c r="D152" s="124" t="str">
        <f>VLOOKUP(A152,'Classement S6'!$B$2:$C$150,1,0)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27"/>
      <c r="B153" s="103">
        <v>152.0</v>
      </c>
      <c r="C153" s="123">
        <f t="shared" si="1"/>
        <v>-846.1933141</v>
      </c>
      <c r="D153" s="124" t="str">
        <f>VLOOKUP(A153,'Classement S6'!$B$2:$C$150,1,0)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27"/>
      <c r="B154" s="103">
        <v>153.0</v>
      </c>
      <c r="C154" s="123">
        <f t="shared" si="1"/>
        <v>-854.6305835</v>
      </c>
      <c r="D154" s="124" t="str">
        <f>VLOOKUP(A154,'Classement S6'!$B$2:$C$150,1,0)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27"/>
      <c r="B155" s="103">
        <v>154.0</v>
      </c>
      <c r="C155" s="123">
        <f t="shared" si="1"/>
        <v>-863.047159</v>
      </c>
      <c r="D155" s="124" t="str">
        <f>VLOOKUP(A155,'Classement S6'!$B$2:$C$150,1,0)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27"/>
      <c r="B156" s="103">
        <v>155.0</v>
      </c>
      <c r="C156" s="123">
        <f t="shared" si="1"/>
        <v>-871.4432643</v>
      </c>
      <c r="D156" s="124" t="str">
        <f>VLOOKUP(A156,'Classement S6'!$B$2:$C$150,1,0)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27"/>
      <c r="B157" s="103">
        <v>156.0</v>
      </c>
      <c r="C157" s="123">
        <f t="shared" si="1"/>
        <v>-879.8191189</v>
      </c>
      <c r="D157" s="124" t="str">
        <f>VLOOKUP(A157,'Classement S6'!$B$2:$C$150,1,0)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27"/>
      <c r="B158" s="103">
        <v>157.0</v>
      </c>
      <c r="C158" s="123">
        <f t="shared" si="1"/>
        <v>-888.1749384</v>
      </c>
      <c r="D158" s="124" t="str">
        <f>VLOOKUP(A158,'Classement S6'!$B$2:$C$150,1,0)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27"/>
      <c r="B159" s="103">
        <v>158.0</v>
      </c>
      <c r="C159" s="123">
        <f t="shared" si="1"/>
        <v>-896.5109346</v>
      </c>
      <c r="D159" s="124" t="str">
        <f>VLOOKUP(A159,'Classement S6'!$B$2:$C$150,1,0)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27"/>
      <c r="B160" s="103">
        <v>159.0</v>
      </c>
      <c r="C160" s="123">
        <f t="shared" si="1"/>
        <v>-904.8273154</v>
      </c>
      <c r="D160" s="124" t="str">
        <f>VLOOKUP(A160,'Classement S6'!$B$2:$C$150,1,0)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27"/>
      <c r="B161" s="103">
        <v>160.0</v>
      </c>
      <c r="C161" s="123">
        <f t="shared" si="1"/>
        <v>-913.1242851</v>
      </c>
      <c r="D161" s="124" t="str">
        <f>VLOOKUP(A161,'Classement S6'!$B$2:$C$150,1,0)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B162" s="128"/>
    </row>
    <row r="163" ht="14.25" customHeight="1">
      <c r="B163" s="128"/>
    </row>
    <row r="164" ht="14.25" customHeight="1">
      <c r="B164" s="128"/>
    </row>
    <row r="165" ht="14.25" customHeight="1">
      <c r="B165" s="128"/>
    </row>
    <row r="166" ht="14.25" customHeight="1">
      <c r="B166" s="128"/>
    </row>
    <row r="167" ht="14.25" customHeight="1">
      <c r="B167" s="128"/>
    </row>
    <row r="168" ht="14.25" customHeight="1">
      <c r="B168" s="128"/>
    </row>
    <row r="169" ht="14.25" customHeight="1">
      <c r="B169" s="128"/>
    </row>
    <row r="170" ht="14.25" customHeight="1">
      <c r="B170" s="128"/>
    </row>
    <row r="171" ht="14.25" customHeight="1">
      <c r="B171" s="128"/>
    </row>
    <row r="172" ht="14.25" customHeight="1">
      <c r="B172" s="128"/>
    </row>
    <row r="173" ht="14.25" customHeight="1">
      <c r="B173" s="128"/>
    </row>
    <row r="174" ht="14.25" customHeight="1">
      <c r="B174" s="128"/>
    </row>
    <row r="175" ht="14.25" customHeight="1">
      <c r="B175" s="128"/>
    </row>
    <row r="176" ht="14.25" customHeight="1">
      <c r="B176" s="128"/>
    </row>
    <row r="177" ht="14.25" customHeight="1">
      <c r="B177" s="128"/>
    </row>
    <row r="178" ht="14.25" customHeight="1">
      <c r="B178" s="128"/>
    </row>
    <row r="179" ht="14.25" customHeight="1">
      <c r="B179" s="128"/>
    </row>
    <row r="180" ht="14.25" customHeight="1">
      <c r="B180" s="128"/>
    </row>
    <row r="181" ht="14.25" customHeight="1">
      <c r="B181" s="128"/>
    </row>
    <row r="182" ht="14.25" customHeight="1">
      <c r="B182" s="128"/>
    </row>
    <row r="183" ht="14.25" customHeight="1">
      <c r="B183" s="128"/>
    </row>
    <row r="184" ht="14.25" customHeight="1">
      <c r="B184" s="128"/>
    </row>
    <row r="185" ht="14.25" customHeight="1">
      <c r="B185" s="128"/>
    </row>
    <row r="186" ht="14.25" customHeight="1">
      <c r="B186" s="128"/>
    </row>
    <row r="187" ht="14.25" customHeight="1">
      <c r="B187" s="128"/>
    </row>
    <row r="188" ht="14.25" customHeight="1">
      <c r="B188" s="128"/>
    </row>
    <row r="189" ht="14.25" customHeight="1">
      <c r="B189" s="128"/>
    </row>
    <row r="190" ht="14.25" customHeight="1">
      <c r="B190" s="128"/>
    </row>
    <row r="191" ht="14.25" customHeight="1">
      <c r="B191" s="128"/>
    </row>
    <row r="192" ht="14.25" customHeight="1">
      <c r="B192" s="128"/>
    </row>
    <row r="193" ht="14.25" customHeight="1">
      <c r="B193" s="128"/>
    </row>
    <row r="194" ht="14.25" customHeight="1">
      <c r="B194" s="128"/>
    </row>
    <row r="195" ht="14.25" customHeight="1">
      <c r="B195" s="128"/>
    </row>
    <row r="196" ht="14.25" customHeight="1">
      <c r="B196" s="128"/>
    </row>
    <row r="197" ht="14.25" customHeight="1">
      <c r="B197" s="128"/>
    </row>
    <row r="198" ht="14.25" customHeight="1">
      <c r="B198" s="128"/>
    </row>
    <row r="199" ht="14.25" customHeight="1">
      <c r="B199" s="128"/>
    </row>
    <row r="200" ht="14.25" customHeight="1">
      <c r="B200" s="128"/>
    </row>
    <row r="201" ht="14.25" customHeight="1">
      <c r="B201" s="128"/>
    </row>
    <row r="202" ht="14.25" customHeight="1">
      <c r="B202" s="128"/>
    </row>
    <row r="203" ht="14.25" customHeight="1">
      <c r="B203" s="128"/>
    </row>
    <row r="204" ht="14.25" customHeight="1">
      <c r="B204" s="128"/>
    </row>
    <row r="205" ht="14.25" customHeight="1">
      <c r="B205" s="128"/>
    </row>
    <row r="206" ht="14.25" customHeight="1">
      <c r="B206" s="128"/>
    </row>
    <row r="207" ht="14.25" customHeight="1">
      <c r="B207" s="128"/>
    </row>
    <row r="208" ht="14.25" customHeight="1">
      <c r="B208" s="128"/>
    </row>
    <row r="209" ht="14.25" customHeight="1">
      <c r="B209" s="128"/>
    </row>
    <row r="210" ht="14.25" customHeight="1">
      <c r="B210" s="128"/>
    </row>
    <row r="211" ht="14.25" customHeight="1">
      <c r="B211" s="128"/>
    </row>
    <row r="212" ht="14.25" customHeight="1">
      <c r="B212" s="128"/>
    </row>
    <row r="213" ht="14.25" customHeight="1">
      <c r="B213" s="128"/>
    </row>
    <row r="214" ht="14.25" customHeight="1">
      <c r="B214" s="128"/>
    </row>
    <row r="215" ht="14.25" customHeight="1">
      <c r="B215" s="128"/>
    </row>
    <row r="216" ht="14.25" customHeight="1">
      <c r="B216" s="128"/>
    </row>
    <row r="217" ht="14.25" customHeight="1">
      <c r="B217" s="128"/>
    </row>
    <row r="218" ht="14.25" customHeight="1">
      <c r="B218" s="128"/>
    </row>
    <row r="219" ht="14.25" customHeight="1">
      <c r="B219" s="128"/>
    </row>
    <row r="220" ht="14.25" customHeight="1">
      <c r="B220" s="128"/>
    </row>
    <row r="221" ht="14.25" customHeight="1">
      <c r="B221" s="128"/>
    </row>
    <row r="222" ht="14.25" customHeight="1">
      <c r="B222" s="128"/>
    </row>
    <row r="223" ht="14.25" customHeight="1">
      <c r="B223" s="128"/>
    </row>
    <row r="224" ht="14.25" customHeight="1">
      <c r="B224" s="128"/>
    </row>
    <row r="225" ht="14.25" customHeight="1">
      <c r="B225" s="128"/>
    </row>
    <row r="226" ht="14.25" customHeight="1">
      <c r="B226" s="128"/>
    </row>
    <row r="227" ht="14.25" customHeight="1">
      <c r="B227" s="128"/>
    </row>
    <row r="228" ht="14.25" customHeight="1">
      <c r="B228" s="128"/>
    </row>
    <row r="229" ht="14.25" customHeight="1">
      <c r="B229" s="128"/>
    </row>
    <row r="230" ht="14.25" customHeight="1">
      <c r="B230" s="128"/>
    </row>
    <row r="231" ht="14.25" customHeight="1">
      <c r="B231" s="128"/>
    </row>
    <row r="232" ht="14.25" customHeight="1">
      <c r="B232" s="128"/>
    </row>
    <row r="233" ht="14.25" customHeight="1">
      <c r="B233" s="128"/>
    </row>
    <row r="234" ht="14.25" customHeight="1">
      <c r="B234" s="128"/>
    </row>
    <row r="235" ht="14.25" customHeight="1">
      <c r="B235" s="128"/>
    </row>
    <row r="236" ht="14.25" customHeight="1">
      <c r="B236" s="128"/>
    </row>
    <row r="237" ht="14.25" customHeight="1">
      <c r="B237" s="128"/>
    </row>
    <row r="238" ht="14.25" customHeight="1">
      <c r="B238" s="128"/>
    </row>
    <row r="239" ht="14.25" customHeight="1">
      <c r="B239" s="128"/>
    </row>
    <row r="240" ht="14.25" customHeight="1">
      <c r="B240" s="128"/>
    </row>
    <row r="241" ht="14.25" customHeight="1">
      <c r="B241" s="128"/>
    </row>
    <row r="242" ht="14.25" customHeight="1">
      <c r="B242" s="128"/>
    </row>
    <row r="243" ht="14.25" customHeight="1">
      <c r="B243" s="128"/>
    </row>
    <row r="244" ht="14.25" customHeight="1">
      <c r="B244" s="128"/>
    </row>
    <row r="245" ht="14.25" customHeight="1">
      <c r="B245" s="128"/>
    </row>
    <row r="246" ht="14.25" customHeight="1">
      <c r="B246" s="128"/>
    </row>
    <row r="247" ht="14.25" customHeight="1">
      <c r="B247" s="128"/>
    </row>
    <row r="248" ht="14.25" customHeight="1">
      <c r="B248" s="128"/>
    </row>
    <row r="249" ht="14.25" customHeight="1">
      <c r="B249" s="128"/>
    </row>
    <row r="250" ht="14.25" customHeight="1">
      <c r="B250" s="128"/>
    </row>
    <row r="251" ht="14.25" customHeight="1">
      <c r="B251" s="128"/>
    </row>
    <row r="252" ht="14.25" customHeight="1">
      <c r="B252" s="128"/>
    </row>
    <row r="253" ht="14.25" customHeight="1">
      <c r="B253" s="128"/>
    </row>
    <row r="254" ht="14.25" customHeight="1">
      <c r="B254" s="128"/>
    </row>
    <row r="255" ht="14.25" customHeight="1">
      <c r="B255" s="128"/>
    </row>
    <row r="256" ht="14.25" customHeight="1">
      <c r="B256" s="128"/>
    </row>
    <row r="257" ht="14.25" customHeight="1">
      <c r="B257" s="128"/>
    </row>
    <row r="258" ht="14.25" customHeight="1">
      <c r="B258" s="128"/>
    </row>
    <row r="259" ht="14.25" customHeight="1">
      <c r="B259" s="128"/>
    </row>
    <row r="260" ht="14.25" customHeight="1">
      <c r="B260" s="128"/>
    </row>
    <row r="261" ht="14.25" customHeight="1">
      <c r="B261" s="128"/>
    </row>
    <row r="262" ht="14.25" customHeight="1">
      <c r="B262" s="128"/>
    </row>
    <row r="263" ht="14.25" customHeight="1">
      <c r="B263" s="128"/>
    </row>
    <row r="264" ht="14.25" customHeight="1">
      <c r="B264" s="128"/>
    </row>
    <row r="265" ht="14.25" customHeight="1">
      <c r="B265" s="128"/>
    </row>
    <row r="266" ht="14.25" customHeight="1">
      <c r="B266" s="128"/>
    </row>
    <row r="267" ht="14.25" customHeight="1">
      <c r="B267" s="128"/>
    </row>
    <row r="268" ht="14.25" customHeight="1">
      <c r="B268" s="128"/>
    </row>
    <row r="269" ht="14.25" customHeight="1">
      <c r="B269" s="128"/>
    </row>
    <row r="270" ht="14.25" customHeight="1">
      <c r="B270" s="128"/>
    </row>
    <row r="271" ht="14.25" customHeight="1">
      <c r="B271" s="128"/>
    </row>
    <row r="272" ht="14.25" customHeight="1">
      <c r="B272" s="128"/>
    </row>
    <row r="273" ht="14.25" customHeight="1">
      <c r="B273" s="128"/>
    </row>
    <row r="274" ht="14.25" customHeight="1">
      <c r="B274" s="128"/>
    </row>
    <row r="275" ht="14.25" customHeight="1">
      <c r="B275" s="128"/>
    </row>
    <row r="276" ht="14.25" customHeight="1">
      <c r="B276" s="128"/>
    </row>
    <row r="277" ht="14.25" customHeight="1">
      <c r="B277" s="128"/>
    </row>
    <row r="278" ht="14.25" customHeight="1">
      <c r="B278" s="128"/>
    </row>
    <row r="279" ht="14.25" customHeight="1">
      <c r="B279" s="128"/>
    </row>
    <row r="280" ht="14.25" customHeight="1">
      <c r="B280" s="128"/>
    </row>
    <row r="281" ht="14.25" customHeight="1">
      <c r="B281" s="128"/>
    </row>
    <row r="282" ht="14.25" customHeight="1">
      <c r="B282" s="128"/>
    </row>
    <row r="283" ht="14.25" customHeight="1">
      <c r="B283" s="128"/>
    </row>
    <row r="284" ht="14.25" customHeight="1">
      <c r="B284" s="128"/>
    </row>
    <row r="285" ht="14.25" customHeight="1">
      <c r="B285" s="128"/>
    </row>
    <row r="286" ht="14.25" customHeight="1">
      <c r="B286" s="128"/>
    </row>
    <row r="287" ht="14.25" customHeight="1">
      <c r="B287" s="128"/>
    </row>
    <row r="288" ht="14.25" customHeight="1">
      <c r="B288" s="128"/>
    </row>
    <row r="289" ht="14.25" customHeight="1">
      <c r="B289" s="128"/>
    </row>
    <row r="290" ht="14.25" customHeight="1">
      <c r="B290" s="128"/>
    </row>
    <row r="291" ht="14.25" customHeight="1">
      <c r="B291" s="128"/>
    </row>
    <row r="292" ht="14.25" customHeight="1">
      <c r="B292" s="128"/>
    </row>
    <row r="293" ht="14.25" customHeight="1">
      <c r="B293" s="128"/>
    </row>
    <row r="294" ht="14.25" customHeight="1">
      <c r="B294" s="128"/>
    </row>
    <row r="295" ht="14.25" customHeight="1">
      <c r="B295" s="128"/>
    </row>
    <row r="296" ht="14.25" customHeight="1">
      <c r="B296" s="128"/>
    </row>
    <row r="297" ht="14.25" customHeight="1">
      <c r="B297" s="128"/>
    </row>
    <row r="298" ht="14.25" customHeight="1">
      <c r="B298" s="128"/>
    </row>
    <row r="299" ht="14.25" customHeight="1">
      <c r="B299" s="128"/>
    </row>
    <row r="300" ht="14.25" customHeight="1">
      <c r="B300" s="128"/>
    </row>
    <row r="301" ht="14.25" customHeight="1">
      <c r="B301" s="128"/>
    </row>
    <row r="302" ht="14.25" customHeight="1">
      <c r="B302" s="128"/>
    </row>
    <row r="303" ht="14.25" customHeight="1">
      <c r="B303" s="128"/>
    </row>
    <row r="304" ht="14.25" customHeight="1">
      <c r="B304" s="128"/>
    </row>
    <row r="305" ht="14.25" customHeight="1">
      <c r="B305" s="128"/>
    </row>
    <row r="306" ht="14.25" customHeight="1">
      <c r="B306" s="128"/>
    </row>
    <row r="307" ht="14.25" customHeight="1">
      <c r="B307" s="128"/>
    </row>
    <row r="308" ht="14.25" customHeight="1">
      <c r="B308" s="128"/>
    </row>
    <row r="309" ht="14.25" customHeight="1">
      <c r="B309" s="128"/>
    </row>
    <row r="310" ht="14.25" customHeight="1">
      <c r="B310" s="128"/>
    </row>
    <row r="311" ht="14.25" customHeight="1">
      <c r="B311" s="128"/>
    </row>
    <row r="312" ht="14.25" customHeight="1">
      <c r="B312" s="128"/>
    </row>
    <row r="313" ht="14.25" customHeight="1">
      <c r="B313" s="128"/>
    </row>
    <row r="314" ht="14.25" customHeight="1">
      <c r="B314" s="128"/>
    </row>
    <row r="315" ht="14.25" customHeight="1">
      <c r="B315" s="128"/>
    </row>
    <row r="316" ht="14.25" customHeight="1">
      <c r="B316" s="128"/>
    </row>
    <row r="317" ht="14.25" customHeight="1">
      <c r="B317" s="128"/>
    </row>
    <row r="318" ht="14.25" customHeight="1">
      <c r="B318" s="128"/>
    </row>
    <row r="319" ht="14.25" customHeight="1">
      <c r="B319" s="128"/>
    </row>
    <row r="320" ht="14.25" customHeight="1">
      <c r="B320" s="128"/>
    </row>
    <row r="321" ht="14.25" customHeight="1">
      <c r="B321" s="128"/>
    </row>
    <row r="322" ht="14.25" customHeight="1">
      <c r="B322" s="128"/>
    </row>
    <row r="323" ht="14.25" customHeight="1">
      <c r="B323" s="128"/>
    </row>
    <row r="324" ht="14.25" customHeight="1">
      <c r="B324" s="128"/>
    </row>
    <row r="325" ht="14.25" customHeight="1">
      <c r="B325" s="128"/>
    </row>
    <row r="326" ht="14.25" customHeight="1">
      <c r="B326" s="128"/>
    </row>
    <row r="327" ht="14.25" customHeight="1">
      <c r="B327" s="128"/>
    </row>
    <row r="328" ht="14.25" customHeight="1">
      <c r="B328" s="128"/>
    </row>
    <row r="329" ht="14.25" customHeight="1">
      <c r="B329" s="128"/>
    </row>
    <row r="330" ht="14.25" customHeight="1">
      <c r="B330" s="128"/>
    </row>
    <row r="331" ht="14.25" customHeight="1">
      <c r="B331" s="128"/>
    </row>
    <row r="332" ht="14.25" customHeight="1">
      <c r="B332" s="128"/>
    </row>
    <row r="333" ht="14.25" customHeight="1">
      <c r="B333" s="128"/>
    </row>
    <row r="334" ht="14.25" customHeight="1">
      <c r="B334" s="128"/>
    </row>
    <row r="335" ht="14.25" customHeight="1">
      <c r="B335" s="128"/>
    </row>
    <row r="336" ht="14.25" customHeight="1">
      <c r="B336" s="128"/>
    </row>
    <row r="337" ht="14.25" customHeight="1">
      <c r="B337" s="128"/>
    </row>
    <row r="338" ht="14.25" customHeight="1">
      <c r="B338" s="128"/>
    </row>
    <row r="339" ht="14.25" customHeight="1">
      <c r="B339" s="128"/>
    </row>
    <row r="340" ht="14.25" customHeight="1">
      <c r="B340" s="128"/>
    </row>
    <row r="341" ht="14.25" customHeight="1">
      <c r="B341" s="128"/>
    </row>
    <row r="342" ht="14.25" customHeight="1">
      <c r="B342" s="128"/>
    </row>
    <row r="343" ht="14.25" customHeight="1">
      <c r="B343" s="128"/>
    </row>
    <row r="344" ht="14.25" customHeight="1">
      <c r="B344" s="128"/>
    </row>
    <row r="345" ht="14.25" customHeight="1">
      <c r="B345" s="128"/>
    </row>
    <row r="346" ht="14.25" customHeight="1">
      <c r="B346" s="128"/>
    </row>
    <row r="347" ht="14.25" customHeight="1">
      <c r="B347" s="128"/>
    </row>
    <row r="348" ht="14.25" customHeight="1">
      <c r="B348" s="128"/>
    </row>
    <row r="349" ht="14.25" customHeight="1">
      <c r="B349" s="128"/>
    </row>
    <row r="350" ht="14.25" customHeight="1">
      <c r="B350" s="128"/>
    </row>
    <row r="351" ht="14.25" customHeight="1">
      <c r="B351" s="128"/>
    </row>
    <row r="352" ht="14.25" customHeight="1">
      <c r="B352" s="128"/>
    </row>
    <row r="353" ht="14.25" customHeight="1">
      <c r="B353" s="128"/>
    </row>
    <row r="354" ht="14.25" customHeight="1">
      <c r="B354" s="128"/>
    </row>
    <row r="355" ht="14.25" customHeight="1">
      <c r="B355" s="128"/>
    </row>
    <row r="356" ht="14.25" customHeight="1">
      <c r="B356" s="128"/>
    </row>
    <row r="357" ht="14.25" customHeight="1">
      <c r="B357" s="128"/>
    </row>
    <row r="358" ht="14.25" customHeight="1">
      <c r="B358" s="128"/>
    </row>
    <row r="359" ht="14.25" customHeight="1">
      <c r="B359" s="128"/>
    </row>
    <row r="360" ht="14.25" customHeight="1">
      <c r="B360" s="128"/>
    </row>
    <row r="361" ht="14.25" customHeight="1"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L16:Z16">
    <cfRule type="expression" dxfId="0" priority="1">
      <formula>"si(0;;)"</formula>
    </cfRule>
  </conditionalFormatting>
  <conditionalFormatting sqref="L16:Z16">
    <cfRule type="expression" dxfId="0" priority="2">
      <formula>"si(0;;)"</formula>
    </cfRule>
  </conditionalFormatting>
  <conditionalFormatting sqref="A1:A1000">
    <cfRule type="containsText" dxfId="0" priority="3" operator="containsText" text="0">
      <formula>NOT(ISERROR(SEARCH(("0"),(A1))))</formula>
    </cfRule>
  </conditionalFormatting>
  <conditionalFormatting sqref="A1:A161">
    <cfRule type="containsText" dxfId="0" priority="4" operator="containsText" text="0">
      <formula>NOT(ISERROR(SEARCH(("0"),(A1))))</formula>
    </cfRule>
  </conditionalFormatting>
  <drawing r:id="rId1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11.71"/>
    <col customWidth="1" min="3" max="3" width="10.71"/>
    <col customWidth="1" min="4" max="4" width="20.71"/>
    <col customWidth="1" min="5" max="8" width="10.71"/>
  </cols>
  <sheetData>
    <row r="1" ht="14.25" customHeight="1">
      <c r="A1" s="115" t="s">
        <v>1</v>
      </c>
      <c r="B1" s="116" t="s">
        <v>197</v>
      </c>
      <c r="C1" s="117" t="s">
        <v>169</v>
      </c>
      <c r="D1" s="118" t="s">
        <v>198</v>
      </c>
      <c r="E1" s="119" t="s">
        <v>199</v>
      </c>
      <c r="G1" s="120" t="s">
        <v>200</v>
      </c>
      <c r="H1" s="121">
        <f>MATCH("",A2:A161,-1)</f>
        <v>58</v>
      </c>
    </row>
    <row r="2" ht="14.25" customHeight="1">
      <c r="A2" s="122" t="str">
        <f>IFERROR(__xludf.DUMMYFUNCTION(" IMPORTRANGE(""https://https://docs.google.com/spreadsheets/d/1x-9igmILyAZajIYxCIJFnfVSjXjzAYJfyDqIf0G52Gg/edit#gid=453640136"",""So6!A2:A161"")"),"immond")</f>
        <v>immond</v>
      </c>
      <c r="B2" s="103">
        <v>1.0</v>
      </c>
      <c r="C2" s="123">
        <f t="shared" ref="C2:C161" si="1">800*(1-(B2/($H$1+1)))*POWER((SQRT(($H$1+1)/B2)),1/2)</f>
        <v>2179.610904</v>
      </c>
      <c r="D2" s="124" t="str">
        <f>VLOOKUP(A2,'Classement S6'!$B$2:$C$150,1,0)</f>
        <v>immond</v>
      </c>
      <c r="E2" s="125" t="str">
        <f t="shared" ref="E2:E161" si="2">IF(D2=A2,"","erreur")</f>
        <v/>
      </c>
      <c r="F2" s="120" t="str">
        <f>VLOOKUP(A2,'Classement Général'!$B$2:$B$146,1,0)</f>
        <v>immond</v>
      </c>
    </row>
    <row r="3" ht="14.25" customHeight="1">
      <c r="A3" s="122" t="str">
        <f>IFERROR(__xludf.DUMMYFUNCTION("""COMPUTED_VALUE"""),"Kiki Bazaar")</f>
        <v>Kiki Bazaar</v>
      </c>
      <c r="B3" s="103">
        <v>2.0</v>
      </c>
      <c r="C3" s="123">
        <f t="shared" si="1"/>
        <v>1801.22653</v>
      </c>
      <c r="D3" s="124" t="str">
        <f>VLOOKUP(A3,'Classement S6'!$B$2:$C$150,1,0)</f>
        <v>Kiki Bazaar</v>
      </c>
      <c r="E3" s="125" t="str">
        <f t="shared" si="2"/>
        <v/>
      </c>
      <c r="F3" s="120" t="str">
        <f>VLOOKUP(A3,'Classement Général'!$B$2:$B$146,1,0)</f>
        <v>Kiki Bazaar</v>
      </c>
      <c r="G3" s="126"/>
    </row>
    <row r="4" ht="14.25" customHeight="1">
      <c r="A4" s="122" t="str">
        <f>IFERROR(__xludf.DUMMYFUNCTION("""COMPUTED_VALUE"""),"AKlibur")</f>
        <v>AKlibur</v>
      </c>
      <c r="B4" s="103">
        <v>3.0</v>
      </c>
      <c r="C4" s="123">
        <f t="shared" si="1"/>
        <v>1599.037658</v>
      </c>
      <c r="D4" s="124" t="str">
        <f>VLOOKUP(A4,'Classement S6'!$B$2:$C$150,1,0)</f>
        <v>AKlibur</v>
      </c>
      <c r="E4" s="125" t="str">
        <f t="shared" si="2"/>
        <v/>
      </c>
      <c r="F4" s="120" t="str">
        <f>VLOOKUP(A4,'Classement Général'!$B$2:$B$146,1,0)</f>
        <v>AKlibur</v>
      </c>
    </row>
    <row r="5" ht="14.25" customHeight="1">
      <c r="A5" s="122" t="str">
        <f>IFERROR(__xludf.DUMMYFUNCTION("""COMPUTED_VALUE"""),"Redblood92")</f>
        <v>Redblood92</v>
      </c>
      <c r="B5" s="103">
        <v>4.0</v>
      </c>
      <c r="C5" s="123">
        <f t="shared" si="1"/>
        <v>1461.499496</v>
      </c>
      <c r="D5" s="124" t="str">
        <f>VLOOKUP(A5,'Classement S6'!$B$2:$C$150,1,0)</f>
        <v>Redblood92</v>
      </c>
      <c r="E5" s="125" t="str">
        <f t="shared" si="2"/>
        <v/>
      </c>
      <c r="F5" s="120" t="str">
        <f>VLOOKUP(A5,'Classement Général'!$B$2:$B$146,1,0)</f>
        <v>Redblood92</v>
      </c>
    </row>
    <row r="6" ht="14.25" customHeight="1">
      <c r="A6" s="122" t="str">
        <f>IFERROR(__xludf.DUMMYFUNCTION("""COMPUTED_VALUE"""),"riKKomaddog")</f>
        <v>riKKomaddog</v>
      </c>
      <c r="B6" s="103">
        <v>5.0</v>
      </c>
      <c r="C6" s="123">
        <f t="shared" si="1"/>
        <v>1357.06996</v>
      </c>
      <c r="D6" s="124" t="str">
        <f>VLOOKUP(A6,'Classement S6'!$B$2:$C$150,1,0)</f>
        <v>riKKomaddog</v>
      </c>
      <c r="E6" s="125" t="str">
        <f t="shared" si="2"/>
        <v/>
      </c>
      <c r="F6" s="120" t="str">
        <f>VLOOKUP(A6,'Classement Général'!$B$2:$B$146,1,0)</f>
        <v>riKKomaddog</v>
      </c>
    </row>
    <row r="7" ht="14.25" customHeight="1">
      <c r="A7" s="122" t="str">
        <f>IFERROR(__xludf.DUMMYFUNCTION("""COMPUTED_VALUE"""),"Kevfurious")</f>
        <v>Kevfurious</v>
      </c>
      <c r="B7" s="103">
        <v>6.0</v>
      </c>
      <c r="C7" s="123">
        <f t="shared" si="1"/>
        <v>1272.59155</v>
      </c>
      <c r="D7" s="124" t="str">
        <f>VLOOKUP(A7,'Classement S6'!$B$2:$C$150,1,0)</f>
        <v>Kevfurious</v>
      </c>
      <c r="E7" s="125" t="str">
        <f t="shared" si="2"/>
        <v/>
      </c>
      <c r="F7" s="120" t="str">
        <f>VLOOKUP(A7,'Classement Général'!$B$2:$B$146,1,0)</f>
        <v>Kevfurious</v>
      </c>
    </row>
    <row r="8" ht="14.25" customHeight="1">
      <c r="A8" s="122" t="str">
        <f>IFERROR(__xludf.DUMMYFUNCTION("""COMPUTED_VALUE"""),"Patgaret")</f>
        <v>Patgaret</v>
      </c>
      <c r="B8" s="103">
        <v>7.0</v>
      </c>
      <c r="C8" s="123">
        <f t="shared" si="1"/>
        <v>1201.378379</v>
      </c>
      <c r="D8" s="124" t="str">
        <f>VLOOKUP(A8,'Classement S6'!$B$2:$C$150,1,0)</f>
        <v>Patgaret</v>
      </c>
      <c r="E8" s="125" t="str">
        <f t="shared" si="2"/>
        <v/>
      </c>
      <c r="F8" s="120" t="str">
        <f>VLOOKUP(A8,'Classement Général'!$B$2:$B$146,1,0)</f>
        <v>Patgaret</v>
      </c>
      <c r="J8" s="122" t="s">
        <v>89</v>
      </c>
    </row>
    <row r="9" ht="14.25" customHeight="1">
      <c r="A9" s="122" t="str">
        <f>IFERROR(__xludf.DUMMYFUNCTION("""COMPUTED_VALUE"""),"christ86000")</f>
        <v>christ86000</v>
      </c>
      <c r="B9" s="103">
        <v>8.0</v>
      </c>
      <c r="C9" s="123">
        <f t="shared" si="1"/>
        <v>1139.590073</v>
      </c>
      <c r="D9" s="124" t="str">
        <f>VLOOKUP(A9,'Classement S6'!$B$2:$C$150,1,0)</f>
        <v>christ86000</v>
      </c>
      <c r="E9" s="125" t="str">
        <f t="shared" si="2"/>
        <v/>
      </c>
      <c r="F9" s="120" t="str">
        <f>VLOOKUP(A9,'Classement Général'!$B$2:$B$146,1,0)</f>
        <v>christ86000</v>
      </c>
      <c r="J9" s="129" t="s">
        <v>48</v>
      </c>
    </row>
    <row r="10" ht="14.25" customHeight="1">
      <c r="A10" s="122" t="str">
        <f>IFERROR(__xludf.DUMMYFUNCTION("""COMPUTED_VALUE"""),"Fistipanda")</f>
        <v>Fistipanda</v>
      </c>
      <c r="B10" s="103">
        <v>9.0</v>
      </c>
      <c r="C10" s="123">
        <f t="shared" si="1"/>
        <v>1084.826674</v>
      </c>
      <c r="D10" s="124" t="str">
        <f>VLOOKUP(A10,'Classement S6'!$B$2:$C$150,1,0)</f>
        <v>Fistipanda</v>
      </c>
      <c r="E10" s="125" t="str">
        <f t="shared" si="2"/>
        <v/>
      </c>
      <c r="F10" s="120" t="str">
        <f>VLOOKUP(A10,'Classement Général'!$B$2:$B$146,1,0)</f>
        <v>Fistipanda</v>
      </c>
      <c r="J10" s="129" t="s">
        <v>68</v>
      </c>
    </row>
    <row r="11" ht="14.25" customHeight="1">
      <c r="A11" s="122" t="str">
        <f>IFERROR(__xludf.DUMMYFUNCTION("""COMPUTED_VALUE"""),"cassius-86")</f>
        <v>cassius-86</v>
      </c>
      <c r="B11" s="103">
        <v>10.0</v>
      </c>
      <c r="C11" s="123">
        <f t="shared" si="1"/>
        <v>1035.49274</v>
      </c>
      <c r="D11" s="124" t="str">
        <f>VLOOKUP(A11,'Classement S6'!$B$2:$C$150,1,0)</f>
        <v>cassius-86</v>
      </c>
      <c r="E11" s="125" t="str">
        <f t="shared" si="2"/>
        <v/>
      </c>
      <c r="F11" s="120" t="str">
        <f>VLOOKUP(A11,'Classement Général'!$B$2:$B$146,1,0)</f>
        <v>cassius-86</v>
      </c>
      <c r="J11" s="129" t="s">
        <v>75</v>
      </c>
    </row>
    <row r="12" ht="14.25" customHeight="1">
      <c r="A12" s="122" t="str">
        <f>IFERROR(__xludf.DUMMYFUNCTION("""COMPUTED_VALUE"""),"lifeofpark")</f>
        <v>lifeofpark</v>
      </c>
      <c r="B12" s="103">
        <v>11.0</v>
      </c>
      <c r="C12" s="123">
        <f t="shared" si="1"/>
        <v>990.4761999</v>
      </c>
      <c r="D12" s="124" t="str">
        <f>VLOOKUP(A12,'Classement S6'!$B$2:$C$150,1,0)</f>
        <v>lifeofpark</v>
      </c>
      <c r="E12" s="125" t="str">
        <f t="shared" si="2"/>
        <v/>
      </c>
      <c r="F12" s="120" t="str">
        <f>VLOOKUP(A12,'Classement Général'!$B$2:$B$146,1,0)</f>
        <v>lifeofpark</v>
      </c>
    </row>
    <row r="13" ht="14.25" customHeight="1">
      <c r="A13" s="122" t="str">
        <f>IFERROR(__xludf.DUMMYFUNCTION("""COMPUTED_VALUE"""),"BBH 75")</f>
        <v>BBH 75</v>
      </c>
      <c r="B13" s="103">
        <v>12.0</v>
      </c>
      <c r="C13" s="123">
        <f t="shared" si="1"/>
        <v>948.9722757</v>
      </c>
      <c r="D13" s="124" t="str">
        <f>VLOOKUP(A13,'Classement S6'!$B$2:$C$150,1,0)</f>
        <v>BBH 75</v>
      </c>
      <c r="E13" s="125" t="str">
        <f t="shared" si="2"/>
        <v/>
      </c>
      <c r="F13" s="120" t="str">
        <f>VLOOKUP(A13,'Classement Général'!$B$2:$B$146,1,0)</f>
        <v>BBH 75</v>
      </c>
    </row>
    <row r="14" ht="14.25" customHeight="1">
      <c r="A14" s="122" t="str">
        <f>IFERROR(__xludf.DUMMYFUNCTION("""COMPUTED_VALUE"""),"Le_Pictavien")</f>
        <v>Le_Pictavien</v>
      </c>
      <c r="B14" s="103">
        <v>13.0</v>
      </c>
      <c r="C14" s="123">
        <f t="shared" si="1"/>
        <v>910.3805527</v>
      </c>
      <c r="D14" s="124" t="str">
        <f>VLOOKUP(A14,'Classement S6'!$B$2:$C$150,1,0)</f>
        <v>Le_Pictavien</v>
      </c>
      <c r="E14" s="125" t="str">
        <f t="shared" si="2"/>
        <v/>
      </c>
      <c r="F14" s="120" t="str">
        <f>VLOOKUP(A14,'Classement Général'!$B$2:$B$146,1,0)</f>
        <v>Le_Pictavien</v>
      </c>
    </row>
    <row r="15" ht="14.25" customHeight="1">
      <c r="A15" s="122" t="str">
        <f>IFERROR(__xludf.DUMMYFUNCTION("""COMPUTED_VALUE"""),"Dirty Bazaar")</f>
        <v>Dirty Bazaar</v>
      </c>
      <c r="B15" s="103">
        <v>14.0</v>
      </c>
      <c r="C15" s="123">
        <f t="shared" si="1"/>
        <v>874.2416301</v>
      </c>
      <c r="D15" s="124" t="str">
        <f>VLOOKUP(A15,'Classement S6'!$B$2:$C$150,1,0)</f>
        <v>Dirty Bazaar</v>
      </c>
      <c r="E15" s="125" t="str">
        <f t="shared" si="2"/>
        <v/>
      </c>
      <c r="F15" s="120" t="str">
        <f>VLOOKUP(A15,'Classement Général'!$B$2:$B$146,1,0)</f>
        <v>Dirty Bazaar</v>
      </c>
    </row>
    <row r="16" ht="14.25" customHeight="1">
      <c r="A16" s="122" t="str">
        <f>IFERROR(__xludf.DUMMYFUNCTION("""COMPUTED_VALUE"""),"hmnyocleaver")</f>
        <v>hmnyocleaver</v>
      </c>
      <c r="B16" s="103">
        <v>15.0</v>
      </c>
      <c r="C16" s="123">
        <f t="shared" si="1"/>
        <v>840.1964457</v>
      </c>
      <c r="D16" s="124" t="str">
        <f>VLOOKUP(A16,'Classement S6'!$B$2:$C$150,1,0)</f>
        <v>hmnyocleaver</v>
      </c>
      <c r="E16" s="125" t="str">
        <f t="shared" si="2"/>
        <v/>
      </c>
      <c r="F16" s="120" t="str">
        <f>VLOOKUP(A16,'Classement Général'!$B$2:$B$146,1,0)</f>
        <v>hmnyocleaver</v>
      </c>
    </row>
    <row r="17" ht="14.25" customHeight="1">
      <c r="A17" s="122" t="str">
        <f>IFERROR(__xludf.DUMMYFUNCTION("""COMPUTED_VALUE"""),"Butterfly-as")</f>
        <v>Butterfly-as</v>
      </c>
      <c r="B17" s="103">
        <v>16.0</v>
      </c>
      <c r="C17" s="123">
        <f t="shared" si="1"/>
        <v>807.9592143</v>
      </c>
      <c r="D17" s="124" t="str">
        <f>VLOOKUP(A17,'Classement S6'!$B$2:$C$150,1,0)</f>
        <v>Butterfly-as</v>
      </c>
      <c r="E17" s="125" t="str">
        <f t="shared" si="2"/>
        <v/>
      </c>
      <c r="F17" s="120" t="str">
        <f>VLOOKUP(A17,'Classement Général'!$B$2:$B$146,1,0)</f>
        <v>Butterfly-as</v>
      </c>
    </row>
    <row r="18" ht="14.25" customHeight="1">
      <c r="A18" s="122" t="str">
        <f>IFERROR(__xludf.DUMMYFUNCTION("""COMPUTED_VALUE"""),"rastamokett")</f>
        <v>rastamokett</v>
      </c>
      <c r="B18" s="103">
        <v>17.0</v>
      </c>
      <c r="C18" s="123">
        <f t="shared" si="1"/>
        <v>777.2988735</v>
      </c>
      <c r="D18" s="124" t="str">
        <f>VLOOKUP(A18,'Classement S6'!$B$2:$C$150,1,0)</f>
        <v>rastamokett</v>
      </c>
      <c r="E18" s="125" t="str">
        <f t="shared" si="2"/>
        <v/>
      </c>
      <c r="F18" s="120" t="str">
        <f>VLOOKUP(A18,'Classement Général'!$B$2:$B$146,1,0)</f>
        <v>rastamokett</v>
      </c>
    </row>
    <row r="19" ht="14.25" customHeight="1">
      <c r="A19" s="122" t="str">
        <f>IFERROR(__xludf.DUMMYFUNCTION("""COMPUTED_VALUE"""),"gregmoore")</f>
        <v>gregmoore</v>
      </c>
      <c r="B19" s="103">
        <v>18.0</v>
      </c>
      <c r="C19" s="123">
        <f t="shared" si="1"/>
        <v>748.0260264</v>
      </c>
      <c r="D19" s="124" t="str">
        <f>VLOOKUP(A19,'Classement S6'!$B$2:$C$150,1,0)</f>
        <v>gregmoore</v>
      </c>
      <c r="E19" s="125" t="str">
        <f t="shared" si="2"/>
        <v/>
      </c>
      <c r="F19" s="120" t="str">
        <f>VLOOKUP(A19,'Classement Général'!$B$2:$B$146,1,0)</f>
        <v>gregmoore</v>
      </c>
    </row>
    <row r="20" ht="14.25" customHeight="1">
      <c r="A20" s="122" t="str">
        <f>IFERROR(__xludf.DUMMYFUNCTION("""COMPUTED_VALUE"""),"POMB1664")</f>
        <v>POMB1664</v>
      </c>
      <c r="B20" s="103">
        <v>19.0</v>
      </c>
      <c r="C20" s="123">
        <f t="shared" si="1"/>
        <v>719.9835425</v>
      </c>
      <c r="D20" s="124" t="str">
        <f>VLOOKUP(A20,'Classement S6'!$B$2:$C$150,1,0)</f>
        <v>POMB1664</v>
      </c>
      <c r="E20" s="125" t="str">
        <f t="shared" si="2"/>
        <v/>
      </c>
      <c r="F20" s="120" t="str">
        <f>VLOOKUP(A20,'Classement Général'!$B$2:$B$146,1,0)</f>
        <v>POMB1664</v>
      </c>
    </row>
    <row r="21" ht="14.25" customHeight="1">
      <c r="A21" s="122" t="str">
        <f>IFERROR(__xludf.DUMMYFUNCTION("""COMPUTED_VALUE"""),"UnPetitJaune")</f>
        <v>UnPetitJaune</v>
      </c>
      <c r="B21" s="103">
        <v>20.0</v>
      </c>
      <c r="C21" s="123">
        <f t="shared" si="1"/>
        <v>693.0396569</v>
      </c>
      <c r="D21" s="124" t="str">
        <f>VLOOKUP(A21,'Classement S6'!$B$2:$C$150,1,0)</f>
        <v>UnPetitJaune</v>
      </c>
      <c r="E21" s="125" t="str">
        <f t="shared" si="2"/>
        <v/>
      </c>
      <c r="F21" s="120" t="str">
        <f>VLOOKUP(A21,'Classement Général'!$B$2:$B$146,1,0)</f>
        <v>UnPetitJaune</v>
      </c>
    </row>
    <row r="22" ht="14.25" customHeight="1">
      <c r="A22" s="122" t="str">
        <f>IFERROR(__xludf.DUMMYFUNCTION("""COMPUTED_VALUE"""),"QQkicall")</f>
        <v>QQkicall</v>
      </c>
      <c r="B22" s="103">
        <v>21.0</v>
      </c>
      <c r="C22" s="123">
        <f t="shared" si="1"/>
        <v>667.0828126</v>
      </c>
      <c r="D22" s="124" t="str">
        <f>VLOOKUP(A22,'Classement S6'!$B$2:$C$150,1,0)</f>
        <v>QQKicall</v>
      </c>
      <c r="E22" s="125" t="str">
        <f t="shared" si="2"/>
        <v/>
      </c>
      <c r="F22" s="120" t="str">
        <f>VLOOKUP(A22,'Classement Général'!$B$2:$B$146,1,0)</f>
        <v>QQKicall</v>
      </c>
    </row>
    <row r="23" ht="14.25" customHeight="1">
      <c r="A23" s="122" t="str">
        <f>IFERROR(__xludf.DUMMYFUNCTION("""COMPUTED_VALUE"""),"VietNems86")</f>
        <v>VietNems86</v>
      </c>
      <c r="B23" s="103">
        <v>22.0</v>
      </c>
      <c r="C23" s="123">
        <f t="shared" si="1"/>
        <v>642.0177454</v>
      </c>
      <c r="D23" s="124" t="str">
        <f>VLOOKUP(A23,'Classement S6'!$B$2:$C$150,1,0)</f>
        <v>VietNems86</v>
      </c>
      <c r="E23" s="125" t="str">
        <f t="shared" si="2"/>
        <v/>
      </c>
      <c r="F23" s="120" t="str">
        <f>VLOOKUP(A23,'Classement Général'!$B$2:$B$146,1,0)</f>
        <v>VietNems86</v>
      </c>
    </row>
    <row r="24" ht="14.25" customHeight="1">
      <c r="A24" s="122" t="str">
        <f>IFERROR(__xludf.DUMMYFUNCTION("""COMPUTED_VALUE"""),"Rod_John_VI")</f>
        <v>Rod_John_VI</v>
      </c>
      <c r="B24" s="103">
        <v>23.0</v>
      </c>
      <c r="C24" s="123">
        <f t="shared" si="1"/>
        <v>617.762469</v>
      </c>
      <c r="D24" s="124" t="str">
        <f>VLOOKUP(A24,'Classement S6'!$B$2:$C$150,1,0)</f>
        <v>Rod_John_VI</v>
      </c>
      <c r="E24" s="125" t="str">
        <f t="shared" si="2"/>
        <v/>
      </c>
      <c r="F24" s="120" t="str">
        <f>VLOOKUP(A24,'Classement Général'!$B$2:$B$146,1,0)</f>
        <v>Rod_John_VI</v>
      </c>
    </row>
    <row r="25" ht="14.25" customHeight="1">
      <c r="A25" s="122" t="str">
        <f>IFERROR(__xludf.DUMMYFUNCTION("""COMPUTED_VALUE"""),"pablo")</f>
        <v>pablo</v>
      </c>
      <c r="B25" s="103">
        <v>24.0</v>
      </c>
      <c r="C25" s="123">
        <f t="shared" si="1"/>
        <v>594.2459249</v>
      </c>
      <c r="D25" s="124" t="str">
        <f>VLOOKUP(A25,'Classement S6'!$B$2:$C$150,1,0)</f>
        <v>pablo</v>
      </c>
      <c r="E25" s="125" t="str">
        <f t="shared" si="2"/>
        <v/>
      </c>
      <c r="F25" s="120" t="str">
        <f>VLOOKUP(A25,'Classement Général'!$B$2:$B$146,1,0)</f>
        <v>pablo</v>
      </c>
    </row>
    <row r="26" ht="14.25" customHeight="1">
      <c r="A26" s="122" t="str">
        <f>IFERROR(__xludf.DUMMYFUNCTION("""COMPUTED_VALUE"""),"Mako Lemore")</f>
        <v>Mako Lemore</v>
      </c>
      <c r="B26" s="103">
        <v>25.0</v>
      </c>
      <c r="C26" s="123">
        <f t="shared" si="1"/>
        <v>571.4061273</v>
      </c>
      <c r="D26" s="124" t="str">
        <f>VLOOKUP(A26,'Classement S6'!$B$2:$C$150,1,0)</f>
        <v>Mako Lemore</v>
      </c>
      <c r="E26" s="125" t="str">
        <f t="shared" si="2"/>
        <v/>
      </c>
      <c r="F26" s="120" t="str">
        <f>VLOOKUP(A26,'Classement Général'!$B$2:$B$146,1,0)</f>
        <v>Mako Lemore</v>
      </c>
    </row>
    <row r="27" ht="14.25" customHeight="1">
      <c r="A27" s="122" t="str">
        <f>IFERROR(__xludf.DUMMYFUNCTION("""COMPUTED_VALUE"""),"vicmackey86")</f>
        <v>vicmackey86</v>
      </c>
      <c r="B27" s="103">
        <v>26.0</v>
      </c>
      <c r="C27" s="123">
        <f t="shared" si="1"/>
        <v>549.1886854</v>
      </c>
      <c r="D27" s="124" t="str">
        <f>VLOOKUP(A27,'Classement S6'!$B$2:$C$150,1,0)</f>
        <v>vicmackey86</v>
      </c>
      <c r="E27" s="125" t="str">
        <f t="shared" si="2"/>
        <v/>
      </c>
      <c r="F27" s="120" t="str">
        <f>VLOOKUP(A27,'Classement Général'!$B$2:$B$146,1,0)</f>
        <v>vicmackey86</v>
      </c>
    </row>
    <row r="28" ht="14.25" customHeight="1">
      <c r="A28" s="122" t="str">
        <f>IFERROR(__xludf.DUMMYFUNCTION("""COMPUTED_VALUE"""),"kiki86 x")</f>
        <v>kiki86 x</v>
      </c>
      <c r="B28" s="103">
        <v>27.0</v>
      </c>
      <c r="C28" s="123">
        <f t="shared" si="1"/>
        <v>527.5456126</v>
      </c>
      <c r="D28" s="124" t="str">
        <f>VLOOKUP(A28,'Classement S6'!$B$2:$C$150,1,0)</f>
        <v>kiki86 x</v>
      </c>
      <c r="E28" s="125" t="str">
        <f t="shared" si="2"/>
        <v/>
      </c>
      <c r="F28" s="120" t="str">
        <f>VLOOKUP(A28,'Classement Général'!$B$2:$B$146,1,0)</f>
        <v>kiki86 x</v>
      </c>
    </row>
    <row r="29" ht="14.25" customHeight="1">
      <c r="A29" s="122" t="str">
        <f>IFERROR(__xludf.DUMMYFUNCTION("""COMPUTED_VALUE"""),"Vaillant 86")</f>
        <v>Vaillant 86</v>
      </c>
      <c r="B29" s="103">
        <v>28.0</v>
      </c>
      <c r="C29" s="123">
        <f t="shared" si="1"/>
        <v>506.4343608</v>
      </c>
      <c r="D29" s="124" t="str">
        <f>VLOOKUP(A29,'Classement S6'!$B$2:$C$150,1,0)</f>
        <v>Vaillant 86</v>
      </c>
      <c r="E29" s="125" t="str">
        <f t="shared" si="2"/>
        <v/>
      </c>
      <c r="F29" s="120" t="str">
        <f>VLOOKUP(A29,'Classement Général'!$B$2:$B$146,1,0)</f>
        <v>Vaillant 86</v>
      </c>
    </row>
    <row r="30" ht="14.25" customHeight="1">
      <c r="A30" s="122" t="str">
        <f>IFERROR(__xludf.DUMMYFUNCTION("""COMPUTED_VALUE"""),"Marypops64")</f>
        <v>Marypops64</v>
      </c>
      <c r="B30" s="103">
        <v>29.0</v>
      </c>
      <c r="C30" s="123">
        <f t="shared" si="1"/>
        <v>485.8170287</v>
      </c>
      <c r="D30" s="124" t="str">
        <f>VLOOKUP(A30,'Classement S6'!$B$2:$C$150,1,0)</f>
        <v>Marypops64</v>
      </c>
      <c r="E30" s="125" t="str">
        <f t="shared" si="2"/>
        <v/>
      </c>
      <c r="F30" s="120" t="str">
        <f>VLOOKUP(A30,'Classement Général'!$B$2:$B$146,1,0)</f>
        <v>marypops64</v>
      </c>
    </row>
    <row r="31" ht="14.25" customHeight="1">
      <c r="A31" s="122" t="str">
        <f>IFERROR(__xludf.DUMMYFUNCTION("""COMPUTED_VALUE"""),"BnHuR_MarCL.")</f>
        <v>BnHuR_MarCL.</v>
      </c>
      <c r="B31" s="103">
        <v>30.0</v>
      </c>
      <c r="C31" s="123">
        <f t="shared" si="1"/>
        <v>465.6597091</v>
      </c>
      <c r="D31" s="124" t="str">
        <f>VLOOKUP(A31,'Classement S6'!$B$2:$C$150,1,0)</f>
        <v>BnHuR_MarCL.</v>
      </c>
      <c r="E31" s="125" t="str">
        <f t="shared" si="2"/>
        <v/>
      </c>
      <c r="F31" s="120" t="str">
        <f>VLOOKUP(A31,'Classement Général'!$B$2:$B$146,1,0)</f>
        <v>BnHuR_MarCL.</v>
      </c>
    </row>
    <row r="32" ht="14.25" customHeight="1">
      <c r="A32" s="122" t="str">
        <f>IFERROR(__xludf.DUMMYFUNCTION("""COMPUTED_VALUE"""),"FridAKahlo")</f>
        <v>FridAKahlo</v>
      </c>
      <c r="B32" s="103">
        <v>31.0</v>
      </c>
      <c r="C32" s="123">
        <f t="shared" si="1"/>
        <v>445.9319464</v>
      </c>
      <c r="D32" s="124" t="str">
        <f>VLOOKUP(A32,'Classement S6'!$B$2:$C$150,1,0)</f>
        <v>FridAKahlo</v>
      </c>
      <c r="E32" s="125" t="str">
        <f t="shared" si="2"/>
        <v/>
      </c>
      <c r="F32" s="120" t="str">
        <f>VLOOKUP(A32,'Classement Général'!$B$2:$B$146,1,0)</f>
        <v>FridAKahlo</v>
      </c>
    </row>
    <row r="33" ht="14.25" customHeight="1">
      <c r="A33" s="122" t="str">
        <f>IFERROR(__xludf.DUMMYFUNCTION("""COMPUTED_VALUE"""),"Belussac")</f>
        <v>Belussac</v>
      </c>
      <c r="B33" s="103">
        <v>32.0</v>
      </c>
      <c r="C33" s="123">
        <f t="shared" si="1"/>
        <v>426.6062834</v>
      </c>
      <c r="D33" s="124" t="str">
        <f>VLOOKUP(A33,'Classement S6'!$B$2:$C$150,1,0)</f>
        <v>belussac</v>
      </c>
      <c r="E33" s="125" t="str">
        <f t="shared" si="2"/>
        <v/>
      </c>
      <c r="F33" s="120" t="str">
        <f>VLOOKUP(A33,'Classement Général'!$B$2:$B$146,1,0)</f>
        <v>belussac</v>
      </c>
    </row>
    <row r="34" ht="14.25" customHeight="1">
      <c r="A34" s="122" t="str">
        <f>IFERROR(__xludf.DUMMYFUNCTION("""COMPUTED_VALUE"""),"BRUNOWINNER")</f>
        <v>BRUNOWINNER</v>
      </c>
      <c r="B34" s="103">
        <v>33.0</v>
      </c>
      <c r="C34" s="123">
        <f t="shared" si="1"/>
        <v>407.6578797</v>
      </c>
      <c r="D34" s="124" t="str">
        <f>VLOOKUP(A34,'Classement S6'!$B$2:$C$150,1,0)</f>
        <v>BRUNOWINNER</v>
      </c>
      <c r="E34" s="125" t="str">
        <f t="shared" si="2"/>
        <v/>
      </c>
      <c r="F34" s="120" t="str">
        <f>VLOOKUP(A34,'Classement Général'!$B$2:$B$146,1,0)</f>
        <v>BRUNOWINNER</v>
      </c>
    </row>
    <row r="35" ht="14.25" customHeight="1">
      <c r="A35" s="122" t="str">
        <f>IFERROR(__xludf.DUMMYFUNCTION("""COMPUTED_VALUE"""),"SINGE7")</f>
        <v>SINGE7</v>
      </c>
      <c r="B35" s="103">
        <v>34.0</v>
      </c>
      <c r="C35" s="123">
        <f t="shared" si="1"/>
        <v>389.0641883</v>
      </c>
      <c r="D35" s="124" t="str">
        <f>VLOOKUP(A35,'Classement S6'!$B$2:$C$150,1,0)</f>
        <v>SINGE7</v>
      </c>
      <c r="E35" s="125" t="str">
        <f t="shared" si="2"/>
        <v/>
      </c>
      <c r="F35" s="120" t="str">
        <f>VLOOKUP(A35,'Classement Général'!$B$2:$B$146,1,0)</f>
        <v>SINGE7</v>
      </c>
    </row>
    <row r="36" ht="14.25" customHeight="1">
      <c r="A36" s="122" t="str">
        <f>IFERROR(__xludf.DUMMYFUNCTION("""COMPUTED_VALUE"""),"A_iniesta")</f>
        <v>A_iniesta</v>
      </c>
      <c r="B36" s="103">
        <v>35.0</v>
      </c>
      <c r="C36" s="123">
        <f t="shared" si="1"/>
        <v>370.8046818</v>
      </c>
      <c r="D36" s="124" t="str">
        <f>VLOOKUP(A36,'Classement S6'!$B$2:$C$150,1,0)</f>
        <v>A_iniesta</v>
      </c>
      <c r="E36" s="125" t="str">
        <f t="shared" si="2"/>
        <v/>
      </c>
      <c r="F36" s="120" t="str">
        <f>VLOOKUP(A36,'Classement Général'!$B$2:$B$146,1,0)</f>
        <v>A_iniesta</v>
      </c>
    </row>
    <row r="37" ht="14.25" customHeight="1">
      <c r="A37" s="122" t="str">
        <f>IFERROR(__xludf.DUMMYFUNCTION("""COMPUTED_VALUE"""),"Stross411")</f>
        <v>Stross411</v>
      </c>
      <c r="B37" s="103">
        <v>36.0</v>
      </c>
      <c r="C37" s="123">
        <f t="shared" si="1"/>
        <v>352.8606169</v>
      </c>
      <c r="D37" s="124" t="str">
        <f>VLOOKUP(A37,'Classement S6'!$B$2:$C$150,1,0)</f>
        <v>Stross411</v>
      </c>
      <c r="E37" s="125" t="str">
        <f t="shared" si="2"/>
        <v/>
      </c>
      <c r="F37" s="120" t="str">
        <f>VLOOKUP(A37,'Classement Général'!$B$2:$B$146,1,0)</f>
        <v>Stross411</v>
      </c>
    </row>
    <row r="38" ht="14.25" customHeight="1">
      <c r="A38" s="122" t="str">
        <f>IFERROR(__xludf.DUMMYFUNCTION("""COMPUTED_VALUE"""),"JM-Chatte")</f>
        <v>JM-Chatte</v>
      </c>
      <c r="B38" s="103">
        <v>37.0</v>
      </c>
      <c r="C38" s="123">
        <f t="shared" si="1"/>
        <v>335.2148334</v>
      </c>
      <c r="D38" s="124" t="str">
        <f>VLOOKUP(A38,'Classement S6'!$B$2:$C$150,1,0)</f>
        <v>JM-Chatte</v>
      </c>
      <c r="E38" s="125" t="str">
        <f t="shared" si="2"/>
        <v/>
      </c>
      <c r="F38" s="120" t="str">
        <f>VLOOKUP(A38,'Classement Général'!$B$2:$B$146,1,0)</f>
        <v>JM-Chatte</v>
      </c>
    </row>
    <row r="39" ht="14.25" customHeight="1">
      <c r="A39" s="122" t="str">
        <f>IFERROR(__xludf.DUMMYFUNCTION("""COMPUTED_VALUE"""),"-BartMan-")</f>
        <v>-BartMan-</v>
      </c>
      <c r="B39" s="103">
        <v>38.0</v>
      </c>
      <c r="C39" s="123">
        <f t="shared" si="1"/>
        <v>317.8515794</v>
      </c>
      <c r="D39" s="124" t="str">
        <f>VLOOKUP(A39,'Classement S6'!$B$2:$C$150,1,0)</f>
        <v>-bartman-</v>
      </c>
      <c r="E39" s="125" t="str">
        <f t="shared" si="2"/>
        <v/>
      </c>
      <c r="F39" s="120" t="str">
        <f>VLOOKUP(A39,'Classement Général'!$B$2:$B$146,1,0)</f>
        <v>-bartman-</v>
      </c>
    </row>
    <row r="40" ht="14.25" customHeight="1">
      <c r="A40" s="122" t="str">
        <f>IFERROR(__xludf.DUMMYFUNCTION("""COMPUTED_VALUE"""),".choco")</f>
        <v>.choco</v>
      </c>
      <c r="B40" s="103">
        <v>39.0</v>
      </c>
      <c r="C40" s="123">
        <f t="shared" si="1"/>
        <v>300.7563615</v>
      </c>
      <c r="D40" s="124" t="str">
        <f>VLOOKUP(A40,'Classement S6'!$B$2:$C$150,1,0)</f>
        <v>.choco</v>
      </c>
      <c r="E40" s="125" t="str">
        <f t="shared" si="2"/>
        <v/>
      </c>
      <c r="F40" s="120" t="str">
        <f>VLOOKUP(A40,'Classement Général'!$B$2:$B$146,1,0)</f>
        <v>.choco</v>
      </c>
    </row>
    <row r="41" ht="14.25" customHeight="1">
      <c r="A41" s="122" t="str">
        <f>IFERROR(__xludf.DUMMYFUNCTION("""COMPUTED_VALUE"""),"_VisMaVie_")</f>
        <v>_VisMaVie_</v>
      </c>
      <c r="B41" s="103">
        <v>40.0</v>
      </c>
      <c r="C41" s="123">
        <f t="shared" si="1"/>
        <v>283.9158128</v>
      </c>
      <c r="D41" s="124" t="str">
        <f>VLOOKUP(A41,'Classement S6'!$B$2:$C$150,1,0)</f>
        <v>_VisMaVie_</v>
      </c>
      <c r="E41" s="125" t="str">
        <f t="shared" si="2"/>
        <v/>
      </c>
      <c r="F41" s="120" t="str">
        <f>VLOOKUP(A41,'Classement Général'!$B$2:$B$146,1,0)</f>
        <v>_VisMaVie_</v>
      </c>
    </row>
    <row r="42" ht="14.25" customHeight="1">
      <c r="A42" s="122" t="str">
        <f>IFERROR(__xludf.DUMMYFUNCTION("""COMPUTED_VALUE"""),"Jennyyy8")</f>
        <v>Jennyyy8</v>
      </c>
      <c r="B42" s="103">
        <v>41.0</v>
      </c>
      <c r="C42" s="123">
        <f t="shared" si="1"/>
        <v>267.317579</v>
      </c>
      <c r="D42" s="124" t="str">
        <f>VLOOKUP(A42,'Classement S6'!$B$2:$C$150,1,0)</f>
        <v>Jennyyy8</v>
      </c>
      <c r="E42" s="125" t="str">
        <f t="shared" si="2"/>
        <v/>
      </c>
      <c r="F42" s="120" t="str">
        <f>VLOOKUP(A42,'Classement Général'!$B$2:$B$146,1,0)</f>
        <v>Jennyyy8</v>
      </c>
    </row>
    <row r="43" ht="14.25" customHeight="1">
      <c r="A43" s="122" t="str">
        <f>IFERROR(__xludf.DUMMYFUNCTION("""COMPUTED_VALUE"""),"Elfy")</f>
        <v>Elfy</v>
      </c>
      <c r="B43" s="103">
        <v>42.0</v>
      </c>
      <c r="C43" s="123">
        <f t="shared" si="1"/>
        <v>250.9502179</v>
      </c>
      <c r="D43" s="124" t="str">
        <f>VLOOKUP(A43,'Classement S6'!$B$2:$C$150,1,0)</f>
        <v>Elfy</v>
      </c>
      <c r="E43" s="125" t="str">
        <f t="shared" si="2"/>
        <v/>
      </c>
      <c r="F43" s="120" t="str">
        <f>VLOOKUP(A43,'Classement Général'!$B$2:$B$146,1,0)</f>
        <v>Elfy</v>
      </c>
    </row>
    <row r="44" ht="14.25" customHeight="1">
      <c r="A44" s="122" t="str">
        <f>IFERROR(__xludf.DUMMYFUNCTION("""COMPUTED_VALUE"""),"StephBoss05")</f>
        <v>StephBoss05</v>
      </c>
      <c r="B44" s="103">
        <v>43.0</v>
      </c>
      <c r="C44" s="123">
        <f t="shared" si="1"/>
        <v>234.8031111</v>
      </c>
      <c r="D44" s="124" t="str">
        <f>VLOOKUP(A44,'Classement S6'!$B$2:$C$150,1,0)</f>
        <v>StephBoss05</v>
      </c>
      <c r="E44" s="125" t="str">
        <f t="shared" si="2"/>
        <v/>
      </c>
      <c r="F44" s="120" t="str">
        <f>VLOOKUP(A44,'Classement Général'!$B$2:$B$146,1,0)</f>
        <v>StephBoss05</v>
      </c>
    </row>
    <row r="45" ht="14.25" customHeight="1">
      <c r="A45" s="122" t="str">
        <f>IFERROR(__xludf.DUMMYFUNCTION("""COMPUTED_VALUE"""),"KKPTETYO")</f>
        <v>KKPTETYO</v>
      </c>
      <c r="B45" s="103">
        <v>44.0</v>
      </c>
      <c r="C45" s="123">
        <f t="shared" si="1"/>
        <v>218.8663867</v>
      </c>
      <c r="D45" s="124" t="str">
        <f>VLOOKUP(A45,'Classement S6'!$B$2:$C$150,1,0)</f>
        <v>KKPTETYO</v>
      </c>
      <c r="E45" s="125" t="str">
        <f t="shared" si="2"/>
        <v/>
      </c>
      <c r="F45" s="120" t="str">
        <f>VLOOKUP(A45,'Classement Général'!$B$2:$B$146,1,0)</f>
        <v>KKPTETYO</v>
      </c>
    </row>
    <row r="46" ht="14.25" customHeight="1">
      <c r="A46" s="122" t="str">
        <f>IFERROR(__xludf.DUMMYFUNCTION("""COMPUTED_VALUE"""),"Mitch")</f>
        <v>Mitch</v>
      </c>
      <c r="B46" s="103">
        <v>45.0</v>
      </c>
      <c r="C46" s="123">
        <f t="shared" si="1"/>
        <v>203.1308498</v>
      </c>
      <c r="D46" s="124" t="str">
        <f>VLOOKUP(A46,'Classement S6'!$B$2:$C$150,1,0)</f>
        <v>Mitch</v>
      </c>
      <c r="E46" s="125" t="str">
        <f t="shared" si="2"/>
        <v/>
      </c>
      <c r="F46" s="120" t="str">
        <f>VLOOKUP(A46,'Classement Général'!$B$2:$B$146,1,0)</f>
        <v>Mitch</v>
      </c>
    </row>
    <row r="47" ht="14.25" customHeight="1">
      <c r="A47" s="122" t="str">
        <f>IFERROR(__xludf.DUMMYFUNCTION("""COMPUTED_VALUE"""),"Pachavi")</f>
        <v>Pachavi</v>
      </c>
      <c r="B47" s="103">
        <v>46.0</v>
      </c>
      <c r="C47" s="123">
        <f t="shared" si="1"/>
        <v>187.587922</v>
      </c>
      <c r="D47" s="124" t="str">
        <f>VLOOKUP(A47,'Classement S6'!$B$2:$C$150,1,0)</f>
        <v>Pachavi</v>
      </c>
      <c r="E47" s="125" t="str">
        <f t="shared" si="2"/>
        <v/>
      </c>
      <c r="F47" s="120" t="str">
        <f>VLOOKUP(A47,'Classement Général'!$B$2:$B$146,1,0)</f>
        <v>Pachavi</v>
      </c>
    </row>
    <row r="48" ht="14.25" customHeight="1">
      <c r="A48" s="122" t="str">
        <f>IFERROR(__xludf.DUMMYFUNCTION("""COMPUTED_VALUE"""),"PrendmAmAin")</f>
        <v>PrendmAmAin</v>
      </c>
      <c r="B48" s="103">
        <v>47.0</v>
      </c>
      <c r="C48" s="123">
        <f t="shared" si="1"/>
        <v>172.2295869</v>
      </c>
      <c r="D48" s="124" t="str">
        <f>VLOOKUP(A48,'Classement S6'!$B$2:$C$150,1,0)</f>
        <v>PrendmAmAin</v>
      </c>
      <c r="E48" s="125" t="str">
        <f t="shared" si="2"/>
        <v/>
      </c>
      <c r="F48" s="120" t="str">
        <f>VLOOKUP(A48,'Classement Général'!$B$2:$B$146,1,0)</f>
        <v>PrendmAmAin</v>
      </c>
    </row>
    <row r="49" ht="14.25" customHeight="1">
      <c r="A49" s="122" t="str">
        <f>IFERROR(__xludf.DUMMYFUNCTION("""COMPUTED_VALUE"""),"NezuKO-demon")</f>
        <v>NezuKO-demon</v>
      </c>
      <c r="B49" s="103">
        <v>48.0</v>
      </c>
      <c r="C49" s="123">
        <f t="shared" si="1"/>
        <v>157.0483414</v>
      </c>
      <c r="D49" s="124" t="str">
        <f>VLOOKUP(A49,'Classement S6'!$B$2:$C$150,1,0)</f>
        <v>NezuKO-demon</v>
      </c>
      <c r="E49" s="125" t="str">
        <f t="shared" si="2"/>
        <v/>
      </c>
      <c r="F49" s="120" t="str">
        <f>VLOOKUP(A49,'Classement Général'!$B$2:$B$146,1,0)</f>
        <v>NezuKO-demon</v>
      </c>
    </row>
    <row r="50" ht="14.25" customHeight="1">
      <c r="A50" s="122" t="str">
        <f>IFERROR(__xludf.DUMMYFUNCTION("""COMPUTED_VALUE"""),". BARBAPAPA66")</f>
        <v>. BARBAPAPA66</v>
      </c>
      <c r="B50" s="103">
        <v>49.0</v>
      </c>
      <c r="C50" s="123">
        <f t="shared" si="1"/>
        <v>142.0371529</v>
      </c>
      <c r="D50" s="124" t="str">
        <f>VLOOKUP(A50,'Classement S6'!$B$2:$C$150,1,0)</f>
        <v>. BARBAPAPA66</v>
      </c>
      <c r="E50" s="125" t="str">
        <f t="shared" si="2"/>
        <v/>
      </c>
      <c r="F50" s="120" t="str">
        <f>VLOOKUP(A50,'Classement Général'!$B$2:$B$146,1,0)</f>
        <v>. BARBAPAPA66</v>
      </c>
    </row>
    <row r="51" ht="14.25" customHeight="1">
      <c r="A51" s="122" t="str">
        <f>IFERROR(__xludf.DUMMYFUNCTION("""COMPUTED_VALUE"""),"Like_A_Fish")</f>
        <v>Like_A_Fish</v>
      </c>
      <c r="B51" s="103">
        <v>50.0</v>
      </c>
      <c r="C51" s="123">
        <f t="shared" si="1"/>
        <v>127.1894199</v>
      </c>
      <c r="D51" s="124" t="str">
        <f>VLOOKUP(A51,'Classement S6'!$B$2:$C$150,1,0)</f>
        <v>Like_A_Fish</v>
      </c>
      <c r="E51" s="125" t="str">
        <f t="shared" si="2"/>
        <v/>
      </c>
      <c r="F51" s="120" t="str">
        <f>VLOOKUP(A51,'Classement Général'!$B$2:$B$146,1,0)</f>
        <v>Like_A_Fish</v>
      </c>
    </row>
    <row r="52" ht="14.25" customHeight="1">
      <c r="A52" s="122" t="str">
        <f>IFERROR(__xludf.DUMMYFUNCTION("""COMPUTED_VALUE"""),"Manu8671")</f>
        <v>Manu8671</v>
      </c>
      <c r="B52" s="103">
        <v>51.0</v>
      </c>
      <c r="C52" s="123">
        <f t="shared" si="1"/>
        <v>112.4989376</v>
      </c>
      <c r="D52" s="124" t="str">
        <f>VLOOKUP(A52,'Classement S6'!$B$2:$C$150,1,0)</f>
        <v>Manu8671</v>
      </c>
      <c r="E52" s="125" t="str">
        <f t="shared" si="2"/>
        <v/>
      </c>
      <c r="F52" s="120" t="str">
        <f>VLOOKUP(A52,'Classement Général'!$B$2:$B$146,1,0)</f>
        <v>Manu8671</v>
      </c>
    </row>
    <row r="53" ht="14.25" customHeight="1">
      <c r="A53" s="122" t="str">
        <f>IFERROR(__xludf.DUMMYFUNCTION("""COMPUTED_VALUE"""),"chatouill86")</f>
        <v>chatouill86</v>
      </c>
      <c r="B53" s="103">
        <v>52.0</v>
      </c>
      <c r="C53" s="123">
        <f t="shared" si="1"/>
        <v>97.959866</v>
      </c>
      <c r="D53" s="124" t="str">
        <f>VLOOKUP(A53,'Classement S6'!$B$2:$C$150,1,0)</f>
        <v>chatouill86</v>
      </c>
      <c r="E53" s="125" t="str">
        <f t="shared" si="2"/>
        <v/>
      </c>
      <c r="F53" s="120" t="str">
        <f>VLOOKUP(A53,'Classement Général'!$B$2:$B$146,1,0)</f>
        <v>chatouill86</v>
      </c>
    </row>
    <row r="54" ht="14.25" customHeight="1">
      <c r="A54" s="122" t="str">
        <f>IFERROR(__xludf.DUMMYFUNCTION("""COMPUTED_VALUE"""),"imberbe")</f>
        <v>imberbe</v>
      </c>
      <c r="B54" s="103">
        <v>53.0</v>
      </c>
      <c r="C54" s="123">
        <f t="shared" si="1"/>
        <v>83.56670169</v>
      </c>
      <c r="D54" s="124" t="str">
        <f>VLOOKUP(A54,'Classement S6'!$B$2:$C$150,1,0)</f>
        <v>imberbe</v>
      </c>
      <c r="E54" s="125" t="str">
        <f t="shared" si="2"/>
        <v/>
      </c>
      <c r="F54" s="120" t="str">
        <f>VLOOKUP(A54,'Classement Général'!$B$2:$B$146,1,0)</f>
        <v>imberbe</v>
      </c>
    </row>
    <row r="55" ht="14.25" customHeight="1">
      <c r="A55" s="122" t="str">
        <f>IFERROR(__xludf.DUMMYFUNCTION("""COMPUTED_VALUE"""),"8kinder6")</f>
        <v>8kinder6</v>
      </c>
      <c r="B55" s="103">
        <v>54.0</v>
      </c>
      <c r="C55" s="123">
        <f t="shared" si="1"/>
        <v>69.31425227</v>
      </c>
      <c r="D55" s="124" t="str">
        <f>VLOOKUP(A55,'Classement S6'!$B$2:$C$150,1,0)</f>
        <v>8kinder6</v>
      </c>
      <c r="E55" s="125" t="str">
        <f t="shared" si="2"/>
        <v/>
      </c>
      <c r="F55" s="120" t="str">
        <f>VLOOKUP(A55,'Classement Général'!$B$2:$B$146,1,0)</f>
        <v>8kinder6</v>
      </c>
    </row>
    <row r="56" ht="14.25" customHeight="1">
      <c r="A56" s="122" t="str">
        <f>IFERROR(__xludf.DUMMYFUNCTION("""COMPUTED_VALUE"""),"DonnesTchips")</f>
        <v>DonnesTchips</v>
      </c>
      <c r="B56" s="103">
        <v>55.0</v>
      </c>
      <c r="C56" s="123">
        <f t="shared" si="1"/>
        <v>55.197613</v>
      </c>
      <c r="D56" s="124" t="str">
        <f>VLOOKUP(A56,'Classement S6'!$B$2:$C$150,1,0)</f>
        <v>DonnesTchips</v>
      </c>
      <c r="E56" s="125" t="str">
        <f t="shared" si="2"/>
        <v/>
      </c>
      <c r="F56" s="120" t="str">
        <f>VLOOKUP(A56,'Classement Général'!$B$2:$B$146,1,0)</f>
        <v>DonnesTchips</v>
      </c>
    </row>
    <row r="57" ht="14.25" customHeight="1">
      <c r="A57" s="122" t="str">
        <f>IFERROR(__xludf.DUMMYFUNCTION("""COMPUTED_VALUE"""),"fiodor86")</f>
        <v>fiodor86</v>
      </c>
      <c r="B57" s="103">
        <v>56.0</v>
      </c>
      <c r="C57" s="123">
        <f t="shared" si="1"/>
        <v>41.21214567</v>
      </c>
      <c r="D57" s="124" t="str">
        <f>VLOOKUP(A57,'Classement S6'!$B$2:$C$150,1,0)</f>
        <v>fiodor86</v>
      </c>
      <c r="E57" s="125" t="str">
        <f t="shared" si="2"/>
        <v/>
      </c>
      <c r="F57" s="120" t="str">
        <f>VLOOKUP(A57,'Classement Général'!$B$2:$B$146,1,0)</f>
        <v>fiodor86</v>
      </c>
    </row>
    <row r="58" ht="14.25" customHeight="1">
      <c r="A58" s="122" t="str">
        <f>IFERROR(__xludf.DUMMYFUNCTION("""COMPUTED_VALUE"""),"LEGOLEGOTE")</f>
        <v>LEGOLEGOTE</v>
      </c>
      <c r="B58" s="103">
        <v>57.0</v>
      </c>
      <c r="C58" s="123">
        <f t="shared" si="1"/>
        <v>27.35345943</v>
      </c>
      <c r="D58" s="124" t="str">
        <f>VLOOKUP(A58,'Classement S6'!$B$2:$C$150,1,0)</f>
        <v>LEGOLEGOTE</v>
      </c>
      <c r="E58" s="125" t="str">
        <f t="shared" si="2"/>
        <v/>
      </c>
      <c r="F58" s="120" t="str">
        <f>VLOOKUP(A58,'Classement Général'!$B$2:$B$146,1,0)</f>
        <v>LEGOLEGOTE</v>
      </c>
    </row>
    <row r="59" ht="14.25" customHeight="1">
      <c r="A59" s="122" t="str">
        <f>IFERROR(__xludf.DUMMYFUNCTION("""COMPUTED_VALUE"""),"erniedog56x")</f>
        <v>erniedog56x</v>
      </c>
      <c r="B59" s="103">
        <v>58.0</v>
      </c>
      <c r="C59" s="123">
        <f t="shared" si="1"/>
        <v>13.61739326</v>
      </c>
      <c r="D59" s="124" t="str">
        <f>VLOOKUP(A59,'Classement S6'!$B$2:$C$150,1,0)</f>
        <v>erniedog56x</v>
      </c>
      <c r="E59" s="125" t="str">
        <f t="shared" si="2"/>
        <v/>
      </c>
      <c r="F59" s="120" t="str">
        <f>VLOOKUP(A59,'Classement Général'!$B$2:$B$146,1,0)</f>
        <v>erniedog56x</v>
      </c>
    </row>
    <row r="60" ht="14.25" customHeight="1">
      <c r="A60" s="122"/>
      <c r="B60" s="103">
        <v>59.0</v>
      </c>
      <c r="C60" s="123">
        <f t="shared" si="1"/>
        <v>0</v>
      </c>
      <c r="D60" s="124" t="str">
        <f>VLOOKUP(A60,'Classement S6'!$B$2:$C$150,1,0)</f>
        <v>#N/A</v>
      </c>
      <c r="E60" s="125" t="str">
        <f t="shared" si="2"/>
        <v>#N/A</v>
      </c>
      <c r="F60" s="120" t="str">
        <f>VLOOKUP(A60,'Classement Général'!$B$2:$B$146,1,0)</f>
        <v>#N/A</v>
      </c>
    </row>
    <row r="61" ht="14.25" customHeight="1">
      <c r="A61" s="122"/>
      <c r="B61" s="103">
        <v>60.0</v>
      </c>
      <c r="C61" s="123">
        <f t="shared" si="1"/>
        <v>-13.50246828</v>
      </c>
      <c r="D61" s="124" t="str">
        <f>VLOOKUP(A61,'Classement S6'!$B$2:$C$150,1,0)</f>
        <v>#N/A</v>
      </c>
      <c r="E61" s="125" t="str">
        <f t="shared" si="2"/>
        <v>#N/A</v>
      </c>
      <c r="F61" s="120" t="str">
        <f>VLOOKUP(A61,'Classement Général'!$B$2:$B$146,1,0)</f>
        <v>#N/A</v>
      </c>
    </row>
    <row r="62" ht="14.25" customHeight="1">
      <c r="A62" s="122"/>
      <c r="B62" s="103">
        <v>61.0</v>
      </c>
      <c r="C62" s="123">
        <f t="shared" si="1"/>
        <v>-26.89357362</v>
      </c>
      <c r="D62" s="124" t="str">
        <f>VLOOKUP(A62,'Classement S6'!$B$2:$C$150,1,0)</f>
        <v>#N/A</v>
      </c>
      <c r="E62" s="125" t="str">
        <f t="shared" si="2"/>
        <v>#N/A</v>
      </c>
      <c r="F62" s="120" t="str">
        <f>VLOOKUP(A62,'Classement Général'!$B$2:$B$146,1,0)</f>
        <v>#N/A</v>
      </c>
    </row>
    <row r="63" ht="14.25" customHeight="1">
      <c r="A63" s="122"/>
      <c r="B63" s="103">
        <v>62.0</v>
      </c>
      <c r="C63" s="123">
        <f t="shared" si="1"/>
        <v>-40.17670448</v>
      </c>
      <c r="D63" s="124" t="str">
        <f>VLOOKUP(A63,'Classement S6'!$B$2:$C$150,1,0)</f>
        <v>#N/A</v>
      </c>
      <c r="E63" s="125" t="str">
        <f t="shared" si="2"/>
        <v>#N/A</v>
      </c>
      <c r="F63" s="120" t="str">
        <f>VLOOKUP(A63,'Classement Général'!$B$2:$B$146,1,0)</f>
        <v>#N/A</v>
      </c>
    </row>
    <row r="64" ht="14.25" customHeight="1">
      <c r="A64" s="122"/>
      <c r="B64" s="103">
        <v>63.0</v>
      </c>
      <c r="C64" s="123">
        <f t="shared" si="1"/>
        <v>-53.35508698</v>
      </c>
      <c r="D64" s="124" t="str">
        <f>VLOOKUP(A64,'Classement S6'!$B$2:$C$150,1,0)</f>
        <v>#N/A</v>
      </c>
      <c r="E64" s="125" t="str">
        <f t="shared" si="2"/>
        <v>#N/A</v>
      </c>
      <c r="F64" s="120" t="str">
        <f>VLOOKUP(A64,'Classement Général'!$B$2:$B$146,1,0)</f>
        <v>#N/A</v>
      </c>
    </row>
    <row r="65" ht="14.25" customHeight="1">
      <c r="A65" s="122"/>
      <c r="B65" s="103">
        <v>64.0</v>
      </c>
      <c r="C65" s="123">
        <f t="shared" si="1"/>
        <v>-66.43179527</v>
      </c>
      <c r="D65" s="124" t="str">
        <f>VLOOKUP(A65,'Classement S6'!$B$2:$C$150,1,0)</f>
        <v>#N/A</v>
      </c>
      <c r="E65" s="125" t="str">
        <f t="shared" si="2"/>
        <v>#N/A</v>
      </c>
      <c r="F65" s="120" t="str">
        <f>VLOOKUP(A65,'Classement Général'!$B$2:$B$146,1,0)</f>
        <v>#N/A</v>
      </c>
    </row>
    <row r="66" ht="14.25" customHeight="1">
      <c r="A66" s="122"/>
      <c r="B66" s="103">
        <v>65.0</v>
      </c>
      <c r="C66" s="123">
        <f t="shared" si="1"/>
        <v>-79.4097611</v>
      </c>
      <c r="D66" s="124" t="str">
        <f>VLOOKUP(A66,'Classement S6'!$B$2:$C$150,1,0)</f>
        <v>#N/A</v>
      </c>
      <c r="E66" s="125" t="str">
        <f t="shared" si="2"/>
        <v>#N/A</v>
      </c>
      <c r="F66" s="120" t="str">
        <f>VLOOKUP(A66,'Classement Général'!$B$2:$B$146,1,0)</f>
        <v>#N/A</v>
      </c>
    </row>
    <row r="67" ht="14.25" customHeight="1">
      <c r="A67" s="122"/>
      <c r="B67" s="103">
        <v>66.0</v>
      </c>
      <c r="C67" s="123">
        <f t="shared" si="1"/>
        <v>-92.2917826</v>
      </c>
      <c r="D67" s="124" t="str">
        <f>VLOOKUP(A67,'Classement S6'!$B$2:$C$150,1,0)</f>
        <v>#N/A</v>
      </c>
      <c r="E67" s="125" t="str">
        <f t="shared" si="2"/>
        <v>#N/A</v>
      </c>
      <c r="F67" s="120" t="str">
        <f>VLOOKUP(A67,'Classement Général'!$B$2:$B$146,1,0)</f>
        <v>#N/A</v>
      </c>
    </row>
    <row r="68" ht="14.25" customHeight="1">
      <c r="A68" s="122"/>
      <c r="B68" s="103">
        <v>67.0</v>
      </c>
      <c r="C68" s="123">
        <f t="shared" si="1"/>
        <v>-105.0805324</v>
      </c>
      <c r="D68" s="124" t="str">
        <f>VLOOKUP(A68,'Classement S6'!$B$2:$C$150,1,0)</f>
        <v>#N/A</v>
      </c>
      <c r="E68" s="125" t="str">
        <f t="shared" si="2"/>
        <v>#N/A</v>
      </c>
      <c r="F68" s="120" t="str">
        <f>VLOOKUP(A68,'Classement Général'!$B$2:$B$146,1,0)</f>
        <v>#N/A</v>
      </c>
    </row>
    <row r="69" ht="14.25" customHeight="1">
      <c r="A69" s="122"/>
      <c r="B69" s="103">
        <v>68.0</v>
      </c>
      <c r="C69" s="123">
        <f t="shared" si="1"/>
        <v>-117.7785652</v>
      </c>
      <c r="D69" s="124" t="str">
        <f>VLOOKUP(A69,'Classement S6'!$B$2:$C$150,1,0)</f>
        <v>#N/A</v>
      </c>
      <c r="E69" s="125" t="str">
        <f t="shared" si="2"/>
        <v>#N/A</v>
      </c>
      <c r="F69" s="120" t="str">
        <f>VLOOKUP(A69,'Classement Général'!$B$2:$B$146,1,0)</f>
        <v>#N/A</v>
      </c>
    </row>
    <row r="70" ht="14.25" customHeight="1">
      <c r="A70" s="122"/>
      <c r="B70" s="103">
        <v>69.0</v>
      </c>
      <c r="C70" s="123">
        <f t="shared" si="1"/>
        <v>-130.3883248</v>
      </c>
      <c r="D70" s="124" t="str">
        <f>VLOOKUP(A70,'Classement S6'!$B$2:$C$150,1,0)</f>
        <v>#N/A</v>
      </c>
      <c r="E70" s="125" t="str">
        <f t="shared" si="2"/>
        <v>#N/A</v>
      </c>
      <c r="F70" s="120" t="str">
        <f>VLOOKUP(A70,'Classement Général'!$B$2:$B$146,1,0)</f>
        <v>#N/A</v>
      </c>
    </row>
    <row r="71" ht="14.25" customHeight="1">
      <c r="A71" s="122"/>
      <c r="B71" s="103">
        <v>70.0</v>
      </c>
      <c r="C71" s="123">
        <f t="shared" si="1"/>
        <v>-142.9121502</v>
      </c>
      <c r="D71" s="124" t="str">
        <f>VLOOKUP(A71,'Classement S6'!$B$2:$C$150,1,0)</f>
        <v>#N/A</v>
      </c>
      <c r="E71" s="125" t="str">
        <f t="shared" si="2"/>
        <v>#N/A</v>
      </c>
      <c r="F71" s="120" t="str">
        <f>VLOOKUP(A71,'Classement Général'!$B$2:$B$146,1,0)</f>
        <v>#N/A</v>
      </c>
    </row>
    <row r="72" ht="14.25" customHeight="1">
      <c r="A72" s="122"/>
      <c r="B72" s="103">
        <v>71.0</v>
      </c>
      <c r="C72" s="123">
        <f t="shared" si="1"/>
        <v>-155.352282</v>
      </c>
      <c r="D72" s="124" t="str">
        <f>VLOOKUP(A72,'Classement S6'!$B$2:$C$150,1,0)</f>
        <v>#N/A</v>
      </c>
      <c r="E72" s="125" t="str">
        <f t="shared" si="2"/>
        <v>#N/A</v>
      </c>
      <c r="F72" s="120" t="str">
        <f>VLOOKUP(A72,'Classement Général'!$B$2:$B$146,1,0)</f>
        <v>#N/A</v>
      </c>
    </row>
    <row r="73" ht="14.25" customHeight="1">
      <c r="A73" s="122"/>
      <c r="B73" s="103">
        <v>72.0</v>
      </c>
      <c r="C73" s="123">
        <f t="shared" si="1"/>
        <v>-167.7108679</v>
      </c>
      <c r="D73" s="124" t="str">
        <f>VLOOKUP(A73,'Classement S6'!$B$2:$C$150,1,0)</f>
        <v>#N/A</v>
      </c>
      <c r="E73" s="125" t="str">
        <f t="shared" si="2"/>
        <v>#N/A</v>
      </c>
      <c r="F73" s="120" t="str">
        <f>VLOOKUP(A73,'Classement Général'!$B$2:$B$146,1,0)</f>
        <v>#N/A</v>
      </c>
    </row>
    <row r="74" ht="14.25" customHeight="1">
      <c r="A74" s="122"/>
      <c r="B74" s="103">
        <v>73.0</v>
      </c>
      <c r="C74" s="123">
        <f t="shared" si="1"/>
        <v>-179.9899677</v>
      </c>
      <c r="D74" s="124" t="str">
        <f>VLOOKUP(A74,'Classement S6'!$B$2:$C$150,1,0)</f>
        <v>#N/A</v>
      </c>
      <c r="E74" s="125" t="str">
        <f t="shared" si="2"/>
        <v>#N/A</v>
      </c>
      <c r="F74" s="120" t="str">
        <f>VLOOKUP(A74,'Classement Général'!$B$2:$B$146,1,0)</f>
        <v>#N/A</v>
      </c>
    </row>
    <row r="75" ht="14.25" customHeight="1">
      <c r="A75" s="122"/>
      <c r="B75" s="103">
        <v>74.0</v>
      </c>
      <c r="C75" s="123">
        <f t="shared" si="1"/>
        <v>-192.191558</v>
      </c>
      <c r="D75" s="124" t="str">
        <f>VLOOKUP(A75,'Classement S6'!$B$2:$C$150,1,0)</f>
        <v>#N/A</v>
      </c>
      <c r="E75" s="125" t="str">
        <f t="shared" si="2"/>
        <v>#N/A</v>
      </c>
      <c r="F75" s="120" t="str">
        <f>VLOOKUP(A75,'Classement Général'!$B$2:$B$146,1,0)</f>
        <v>#N/A</v>
      </c>
    </row>
    <row r="76" ht="14.25" customHeight="1">
      <c r="A76" s="122"/>
      <c r="B76" s="103">
        <v>75.0</v>
      </c>
      <c r="C76" s="123">
        <f t="shared" si="1"/>
        <v>-204.3175372</v>
      </c>
      <c r="D76" s="124" t="str">
        <f>VLOOKUP(A76,'Classement S6'!$B$2:$C$150,1,0)</f>
        <v>#N/A</v>
      </c>
      <c r="E76" s="125" t="str">
        <f t="shared" si="2"/>
        <v>#N/A</v>
      </c>
      <c r="F76" s="120" t="str">
        <f>VLOOKUP(A76,'Classement Général'!$B$2:$B$146,1,0)</f>
        <v>#N/A</v>
      </c>
    </row>
    <row r="77" ht="14.25" customHeight="1">
      <c r="A77" s="122"/>
      <c r="B77" s="103">
        <v>76.0</v>
      </c>
      <c r="C77" s="123">
        <f t="shared" si="1"/>
        <v>-216.3697292</v>
      </c>
      <c r="D77" s="124" t="str">
        <f>VLOOKUP(A77,'Classement S6'!$B$2:$C$150,1,0)</f>
        <v>#N/A</v>
      </c>
      <c r="E77" s="125" t="str">
        <f t="shared" si="2"/>
        <v>#N/A</v>
      </c>
      <c r="F77" s="120" t="str">
        <f>VLOOKUP(A77,'Classement Général'!$B$2:$B$146,1,0)</f>
        <v>#N/A</v>
      </c>
    </row>
    <row r="78" ht="14.25" customHeight="1">
      <c r="A78" s="122"/>
      <c r="B78" s="103">
        <v>77.0</v>
      </c>
      <c r="C78" s="123">
        <f t="shared" si="1"/>
        <v>-228.3498875</v>
      </c>
      <c r="D78" s="124" t="str">
        <f>VLOOKUP(A78,'Classement S6'!$B$2:$C$150,1,0)</f>
        <v>#N/A</v>
      </c>
      <c r="E78" s="125" t="str">
        <f t="shared" si="2"/>
        <v>#N/A</v>
      </c>
      <c r="F78" s="120" t="str">
        <f>VLOOKUP(A78,'Classement Général'!$B$2:$B$146,1,0)</f>
        <v>#N/A</v>
      </c>
    </row>
    <row r="79" ht="14.25" customHeight="1">
      <c r="A79" s="122"/>
      <c r="B79" s="103">
        <v>78.0</v>
      </c>
      <c r="C79" s="123">
        <f t="shared" si="1"/>
        <v>-240.2596989</v>
      </c>
      <c r="D79" s="124" t="str">
        <f>VLOOKUP(A79,'Classement S6'!$B$2:$C$150,1,0)</f>
        <v>#N/A</v>
      </c>
      <c r="E79" s="125" t="str">
        <f t="shared" si="2"/>
        <v>#N/A</v>
      </c>
      <c r="F79" s="120" t="str">
        <f>VLOOKUP(A79,'Classement Général'!$B$2:$B$146,1,0)</f>
        <v>#N/A</v>
      </c>
    </row>
    <row r="80" ht="14.25" customHeight="1">
      <c r="A80" s="127"/>
      <c r="B80" s="103">
        <v>79.0</v>
      </c>
      <c r="C80" s="123">
        <f t="shared" si="1"/>
        <v>-252.1007868</v>
      </c>
      <c r="D80" s="124" t="str">
        <f>VLOOKUP(A80,'Classement S6'!$B$2:$C$150,1,0)</f>
        <v>#N/A</v>
      </c>
      <c r="E80" s="125" t="str">
        <f t="shared" si="2"/>
        <v>#N/A</v>
      </c>
      <c r="F80" s="120" t="str">
        <f>VLOOKUP(A80,'Classement Général'!$B$2:$B$146,1,0)</f>
        <v>#N/A</v>
      </c>
    </row>
    <row r="81" ht="14.25" customHeight="1">
      <c r="A81" s="127"/>
      <c r="B81" s="103">
        <v>80.0</v>
      </c>
      <c r="C81" s="123">
        <f t="shared" si="1"/>
        <v>-263.8747144</v>
      </c>
      <c r="D81" s="124" t="str">
        <f>VLOOKUP(A81,'Classement S6'!$B$2:$C$150,1,0)</f>
        <v>#N/A</v>
      </c>
      <c r="E81" s="125" t="str">
        <f t="shared" si="2"/>
        <v>#N/A</v>
      </c>
      <c r="F81" s="120" t="str">
        <f>VLOOKUP(A81,'Classement Général'!$B$2:$B$146,1,0)</f>
        <v>#N/A</v>
      </c>
    </row>
    <row r="82" ht="14.25" customHeight="1">
      <c r="A82" s="127"/>
      <c r="B82" s="103">
        <v>81.0</v>
      </c>
      <c r="C82" s="123">
        <f t="shared" si="1"/>
        <v>-275.5829878</v>
      </c>
      <c r="D82" s="124" t="str">
        <f>VLOOKUP(A82,'Classement S6'!$B$2:$C$150,1,0)</f>
        <v>#N/A</v>
      </c>
      <c r="E82" s="125" t="str">
        <f t="shared" si="2"/>
        <v>#N/A</v>
      </c>
      <c r="F82" s="120" t="str">
        <f>VLOOKUP(A82,'Classement Général'!$B$2:$B$146,1,0)</f>
        <v>#N/A</v>
      </c>
    </row>
    <row r="83" ht="14.25" customHeight="1">
      <c r="A83" s="127"/>
      <c r="B83" s="103">
        <v>82.0</v>
      </c>
      <c r="C83" s="123">
        <f t="shared" si="1"/>
        <v>-287.2270589</v>
      </c>
      <c r="D83" s="124" t="str">
        <f>VLOOKUP(A83,'Classement S6'!$B$2:$C$150,1,0)</f>
        <v>#N/A</v>
      </c>
      <c r="E83" s="125" t="str">
        <f t="shared" si="2"/>
        <v>#N/A</v>
      </c>
      <c r="F83" s="120" t="str">
        <f>VLOOKUP(A83,'Classement Général'!$B$2:$B$146,1,0)</f>
        <v>#N/A</v>
      </c>
    </row>
    <row r="84" ht="14.25" customHeight="1">
      <c r="A84" s="127"/>
      <c r="B84" s="103">
        <v>83.0</v>
      </c>
      <c r="C84" s="123">
        <f t="shared" si="1"/>
        <v>-298.8083276</v>
      </c>
      <c r="D84" s="124" t="str">
        <f>VLOOKUP(A84,'Classement S6'!$B$2:$C$150,1,0)</f>
        <v>#N/A</v>
      </c>
      <c r="E84" s="125" t="str">
        <f t="shared" si="2"/>
        <v>#N/A</v>
      </c>
      <c r="F84" s="120" t="str">
        <f>VLOOKUP(A84,'Classement Général'!$B$2:$B$146,1,0)</f>
        <v>#N/A</v>
      </c>
    </row>
    <row r="85" ht="14.25" customHeight="1">
      <c r="A85" s="127"/>
      <c r="B85" s="103">
        <v>84.0</v>
      </c>
      <c r="C85" s="123">
        <f t="shared" si="1"/>
        <v>-310.328145</v>
      </c>
      <c r="D85" s="124" t="str">
        <f>VLOOKUP(A85,'Classement S6'!$B$2:$C$150,1,0)</f>
        <v>#N/A</v>
      </c>
      <c r="E85" s="125" t="str">
        <f t="shared" si="2"/>
        <v>#N/A</v>
      </c>
      <c r="F85" s="120" t="str">
        <f>VLOOKUP(A85,'Classement Général'!$B$2:$B$146,1,0)</f>
        <v>#N/A</v>
      </c>
    </row>
    <row r="86" ht="14.25" customHeight="1">
      <c r="A86" s="127"/>
      <c r="B86" s="103">
        <v>85.0</v>
      </c>
      <c r="C86" s="123">
        <f t="shared" si="1"/>
        <v>-321.787815</v>
      </c>
      <c r="D86" s="124" t="str">
        <f>VLOOKUP(A86,'Classement S6'!$B$2:$C$150,1,0)</f>
        <v>#N/A</v>
      </c>
      <c r="E86" s="125" t="str">
        <f t="shared" si="2"/>
        <v>#N/A</v>
      </c>
      <c r="F86" s="120" t="str">
        <f>VLOOKUP(A86,'Classement Général'!$B$2:$B$146,1,0)</f>
        <v>#N/A</v>
      </c>
    </row>
    <row r="87" ht="14.25" customHeight="1">
      <c r="A87" s="127"/>
      <c r="B87" s="103">
        <v>86.0</v>
      </c>
      <c r="C87" s="123">
        <f t="shared" si="1"/>
        <v>-333.1885969</v>
      </c>
      <c r="D87" s="124" t="str">
        <f>VLOOKUP(A87,'Classement S6'!$B$2:$C$150,1,0)</f>
        <v>#N/A</v>
      </c>
      <c r="E87" s="125" t="str">
        <f t="shared" si="2"/>
        <v>#N/A</v>
      </c>
      <c r="F87" s="120" t="str">
        <f>VLOOKUP(A87,'Classement Général'!$B$2:$B$146,1,0)</f>
        <v>#N/A</v>
      </c>
    </row>
    <row r="88" ht="14.25" customHeight="1">
      <c r="A88" s="127"/>
      <c r="B88" s="103">
        <v>87.0</v>
      </c>
      <c r="C88" s="123">
        <f t="shared" si="1"/>
        <v>-344.5317074</v>
      </c>
      <c r="D88" s="124" t="str">
        <f>VLOOKUP(A88,'Classement S6'!$B$2:$C$150,1,0)</f>
        <v>#N/A</v>
      </c>
      <c r="E88" s="125" t="str">
        <f t="shared" si="2"/>
        <v>#N/A</v>
      </c>
      <c r="F88" s="120" t="str">
        <f>VLOOKUP(A88,'Classement Général'!$B$2:$B$146,1,0)</f>
        <v>#N/A</v>
      </c>
    </row>
    <row r="89" ht="14.25" customHeight="1">
      <c r="A89" s="127"/>
      <c r="B89" s="103">
        <v>88.0</v>
      </c>
      <c r="C89" s="123">
        <f t="shared" si="1"/>
        <v>-355.8183227</v>
      </c>
      <c r="D89" s="124" t="str">
        <f>VLOOKUP(A89,'Classement S6'!$B$2:$C$150,1,0)</f>
        <v>#N/A</v>
      </c>
      <c r="E89" s="125" t="str">
        <f t="shared" si="2"/>
        <v>#N/A</v>
      </c>
      <c r="F89" s="120" t="str">
        <f>VLOOKUP(A89,'Classement Général'!$B$2:$B$146,1,0)</f>
        <v>#N/A</v>
      </c>
    </row>
    <row r="90" ht="14.25" customHeight="1">
      <c r="A90" s="127"/>
      <c r="B90" s="103">
        <v>89.0</v>
      </c>
      <c r="C90" s="123">
        <f t="shared" si="1"/>
        <v>-367.0495799</v>
      </c>
      <c r="D90" s="124" t="str">
        <f>VLOOKUP(A90,'Classement S6'!$B$2:$C$150,1,0)</f>
        <v>#N/A</v>
      </c>
      <c r="E90" s="125" t="str">
        <f t="shared" si="2"/>
        <v>#N/A</v>
      </c>
      <c r="F90" s="120" t="str">
        <f>VLOOKUP(A90,'Classement Général'!$B$2:$B$146,1,0)</f>
        <v>#N/A</v>
      </c>
    </row>
    <row r="91" ht="14.25" customHeight="1">
      <c r="A91" s="127"/>
      <c r="B91" s="103">
        <v>90.0</v>
      </c>
      <c r="C91" s="123">
        <f t="shared" si="1"/>
        <v>-378.2265791</v>
      </c>
      <c r="D91" s="124" t="str">
        <f>VLOOKUP(A91,'Classement S6'!$B$2:$C$150,1,0)</f>
        <v>#N/A</v>
      </c>
      <c r="E91" s="125" t="str">
        <f t="shared" si="2"/>
        <v>#N/A</v>
      </c>
      <c r="F91" s="120" t="str">
        <f>VLOOKUP(A91,'Classement Général'!$B$2:$B$146,1,0)</f>
        <v>#N/A</v>
      </c>
    </row>
    <row r="92" ht="14.25" customHeight="1">
      <c r="A92" s="127"/>
      <c r="B92" s="103">
        <v>91.0</v>
      </c>
      <c r="C92" s="123">
        <f t="shared" si="1"/>
        <v>-389.350385</v>
      </c>
      <c r="D92" s="124" t="str">
        <f>VLOOKUP(A92,'Classement S6'!$B$2:$C$150,1,0)</f>
        <v>#N/A</v>
      </c>
      <c r="E92" s="125" t="str">
        <f t="shared" si="2"/>
        <v>#N/A</v>
      </c>
      <c r="F92" s="120" t="str">
        <f>VLOOKUP(A92,'Classement Général'!$B$2:$B$146,1,0)</f>
        <v>#N/A</v>
      </c>
    </row>
    <row r="93" ht="14.25" customHeight="1">
      <c r="A93" s="127"/>
      <c r="B93" s="103">
        <v>92.0</v>
      </c>
      <c r="C93" s="123">
        <f t="shared" si="1"/>
        <v>-400.4220284</v>
      </c>
      <c r="D93" s="124" t="str">
        <f>VLOOKUP(A93,'Classement S6'!$B$2:$C$150,1,0)</f>
        <v>#N/A</v>
      </c>
      <c r="E93" s="125" t="str">
        <f t="shared" si="2"/>
        <v>#N/A</v>
      </c>
      <c r="F93" s="120" t="str">
        <f>VLOOKUP(A93,'Classement Général'!$B$2:$B$146,1,0)</f>
        <v>#N/A</v>
      </c>
    </row>
    <row r="94" ht="14.25" customHeight="1">
      <c r="A94" s="127"/>
      <c r="B94" s="103">
        <v>93.0</v>
      </c>
      <c r="C94" s="123">
        <f t="shared" si="1"/>
        <v>-411.4425076</v>
      </c>
      <c r="D94" s="124" t="str">
        <f>VLOOKUP(A94,'Classement S6'!$B$2:$C$150,1,0)</f>
        <v>#N/A</v>
      </c>
      <c r="E94" s="125" t="str">
        <f t="shared" si="2"/>
        <v>#N/A</v>
      </c>
      <c r="F94" s="120" t="str">
        <f>VLOOKUP(A94,'Classement Général'!$B$2:$B$146,1,0)</f>
        <v>#N/A</v>
      </c>
    </row>
    <row r="95" ht="14.25" customHeight="1">
      <c r="A95" s="127"/>
      <c r="B95" s="103">
        <v>94.0</v>
      </c>
      <c r="C95" s="123">
        <f t="shared" si="1"/>
        <v>-422.4127897</v>
      </c>
      <c r="D95" s="124" t="str">
        <f>VLOOKUP(A95,'Classement S6'!$B$2:$C$150,1,0)</f>
        <v>#N/A</v>
      </c>
      <c r="E95" s="125" t="str">
        <f t="shared" si="2"/>
        <v>#N/A</v>
      </c>
      <c r="F95" s="120" t="str">
        <f>VLOOKUP(A95,'Classement Général'!$B$2:$B$146,1,0)</f>
        <v>#N/A</v>
      </c>
    </row>
    <row r="96" ht="14.25" customHeight="1">
      <c r="A96" s="127"/>
      <c r="B96" s="103">
        <v>95.0</v>
      </c>
      <c r="C96" s="123">
        <f t="shared" si="1"/>
        <v>-433.3338124</v>
      </c>
      <c r="D96" s="124" t="str">
        <f>VLOOKUP(A96,'Classement S6'!$B$2:$C$150,1,0)</f>
        <v>#N/A</v>
      </c>
      <c r="E96" s="125" t="str">
        <f t="shared" si="2"/>
        <v>#N/A</v>
      </c>
      <c r="F96" s="120" t="str">
        <f>VLOOKUP(A96,'Classement Général'!$B$2:$B$146,1,0)</f>
        <v>#N/A</v>
      </c>
    </row>
    <row r="97" ht="14.25" customHeight="1">
      <c r="A97" s="127"/>
      <c r="B97" s="103">
        <v>96.0</v>
      </c>
      <c r="C97" s="123">
        <f t="shared" si="1"/>
        <v>-444.2064845</v>
      </c>
      <c r="D97" s="124" t="str">
        <f>VLOOKUP(A97,'Classement S6'!$B$2:$C$150,1,0)</f>
        <v>#N/A</v>
      </c>
      <c r="E97" s="125" t="str">
        <f t="shared" si="2"/>
        <v>#N/A</v>
      </c>
      <c r="F97" s="120" t="str">
        <f>VLOOKUP(A97,'Classement Général'!$B$2:$B$146,1,0)</f>
        <v>#N/A</v>
      </c>
    </row>
    <row r="98" ht="14.25" customHeight="1">
      <c r="A98" s="127"/>
      <c r="B98" s="103">
        <v>97.0</v>
      </c>
      <c r="C98" s="123">
        <f t="shared" si="1"/>
        <v>-455.0316877</v>
      </c>
      <c r="D98" s="124" t="str">
        <f>VLOOKUP(A98,'Classement S6'!$B$2:$C$150,1,0)</f>
        <v>#N/A</v>
      </c>
      <c r="E98" s="125" t="str">
        <f t="shared" si="2"/>
        <v>#N/A</v>
      </c>
      <c r="F98" s="120" t="str">
        <f>VLOOKUP(A98,'Classement Général'!$B$2:$B$146,1,0)</f>
        <v>#N/A</v>
      </c>
    </row>
    <row r="99" ht="14.25" customHeight="1">
      <c r="A99" s="127"/>
      <c r="B99" s="103">
        <v>98.0</v>
      </c>
      <c r="C99" s="123">
        <f t="shared" si="1"/>
        <v>-465.8102774</v>
      </c>
      <c r="D99" s="124" t="str">
        <f>VLOOKUP(A99,'Classement S6'!$B$2:$C$150,1,0)</f>
        <v>#N/A</v>
      </c>
      <c r="E99" s="125" t="str">
        <f t="shared" si="2"/>
        <v>#N/A</v>
      </c>
      <c r="F99" s="120" t="str">
        <f>VLOOKUP(A99,'Classement Général'!$B$2:$B$146,1,0)</f>
        <v>#N/A</v>
      </c>
    </row>
    <row r="100" ht="14.25" customHeight="1">
      <c r="A100" s="127"/>
      <c r="B100" s="103">
        <v>99.0</v>
      </c>
      <c r="C100" s="123">
        <f t="shared" si="1"/>
        <v>-476.5430838</v>
      </c>
      <c r="D100" s="124" t="str">
        <f>VLOOKUP(A100,'Classement S6'!$B$2:$C$150,1,0)</f>
        <v>#N/A</v>
      </c>
      <c r="E100" s="125" t="str">
        <f t="shared" si="2"/>
        <v>#N/A</v>
      </c>
      <c r="F100" s="120" t="str">
        <f>VLOOKUP(A100,'Classement Général'!$B$2:$B$146,1,0)</f>
        <v>#N/A</v>
      </c>
    </row>
    <row r="101" ht="14.25" customHeight="1">
      <c r="A101" s="127"/>
      <c r="B101" s="103">
        <v>100.0</v>
      </c>
      <c r="C101" s="123">
        <f t="shared" si="1"/>
        <v>-487.2309131</v>
      </c>
      <c r="D101" s="124" t="str">
        <f>VLOOKUP(A101,'Classement S6'!$B$2:$C$150,1,0)</f>
        <v>#N/A</v>
      </c>
      <c r="E101" s="125" t="str">
        <f t="shared" si="2"/>
        <v>#N/A</v>
      </c>
      <c r="F101" s="120" t="str">
        <f>VLOOKUP(A101,'Classement Général'!$B$2:$B$146,1,0)</f>
        <v>#N/A</v>
      </c>
    </row>
    <row r="102" ht="14.25" customHeight="1">
      <c r="A102" s="127"/>
      <c r="B102" s="103">
        <v>101.0</v>
      </c>
      <c r="C102" s="123">
        <f t="shared" si="1"/>
        <v>-497.8745481</v>
      </c>
      <c r="D102" s="124" t="str">
        <f>VLOOKUP(A102,'Classement S6'!$B$2:$C$150,1,0)</f>
        <v>#N/A</v>
      </c>
      <c r="E102" s="125" t="str">
        <f t="shared" si="2"/>
        <v>#N/A</v>
      </c>
      <c r="F102" s="120" t="str">
        <f>VLOOKUP(A102,'Classement Général'!$B$2:$B$146,1,0)</f>
        <v>#N/A</v>
      </c>
    </row>
    <row r="103" ht="14.25" customHeight="1">
      <c r="A103" s="127"/>
      <c r="B103" s="103">
        <v>102.0</v>
      </c>
      <c r="C103" s="123">
        <f t="shared" si="1"/>
        <v>-508.4747493</v>
      </c>
      <c r="D103" s="124" t="str">
        <f>VLOOKUP(A103,'Classement S6'!$B$2:$C$150,1,0)</f>
        <v>#N/A</v>
      </c>
      <c r="E103" s="125" t="str">
        <f t="shared" si="2"/>
        <v>#N/A</v>
      </c>
      <c r="F103" s="120" t="str">
        <f>VLOOKUP(A103,'Classement Général'!$B$2:$B$146,1,0)</f>
        <v>#N/A</v>
      </c>
    </row>
    <row r="104" ht="14.25" customHeight="1">
      <c r="A104" s="127"/>
      <c r="B104" s="103">
        <v>103.0</v>
      </c>
      <c r="C104" s="123">
        <f t="shared" si="1"/>
        <v>-519.032256</v>
      </c>
      <c r="D104" s="124" t="str">
        <f>VLOOKUP(A104,'Classement S6'!$B$2:$C$150,1,0)</f>
        <v>#N/A</v>
      </c>
      <c r="E104" s="125" t="str">
        <f t="shared" si="2"/>
        <v>#N/A</v>
      </c>
      <c r="F104" s="120" t="str">
        <f>VLOOKUP(A104,'Classement Général'!$B$2:$B$146,1,0)</f>
        <v>#N/A</v>
      </c>
    </row>
    <row r="105" ht="14.25" customHeight="1">
      <c r="A105" s="127"/>
      <c r="B105" s="103">
        <v>104.0</v>
      </c>
      <c r="C105" s="123">
        <f t="shared" si="1"/>
        <v>-529.5477867</v>
      </c>
      <c r="D105" s="124" t="str">
        <f>VLOOKUP(A105,'Classement S6'!$B$2:$C$150,1,0)</f>
        <v>#N/A</v>
      </c>
      <c r="E105" s="125" t="str">
        <f t="shared" si="2"/>
        <v>#N/A</v>
      </c>
      <c r="F105" s="120" t="str">
        <f>VLOOKUP(A105,'Classement Général'!$B$2:$B$146,1,0)</f>
        <v>#N/A</v>
      </c>
    </row>
    <row r="106" ht="14.25" customHeight="1">
      <c r="A106" s="127"/>
      <c r="B106" s="103">
        <v>105.0</v>
      </c>
      <c r="C106" s="123">
        <f t="shared" si="1"/>
        <v>-540.0220401</v>
      </c>
      <c r="D106" s="124" t="str">
        <f>VLOOKUP(A106,'Classement S6'!$B$2:$C$150,1,0)</f>
        <v>#N/A</v>
      </c>
      <c r="E106" s="125" t="str">
        <f t="shared" si="2"/>
        <v>#N/A</v>
      </c>
      <c r="F106" s="120" t="str">
        <f>VLOOKUP(A106,'Classement Général'!$B$2:$B$146,1,0)</f>
        <v>#N/A</v>
      </c>
    </row>
    <row r="107" ht="14.25" customHeight="1">
      <c r="A107" s="127"/>
      <c r="B107" s="103">
        <v>106.0</v>
      </c>
      <c r="C107" s="123">
        <f t="shared" si="1"/>
        <v>-550.4556958</v>
      </c>
      <c r="D107" s="124" t="str">
        <f>VLOOKUP(A107,'Classement S6'!$B$2:$C$150,1,0)</f>
        <v>#N/A</v>
      </c>
      <c r="E107" s="125" t="str">
        <f t="shared" si="2"/>
        <v>#N/A</v>
      </c>
      <c r="F107" s="120" t="str">
        <f>VLOOKUP(A107,'Classement Général'!$B$2:$B$146,1,0)</f>
        <v>#N/A</v>
      </c>
    </row>
    <row r="108" ht="14.25" customHeight="1">
      <c r="A108" s="127"/>
      <c r="B108" s="103">
        <v>107.0</v>
      </c>
      <c r="C108" s="123">
        <f t="shared" si="1"/>
        <v>-560.849415</v>
      </c>
      <c r="D108" s="124" t="str">
        <f>VLOOKUP(A108,'Classement S6'!$B$2:$C$150,1,0)</f>
        <v>#N/A</v>
      </c>
      <c r="E108" s="125" t="str">
        <f t="shared" si="2"/>
        <v>#N/A</v>
      </c>
      <c r="F108" s="120" t="str">
        <f>VLOOKUP(A108,'Classement Général'!$B$2:$B$146,1,0)</f>
        <v>#N/A</v>
      </c>
    </row>
    <row r="109" ht="14.25" customHeight="1">
      <c r="A109" s="127"/>
      <c r="B109" s="103">
        <v>108.0</v>
      </c>
      <c r="C109" s="123">
        <f t="shared" si="1"/>
        <v>-571.2038414</v>
      </c>
      <c r="D109" s="124" t="str">
        <f>VLOOKUP(A109,'Classement S6'!$B$2:$C$150,1,0)</f>
        <v>#N/A</v>
      </c>
      <c r="E109" s="125" t="str">
        <f t="shared" si="2"/>
        <v>#N/A</v>
      </c>
      <c r="F109" s="120" t="str">
        <f>VLOOKUP(A109,'Classement Général'!$B$2:$B$146,1,0)</f>
        <v>#N/A</v>
      </c>
    </row>
    <row r="110" ht="14.25" customHeight="1">
      <c r="A110" s="127"/>
      <c r="B110" s="103">
        <v>109.0</v>
      </c>
      <c r="C110" s="123">
        <f t="shared" si="1"/>
        <v>-581.5196013</v>
      </c>
      <c r="D110" s="124" t="str">
        <f>VLOOKUP(A110,'Classement S6'!$B$2:$C$150,1,0)</f>
        <v>#N/A</v>
      </c>
      <c r="E110" s="125" t="str">
        <f t="shared" si="2"/>
        <v>#N/A</v>
      </c>
      <c r="F110" s="120" t="str">
        <f>VLOOKUP(A110,'Classement Général'!$B$2:$B$146,1,0)</f>
        <v>#N/A</v>
      </c>
    </row>
    <row r="111" ht="14.25" customHeight="1">
      <c r="A111" s="127"/>
      <c r="B111" s="103">
        <v>110.0</v>
      </c>
      <c r="C111" s="123">
        <f t="shared" si="1"/>
        <v>-591.797305</v>
      </c>
      <c r="D111" s="124" t="str">
        <f>VLOOKUP(A111,'Classement S6'!$B$2:$C$150,1,0)</f>
        <v>#N/A</v>
      </c>
      <c r="E111" s="125" t="str">
        <f t="shared" si="2"/>
        <v>#N/A</v>
      </c>
      <c r="F111" s="120" t="str">
        <f>VLOOKUP(A111,'Classement Général'!$B$2:$B$146,1,0)</f>
        <v>#N/A</v>
      </c>
    </row>
    <row r="112" ht="14.25" customHeight="1">
      <c r="A112" s="127"/>
      <c r="B112" s="103">
        <v>111.0</v>
      </c>
      <c r="C112" s="123">
        <f t="shared" si="1"/>
        <v>-602.0375465</v>
      </c>
      <c r="D112" s="124" t="str">
        <f>VLOOKUP(A112,'Classement S6'!$B$2:$C$150,1,0)</f>
        <v>#N/A</v>
      </c>
      <c r="E112" s="125" t="str">
        <f t="shared" si="2"/>
        <v>#N/A</v>
      </c>
      <c r="F112" s="120" t="str">
        <f>VLOOKUP(A112,'Classement Général'!$B$2:$B$146,1,0)</f>
        <v>#N/A</v>
      </c>
    </row>
    <row r="113" ht="14.25" customHeight="1">
      <c r="A113" s="127"/>
      <c r="B113" s="103">
        <v>112.0</v>
      </c>
      <c r="C113" s="123">
        <f t="shared" si="1"/>
        <v>-612.2409049</v>
      </c>
      <c r="D113" s="124" t="str">
        <f>VLOOKUP(A113,'Classement S6'!$B$2:$C$150,1,0)</f>
        <v>#N/A</v>
      </c>
      <c r="E113" s="125" t="str">
        <f t="shared" si="2"/>
        <v>#N/A</v>
      </c>
      <c r="F113" s="120" t="str">
        <f>VLOOKUP(A113,'Classement Général'!$B$2:$B$146,1,0)</f>
        <v>#N/A</v>
      </c>
    </row>
    <row r="114" ht="14.25" customHeight="1">
      <c r="A114" s="127"/>
      <c r="B114" s="103">
        <v>113.0</v>
      </c>
      <c r="C114" s="123">
        <f t="shared" si="1"/>
        <v>-622.4079442</v>
      </c>
      <c r="D114" s="124" t="str">
        <f>VLOOKUP(A114,'Classement S6'!$B$2:$C$150,1,0)</f>
        <v>#N/A</v>
      </c>
      <c r="E114" s="125" t="str">
        <f t="shared" si="2"/>
        <v>#N/A</v>
      </c>
      <c r="F114" s="120" t="str">
        <f>VLOOKUP(A114,'Classement Général'!$B$2:$B$146,1,0)</f>
        <v>#N/A</v>
      </c>
    </row>
    <row r="115" ht="14.25" customHeight="1">
      <c r="A115" s="127"/>
      <c r="B115" s="103">
        <v>114.0</v>
      </c>
      <c r="C115" s="123">
        <f t="shared" si="1"/>
        <v>-632.5392145</v>
      </c>
      <c r="D115" s="124" t="str">
        <f>VLOOKUP(A115,'Classement S6'!$B$2:$C$150,1,0)</f>
        <v>#N/A</v>
      </c>
      <c r="E115" s="125" t="str">
        <f t="shared" si="2"/>
        <v>#N/A</v>
      </c>
      <c r="F115" s="120" t="str">
        <f>VLOOKUP(A115,'Classement Général'!$B$2:$B$146,1,0)</f>
        <v>#N/A</v>
      </c>
    </row>
    <row r="116" ht="14.25" customHeight="1">
      <c r="A116" s="127"/>
      <c r="B116" s="103">
        <v>115.0</v>
      </c>
      <c r="C116" s="123">
        <f t="shared" si="1"/>
        <v>-642.6352519</v>
      </c>
      <c r="D116" s="124" t="str">
        <f>VLOOKUP(A116,'Classement S6'!$B$2:$C$150,1,0)</f>
        <v>#N/A</v>
      </c>
      <c r="E116" s="125" t="str">
        <f t="shared" si="2"/>
        <v>#N/A</v>
      </c>
      <c r="F116" s="120" t="str">
        <f>VLOOKUP(A116,'Classement Général'!$B$2:$B$146,1,0)</f>
        <v>#N/A</v>
      </c>
    </row>
    <row r="117" ht="14.25" customHeight="1">
      <c r="A117" s="127"/>
      <c r="B117" s="103">
        <v>116.0</v>
      </c>
      <c r="C117" s="123">
        <f t="shared" si="1"/>
        <v>-652.6965793</v>
      </c>
      <c r="D117" s="124" t="str">
        <f>VLOOKUP(A117,'Classement S6'!$B$2:$C$150,1,0)</f>
        <v>#N/A</v>
      </c>
      <c r="E117" s="125" t="str">
        <f t="shared" si="2"/>
        <v>#N/A</v>
      </c>
      <c r="F117" s="120" t="str">
        <f>VLOOKUP(A117,'Classement Général'!$B$2:$B$146,1,0)</f>
        <v>#N/A</v>
      </c>
    </row>
    <row r="118" ht="14.25" customHeight="1">
      <c r="A118" s="127"/>
      <c r="B118" s="103">
        <v>117.0</v>
      </c>
      <c r="C118" s="123">
        <f t="shared" si="1"/>
        <v>-662.7237069</v>
      </c>
      <c r="D118" s="124" t="str">
        <f>VLOOKUP(A118,'Classement S6'!$B$2:$C$150,1,0)</f>
        <v>#N/A</v>
      </c>
      <c r="E118" s="125" t="str">
        <f t="shared" si="2"/>
        <v>#N/A</v>
      </c>
      <c r="F118" s="120" t="str">
        <f>VLOOKUP(A118,'Classement Général'!$B$2:$B$146,1,0)</f>
        <v>#N/A</v>
      </c>
    </row>
    <row r="119" ht="14.25" customHeight="1">
      <c r="A119" s="127"/>
      <c r="B119" s="103">
        <v>118.0</v>
      </c>
      <c r="C119" s="123">
        <f t="shared" si="1"/>
        <v>-672.7171322</v>
      </c>
      <c r="D119" s="124" t="str">
        <f>VLOOKUP(A119,'Classement S6'!$B$2:$C$150,1,0)</f>
        <v>#N/A</v>
      </c>
      <c r="E119" s="125" t="str">
        <f t="shared" si="2"/>
        <v>#N/A</v>
      </c>
      <c r="F119" s="120" t="str">
        <f>VLOOKUP(A119,'Classement Général'!$B$2:$B$146,1,0)</f>
        <v>#N/A</v>
      </c>
    </row>
    <row r="120" ht="14.25" customHeight="1">
      <c r="A120" s="127"/>
      <c r="B120" s="103">
        <v>119.0</v>
      </c>
      <c r="C120" s="123">
        <f t="shared" si="1"/>
        <v>-682.6773411</v>
      </c>
      <c r="D120" s="124" t="str">
        <f>VLOOKUP(A120,'Classement S6'!$B$2:$C$150,1,0)</f>
        <v>#N/A</v>
      </c>
      <c r="E120" s="125" t="str">
        <f t="shared" si="2"/>
        <v>#N/A</v>
      </c>
      <c r="F120" s="120" t="str">
        <f>VLOOKUP(A120,'Classement Général'!$B$2:$B$146,1,0)</f>
        <v>#N/A</v>
      </c>
    </row>
    <row r="121" ht="14.25" customHeight="1">
      <c r="A121" s="127"/>
      <c r="B121" s="103">
        <v>120.0</v>
      </c>
      <c r="C121" s="123">
        <f t="shared" si="1"/>
        <v>-692.6048075</v>
      </c>
      <c r="D121" s="124" t="str">
        <f>VLOOKUP(A121,'Classement S6'!$B$2:$C$150,1,0)</f>
        <v>#N/A</v>
      </c>
      <c r="E121" s="125" t="str">
        <f t="shared" si="2"/>
        <v>#N/A</v>
      </c>
      <c r="F121" s="120" t="str">
        <f>VLOOKUP(A121,'Classement Général'!$B$2:$B$146,1,0)</f>
        <v>#N/A</v>
      </c>
    </row>
    <row r="122" ht="14.25" customHeight="1">
      <c r="A122" s="127"/>
      <c r="B122" s="103">
        <v>121.0</v>
      </c>
      <c r="C122" s="123">
        <f t="shared" si="1"/>
        <v>-702.4999945</v>
      </c>
      <c r="D122" s="124" t="str">
        <f>VLOOKUP(A122,'Classement S6'!$B$2:$C$150,1,0)</f>
        <v>#N/A</v>
      </c>
      <c r="E122" s="125" t="str">
        <f t="shared" si="2"/>
        <v>#N/A</v>
      </c>
      <c r="F122" s="120" t="str">
        <f>VLOOKUP(A122,'Classement Général'!$B$2:$B$146,1,0)</f>
        <v>#N/A</v>
      </c>
    </row>
    <row r="123" ht="14.25" customHeight="1">
      <c r="A123" s="127"/>
      <c r="B123" s="103">
        <v>122.0</v>
      </c>
      <c r="C123" s="123">
        <f t="shared" si="1"/>
        <v>-712.363354</v>
      </c>
      <c r="D123" s="124" t="str">
        <f>VLOOKUP(A123,'Classement S6'!$B$2:$C$150,1,0)</f>
        <v>#N/A</v>
      </c>
      <c r="E123" s="125" t="str">
        <f t="shared" si="2"/>
        <v>#N/A</v>
      </c>
      <c r="F123" s="120" t="str">
        <f>VLOOKUP(A123,'Classement Général'!$B$2:$B$146,1,0)</f>
        <v>#N/A</v>
      </c>
    </row>
    <row r="124" ht="14.25" customHeight="1">
      <c r="A124" s="127"/>
      <c r="B124" s="103">
        <v>123.0</v>
      </c>
      <c r="C124" s="123">
        <f t="shared" si="1"/>
        <v>-722.1953277</v>
      </c>
      <c r="D124" s="124" t="str">
        <f>VLOOKUP(A124,'Classement S6'!$B$2:$C$150,1,0)</f>
        <v>#N/A</v>
      </c>
      <c r="E124" s="125" t="str">
        <f t="shared" si="2"/>
        <v>#N/A</v>
      </c>
      <c r="F124" s="120" t="str">
        <f>VLOOKUP(A124,'Classement Général'!$B$2:$B$146,1,0)</f>
        <v>#N/A</v>
      </c>
    </row>
    <row r="125" ht="14.25" customHeight="1">
      <c r="A125" s="127"/>
      <c r="B125" s="103">
        <v>124.0</v>
      </c>
      <c r="C125" s="123">
        <f t="shared" si="1"/>
        <v>-731.9963468</v>
      </c>
      <c r="D125" s="124" t="str">
        <f>VLOOKUP(A125,'Classement S6'!$B$2:$C$150,1,0)</f>
        <v>#N/A</v>
      </c>
      <c r="E125" s="125" t="str">
        <f t="shared" si="2"/>
        <v>#N/A</v>
      </c>
      <c r="F125" s="120" t="str">
        <f>VLOOKUP(A125,'Classement Général'!$B$2:$B$146,1,0)</f>
        <v>#N/A</v>
      </c>
    </row>
    <row r="126" ht="14.25" customHeight="1">
      <c r="A126" s="127"/>
      <c r="B126" s="103">
        <v>125.0</v>
      </c>
      <c r="C126" s="123">
        <f t="shared" si="1"/>
        <v>-741.7668329</v>
      </c>
      <c r="D126" s="124" t="str">
        <f>VLOOKUP(A126,'Classement S6'!$B$2:$C$150,1,0)</f>
        <v>#N/A</v>
      </c>
      <c r="E126" s="125" t="str">
        <f t="shared" si="2"/>
        <v>#N/A</v>
      </c>
      <c r="F126" s="120" t="str">
        <f>VLOOKUP(A126,'Classement Général'!$B$2:$B$146,1,0)</f>
        <v>#N/A</v>
      </c>
    </row>
    <row r="127" ht="14.25" customHeight="1">
      <c r="A127" s="127"/>
      <c r="B127" s="103">
        <v>126.0</v>
      </c>
      <c r="C127" s="123">
        <f t="shared" si="1"/>
        <v>-751.5071981</v>
      </c>
      <c r="D127" s="124" t="str">
        <f>VLOOKUP(A127,'Classement S6'!$B$2:$C$150,1,0)</f>
        <v>#N/A</v>
      </c>
      <c r="E127" s="125" t="str">
        <f t="shared" si="2"/>
        <v>#N/A</v>
      </c>
      <c r="F127" s="120" t="str">
        <f>VLOOKUP(A127,'Classement Général'!$B$2:$B$146,1,0)</f>
        <v>#N/A</v>
      </c>
    </row>
    <row r="128" ht="14.25" customHeight="1">
      <c r="A128" s="127"/>
      <c r="B128" s="103">
        <v>127.0</v>
      </c>
      <c r="C128" s="123">
        <f t="shared" si="1"/>
        <v>-761.2178449</v>
      </c>
      <c r="D128" s="124" t="str">
        <f>VLOOKUP(A128,'Classement S6'!$B$2:$C$150,1,0)</f>
        <v>#N/A</v>
      </c>
      <c r="E128" s="125" t="str">
        <f t="shared" si="2"/>
        <v>#N/A</v>
      </c>
      <c r="F128" s="120" t="str">
        <f>VLOOKUP(A128,'Classement Général'!$B$2:$B$146,1,0)</f>
        <v>#N/A</v>
      </c>
    </row>
    <row r="129" ht="14.25" customHeight="1">
      <c r="A129" s="127"/>
      <c r="B129" s="103">
        <v>128.0</v>
      </c>
      <c r="C129" s="123">
        <f t="shared" si="1"/>
        <v>-770.8991673</v>
      </c>
      <c r="D129" s="124" t="str">
        <f>VLOOKUP(A129,'Classement S6'!$B$2:$C$150,1,0)</f>
        <v>#N/A</v>
      </c>
      <c r="E129" s="125" t="str">
        <f t="shared" si="2"/>
        <v>#N/A</v>
      </c>
      <c r="F129" s="120" t="str">
        <f>VLOOKUP(A129,'Classement Général'!$B$2:$B$146,1,0)</f>
        <v>#N/A</v>
      </c>
    </row>
    <row r="130" ht="14.25" customHeight="1">
      <c r="A130" s="127"/>
      <c r="B130" s="103">
        <v>129.0</v>
      </c>
      <c r="C130" s="123">
        <f t="shared" si="1"/>
        <v>-780.5515504</v>
      </c>
      <c r="D130" s="124" t="str">
        <f>VLOOKUP(A130,'Classement S6'!$B$2:$C$150,1,0)</f>
        <v>#N/A</v>
      </c>
      <c r="E130" s="125" t="str">
        <f t="shared" si="2"/>
        <v>#N/A</v>
      </c>
      <c r="F130" s="120" t="str">
        <f>VLOOKUP(A130,'Classement Général'!$B$2:$B$146,1,0)</f>
        <v>#N/A</v>
      </c>
    </row>
    <row r="131" ht="14.25" customHeight="1">
      <c r="A131" s="127"/>
      <c r="B131" s="103">
        <v>130.0</v>
      </c>
      <c r="C131" s="123">
        <f t="shared" si="1"/>
        <v>-790.1753708</v>
      </c>
      <c r="D131" s="124" t="str">
        <f>VLOOKUP(A131,'Classement S6'!$B$2:$C$150,1,0)</f>
        <v>#N/A</v>
      </c>
      <c r="E131" s="125" t="str">
        <f t="shared" si="2"/>
        <v>#N/A</v>
      </c>
      <c r="F131" s="120" t="str">
        <f>VLOOKUP(A131,'Classement Général'!$B$2:$B$146,1,0)</f>
        <v>#N/A</v>
      </c>
    </row>
    <row r="132" ht="14.25" customHeight="1">
      <c r="A132" s="127"/>
      <c r="B132" s="103">
        <v>131.0</v>
      </c>
      <c r="C132" s="123">
        <f t="shared" si="1"/>
        <v>-799.770997</v>
      </c>
      <c r="D132" s="124" t="str">
        <f>VLOOKUP(A132,'Classement S6'!$B$2:$C$150,1,0)</f>
        <v>#N/A</v>
      </c>
      <c r="E132" s="125" t="str">
        <f t="shared" si="2"/>
        <v>#N/A</v>
      </c>
      <c r="F132" s="120" t="str">
        <f>VLOOKUP(A132,'Classement Général'!$B$2:$B$146,1,0)</f>
        <v>#N/A</v>
      </c>
    </row>
    <row r="133" ht="14.25" customHeight="1">
      <c r="A133" s="127"/>
      <c r="B133" s="103">
        <v>132.0</v>
      </c>
      <c r="C133" s="123">
        <f t="shared" si="1"/>
        <v>-809.3387897</v>
      </c>
      <c r="D133" s="124" t="str">
        <f>VLOOKUP(A133,'Classement S6'!$B$2:$C$150,1,0)</f>
        <v>#N/A</v>
      </c>
      <c r="E133" s="125" t="str">
        <f t="shared" si="2"/>
        <v>#N/A</v>
      </c>
      <c r="F133" s="120" t="str">
        <f>VLOOKUP(A133,'Classement Général'!$B$2:$B$146,1,0)</f>
        <v>#N/A</v>
      </c>
    </row>
    <row r="134" ht="14.25" customHeight="1">
      <c r="A134" s="127"/>
      <c r="B134" s="103">
        <v>133.0</v>
      </c>
      <c r="C134" s="123">
        <f t="shared" si="1"/>
        <v>-818.8791016</v>
      </c>
      <c r="D134" s="124" t="str">
        <f>VLOOKUP(A134,'Classement S6'!$B$2:$C$150,1,0)</f>
        <v>#N/A</v>
      </c>
      <c r="E134" s="125" t="str">
        <f t="shared" si="2"/>
        <v>#N/A</v>
      </c>
      <c r="F134" s="120" t="str">
        <f>VLOOKUP(A134,'Classement Général'!$B$2:$B$146,1,0)</f>
        <v>#N/A</v>
      </c>
    </row>
    <row r="135" ht="14.25" customHeight="1">
      <c r="A135" s="127"/>
      <c r="B135" s="103">
        <v>134.0</v>
      </c>
      <c r="C135" s="123">
        <f t="shared" si="1"/>
        <v>-828.3922783</v>
      </c>
      <c r="D135" s="124" t="str">
        <f>VLOOKUP(A135,'Classement S6'!$B$2:$C$150,1,0)</f>
        <v>#N/A</v>
      </c>
      <c r="E135" s="125" t="str">
        <f t="shared" si="2"/>
        <v>#N/A</v>
      </c>
      <c r="F135" s="120" t="str">
        <f>VLOOKUP(A135,'Classement Général'!$B$2:$B$146,1,0)</f>
        <v>#N/A</v>
      </c>
    </row>
    <row r="136" ht="14.25" customHeight="1">
      <c r="A136" s="127"/>
      <c r="B136" s="103">
        <v>135.0</v>
      </c>
      <c r="C136" s="123">
        <f t="shared" si="1"/>
        <v>-837.878658</v>
      </c>
      <c r="D136" s="124" t="str">
        <f>VLOOKUP(A136,'Classement S6'!$B$2:$C$150,1,0)</f>
        <v>#N/A</v>
      </c>
      <c r="E136" s="125" t="str">
        <f t="shared" si="2"/>
        <v>#N/A</v>
      </c>
      <c r="F136" s="120" t="str">
        <f>VLOOKUP(A136,'Classement Général'!$B$2:$B$146,1,0)</f>
        <v>#N/A</v>
      </c>
    </row>
    <row r="137" ht="14.25" customHeight="1">
      <c r="A137" s="127"/>
      <c r="B137" s="103">
        <v>136.0</v>
      </c>
      <c r="C137" s="123">
        <f t="shared" si="1"/>
        <v>-847.3385716</v>
      </c>
      <c r="D137" s="124" t="str">
        <f>VLOOKUP(A137,'Classement S6'!$B$2:$C$150,1,0)</f>
        <v>#N/A</v>
      </c>
      <c r="E137" s="125" t="str">
        <f t="shared" si="2"/>
        <v>#N/A</v>
      </c>
      <c r="F137" s="120" t="str">
        <f>VLOOKUP(A137,'Classement Général'!$B$2:$B$146,1,0)</f>
        <v>#N/A</v>
      </c>
    </row>
    <row r="138" ht="14.25" customHeight="1">
      <c r="A138" s="127"/>
      <c r="B138" s="103">
        <v>137.0</v>
      </c>
      <c r="C138" s="123">
        <f t="shared" si="1"/>
        <v>-856.7723437</v>
      </c>
      <c r="D138" s="124" t="str">
        <f>VLOOKUP(A138,'Classement S6'!$B$2:$C$150,1,0)</f>
        <v>#N/A</v>
      </c>
      <c r="E138" s="125" t="str">
        <f t="shared" si="2"/>
        <v>#N/A</v>
      </c>
      <c r="F138" s="120" t="str">
        <f>VLOOKUP(A138,'Classement Général'!$B$2:$B$146,1,0)</f>
        <v>#N/A</v>
      </c>
    </row>
    <row r="139" ht="14.25" customHeight="1">
      <c r="A139" s="127"/>
      <c r="B139" s="103">
        <v>138.0</v>
      </c>
      <c r="C139" s="123">
        <f t="shared" si="1"/>
        <v>-866.1802917</v>
      </c>
      <c r="D139" s="124" t="str">
        <f>VLOOKUP(A139,'Classement S6'!$B$2:$C$150,1,0)</f>
        <v>#N/A</v>
      </c>
      <c r="E139" s="125" t="str">
        <f t="shared" si="2"/>
        <v>#N/A</v>
      </c>
      <c r="F139" s="120" t="str">
        <f>VLOOKUP(A139,'Classement Général'!$B$2:$B$146,1,0)</f>
        <v>#N/A</v>
      </c>
    </row>
    <row r="140" ht="14.25" customHeight="1">
      <c r="A140" s="127"/>
      <c r="B140" s="103">
        <v>139.0</v>
      </c>
      <c r="C140" s="123">
        <f t="shared" si="1"/>
        <v>-875.5627269</v>
      </c>
      <c r="D140" s="124" t="str">
        <f>VLOOKUP(A140,'Classement S6'!$B$2:$C$150,1,0)</f>
        <v>#N/A</v>
      </c>
      <c r="E140" s="125" t="str">
        <f t="shared" si="2"/>
        <v>#N/A</v>
      </c>
      <c r="F140" s="120" t="str">
        <f>VLOOKUP(A140,'Classement Général'!$B$2:$B$146,1,0)</f>
        <v>#N/A</v>
      </c>
    </row>
    <row r="141" ht="14.25" customHeight="1">
      <c r="A141" s="127"/>
      <c r="B141" s="103">
        <v>140.0</v>
      </c>
      <c r="C141" s="123">
        <f t="shared" si="1"/>
        <v>-884.9199543</v>
      </c>
      <c r="D141" s="124" t="str">
        <f>VLOOKUP(A141,'Classement S6'!$B$2:$C$150,1,0)</f>
        <v>#N/A</v>
      </c>
      <c r="E141" s="125" t="str">
        <f t="shared" si="2"/>
        <v>#N/A</v>
      </c>
      <c r="F141" s="120" t="str">
        <f>VLOOKUP(A141,'Classement Général'!$B$2:$B$146,1,0)</f>
        <v>#N/A</v>
      </c>
    </row>
    <row r="142" ht="14.25" customHeight="1">
      <c r="A142" s="127"/>
      <c r="B142" s="103">
        <v>141.0</v>
      </c>
      <c r="C142" s="123">
        <f t="shared" si="1"/>
        <v>-894.2522725</v>
      </c>
      <c r="D142" s="124" t="str">
        <f>VLOOKUP(A142,'Classement S6'!$B$2:$C$150,1,0)</f>
        <v>#N/A</v>
      </c>
      <c r="E142" s="125" t="str">
        <f t="shared" si="2"/>
        <v>#N/A</v>
      </c>
      <c r="F142" s="120" t="str">
        <f>VLOOKUP(A142,'Classement Général'!$B$2:$B$146,1,0)</f>
        <v>#N/A</v>
      </c>
    </row>
    <row r="143" ht="14.25" customHeight="1">
      <c r="A143" s="127"/>
      <c r="B143" s="103">
        <v>142.0</v>
      </c>
      <c r="C143" s="123">
        <f t="shared" si="1"/>
        <v>-903.5599746</v>
      </c>
      <c r="D143" s="124" t="str">
        <f>VLOOKUP(A143,'Classement S6'!$B$2:$C$150,1,0)</f>
        <v>#N/A</v>
      </c>
      <c r="E143" s="125" t="str">
        <f t="shared" si="2"/>
        <v>#N/A</v>
      </c>
      <c r="F143" s="120" t="str">
        <f>VLOOKUP(A143,'Classement Général'!$B$2:$B$146,1,0)</f>
        <v>#N/A</v>
      </c>
    </row>
    <row r="144" ht="14.25" customHeight="1">
      <c r="A144" s="127"/>
      <c r="B144" s="103">
        <v>143.0</v>
      </c>
      <c r="C144" s="123">
        <f t="shared" si="1"/>
        <v>-912.8433476</v>
      </c>
      <c r="D144" s="124" t="str">
        <f>VLOOKUP(A144,'Classement S6'!$B$2:$C$150,1,0)</f>
        <v>#N/A</v>
      </c>
      <c r="E144" s="125" t="str">
        <f t="shared" si="2"/>
        <v>#N/A</v>
      </c>
      <c r="F144" s="120" t="str">
        <f>VLOOKUP(A144,'Classement Général'!$B$2:$B$146,1,0)</f>
        <v>#N/A</v>
      </c>
    </row>
    <row r="145" ht="14.25" customHeight="1">
      <c r="A145" s="127"/>
      <c r="B145" s="103">
        <v>144.0</v>
      </c>
      <c r="C145" s="123">
        <f t="shared" si="1"/>
        <v>-922.102673</v>
      </c>
      <c r="D145" s="124" t="str">
        <f>VLOOKUP(A145,'Classement S6'!$B$2:$C$150,1,0)</f>
        <v>#N/A</v>
      </c>
      <c r="E145" s="125" t="str">
        <f t="shared" si="2"/>
        <v>#N/A</v>
      </c>
      <c r="F145" s="120" t="str">
        <f>VLOOKUP(A145,'Classement Général'!$B$2:$B$146,1,0)</f>
        <v>#N/A</v>
      </c>
    </row>
    <row r="146" ht="14.25" customHeight="1">
      <c r="A146" s="127"/>
      <c r="B146" s="103">
        <v>145.0</v>
      </c>
      <c r="C146" s="123">
        <f t="shared" si="1"/>
        <v>-931.3382268</v>
      </c>
      <c r="D146" s="124" t="str">
        <f>VLOOKUP(A146,'Classement S6'!$B$2:$C$150,1,0)</f>
        <v>#N/A</v>
      </c>
      <c r="E146" s="125" t="str">
        <f t="shared" si="2"/>
        <v>#N/A</v>
      </c>
      <c r="F146" s="120" t="str">
        <f>VLOOKUP(A146,'Classement Général'!$B$2:$B$146,1,0)</f>
        <v>#N/A</v>
      </c>
    </row>
    <row r="147" ht="14.25" customHeight="1">
      <c r="A147" s="127"/>
      <c r="B147" s="103">
        <v>146.0</v>
      </c>
      <c r="C147" s="123">
        <f t="shared" si="1"/>
        <v>-940.5502797</v>
      </c>
      <c r="D147" s="124" t="str">
        <f>VLOOKUP(A147,'Classement S6'!$B$2:$C$150,1,0)</f>
        <v>#N/A</v>
      </c>
      <c r="E147" s="125" t="str">
        <f t="shared" si="2"/>
        <v>#N/A</v>
      </c>
      <c r="F147" s="120" t="str">
        <f>VLOOKUP(A147,'Classement Général'!$B$2:$B$146,1,0)</f>
        <v>#N/A</v>
      </c>
    </row>
    <row r="148" ht="14.25" customHeight="1">
      <c r="A148" s="127"/>
      <c r="B148" s="103">
        <v>147.0</v>
      </c>
      <c r="C148" s="123">
        <f t="shared" si="1"/>
        <v>-949.7390974</v>
      </c>
      <c r="D148" s="124" t="str">
        <f>VLOOKUP(A148,'Classement S6'!$B$2:$C$150,1,0)</f>
        <v>#N/A</v>
      </c>
      <c r="E148" s="125" t="str">
        <f t="shared" si="2"/>
        <v>#N/A</v>
      </c>
      <c r="F148" s="120" t="str">
        <f>VLOOKUP(A148,'Classement Général'!$B$2:$B$146,1,0)</f>
        <v>#N/A</v>
      </c>
    </row>
    <row r="149" ht="14.25" customHeight="1">
      <c r="A149" s="127"/>
      <c r="B149" s="103">
        <v>148.0</v>
      </c>
      <c r="C149" s="123">
        <f t="shared" si="1"/>
        <v>-958.9049401</v>
      </c>
      <c r="D149" s="124" t="str">
        <f>VLOOKUP(A149,'Classement S6'!$B$2:$C$150,1,0)</f>
        <v>#N/A</v>
      </c>
      <c r="E149" s="125" t="str">
        <f t="shared" si="2"/>
        <v>#N/A</v>
      </c>
      <c r="F149" s="120" t="str">
        <f>VLOOKUP(A149,'Classement Général'!$B$2:$B$146,1,0)</f>
        <v>#N/A</v>
      </c>
    </row>
    <row r="150" ht="14.25" customHeight="1">
      <c r="A150" s="127"/>
      <c r="B150" s="103">
        <v>149.0</v>
      </c>
      <c r="C150" s="123">
        <f t="shared" si="1"/>
        <v>-968.0480637</v>
      </c>
      <c r="D150" s="124" t="str">
        <f>VLOOKUP(A150,'Classement S6'!$B$2:$C$150,1,0)</f>
        <v>#N/A</v>
      </c>
      <c r="E150" s="125" t="str">
        <f t="shared" si="2"/>
        <v>#N/A</v>
      </c>
      <c r="F150" s="120" t="str">
        <f>VLOOKUP(A150,'Classement Général'!$B$2:$B$146,1,0)</f>
        <v>#N/A</v>
      </c>
    </row>
    <row r="151" ht="14.25" customHeight="1">
      <c r="A151" s="127"/>
      <c r="B151" s="103">
        <v>150.0</v>
      </c>
      <c r="C151" s="123">
        <f t="shared" si="1"/>
        <v>-977.1687187</v>
      </c>
      <c r="D151" s="124" t="str">
        <f>VLOOKUP(A151,'Classement S6'!$B$2:$C$150,1,0)</f>
        <v>#N/A</v>
      </c>
      <c r="E151" s="125" t="str">
        <f t="shared" si="2"/>
        <v>#N/A</v>
      </c>
      <c r="F151" s="120" t="str">
        <f>VLOOKUP(A151,'Classement Général'!$B$2:$B$146,1,0)</f>
        <v>#N/A</v>
      </c>
    </row>
    <row r="152" ht="14.25" customHeight="1">
      <c r="A152" s="127"/>
      <c r="B152" s="103">
        <v>151.0</v>
      </c>
      <c r="C152" s="123">
        <f t="shared" si="1"/>
        <v>-986.2671515</v>
      </c>
      <c r="D152" s="124" t="str">
        <f>VLOOKUP(A152,'Classement S6'!$B$2:$C$150,1,0)</f>
        <v>#N/A</v>
      </c>
      <c r="E152" s="125" t="str">
        <f t="shared" si="2"/>
        <v>#N/A</v>
      </c>
      <c r="F152" s="120" t="str">
        <f>VLOOKUP(A152,'Classement Général'!$B$2:$B$146,1,0)</f>
        <v>#N/A</v>
      </c>
    </row>
    <row r="153" ht="14.25" customHeight="1">
      <c r="A153" s="127"/>
      <c r="B153" s="103">
        <v>152.0</v>
      </c>
      <c r="C153" s="123">
        <f t="shared" si="1"/>
        <v>-995.3436035</v>
      </c>
      <c r="D153" s="124" t="str">
        <f>VLOOKUP(A153,'Classement S6'!$B$2:$C$150,1,0)</f>
        <v>#N/A</v>
      </c>
      <c r="E153" s="125" t="str">
        <f t="shared" si="2"/>
        <v>#N/A</v>
      </c>
      <c r="F153" s="120" t="str">
        <f>VLOOKUP(A153,'Classement Général'!$B$2:$B$146,1,0)</f>
        <v>#N/A</v>
      </c>
    </row>
    <row r="154" ht="14.25" customHeight="1">
      <c r="A154" s="127"/>
      <c r="B154" s="103">
        <v>153.0</v>
      </c>
      <c r="C154" s="123">
        <f t="shared" si="1"/>
        <v>-1004.398312</v>
      </c>
      <c r="D154" s="124" t="str">
        <f>VLOOKUP(A154,'Classement S6'!$B$2:$C$150,1,0)</f>
        <v>#N/A</v>
      </c>
      <c r="E154" s="125" t="str">
        <f t="shared" si="2"/>
        <v>#N/A</v>
      </c>
      <c r="F154" s="120" t="str">
        <f>VLOOKUP(A154,'Classement Général'!$B$2:$B$146,1,0)</f>
        <v>#N/A</v>
      </c>
    </row>
    <row r="155" ht="14.25" customHeight="1">
      <c r="A155" s="127"/>
      <c r="B155" s="103">
        <v>154.0</v>
      </c>
      <c r="C155" s="123">
        <f t="shared" si="1"/>
        <v>-1013.43151</v>
      </c>
      <c r="D155" s="124" t="str">
        <f>VLOOKUP(A155,'Classement S6'!$B$2:$C$150,1,0)</f>
        <v>#N/A</v>
      </c>
      <c r="E155" s="125" t="str">
        <f t="shared" si="2"/>
        <v>#N/A</v>
      </c>
      <c r="F155" s="120" t="str">
        <f>VLOOKUP(A155,'Classement Général'!$B$2:$B$146,1,0)</f>
        <v>#N/A</v>
      </c>
    </row>
    <row r="156" ht="14.25" customHeight="1">
      <c r="A156" s="127"/>
      <c r="B156" s="103">
        <v>155.0</v>
      </c>
      <c r="C156" s="123">
        <f t="shared" si="1"/>
        <v>-1022.443426</v>
      </c>
      <c r="D156" s="124" t="str">
        <f>VLOOKUP(A156,'Classement S6'!$B$2:$C$150,1,0)</f>
        <v>#N/A</v>
      </c>
      <c r="E156" s="125" t="str">
        <f t="shared" si="2"/>
        <v>#N/A</v>
      </c>
      <c r="F156" s="120" t="str">
        <f>VLOOKUP(A156,'Classement Général'!$B$2:$B$146,1,0)</f>
        <v>#N/A</v>
      </c>
    </row>
    <row r="157" ht="14.25" customHeight="1">
      <c r="A157" s="127"/>
      <c r="B157" s="103">
        <v>156.0</v>
      </c>
      <c r="C157" s="123">
        <f t="shared" si="1"/>
        <v>-1031.434284</v>
      </c>
      <c r="D157" s="124" t="str">
        <f>VLOOKUP(A157,'Classement S6'!$B$2:$C$150,1,0)</f>
        <v>#N/A</v>
      </c>
      <c r="E157" s="125" t="str">
        <f t="shared" si="2"/>
        <v>#N/A</v>
      </c>
      <c r="F157" s="120" t="str">
        <f>VLOOKUP(A157,'Classement Général'!$B$2:$B$146,1,0)</f>
        <v>#N/A</v>
      </c>
    </row>
    <row r="158" ht="14.25" customHeight="1">
      <c r="A158" s="127"/>
      <c r="B158" s="103">
        <v>157.0</v>
      </c>
      <c r="C158" s="123">
        <f t="shared" si="1"/>
        <v>-1040.404306</v>
      </c>
      <c r="D158" s="124" t="str">
        <f>VLOOKUP(A158,'Classement S6'!$B$2:$C$150,1,0)</f>
        <v>#N/A</v>
      </c>
      <c r="E158" s="125" t="str">
        <f t="shared" si="2"/>
        <v>#N/A</v>
      </c>
      <c r="F158" s="120" t="str">
        <f>VLOOKUP(A158,'Classement Général'!$B$2:$B$146,1,0)</f>
        <v>#N/A</v>
      </c>
    </row>
    <row r="159" ht="14.25" customHeight="1">
      <c r="A159" s="127"/>
      <c r="B159" s="103">
        <v>158.0</v>
      </c>
      <c r="C159" s="123">
        <f t="shared" si="1"/>
        <v>-1049.353707</v>
      </c>
      <c r="D159" s="124" t="str">
        <f>VLOOKUP(A159,'Classement S6'!$B$2:$C$150,1,0)</f>
        <v>#N/A</v>
      </c>
      <c r="E159" s="125" t="str">
        <f t="shared" si="2"/>
        <v>#N/A</v>
      </c>
      <c r="F159" s="120" t="str">
        <f>VLOOKUP(A159,'Classement Général'!$B$2:$B$146,1,0)</f>
        <v>#N/A</v>
      </c>
    </row>
    <row r="160" ht="14.25" customHeight="1">
      <c r="A160" s="127"/>
      <c r="B160" s="103">
        <v>159.0</v>
      </c>
      <c r="C160" s="123">
        <f t="shared" si="1"/>
        <v>-1058.282701</v>
      </c>
      <c r="D160" s="124" t="str">
        <f>VLOOKUP(A160,'Classement S6'!$B$2:$C$150,1,0)</f>
        <v>#N/A</v>
      </c>
      <c r="E160" s="125" t="str">
        <f t="shared" si="2"/>
        <v>#N/A</v>
      </c>
      <c r="F160" s="120" t="str">
        <f>VLOOKUP(A160,'Classement Général'!$B$2:$B$146,1,0)</f>
        <v>#N/A</v>
      </c>
    </row>
    <row r="161" ht="14.25" customHeight="1">
      <c r="A161" s="127"/>
      <c r="B161" s="103">
        <v>160.0</v>
      </c>
      <c r="C161" s="123">
        <f t="shared" si="1"/>
        <v>-1067.191497</v>
      </c>
      <c r="D161" s="124" t="str">
        <f>VLOOKUP(A161,'Classement S6'!$B$2:$C$150,1,0)</f>
        <v>#N/A</v>
      </c>
      <c r="E161" s="125" t="str">
        <f t="shared" si="2"/>
        <v>#N/A</v>
      </c>
      <c r="F161" s="120" t="str">
        <f>VLOOKUP(A161,'Classement Général'!$B$2:$B$146,1,0)</f>
        <v>#N/A</v>
      </c>
    </row>
    <row r="162" ht="14.25" customHeight="1">
      <c r="B162" s="128"/>
    </row>
    <row r="163" ht="14.25" customHeight="1">
      <c r="B163" s="128"/>
    </row>
    <row r="164" ht="14.25" customHeight="1">
      <c r="B164" s="128"/>
    </row>
    <row r="165" ht="14.25" customHeight="1">
      <c r="B165" s="128"/>
    </row>
    <row r="166" ht="14.25" customHeight="1">
      <c r="B166" s="128"/>
    </row>
    <row r="167" ht="14.25" customHeight="1">
      <c r="B167" s="128"/>
    </row>
    <row r="168" ht="14.25" customHeight="1">
      <c r="B168" s="128"/>
    </row>
    <row r="169" ht="14.25" customHeight="1">
      <c r="B169" s="128"/>
    </row>
    <row r="170" ht="14.25" customHeight="1">
      <c r="B170" s="128"/>
    </row>
    <row r="171" ht="14.25" customHeight="1">
      <c r="B171" s="128"/>
    </row>
    <row r="172" ht="14.25" customHeight="1">
      <c r="B172" s="128"/>
    </row>
    <row r="173" ht="14.25" customHeight="1">
      <c r="B173" s="128"/>
    </row>
    <row r="174" ht="14.25" customHeight="1">
      <c r="B174" s="128"/>
    </row>
    <row r="175" ht="14.25" customHeight="1">
      <c r="B175" s="128"/>
    </row>
    <row r="176" ht="14.25" customHeight="1">
      <c r="B176" s="128"/>
    </row>
    <row r="177" ht="14.25" customHeight="1">
      <c r="B177" s="128"/>
    </row>
    <row r="178" ht="14.25" customHeight="1">
      <c r="B178" s="128"/>
    </row>
    <row r="179" ht="14.25" customHeight="1">
      <c r="B179" s="128"/>
    </row>
    <row r="180" ht="14.25" customHeight="1">
      <c r="B180" s="128"/>
    </row>
    <row r="181" ht="14.25" customHeight="1">
      <c r="B181" s="128"/>
    </row>
    <row r="182" ht="14.25" customHeight="1">
      <c r="B182" s="128"/>
    </row>
    <row r="183" ht="14.25" customHeight="1">
      <c r="B183" s="128"/>
    </row>
    <row r="184" ht="14.25" customHeight="1">
      <c r="B184" s="128"/>
    </row>
    <row r="185" ht="14.25" customHeight="1">
      <c r="B185" s="128"/>
    </row>
    <row r="186" ht="14.25" customHeight="1">
      <c r="B186" s="128"/>
    </row>
    <row r="187" ht="14.25" customHeight="1">
      <c r="B187" s="128"/>
    </row>
    <row r="188" ht="14.25" customHeight="1">
      <c r="B188" s="128"/>
    </row>
    <row r="189" ht="14.25" customHeight="1">
      <c r="B189" s="128"/>
    </row>
    <row r="190" ht="14.25" customHeight="1">
      <c r="B190" s="128"/>
    </row>
    <row r="191" ht="14.25" customHeight="1">
      <c r="B191" s="128"/>
    </row>
    <row r="192" ht="14.25" customHeight="1">
      <c r="B192" s="128"/>
    </row>
    <row r="193" ht="14.25" customHeight="1">
      <c r="B193" s="128"/>
    </row>
    <row r="194" ht="14.25" customHeight="1">
      <c r="B194" s="128"/>
    </row>
    <row r="195" ht="14.25" customHeight="1">
      <c r="B195" s="128"/>
    </row>
    <row r="196" ht="14.25" customHeight="1">
      <c r="B196" s="128"/>
    </row>
    <row r="197" ht="14.25" customHeight="1">
      <c r="B197" s="128"/>
    </row>
    <row r="198" ht="14.25" customHeight="1">
      <c r="B198" s="128"/>
    </row>
    <row r="199" ht="14.25" customHeight="1">
      <c r="B199" s="128"/>
    </row>
    <row r="200" ht="14.25" customHeight="1">
      <c r="B200" s="128"/>
    </row>
    <row r="201" ht="14.25" customHeight="1">
      <c r="B201" s="128"/>
    </row>
    <row r="202" ht="14.25" customHeight="1">
      <c r="B202" s="128"/>
    </row>
    <row r="203" ht="14.25" customHeight="1">
      <c r="B203" s="128"/>
    </row>
    <row r="204" ht="14.25" customHeight="1">
      <c r="B204" s="128"/>
    </row>
    <row r="205" ht="14.25" customHeight="1">
      <c r="B205" s="128"/>
    </row>
    <row r="206" ht="14.25" customHeight="1">
      <c r="B206" s="128"/>
    </row>
    <row r="207" ht="14.25" customHeight="1">
      <c r="B207" s="128"/>
    </row>
    <row r="208" ht="14.25" customHeight="1">
      <c r="B208" s="128"/>
    </row>
    <row r="209" ht="14.25" customHeight="1">
      <c r="B209" s="128"/>
    </row>
    <row r="210" ht="14.25" customHeight="1">
      <c r="B210" s="128"/>
    </row>
    <row r="211" ht="14.25" customHeight="1">
      <c r="B211" s="128"/>
    </row>
    <row r="212" ht="14.25" customHeight="1">
      <c r="B212" s="128"/>
    </row>
    <row r="213" ht="14.25" customHeight="1">
      <c r="B213" s="128"/>
    </row>
    <row r="214" ht="14.25" customHeight="1">
      <c r="B214" s="128"/>
    </row>
    <row r="215" ht="14.25" customHeight="1">
      <c r="B215" s="128"/>
    </row>
    <row r="216" ht="14.25" customHeight="1">
      <c r="B216" s="128"/>
    </row>
    <row r="217" ht="14.25" customHeight="1">
      <c r="B217" s="128"/>
    </row>
    <row r="218" ht="14.25" customHeight="1">
      <c r="B218" s="128"/>
    </row>
    <row r="219" ht="14.25" customHeight="1">
      <c r="B219" s="128"/>
    </row>
    <row r="220" ht="14.25" customHeight="1">
      <c r="B220" s="128"/>
    </row>
    <row r="221" ht="14.25" customHeight="1">
      <c r="B221" s="128"/>
    </row>
    <row r="222" ht="14.25" customHeight="1">
      <c r="B222" s="128"/>
    </row>
    <row r="223" ht="14.25" customHeight="1">
      <c r="B223" s="128"/>
    </row>
    <row r="224" ht="14.25" customHeight="1">
      <c r="B224" s="128"/>
    </row>
    <row r="225" ht="14.25" customHeight="1">
      <c r="B225" s="128"/>
    </row>
    <row r="226" ht="14.25" customHeight="1">
      <c r="B226" s="128"/>
    </row>
    <row r="227" ht="14.25" customHeight="1">
      <c r="B227" s="128"/>
    </row>
    <row r="228" ht="14.25" customHeight="1">
      <c r="B228" s="128"/>
    </row>
    <row r="229" ht="14.25" customHeight="1">
      <c r="B229" s="128"/>
    </row>
    <row r="230" ht="14.25" customHeight="1">
      <c r="B230" s="128"/>
    </row>
    <row r="231" ht="14.25" customHeight="1">
      <c r="B231" s="128"/>
    </row>
    <row r="232" ht="14.25" customHeight="1">
      <c r="B232" s="128"/>
    </row>
    <row r="233" ht="14.25" customHeight="1">
      <c r="B233" s="128"/>
    </row>
    <row r="234" ht="14.25" customHeight="1">
      <c r="B234" s="128"/>
    </row>
    <row r="235" ht="14.25" customHeight="1">
      <c r="B235" s="128"/>
    </row>
    <row r="236" ht="14.25" customHeight="1">
      <c r="B236" s="128"/>
    </row>
    <row r="237" ht="14.25" customHeight="1">
      <c r="B237" s="128"/>
    </row>
    <row r="238" ht="14.25" customHeight="1">
      <c r="B238" s="128"/>
    </row>
    <row r="239" ht="14.25" customHeight="1">
      <c r="B239" s="128"/>
    </row>
    <row r="240" ht="14.25" customHeight="1">
      <c r="B240" s="128"/>
    </row>
    <row r="241" ht="14.25" customHeight="1">
      <c r="B241" s="128"/>
    </row>
    <row r="242" ht="14.25" customHeight="1">
      <c r="B242" s="128"/>
    </row>
    <row r="243" ht="14.25" customHeight="1">
      <c r="B243" s="128"/>
    </row>
    <row r="244" ht="14.25" customHeight="1">
      <c r="B244" s="128"/>
    </row>
    <row r="245" ht="14.25" customHeight="1">
      <c r="B245" s="128"/>
    </row>
    <row r="246" ht="14.25" customHeight="1">
      <c r="B246" s="128"/>
    </row>
    <row r="247" ht="14.25" customHeight="1">
      <c r="B247" s="128"/>
    </row>
    <row r="248" ht="14.25" customHeight="1">
      <c r="B248" s="128"/>
    </row>
    <row r="249" ht="14.25" customHeight="1">
      <c r="B249" s="128"/>
    </row>
    <row r="250" ht="14.25" customHeight="1">
      <c r="B250" s="128"/>
    </row>
    <row r="251" ht="14.25" customHeight="1">
      <c r="B251" s="128"/>
    </row>
    <row r="252" ht="14.25" customHeight="1">
      <c r="B252" s="128"/>
    </row>
    <row r="253" ht="14.25" customHeight="1">
      <c r="B253" s="128"/>
    </row>
    <row r="254" ht="14.25" customHeight="1">
      <c r="B254" s="128"/>
    </row>
    <row r="255" ht="14.25" customHeight="1">
      <c r="B255" s="128"/>
    </row>
    <row r="256" ht="14.25" customHeight="1">
      <c r="B256" s="128"/>
    </row>
    <row r="257" ht="14.25" customHeight="1">
      <c r="B257" s="128"/>
    </row>
    <row r="258" ht="14.25" customHeight="1">
      <c r="B258" s="128"/>
    </row>
    <row r="259" ht="14.25" customHeight="1">
      <c r="B259" s="128"/>
    </row>
    <row r="260" ht="14.25" customHeight="1">
      <c r="B260" s="128"/>
    </row>
    <row r="261" ht="14.25" customHeight="1">
      <c r="B261" s="128"/>
    </row>
    <row r="262" ht="14.25" customHeight="1">
      <c r="B262" s="128"/>
    </row>
    <row r="263" ht="14.25" customHeight="1">
      <c r="B263" s="128"/>
    </row>
    <row r="264" ht="14.25" customHeight="1">
      <c r="B264" s="128"/>
    </row>
    <row r="265" ht="14.25" customHeight="1">
      <c r="B265" s="128"/>
    </row>
    <row r="266" ht="14.25" customHeight="1">
      <c r="B266" s="128"/>
    </row>
    <row r="267" ht="14.25" customHeight="1">
      <c r="B267" s="128"/>
    </row>
    <row r="268" ht="14.25" customHeight="1">
      <c r="B268" s="128"/>
    </row>
    <row r="269" ht="14.25" customHeight="1">
      <c r="B269" s="128"/>
    </row>
    <row r="270" ht="14.25" customHeight="1">
      <c r="B270" s="128"/>
    </row>
    <row r="271" ht="14.25" customHeight="1">
      <c r="B271" s="128"/>
    </row>
    <row r="272" ht="14.25" customHeight="1">
      <c r="B272" s="128"/>
    </row>
    <row r="273" ht="14.25" customHeight="1">
      <c r="B273" s="128"/>
    </row>
    <row r="274" ht="14.25" customHeight="1">
      <c r="B274" s="128"/>
    </row>
    <row r="275" ht="14.25" customHeight="1">
      <c r="B275" s="128"/>
    </row>
    <row r="276" ht="14.25" customHeight="1">
      <c r="B276" s="128"/>
    </row>
    <row r="277" ht="14.25" customHeight="1">
      <c r="B277" s="128"/>
    </row>
    <row r="278" ht="14.25" customHeight="1">
      <c r="B278" s="128"/>
    </row>
    <row r="279" ht="14.25" customHeight="1">
      <c r="B279" s="128"/>
    </row>
    <row r="280" ht="14.25" customHeight="1">
      <c r="B280" s="128"/>
    </row>
    <row r="281" ht="14.25" customHeight="1">
      <c r="B281" s="128"/>
    </row>
    <row r="282" ht="14.25" customHeight="1">
      <c r="B282" s="128"/>
    </row>
    <row r="283" ht="14.25" customHeight="1">
      <c r="B283" s="128"/>
    </row>
    <row r="284" ht="14.25" customHeight="1">
      <c r="B284" s="128"/>
    </row>
    <row r="285" ht="14.25" customHeight="1">
      <c r="B285" s="128"/>
    </row>
    <row r="286" ht="14.25" customHeight="1">
      <c r="B286" s="128"/>
    </row>
    <row r="287" ht="14.25" customHeight="1">
      <c r="B287" s="128"/>
    </row>
    <row r="288" ht="14.25" customHeight="1">
      <c r="B288" s="128"/>
    </row>
    <row r="289" ht="14.25" customHeight="1">
      <c r="B289" s="128"/>
    </row>
    <row r="290" ht="14.25" customHeight="1">
      <c r="B290" s="128"/>
    </row>
    <row r="291" ht="14.25" customHeight="1">
      <c r="B291" s="128"/>
    </row>
    <row r="292" ht="14.25" customHeight="1">
      <c r="B292" s="128"/>
    </row>
    <row r="293" ht="14.25" customHeight="1">
      <c r="B293" s="128"/>
    </row>
    <row r="294" ht="14.25" customHeight="1">
      <c r="B294" s="128"/>
    </row>
    <row r="295" ht="14.25" customHeight="1">
      <c r="B295" s="128"/>
    </row>
    <row r="296" ht="14.25" customHeight="1">
      <c r="B296" s="128"/>
    </row>
    <row r="297" ht="14.25" customHeight="1">
      <c r="B297" s="128"/>
    </row>
    <row r="298" ht="14.25" customHeight="1">
      <c r="B298" s="128"/>
    </row>
    <row r="299" ht="14.25" customHeight="1">
      <c r="B299" s="128"/>
    </row>
    <row r="300" ht="14.25" customHeight="1">
      <c r="B300" s="128"/>
    </row>
    <row r="301" ht="14.25" customHeight="1">
      <c r="B301" s="128"/>
    </row>
    <row r="302" ht="14.25" customHeight="1">
      <c r="B302" s="128"/>
    </row>
    <row r="303" ht="14.25" customHeight="1">
      <c r="B303" s="128"/>
    </row>
    <row r="304" ht="14.25" customHeight="1">
      <c r="B304" s="128"/>
    </row>
    <row r="305" ht="14.25" customHeight="1">
      <c r="B305" s="128"/>
    </row>
    <row r="306" ht="14.25" customHeight="1">
      <c r="B306" s="128"/>
    </row>
    <row r="307" ht="14.25" customHeight="1">
      <c r="B307" s="128"/>
    </row>
    <row r="308" ht="14.25" customHeight="1">
      <c r="B308" s="128"/>
    </row>
    <row r="309" ht="14.25" customHeight="1">
      <c r="B309" s="128"/>
    </row>
    <row r="310" ht="14.25" customHeight="1">
      <c r="B310" s="128"/>
    </row>
    <row r="311" ht="14.25" customHeight="1">
      <c r="B311" s="128"/>
    </row>
    <row r="312" ht="14.25" customHeight="1">
      <c r="B312" s="128"/>
    </row>
    <row r="313" ht="14.25" customHeight="1">
      <c r="B313" s="128"/>
    </row>
    <row r="314" ht="14.25" customHeight="1">
      <c r="B314" s="128"/>
    </row>
    <row r="315" ht="14.25" customHeight="1">
      <c r="B315" s="128"/>
    </row>
    <row r="316" ht="14.25" customHeight="1">
      <c r="B316" s="128"/>
    </row>
    <row r="317" ht="14.25" customHeight="1">
      <c r="B317" s="128"/>
    </row>
    <row r="318" ht="14.25" customHeight="1">
      <c r="B318" s="128"/>
    </row>
    <row r="319" ht="14.25" customHeight="1">
      <c r="B319" s="128"/>
    </row>
    <row r="320" ht="14.25" customHeight="1">
      <c r="B320" s="128"/>
    </row>
    <row r="321" ht="14.25" customHeight="1">
      <c r="B321" s="128"/>
    </row>
    <row r="322" ht="14.25" customHeight="1">
      <c r="B322" s="128"/>
    </row>
    <row r="323" ht="14.25" customHeight="1">
      <c r="B323" s="128"/>
    </row>
    <row r="324" ht="14.25" customHeight="1">
      <c r="B324" s="128"/>
    </row>
    <row r="325" ht="14.25" customHeight="1">
      <c r="B325" s="128"/>
    </row>
    <row r="326" ht="14.25" customHeight="1">
      <c r="B326" s="128"/>
    </row>
    <row r="327" ht="14.25" customHeight="1">
      <c r="B327" s="128"/>
    </row>
    <row r="328" ht="14.25" customHeight="1">
      <c r="B328" s="128"/>
    </row>
    <row r="329" ht="14.25" customHeight="1">
      <c r="B329" s="128"/>
    </row>
    <row r="330" ht="14.25" customHeight="1">
      <c r="B330" s="128"/>
    </row>
    <row r="331" ht="14.25" customHeight="1">
      <c r="B331" s="128"/>
    </row>
    <row r="332" ht="14.25" customHeight="1">
      <c r="B332" s="128"/>
    </row>
    <row r="333" ht="14.25" customHeight="1">
      <c r="B333" s="128"/>
    </row>
    <row r="334" ht="14.25" customHeight="1">
      <c r="B334" s="128"/>
    </row>
    <row r="335" ht="14.25" customHeight="1">
      <c r="B335" s="128"/>
    </row>
    <row r="336" ht="14.25" customHeight="1">
      <c r="B336" s="128"/>
    </row>
    <row r="337" ht="14.25" customHeight="1">
      <c r="B337" s="128"/>
    </row>
    <row r="338" ht="14.25" customHeight="1">
      <c r="B338" s="128"/>
    </row>
    <row r="339" ht="14.25" customHeight="1">
      <c r="B339" s="128"/>
    </row>
    <row r="340" ht="14.25" customHeight="1">
      <c r="B340" s="128"/>
    </row>
    <row r="341" ht="14.25" customHeight="1">
      <c r="B341" s="128"/>
    </row>
    <row r="342" ht="14.25" customHeight="1">
      <c r="B342" s="128"/>
    </row>
    <row r="343" ht="14.25" customHeight="1">
      <c r="B343" s="128"/>
    </row>
    <row r="344" ht="14.25" customHeight="1">
      <c r="B344" s="128"/>
    </row>
    <row r="345" ht="14.25" customHeight="1">
      <c r="B345" s="128"/>
    </row>
    <row r="346" ht="14.25" customHeight="1">
      <c r="B346" s="128"/>
    </row>
    <row r="347" ht="14.25" customHeight="1">
      <c r="B347" s="128"/>
    </row>
    <row r="348" ht="14.25" customHeight="1">
      <c r="B348" s="128"/>
    </row>
    <row r="349" ht="14.25" customHeight="1">
      <c r="B349" s="128"/>
    </row>
    <row r="350" ht="14.25" customHeight="1">
      <c r="B350" s="128"/>
    </row>
    <row r="351" ht="14.25" customHeight="1">
      <c r="B351" s="128"/>
    </row>
    <row r="352" ht="14.25" customHeight="1">
      <c r="B352" s="128"/>
    </row>
    <row r="353" ht="14.25" customHeight="1">
      <c r="B353" s="128"/>
    </row>
    <row r="354" ht="14.25" customHeight="1">
      <c r="B354" s="128"/>
    </row>
    <row r="355" ht="14.25" customHeight="1">
      <c r="B355" s="128"/>
    </row>
    <row r="356" ht="14.25" customHeight="1">
      <c r="B356" s="128"/>
    </row>
    <row r="357" ht="14.25" customHeight="1">
      <c r="B357" s="128"/>
    </row>
    <row r="358" ht="14.25" customHeight="1">
      <c r="B358" s="128"/>
    </row>
    <row r="359" ht="14.25" customHeight="1">
      <c r="B359" s="128"/>
    </row>
    <row r="360" ht="14.25" customHeight="1">
      <c r="B360" s="128"/>
    </row>
    <row r="361" ht="14.25" customHeight="1">
      <c r="B361" s="128"/>
    </row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L16:Z16">
    <cfRule type="expression" dxfId="0" priority="1">
      <formula>"si(0;;)"</formula>
    </cfRule>
  </conditionalFormatting>
  <conditionalFormatting sqref="L16:Z16">
    <cfRule type="expression" dxfId="0" priority="2">
      <formula>"si(0;;)"</formula>
    </cfRule>
  </conditionalFormatting>
  <conditionalFormatting sqref="A1:A1000 J8">
    <cfRule type="containsText" dxfId="0" priority="3" operator="containsText" text="0">
      <formula>NOT(ISERROR(SEARCH(("0"),(A1))))</formula>
    </cfRule>
  </conditionalFormatting>
  <conditionalFormatting sqref="A1:A161 J8">
    <cfRule type="containsText" dxfId="0" priority="4" operator="containsText" text="0">
      <formula>NOT(ISERROR(SEARCH(("0"),(A1))))</formula>
    </cfRule>
  </conditionalFormatting>
  <drawing r:id="rId1"/>
  <tableParts count="1">
    <tablePart r:id="rId3"/>
  </tableParts>
</worksheet>
</file>